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LM\Electricity_Project\dashboard-automation-shared\dashboard_automation\"/>
    </mc:Choice>
  </mc:AlternateContent>
  <xr:revisionPtr revIDLastSave="0" documentId="8_{1C6E3DEB-6A8C-42A0-BB53-980190D3400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pr-24" sheetId="1" r:id="rId1"/>
    <sheet name="May-24" sheetId="8" r:id="rId2"/>
    <sheet name="Jun-24" sheetId="9" r:id="rId3"/>
    <sheet name="Jul-24" sheetId="10" r:id="rId4"/>
    <sheet name="Aug-24" sheetId="11" r:id="rId5"/>
    <sheet name="Sep-24" sheetId="12" r:id="rId6"/>
    <sheet name="Dashboard" sheetId="2" r:id="rId7"/>
    <sheet name="Day Wise 24-25" sheetId="6" r:id="rId8"/>
    <sheet name="AFR" sheetId="7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</externalReferences>
  <definedNames>
    <definedName name="\0" localSheetId="7">#REF!</definedName>
    <definedName name="\0">#REF!</definedName>
    <definedName name="\a" localSheetId="7">#REF!</definedName>
    <definedName name="\a">#REF!</definedName>
    <definedName name="\B" localSheetId="7">#REF!</definedName>
    <definedName name="\B">#REF!</definedName>
    <definedName name="\c">#N/A</definedName>
    <definedName name="\d" localSheetId="7">[1]IT2004!#REF!</definedName>
    <definedName name="\d">[1]IT2004!#REF!</definedName>
    <definedName name="\e">#N/A</definedName>
    <definedName name="\I" localSheetId="7">'[2]LG-GIVEN'!#REF!</definedName>
    <definedName name="\I">'[2]LG-GIVEN'!#REF!</definedName>
    <definedName name="\P" localSheetId="8">#REF!</definedName>
    <definedName name="\P" localSheetId="7">#REF!</definedName>
    <definedName name="\P">#REF!</definedName>
    <definedName name="\Q" localSheetId="7">#REF!</definedName>
    <definedName name="\Q">#REF!</definedName>
    <definedName name="\r" localSheetId="7">[1]IT2004!#REF!</definedName>
    <definedName name="\r">[1]IT2004!#REF!</definedName>
    <definedName name="\S" localSheetId="7">'[2]LG-GIVEN'!#REF!</definedName>
    <definedName name="\S">'[2]LG-GIVEN'!#REF!</definedName>
    <definedName name="\x" localSheetId="7">'[3]BAL96-97'!#REF!</definedName>
    <definedName name="\x">'[3]BAL96-97'!#REF!</definedName>
    <definedName name="\z" localSheetId="7">'[3]BAL96-97'!#REF!</definedName>
    <definedName name="\z">'[3]BAL96-97'!#REF!</definedName>
    <definedName name="_____________________________________SCH1" localSheetId="8">#REF!</definedName>
    <definedName name="_____________________________________SCH1" localSheetId="7">#REF!</definedName>
    <definedName name="_____________________________________SCH1">#REF!</definedName>
    <definedName name="_____________________________________SCH2" localSheetId="7">#REF!</definedName>
    <definedName name="_____________________________________SCH2">#REF!</definedName>
    <definedName name="_____________________________________SCH3" localSheetId="7">#REF!</definedName>
    <definedName name="_____________________________________SCH3">#REF!</definedName>
    <definedName name="____________________________________CBS2" localSheetId="7">#REF!</definedName>
    <definedName name="____________________________________CBS2">#REF!</definedName>
    <definedName name="____________________________________SCH1" localSheetId="7">#REF!</definedName>
    <definedName name="____________________________________SCH1">#REF!</definedName>
    <definedName name="____________________________________SCH2" localSheetId="7">#REF!</definedName>
    <definedName name="____________________________________SCH2">#REF!</definedName>
    <definedName name="____________________________________SCH3" localSheetId="7">#REF!</definedName>
    <definedName name="____________________________________SCH3">#REF!</definedName>
    <definedName name="___________________________________CBS1" localSheetId="7">#REF!</definedName>
    <definedName name="___________________________________CBS1">#REF!</definedName>
    <definedName name="___________________________________CBS2" localSheetId="7">#REF!</definedName>
    <definedName name="___________________________________CBS2">#REF!</definedName>
    <definedName name="___________________________________SCH1" localSheetId="7">#REF!</definedName>
    <definedName name="___________________________________SCH1">#REF!</definedName>
    <definedName name="___________________________________SCH2" localSheetId="7">#REF!</definedName>
    <definedName name="___________________________________SCH2">#REF!</definedName>
    <definedName name="___________________________________SCH3" localSheetId="7">#REF!</definedName>
    <definedName name="___________________________________SCH3">#REF!</definedName>
    <definedName name="__________________________________CBS1" localSheetId="7">#REF!</definedName>
    <definedName name="__________________________________CBS1">#REF!</definedName>
    <definedName name="__________________________________CBS2" localSheetId="7">#REF!</definedName>
    <definedName name="__________________________________CBS2">#REF!</definedName>
    <definedName name="_________________________________CBS1" localSheetId="7">#REF!</definedName>
    <definedName name="_________________________________CBS1">#REF!</definedName>
    <definedName name="_________________________________CBS2" localSheetId="7">#REF!</definedName>
    <definedName name="_________________________________CBS2">#REF!</definedName>
    <definedName name="_________________________________SCH1" localSheetId="7">#REF!</definedName>
    <definedName name="_________________________________SCH1">#REF!</definedName>
    <definedName name="_________________________________SCH2" localSheetId="7">#REF!</definedName>
    <definedName name="_________________________________SCH2">#REF!</definedName>
    <definedName name="_________________________________SCH3" localSheetId="7">#REF!</definedName>
    <definedName name="_________________________________SCH3">#REF!</definedName>
    <definedName name="________________________________CBS1" localSheetId="7">#REF!</definedName>
    <definedName name="________________________________CBS1">#REF!</definedName>
    <definedName name="________________________________SCH1" localSheetId="7">#REF!</definedName>
    <definedName name="________________________________SCH1">#REF!</definedName>
    <definedName name="________________________________SCH2" localSheetId="7">#REF!</definedName>
    <definedName name="________________________________SCH2">#REF!</definedName>
    <definedName name="________________________________SCH3" localSheetId="7">#REF!</definedName>
    <definedName name="________________________________SCH3">#REF!</definedName>
    <definedName name="_______________________________CBS1" localSheetId="7">#REF!</definedName>
    <definedName name="_______________________________CBS1">#REF!</definedName>
    <definedName name="_______________________________CBS2" localSheetId="7">#REF!</definedName>
    <definedName name="_______________________________CBS2">#REF!</definedName>
    <definedName name="_______________________________SCH1" localSheetId="7">#REF!</definedName>
    <definedName name="_______________________________SCH1">#REF!</definedName>
    <definedName name="_______________________________SCH2" localSheetId="7">#REF!</definedName>
    <definedName name="_______________________________SCH2">#REF!</definedName>
    <definedName name="_______________________________SCH3" localSheetId="7">#REF!</definedName>
    <definedName name="_______________________________SCH3">#REF!</definedName>
    <definedName name="______________________________CBS1" localSheetId="7">#REF!</definedName>
    <definedName name="______________________________CBS1">#REF!</definedName>
    <definedName name="______________________________CBS2" localSheetId="7">#REF!</definedName>
    <definedName name="______________________________CBS2">#REF!</definedName>
    <definedName name="______________________________SCH1" localSheetId="7">#REF!</definedName>
    <definedName name="______________________________SCH1">#REF!</definedName>
    <definedName name="______________________________SCH2" localSheetId="7">#REF!</definedName>
    <definedName name="______________________________SCH2">#REF!</definedName>
    <definedName name="______________________________SCH3" localSheetId="7">#REF!</definedName>
    <definedName name="______________________________SCH3">#REF!</definedName>
    <definedName name="_____________________________CBS1" localSheetId="7">#REF!</definedName>
    <definedName name="_____________________________CBS1">#REF!</definedName>
    <definedName name="_____________________________CBS2" localSheetId="7">#REF!</definedName>
    <definedName name="_____________________________CBS2">#REF!</definedName>
    <definedName name="_____________________________SCH1" localSheetId="7">#REF!</definedName>
    <definedName name="_____________________________SCH1">#REF!</definedName>
    <definedName name="_____________________________SCH2" localSheetId="7">#REF!</definedName>
    <definedName name="_____________________________SCH2">#REF!</definedName>
    <definedName name="_____________________________SCH3" localSheetId="7">#REF!</definedName>
    <definedName name="_____________________________SCH3">#REF!</definedName>
    <definedName name="____________________________CBS2" localSheetId="7">#REF!</definedName>
    <definedName name="____________________________CBS2">#REF!</definedName>
    <definedName name="___________________________CBS1" localSheetId="7">#REF!</definedName>
    <definedName name="___________________________CBS1">#REF!</definedName>
    <definedName name="___________________________CBS2" localSheetId="7">#REF!</definedName>
    <definedName name="___________________________CBS2">#REF!</definedName>
    <definedName name="___________________________SCH1" localSheetId="7">#REF!</definedName>
    <definedName name="___________________________SCH1">#REF!</definedName>
    <definedName name="___________________________SCH2" localSheetId="7">#REF!</definedName>
    <definedName name="___________________________SCH2">#REF!</definedName>
    <definedName name="___________________________SCH3" localSheetId="7">#REF!</definedName>
    <definedName name="___________________________SCH3">#REF!</definedName>
    <definedName name="__________________________CBS1" localSheetId="7">#REF!</definedName>
    <definedName name="__________________________CBS1">#REF!</definedName>
    <definedName name="__________________________CBS2" localSheetId="7">#REF!</definedName>
    <definedName name="__________________________CBS2">#REF!</definedName>
    <definedName name="__________________________SCH1" localSheetId="7">#REF!</definedName>
    <definedName name="__________________________SCH1">#REF!</definedName>
    <definedName name="__________________________SCH2" localSheetId="7">#REF!</definedName>
    <definedName name="__________________________SCH2">#REF!</definedName>
    <definedName name="__________________________SCH3" localSheetId="7">#REF!</definedName>
    <definedName name="__________________________SCH3">#REF!</definedName>
    <definedName name="_________________________CBS1" localSheetId="7">#REF!</definedName>
    <definedName name="_________________________CBS1">#REF!</definedName>
    <definedName name="_________________________CBS2" localSheetId="7">#REF!</definedName>
    <definedName name="_________________________CBS2">#REF!</definedName>
    <definedName name="_________________________SCH1" localSheetId="7">#REF!</definedName>
    <definedName name="_________________________SCH1">#REF!</definedName>
    <definedName name="_________________________SCH2" localSheetId="7">#REF!</definedName>
    <definedName name="_________________________SCH2">#REF!</definedName>
    <definedName name="_________________________SCH3" localSheetId="7">#REF!</definedName>
    <definedName name="_________________________SCH3">#REF!</definedName>
    <definedName name="________________________CBS1" localSheetId="7">#REF!</definedName>
    <definedName name="________________________CBS1">#REF!</definedName>
    <definedName name="________________________CBS2" localSheetId="7">#REF!</definedName>
    <definedName name="________________________CBS2">#REF!</definedName>
    <definedName name="________________________DAT1" localSheetId="7">'[4]DEP 0607'!#REF!</definedName>
    <definedName name="________________________DAT1">'[4]DEP 0607'!#REF!</definedName>
    <definedName name="________________________DAT10" localSheetId="7">[5]Sheet1!#REF!</definedName>
    <definedName name="________________________DAT10">[5]Sheet1!#REF!</definedName>
    <definedName name="________________________DAT11" localSheetId="7">'[4]DEP 0607'!#REF!</definedName>
    <definedName name="________________________DAT11">'[4]DEP 0607'!#REF!</definedName>
    <definedName name="________________________DAT12" localSheetId="7">[5]Sheet1!#REF!</definedName>
    <definedName name="________________________DAT12">[5]Sheet1!#REF!</definedName>
    <definedName name="________________________DAT13" localSheetId="7">'[4]DEP 0607'!#REF!</definedName>
    <definedName name="________________________DAT13">'[4]DEP 0607'!#REF!</definedName>
    <definedName name="________________________DAT14" localSheetId="7">'[4]DEP 0607'!#REF!</definedName>
    <definedName name="________________________DAT14">'[4]DEP 0607'!#REF!</definedName>
    <definedName name="________________________DAT15" localSheetId="8">#REF!</definedName>
    <definedName name="________________________DAT15" localSheetId="7">#REF!</definedName>
    <definedName name="________________________DAT15">#REF!</definedName>
    <definedName name="________________________DAT2" localSheetId="8">'[4]DEP 0607'!#REF!</definedName>
    <definedName name="________________________DAT2" localSheetId="7">'[4]DEP 0607'!#REF!</definedName>
    <definedName name="________________________DAT2">'[4]DEP 0607'!#REF!</definedName>
    <definedName name="________________________DAT4" localSheetId="7">'[6]antq-may-pur'!#REF!</definedName>
    <definedName name="________________________DAT4">'[6]antq-may-pur'!#REF!</definedName>
    <definedName name="________________________DAT5" localSheetId="7">'[4]DEP 0607'!#REF!</definedName>
    <definedName name="________________________DAT5">'[4]DEP 0607'!#REF!</definedName>
    <definedName name="________________________DAT6" localSheetId="7">'[4]DEP 0607'!#REF!</definedName>
    <definedName name="________________________DAT6">'[4]DEP 0607'!#REF!</definedName>
    <definedName name="________________________DAT7" localSheetId="7">'[6]antq-may-pur'!#REF!</definedName>
    <definedName name="________________________DAT7">'[6]antq-may-pur'!#REF!</definedName>
    <definedName name="________________________DAT8" localSheetId="7">[5]Sheet1!#REF!</definedName>
    <definedName name="________________________DAT8">[5]Sheet1!#REF!</definedName>
    <definedName name="________________________SCH1" localSheetId="8">#REF!</definedName>
    <definedName name="________________________SCH1" localSheetId="7">#REF!</definedName>
    <definedName name="________________________SCH1">#REF!</definedName>
    <definedName name="________________________SCH2" localSheetId="7">#REF!</definedName>
    <definedName name="________________________SCH2">#REF!</definedName>
    <definedName name="________________________SCH3" localSheetId="7">#REF!</definedName>
    <definedName name="________________________SCH3">#REF!</definedName>
    <definedName name="_______________________CBS1" localSheetId="7">#REF!</definedName>
    <definedName name="_______________________CBS1">#REF!</definedName>
    <definedName name="_______________________CBS2" localSheetId="7">#REF!</definedName>
    <definedName name="_______________________CBS2">#REF!</definedName>
    <definedName name="_______________________DAT1" localSheetId="7">'[4]DEP 0607'!#REF!</definedName>
    <definedName name="_______________________DAT1">'[4]DEP 0607'!#REF!</definedName>
    <definedName name="_______________________DAT10" localSheetId="7">[5]Sheet1!#REF!</definedName>
    <definedName name="_______________________DAT10">[5]Sheet1!#REF!</definedName>
    <definedName name="_______________________DAT11" localSheetId="7">'[4]DEP 0607'!#REF!</definedName>
    <definedName name="_______________________DAT11">'[4]DEP 0607'!#REF!</definedName>
    <definedName name="_______________________DAT12" localSheetId="7">[5]Sheet1!#REF!</definedName>
    <definedName name="_______________________DAT12">[5]Sheet1!#REF!</definedName>
    <definedName name="_______________________DAT13" localSheetId="7">'[4]DEP 0607'!#REF!</definedName>
    <definedName name="_______________________DAT13">'[4]DEP 0607'!#REF!</definedName>
    <definedName name="_______________________DAT14" localSheetId="7">'[4]DEP 0607'!#REF!</definedName>
    <definedName name="_______________________DAT14">'[4]DEP 0607'!#REF!</definedName>
    <definedName name="_______________________DAT15" localSheetId="8">#REF!</definedName>
    <definedName name="_______________________DAT15" localSheetId="7">#REF!</definedName>
    <definedName name="_______________________DAT15">#REF!</definedName>
    <definedName name="_______________________DAT2" localSheetId="8">'[4]DEP 0607'!#REF!</definedName>
    <definedName name="_______________________DAT2" localSheetId="7">'[4]DEP 0607'!#REF!</definedName>
    <definedName name="_______________________DAT2">'[4]DEP 0607'!#REF!</definedName>
    <definedName name="_______________________DAT3" localSheetId="7">[5]Sheet1!#REF!</definedName>
    <definedName name="_______________________DAT3">[5]Sheet1!#REF!</definedName>
    <definedName name="_______________________DAT4" localSheetId="7">'[6]antq-may-pur'!#REF!</definedName>
    <definedName name="_______________________DAT4">'[6]antq-may-pur'!#REF!</definedName>
    <definedName name="_______________________DAT5" localSheetId="7">'[4]DEP 0607'!#REF!</definedName>
    <definedName name="_______________________DAT5">'[4]DEP 0607'!#REF!</definedName>
    <definedName name="_______________________DAT6" localSheetId="7">'[4]DEP 0607'!#REF!</definedName>
    <definedName name="_______________________DAT6">'[4]DEP 0607'!#REF!</definedName>
    <definedName name="_______________________DAT7" localSheetId="7">'[6]antq-may-pur'!#REF!</definedName>
    <definedName name="_______________________DAT7">'[6]antq-may-pur'!#REF!</definedName>
    <definedName name="_______________________DAT8" localSheetId="7">[5]Sheet1!#REF!</definedName>
    <definedName name="_______________________DAT8">[5]Sheet1!#REF!</definedName>
    <definedName name="_______________________SCH1" localSheetId="8">#REF!</definedName>
    <definedName name="_______________________SCH1" localSheetId="7">#REF!</definedName>
    <definedName name="_______________________SCH1">#REF!</definedName>
    <definedName name="_______________________SCH2" localSheetId="7">#REF!</definedName>
    <definedName name="_______________________SCH2">#REF!</definedName>
    <definedName name="_______________________SCH3" localSheetId="7">#REF!</definedName>
    <definedName name="_______________________SCH3">#REF!</definedName>
    <definedName name="______________________APP1" localSheetId="7">'[7]APP 2a'!#REF!</definedName>
    <definedName name="______________________APP1">'[7]APP 2a'!#REF!</definedName>
    <definedName name="______________________APP3" localSheetId="7">'[7]APP 2a'!#REF!</definedName>
    <definedName name="______________________APP3">'[7]APP 2a'!#REF!</definedName>
    <definedName name="______________________CBS1" localSheetId="8">#REF!</definedName>
    <definedName name="______________________CBS1" localSheetId="7">#REF!</definedName>
    <definedName name="______________________CBS1">#REF!</definedName>
    <definedName name="______________________CBS2" localSheetId="7">#REF!</definedName>
    <definedName name="______________________CBS2">#REF!</definedName>
    <definedName name="______________________DAT1" localSheetId="7">'[8]05-06'!#REF!</definedName>
    <definedName name="______________________DAT1">'[8]05-06'!#REF!</definedName>
    <definedName name="______________________DAT10" localSheetId="7">[5]Sheet1!#REF!</definedName>
    <definedName name="______________________DAT10">[5]Sheet1!#REF!</definedName>
    <definedName name="______________________DAT11" localSheetId="8">#REF!</definedName>
    <definedName name="______________________DAT11" localSheetId="7">#REF!</definedName>
    <definedName name="______________________DAT11">#REF!</definedName>
    <definedName name="______________________DAT12" localSheetId="8">[5]Sheet1!#REF!</definedName>
    <definedName name="______________________DAT12" localSheetId="7">[5]Sheet1!#REF!</definedName>
    <definedName name="______________________DAT12">[5]Sheet1!#REF!</definedName>
    <definedName name="______________________DAT13" localSheetId="7">'[8]05-06'!#REF!</definedName>
    <definedName name="______________________DAT13">'[8]05-06'!#REF!</definedName>
    <definedName name="______________________DAT14" localSheetId="7">'[8]05-06'!#REF!</definedName>
    <definedName name="______________________DAT14">'[8]05-06'!#REF!</definedName>
    <definedName name="______________________DAT15" localSheetId="8">#REF!</definedName>
    <definedName name="______________________DAT15" localSheetId="7">#REF!</definedName>
    <definedName name="______________________DAT15">#REF!</definedName>
    <definedName name="______________________DAT17" localSheetId="7">#REF!</definedName>
    <definedName name="______________________DAT17">#REF!</definedName>
    <definedName name="______________________DAT18" localSheetId="7">#REF!</definedName>
    <definedName name="______________________DAT18">#REF!</definedName>
    <definedName name="______________________DAT2" localSheetId="7">'[8]05-06'!#REF!</definedName>
    <definedName name="______________________DAT2">'[8]05-06'!#REF!</definedName>
    <definedName name="______________________DAT3" localSheetId="7">'[8]05-06'!#REF!</definedName>
    <definedName name="______________________DAT3">'[8]05-06'!#REF!</definedName>
    <definedName name="______________________DAT4" localSheetId="7">'[8]05-06'!#REF!</definedName>
    <definedName name="______________________DAT4">'[8]05-06'!#REF!</definedName>
    <definedName name="______________________DAT5" localSheetId="8">#REF!</definedName>
    <definedName name="______________________DAT5" localSheetId="7">#REF!</definedName>
    <definedName name="______________________DAT5">#REF!</definedName>
    <definedName name="______________________DAT6" localSheetId="8">'[4]DEP 0607'!#REF!</definedName>
    <definedName name="______________________DAT6" localSheetId="7">'[4]DEP 0607'!#REF!</definedName>
    <definedName name="______________________DAT6">'[4]DEP 0607'!#REF!</definedName>
    <definedName name="______________________DAT7" localSheetId="7">'[8]05-06'!#REF!</definedName>
    <definedName name="______________________DAT7">'[8]05-06'!#REF!</definedName>
    <definedName name="______________________DAT8" localSheetId="7">'[8]05-06'!#REF!</definedName>
    <definedName name="______________________DAT8">'[8]05-06'!#REF!</definedName>
    <definedName name="______________________DAT9" localSheetId="8">#REF!</definedName>
    <definedName name="______________________DAT9" localSheetId="7">#REF!</definedName>
    <definedName name="______________________DAT9">#REF!</definedName>
    <definedName name="______________________dev2" localSheetId="8">[9]BKCSTOCKVAL!#REF!</definedName>
    <definedName name="______________________dev2" localSheetId="7">[9]BKCSTOCKVAL!#REF!</definedName>
    <definedName name="______________________dev2">[9]BKCSTOCKVAL!#REF!</definedName>
    <definedName name="______________________SCH1" localSheetId="8">#REF!</definedName>
    <definedName name="______________________SCH1" localSheetId="7">#REF!</definedName>
    <definedName name="______________________SCH1">#REF!</definedName>
    <definedName name="______________________SCH2" localSheetId="7">#REF!</definedName>
    <definedName name="______________________SCH2">#REF!</definedName>
    <definedName name="______________________SCH3" localSheetId="7">#REF!</definedName>
    <definedName name="______________________SCH3">#REF!</definedName>
    <definedName name="_____________________APP1" localSheetId="7">'[7]APP 2a'!#REF!</definedName>
    <definedName name="_____________________APP1">'[7]APP 2a'!#REF!</definedName>
    <definedName name="_____________________APP3" localSheetId="7">'[7]APP 2a'!#REF!</definedName>
    <definedName name="_____________________APP3">'[7]APP 2a'!#REF!</definedName>
    <definedName name="_____________________CBS1" localSheetId="8">#REF!</definedName>
    <definedName name="_____________________CBS1" localSheetId="7">#REF!</definedName>
    <definedName name="_____________________CBS1">#REF!</definedName>
    <definedName name="_____________________CBS2" localSheetId="7">#REF!</definedName>
    <definedName name="_____________________CBS2">#REF!</definedName>
    <definedName name="_____________________DAT1" localSheetId="7">'[8]05-06'!#REF!</definedName>
    <definedName name="_____________________DAT1">'[8]05-06'!#REF!</definedName>
    <definedName name="_____________________DAT10" localSheetId="7">[5]Sheet1!#REF!</definedName>
    <definedName name="_____________________DAT10">[5]Sheet1!#REF!</definedName>
    <definedName name="_____________________DAT11" localSheetId="8">#REF!</definedName>
    <definedName name="_____________________DAT11" localSheetId="7">#REF!</definedName>
    <definedName name="_____________________DAT11">#REF!</definedName>
    <definedName name="_____________________DAT12" localSheetId="8">[5]Sheet1!#REF!</definedName>
    <definedName name="_____________________DAT12" localSheetId="7">[5]Sheet1!#REF!</definedName>
    <definedName name="_____________________DAT12">[5]Sheet1!#REF!</definedName>
    <definedName name="_____________________DAT13" localSheetId="7">'[8]05-06'!#REF!</definedName>
    <definedName name="_____________________DAT13">'[8]05-06'!#REF!</definedName>
    <definedName name="_____________________DAT14" localSheetId="7">'[8]05-06'!#REF!</definedName>
    <definedName name="_____________________DAT14">'[8]05-06'!#REF!</definedName>
    <definedName name="_____________________DAT15" localSheetId="8">#REF!</definedName>
    <definedName name="_____________________DAT15" localSheetId="7">#REF!</definedName>
    <definedName name="_____________________DAT15">#REF!</definedName>
    <definedName name="_____________________DAT16" localSheetId="7">#REF!</definedName>
    <definedName name="_____________________DAT16">#REF!</definedName>
    <definedName name="_____________________DAT17" localSheetId="7">#REF!</definedName>
    <definedName name="_____________________DAT17">#REF!</definedName>
    <definedName name="_____________________DAT18" localSheetId="7">#REF!</definedName>
    <definedName name="_____________________DAT18">#REF!</definedName>
    <definedName name="_____________________DAT19" localSheetId="7">#REF!</definedName>
    <definedName name="_____________________DAT19">#REF!</definedName>
    <definedName name="_____________________DAT2" localSheetId="7">'[8]05-06'!#REF!</definedName>
    <definedName name="_____________________DAT2">'[8]05-06'!#REF!</definedName>
    <definedName name="_____________________DAT21" localSheetId="8">#REF!</definedName>
    <definedName name="_____________________DAT21" localSheetId="7">#REF!</definedName>
    <definedName name="_____________________DAT21">#REF!</definedName>
    <definedName name="_____________________DAT25" localSheetId="7">#REF!</definedName>
    <definedName name="_____________________DAT25">#REF!</definedName>
    <definedName name="_____________________DAT26" localSheetId="7">#REF!</definedName>
    <definedName name="_____________________DAT26">#REF!</definedName>
    <definedName name="_____________________DAT3" localSheetId="7">'[8]05-06'!#REF!</definedName>
    <definedName name="_____________________DAT3">'[8]05-06'!#REF!</definedName>
    <definedName name="_____________________DAT4" localSheetId="7">'[8]05-06'!#REF!</definedName>
    <definedName name="_____________________DAT4">'[8]05-06'!#REF!</definedName>
    <definedName name="_____________________DAT5" localSheetId="8">#REF!</definedName>
    <definedName name="_____________________DAT5" localSheetId="7">#REF!</definedName>
    <definedName name="_____________________DAT5">#REF!</definedName>
    <definedName name="_____________________DAT6" localSheetId="8">'[4]DEP 0607'!#REF!</definedName>
    <definedName name="_____________________DAT6" localSheetId="7">'[4]DEP 0607'!#REF!</definedName>
    <definedName name="_____________________DAT6">'[4]DEP 0607'!#REF!</definedName>
    <definedName name="_____________________DAT7" localSheetId="7">'[8]05-06'!#REF!</definedName>
    <definedName name="_____________________DAT7">'[8]05-06'!#REF!</definedName>
    <definedName name="_____________________DAT8" localSheetId="7">'[8]05-06'!#REF!</definedName>
    <definedName name="_____________________DAT8">'[8]05-06'!#REF!</definedName>
    <definedName name="_____________________DAT9" localSheetId="8">#REF!</definedName>
    <definedName name="_____________________DAT9" localSheetId="7">#REF!</definedName>
    <definedName name="_____________________DAT9">#REF!</definedName>
    <definedName name="_____________________dev2" localSheetId="8">[9]BKCSTOCKVAL!#REF!</definedName>
    <definedName name="_____________________dev2" localSheetId="7">[9]BKCSTOCKVAL!#REF!</definedName>
    <definedName name="_____________________dev2">[9]BKCSTOCKVAL!#REF!</definedName>
    <definedName name="_____________________may7" localSheetId="7">[10]VARA!#REF!</definedName>
    <definedName name="_____________________may7">[10]VARA!#REF!</definedName>
    <definedName name="_____________________may8" localSheetId="7">[10]VARA!#REF!</definedName>
    <definedName name="_____________________may8">[10]VARA!#REF!</definedName>
    <definedName name="_____________________SCH1" localSheetId="8">#REF!</definedName>
    <definedName name="_____________________SCH1" localSheetId="7">#REF!</definedName>
    <definedName name="_____________________SCH1">#REF!</definedName>
    <definedName name="_____________________SCH2" localSheetId="7">#REF!</definedName>
    <definedName name="_____________________SCH2">#REF!</definedName>
    <definedName name="_____________________SCH3" localSheetId="7">#REF!</definedName>
    <definedName name="_____________________SCH3">#REF!</definedName>
    <definedName name="____________________APP1" localSheetId="7">'[7]APP 2a'!#REF!</definedName>
    <definedName name="____________________APP1">'[7]APP 2a'!#REF!</definedName>
    <definedName name="____________________APP3" localSheetId="7">'[7]APP 2a'!#REF!</definedName>
    <definedName name="____________________APP3">'[7]APP 2a'!#REF!</definedName>
    <definedName name="____________________APR2" localSheetId="8">#REF!</definedName>
    <definedName name="____________________APR2" localSheetId="7">#REF!</definedName>
    <definedName name="____________________APR2">#REF!</definedName>
    <definedName name="____________________APR3" localSheetId="7">#REF!</definedName>
    <definedName name="____________________APR3">#REF!</definedName>
    <definedName name="____________________APR4" localSheetId="7">#REF!</definedName>
    <definedName name="____________________APR4">#REF!</definedName>
    <definedName name="____________________APR5" localSheetId="7">#REF!</definedName>
    <definedName name="____________________APR5">#REF!</definedName>
    <definedName name="____________________APR6" localSheetId="7">#REF!</definedName>
    <definedName name="____________________APR6">#REF!</definedName>
    <definedName name="____________________APR7" localSheetId="7">#REF!</definedName>
    <definedName name="____________________APR7">#REF!</definedName>
    <definedName name="____________________APR8" localSheetId="7">#REF!</definedName>
    <definedName name="____________________APR8">#REF!</definedName>
    <definedName name="____________________B2" localSheetId="7">#REF!</definedName>
    <definedName name="____________________B2">#REF!</definedName>
    <definedName name="____________________C80000" localSheetId="7">#REF!</definedName>
    <definedName name="____________________C80000">#REF!</definedName>
    <definedName name="____________________CBS1" localSheetId="7">#REF!</definedName>
    <definedName name="____________________CBS1">#REF!</definedName>
    <definedName name="____________________CBS2" localSheetId="7">#REF!</definedName>
    <definedName name="____________________CBS2">#REF!</definedName>
    <definedName name="____________________cip0306" localSheetId="7">#REF!</definedName>
    <definedName name="____________________cip0306">#REF!</definedName>
    <definedName name="____________________DAT1" localSheetId="7">'[8]05-06'!#REF!</definedName>
    <definedName name="____________________DAT1">'[8]05-06'!#REF!</definedName>
    <definedName name="____________________DAT10" localSheetId="8">#REF!</definedName>
    <definedName name="____________________DAT10" localSheetId="7">#REF!</definedName>
    <definedName name="____________________DAT10">#REF!</definedName>
    <definedName name="____________________DAT11" localSheetId="7">#REF!</definedName>
    <definedName name="____________________DAT11">#REF!</definedName>
    <definedName name="____________________DAT12" localSheetId="7">[5]Sheet1!#REF!</definedName>
    <definedName name="____________________DAT12">[5]Sheet1!#REF!</definedName>
    <definedName name="____________________DAT13" localSheetId="7">'[8]05-06'!#REF!</definedName>
    <definedName name="____________________DAT13">'[8]05-06'!#REF!</definedName>
    <definedName name="____________________DAT14" localSheetId="7">'[8]05-06'!#REF!</definedName>
    <definedName name="____________________DAT14">'[8]05-06'!#REF!</definedName>
    <definedName name="____________________DAT15" localSheetId="8">#REF!</definedName>
    <definedName name="____________________DAT15" localSheetId="7">#REF!</definedName>
    <definedName name="____________________DAT15">#REF!</definedName>
    <definedName name="____________________DAT16" localSheetId="7">#REF!</definedName>
    <definedName name="____________________DAT16">#REF!</definedName>
    <definedName name="____________________DAT17" localSheetId="7">#REF!</definedName>
    <definedName name="____________________DAT17">#REF!</definedName>
    <definedName name="____________________DAT18" localSheetId="7">#REF!</definedName>
    <definedName name="____________________DAT18">#REF!</definedName>
    <definedName name="____________________DAT19" localSheetId="7">#REF!</definedName>
    <definedName name="____________________DAT19">#REF!</definedName>
    <definedName name="____________________DAT2" localSheetId="7">'[8]05-06'!#REF!</definedName>
    <definedName name="____________________DAT2">'[8]05-06'!#REF!</definedName>
    <definedName name="____________________DAT20" localSheetId="7">'[8]05-06'!#REF!</definedName>
    <definedName name="____________________DAT20">'[8]05-06'!#REF!</definedName>
    <definedName name="____________________DAT21" localSheetId="7">'[8]05-06'!#REF!</definedName>
    <definedName name="____________________DAT21">'[8]05-06'!#REF!</definedName>
    <definedName name="____________________DAT22" localSheetId="8">#REF!</definedName>
    <definedName name="____________________DAT22" localSheetId="7">#REF!</definedName>
    <definedName name="____________________DAT22">#REF!</definedName>
    <definedName name="____________________DAT23" localSheetId="7">#REF!</definedName>
    <definedName name="____________________DAT23">#REF!</definedName>
    <definedName name="____________________DAT24" localSheetId="7">#REF!</definedName>
    <definedName name="____________________DAT24">#REF!</definedName>
    <definedName name="____________________DAT25" localSheetId="7">#REF!</definedName>
    <definedName name="____________________DAT25">#REF!</definedName>
    <definedName name="____________________DAT26" localSheetId="7">#REF!</definedName>
    <definedName name="____________________DAT26">#REF!</definedName>
    <definedName name="____________________DAT3" localSheetId="7">'[8]05-06'!#REF!</definedName>
    <definedName name="____________________DAT3">'[8]05-06'!#REF!</definedName>
    <definedName name="____________________DAT4" localSheetId="7">'[8]05-06'!#REF!</definedName>
    <definedName name="____________________DAT4">'[8]05-06'!#REF!</definedName>
    <definedName name="____________________DAT5" localSheetId="8">#REF!</definedName>
    <definedName name="____________________DAT5" localSheetId="7">#REF!</definedName>
    <definedName name="____________________DAT5">#REF!</definedName>
    <definedName name="____________________DAT6" localSheetId="7">#REF!</definedName>
    <definedName name="____________________DAT6">#REF!</definedName>
    <definedName name="____________________DAT7" localSheetId="7">'[8]05-06'!#REF!</definedName>
    <definedName name="____________________DAT7">'[8]05-06'!#REF!</definedName>
    <definedName name="____________________DAT8" localSheetId="7">'[8]05-06'!#REF!</definedName>
    <definedName name="____________________DAT8">'[8]05-06'!#REF!</definedName>
    <definedName name="____________________DAT9" localSheetId="8">#REF!</definedName>
    <definedName name="____________________DAT9" localSheetId="7">#REF!</definedName>
    <definedName name="____________________DAT9">#REF!</definedName>
    <definedName name="____________________dev2" localSheetId="8">[9]BKCSTOCKVAL!#REF!</definedName>
    <definedName name="____________________dev2" localSheetId="7">[9]BKCSTOCKVAL!#REF!</definedName>
    <definedName name="____________________dev2">[9]BKCSTOCKVAL!#REF!</definedName>
    <definedName name="____________________may7" localSheetId="7">[10]VARA!#REF!</definedName>
    <definedName name="____________________may7">[10]VARA!#REF!</definedName>
    <definedName name="____________________may8" localSheetId="7">[10]VARA!#REF!</definedName>
    <definedName name="____________________may8">[10]VARA!#REF!</definedName>
    <definedName name="____________________SCH1" localSheetId="8">#REF!</definedName>
    <definedName name="____________________SCH1" localSheetId="7">#REF!</definedName>
    <definedName name="____________________SCH1">#REF!</definedName>
    <definedName name="____________________SCH2" localSheetId="7">#REF!</definedName>
    <definedName name="____________________SCH2">#REF!</definedName>
    <definedName name="____________________SCH3" localSheetId="7">#REF!</definedName>
    <definedName name="____________________SCH3">#REF!</definedName>
    <definedName name="____________________VAR1" localSheetId="7">#REF!</definedName>
    <definedName name="____________________VAR1">#REF!</definedName>
    <definedName name="____________________VAR2" localSheetId="7">#REF!</definedName>
    <definedName name="____________________VAR2">#REF!</definedName>
    <definedName name="____________________VAR3" localSheetId="7">#REF!</definedName>
    <definedName name="____________________VAR3">#REF!</definedName>
    <definedName name="____________________VAR4" localSheetId="7">#REF!</definedName>
    <definedName name="____________________VAR4">#REF!</definedName>
    <definedName name="____________________VAR5" localSheetId="7">#REF!</definedName>
    <definedName name="____________________VAR5">#REF!</definedName>
    <definedName name="____________________VAR6" localSheetId="7">#REF!</definedName>
    <definedName name="____________________VAR6">#REF!</definedName>
    <definedName name="____________________VAR7" localSheetId="7">#REF!</definedName>
    <definedName name="____________________VAR7">#REF!</definedName>
    <definedName name="___________________APP1" localSheetId="7">'[7]APP 2a'!#REF!</definedName>
    <definedName name="___________________APP1">'[7]APP 2a'!#REF!</definedName>
    <definedName name="___________________APP3" localSheetId="7">'[7]APP 2a'!#REF!</definedName>
    <definedName name="___________________APP3">'[7]APP 2a'!#REF!</definedName>
    <definedName name="___________________APR1" localSheetId="8">#REF!</definedName>
    <definedName name="___________________APR1" localSheetId="7">#REF!</definedName>
    <definedName name="___________________APR1">#REF!</definedName>
    <definedName name="___________________APR2" localSheetId="7">#REF!</definedName>
    <definedName name="___________________APR2">#REF!</definedName>
    <definedName name="___________________APR3" localSheetId="7">#REF!</definedName>
    <definedName name="___________________APR3">#REF!</definedName>
    <definedName name="___________________APR4" localSheetId="7">#REF!</definedName>
    <definedName name="___________________APR4">#REF!</definedName>
    <definedName name="___________________APR5" localSheetId="7">#REF!</definedName>
    <definedName name="___________________APR5">#REF!</definedName>
    <definedName name="___________________APR6" localSheetId="7">#REF!</definedName>
    <definedName name="___________________APR6">#REF!</definedName>
    <definedName name="___________________APR7" localSheetId="7">#REF!</definedName>
    <definedName name="___________________APR7">#REF!</definedName>
    <definedName name="___________________APR8" localSheetId="7">#REF!</definedName>
    <definedName name="___________________APR8">#REF!</definedName>
    <definedName name="___________________B2" localSheetId="7">#REF!</definedName>
    <definedName name="___________________B2">#REF!</definedName>
    <definedName name="___________________C80000" localSheetId="7">#REF!</definedName>
    <definedName name="___________________C80000">#REF!</definedName>
    <definedName name="___________________CBS1" localSheetId="7">#REF!</definedName>
    <definedName name="___________________CBS1">#REF!</definedName>
    <definedName name="___________________CBS2" localSheetId="7">#REF!</definedName>
    <definedName name="___________________CBS2">#REF!</definedName>
    <definedName name="___________________cip0306" localSheetId="7">#REF!</definedName>
    <definedName name="___________________cip0306">#REF!</definedName>
    <definedName name="___________________DAT1" localSheetId="7">'[4]DEP 0607'!#REF!</definedName>
    <definedName name="___________________DAT1">'[4]DEP 0607'!#REF!</definedName>
    <definedName name="___________________DAT10" localSheetId="8">#REF!</definedName>
    <definedName name="___________________DAT10" localSheetId="7">#REF!</definedName>
    <definedName name="___________________DAT10">#REF!</definedName>
    <definedName name="___________________DAT11" localSheetId="8">'[4]DEP 0607'!#REF!</definedName>
    <definedName name="___________________DAT11" localSheetId="7">'[4]DEP 0607'!#REF!</definedName>
    <definedName name="___________________DAT11">'[4]DEP 0607'!#REF!</definedName>
    <definedName name="___________________DAT12" localSheetId="7">[5]Sheet1!#REF!</definedName>
    <definedName name="___________________DAT12">[5]Sheet1!#REF!</definedName>
    <definedName name="___________________DAT13" localSheetId="7">'[4]DEP 0607'!#REF!</definedName>
    <definedName name="___________________DAT13">'[4]DEP 0607'!#REF!</definedName>
    <definedName name="___________________DAT14" localSheetId="7">'[4]DEP 0607'!#REF!</definedName>
    <definedName name="___________________DAT14">'[4]DEP 0607'!#REF!</definedName>
    <definedName name="___________________DAT15" localSheetId="8">#REF!</definedName>
    <definedName name="___________________DAT15" localSheetId="7">#REF!</definedName>
    <definedName name="___________________DAT15">#REF!</definedName>
    <definedName name="___________________DAT16" localSheetId="7">#REF!</definedName>
    <definedName name="___________________DAT16">#REF!</definedName>
    <definedName name="___________________DAT17" localSheetId="7">#REF!</definedName>
    <definedName name="___________________DAT17">#REF!</definedName>
    <definedName name="___________________DAT18" localSheetId="7">#REF!</definedName>
    <definedName name="___________________DAT18">#REF!</definedName>
    <definedName name="___________________DAT19" localSheetId="7">'[8]05-06'!#REF!</definedName>
    <definedName name="___________________DAT19">'[8]05-06'!#REF!</definedName>
    <definedName name="___________________DAT2" localSheetId="7">'[4]DEP 0607'!#REF!</definedName>
    <definedName name="___________________DAT2">'[4]DEP 0607'!#REF!</definedName>
    <definedName name="___________________DAT20" localSheetId="7">'[8]05-06'!#REF!</definedName>
    <definedName name="___________________DAT20">'[8]05-06'!#REF!</definedName>
    <definedName name="___________________DAT21" localSheetId="7">'[8]05-06'!#REF!</definedName>
    <definedName name="___________________DAT21">'[8]05-06'!#REF!</definedName>
    <definedName name="___________________DAT22" localSheetId="8">#REF!</definedName>
    <definedName name="___________________DAT22" localSheetId="7">#REF!</definedName>
    <definedName name="___________________DAT22">#REF!</definedName>
    <definedName name="___________________DAT23" localSheetId="7">#REF!</definedName>
    <definedName name="___________________DAT23">#REF!</definedName>
    <definedName name="___________________DAT24" localSheetId="7">#REF!</definedName>
    <definedName name="___________________DAT24">#REF!</definedName>
    <definedName name="___________________DAT25" localSheetId="7">#REF!</definedName>
    <definedName name="___________________DAT25">#REF!</definedName>
    <definedName name="___________________DAT26" localSheetId="7">#REF!</definedName>
    <definedName name="___________________DAT26">#REF!</definedName>
    <definedName name="___________________DAT3" localSheetId="7">[5]Sheet1!#REF!</definedName>
    <definedName name="___________________DAT3">[5]Sheet1!#REF!</definedName>
    <definedName name="___________________DAT4" localSheetId="7">'[6]antq-may-pur'!#REF!</definedName>
    <definedName name="___________________DAT4">'[6]antq-may-pur'!#REF!</definedName>
    <definedName name="___________________DAT5" localSheetId="7">'[4]DEP 0607'!#REF!</definedName>
    <definedName name="___________________DAT5">'[4]DEP 0607'!#REF!</definedName>
    <definedName name="___________________DAT6" localSheetId="8">#REF!</definedName>
    <definedName name="___________________DAT6" localSheetId="7">#REF!</definedName>
    <definedName name="___________________DAT6">#REF!</definedName>
    <definedName name="___________________DAT7" localSheetId="8">'[6]antq-may-pur'!#REF!</definedName>
    <definedName name="___________________DAT7" localSheetId="7">'[6]antq-may-pur'!#REF!</definedName>
    <definedName name="___________________DAT7">'[6]antq-may-pur'!#REF!</definedName>
    <definedName name="___________________DAT8" localSheetId="7">[5]Sheet1!#REF!</definedName>
    <definedName name="___________________DAT8">[5]Sheet1!#REF!</definedName>
    <definedName name="___________________DAT9" localSheetId="8">#REF!</definedName>
    <definedName name="___________________DAT9" localSheetId="7">#REF!</definedName>
    <definedName name="___________________DAT9">#REF!</definedName>
    <definedName name="___________________dev2" localSheetId="8">[9]BKCSTOCKVAL!#REF!</definedName>
    <definedName name="___________________dev2" localSheetId="7">[9]BKCSTOCKVAL!#REF!</definedName>
    <definedName name="___________________dev2">[9]BKCSTOCKVAL!#REF!</definedName>
    <definedName name="___________________may6" localSheetId="7">[10]VARA!#REF!</definedName>
    <definedName name="___________________may6">[10]VARA!#REF!</definedName>
    <definedName name="___________________may7" localSheetId="7">[10]VARA!#REF!</definedName>
    <definedName name="___________________may7">[10]VARA!#REF!</definedName>
    <definedName name="___________________may8" localSheetId="7">[10]VARA!#REF!</definedName>
    <definedName name="___________________may8">[10]VARA!#REF!</definedName>
    <definedName name="___________________SCH1" localSheetId="8">#REF!</definedName>
    <definedName name="___________________SCH1" localSheetId="7">#REF!</definedName>
    <definedName name="___________________SCH1">#REF!</definedName>
    <definedName name="___________________SCH2" localSheetId="7">#REF!</definedName>
    <definedName name="___________________SCH2">#REF!</definedName>
    <definedName name="___________________SCH3" localSheetId="7">#REF!</definedName>
    <definedName name="___________________SCH3">#REF!</definedName>
    <definedName name="___________________VAR1" localSheetId="7">#REF!</definedName>
    <definedName name="___________________VAR1">#REF!</definedName>
    <definedName name="___________________VAR2" localSheetId="7">#REF!</definedName>
    <definedName name="___________________VAR2">#REF!</definedName>
    <definedName name="___________________VAR3" localSheetId="7">#REF!</definedName>
    <definedName name="___________________VAR3">#REF!</definedName>
    <definedName name="___________________VAR4" localSheetId="7">#REF!</definedName>
    <definedName name="___________________VAR4">#REF!</definedName>
    <definedName name="___________________VAR5" localSheetId="7">#REF!</definedName>
    <definedName name="___________________VAR5">#REF!</definedName>
    <definedName name="___________________VAR6" localSheetId="7">#REF!</definedName>
    <definedName name="___________________VAR6">#REF!</definedName>
    <definedName name="___________________VAR7" localSheetId="7">#REF!</definedName>
    <definedName name="___________________VAR7">#REF!</definedName>
    <definedName name="__________________APP1" localSheetId="7">'[7]APP 2a'!#REF!</definedName>
    <definedName name="__________________APP1">'[7]APP 2a'!#REF!</definedName>
    <definedName name="__________________APP3" localSheetId="7">'[7]APP 2a'!#REF!</definedName>
    <definedName name="__________________APP3">'[7]APP 2a'!#REF!</definedName>
    <definedName name="__________________APR1" localSheetId="8">#REF!</definedName>
    <definedName name="__________________APR1" localSheetId="7">#REF!</definedName>
    <definedName name="__________________APR1">#REF!</definedName>
    <definedName name="__________________APR2" localSheetId="7">#REF!</definedName>
    <definedName name="__________________APR2">#REF!</definedName>
    <definedName name="__________________APR3" localSheetId="7">#REF!</definedName>
    <definedName name="__________________APR3">#REF!</definedName>
    <definedName name="__________________APR4" localSheetId="7">#REF!</definedName>
    <definedName name="__________________APR4">#REF!</definedName>
    <definedName name="__________________APR5" localSheetId="7">#REF!</definedName>
    <definedName name="__________________APR5">#REF!</definedName>
    <definedName name="__________________APR6" localSheetId="7">#REF!</definedName>
    <definedName name="__________________APR6">#REF!</definedName>
    <definedName name="__________________APR7" localSheetId="7">#REF!</definedName>
    <definedName name="__________________APR7">#REF!</definedName>
    <definedName name="__________________APR8" localSheetId="7">#REF!</definedName>
    <definedName name="__________________APR8">#REF!</definedName>
    <definedName name="__________________B2" localSheetId="7">#REF!</definedName>
    <definedName name="__________________B2">#REF!</definedName>
    <definedName name="__________________C80000" localSheetId="7">#REF!</definedName>
    <definedName name="__________________C80000">#REF!</definedName>
    <definedName name="__________________CBS1" localSheetId="7">#REF!</definedName>
    <definedName name="__________________CBS1">#REF!</definedName>
    <definedName name="__________________CBS2" localSheetId="7">#REF!</definedName>
    <definedName name="__________________CBS2">#REF!</definedName>
    <definedName name="__________________cip0306" localSheetId="7">#REF!</definedName>
    <definedName name="__________________cip0306">#REF!</definedName>
    <definedName name="__________________DAT1" localSheetId="7">'[8]05-06'!#REF!</definedName>
    <definedName name="__________________DAT1">'[8]05-06'!#REF!</definedName>
    <definedName name="__________________DAT10" localSheetId="8">#REF!</definedName>
    <definedName name="__________________DAT10" localSheetId="7">#REF!</definedName>
    <definedName name="__________________DAT10">#REF!</definedName>
    <definedName name="__________________DAT11" localSheetId="7">#REF!</definedName>
    <definedName name="__________________DAT11">#REF!</definedName>
    <definedName name="__________________DAT12" localSheetId="7">[5]Sheet1!#REF!</definedName>
    <definedName name="__________________DAT12">[5]Sheet1!#REF!</definedName>
    <definedName name="__________________DAT13" localSheetId="7">'[8]05-06'!#REF!</definedName>
    <definedName name="__________________DAT13">'[8]05-06'!#REF!</definedName>
    <definedName name="__________________DAT14" localSheetId="7">'[8]05-06'!#REF!</definedName>
    <definedName name="__________________DAT14">'[8]05-06'!#REF!</definedName>
    <definedName name="__________________DAT15" localSheetId="8">#REF!</definedName>
    <definedName name="__________________DAT15" localSheetId="7">#REF!</definedName>
    <definedName name="__________________DAT15">#REF!</definedName>
    <definedName name="__________________DAT16" localSheetId="7">#REF!</definedName>
    <definedName name="__________________DAT16">#REF!</definedName>
    <definedName name="__________________DAT17" localSheetId="7">#REF!</definedName>
    <definedName name="__________________DAT17">#REF!</definedName>
    <definedName name="__________________DAT18" localSheetId="7">#REF!</definedName>
    <definedName name="__________________DAT18">#REF!</definedName>
    <definedName name="__________________DAT19" localSheetId="7">'[8]05-06'!#REF!</definedName>
    <definedName name="__________________DAT19">'[8]05-06'!#REF!</definedName>
    <definedName name="__________________DAT2" localSheetId="7">'[8]05-06'!#REF!</definedName>
    <definedName name="__________________DAT2">'[8]05-06'!#REF!</definedName>
    <definedName name="__________________DAT20" localSheetId="7">'[8]05-06'!#REF!</definedName>
    <definedName name="__________________DAT20">'[8]05-06'!#REF!</definedName>
    <definedName name="__________________DAT21" localSheetId="7">'[8]05-06'!#REF!</definedName>
    <definedName name="__________________DAT21">'[8]05-06'!#REF!</definedName>
    <definedName name="__________________DAT22" localSheetId="8">#REF!</definedName>
    <definedName name="__________________DAT22" localSheetId="7">#REF!</definedName>
    <definedName name="__________________DAT22">#REF!</definedName>
    <definedName name="__________________DAT23" localSheetId="7">#REF!</definedName>
    <definedName name="__________________DAT23">#REF!</definedName>
    <definedName name="__________________DAT24" localSheetId="7">#REF!</definedName>
    <definedName name="__________________DAT24">#REF!</definedName>
    <definedName name="__________________DAT25" localSheetId="7">#REF!</definedName>
    <definedName name="__________________DAT25">#REF!</definedName>
    <definedName name="__________________DAT26" localSheetId="7">#REF!</definedName>
    <definedName name="__________________DAT26">#REF!</definedName>
    <definedName name="__________________DAT3" localSheetId="7">'[8]05-06'!#REF!</definedName>
    <definedName name="__________________DAT3">'[8]05-06'!#REF!</definedName>
    <definedName name="__________________DAT4" localSheetId="7">'[8]05-06'!#REF!</definedName>
    <definedName name="__________________DAT4">'[8]05-06'!#REF!</definedName>
    <definedName name="__________________DAT5" localSheetId="8">#REF!</definedName>
    <definedName name="__________________DAT5" localSheetId="7">#REF!</definedName>
    <definedName name="__________________DAT5">#REF!</definedName>
    <definedName name="__________________DAT6" localSheetId="7">#REF!</definedName>
    <definedName name="__________________DAT6">#REF!</definedName>
    <definedName name="__________________DAT7" localSheetId="7">'[8]05-06'!#REF!</definedName>
    <definedName name="__________________DAT7">'[8]05-06'!#REF!</definedName>
    <definedName name="__________________DAT8" localSheetId="7">'[8]05-06'!#REF!</definedName>
    <definedName name="__________________DAT8">'[8]05-06'!#REF!</definedName>
    <definedName name="__________________DAT9" localSheetId="8">#REF!</definedName>
    <definedName name="__________________DAT9" localSheetId="7">#REF!</definedName>
    <definedName name="__________________DAT9">#REF!</definedName>
    <definedName name="__________________dev2" localSheetId="8">[9]BKCSTOCKVAL!#REF!</definedName>
    <definedName name="__________________dev2" localSheetId="7">[9]BKCSTOCKVAL!#REF!</definedName>
    <definedName name="__________________dev2">[9]BKCSTOCKVAL!#REF!</definedName>
    <definedName name="__________________may6" localSheetId="7">[10]VARA!#REF!</definedName>
    <definedName name="__________________may6">[10]VARA!#REF!</definedName>
    <definedName name="__________________may7" localSheetId="7">[10]VARA!#REF!</definedName>
    <definedName name="__________________may7">[10]VARA!#REF!</definedName>
    <definedName name="__________________may8" localSheetId="7">[10]VARA!#REF!</definedName>
    <definedName name="__________________may8">[10]VARA!#REF!</definedName>
    <definedName name="__________________SCH1" localSheetId="8">#REF!</definedName>
    <definedName name="__________________SCH1" localSheetId="7">#REF!</definedName>
    <definedName name="__________________SCH1">#REF!</definedName>
    <definedName name="__________________SCH2" localSheetId="7">#REF!</definedName>
    <definedName name="__________________SCH2">#REF!</definedName>
    <definedName name="__________________SCH3" localSheetId="7">#REF!</definedName>
    <definedName name="__________________SCH3">#REF!</definedName>
    <definedName name="__________________VAR1" localSheetId="7">#REF!</definedName>
    <definedName name="__________________VAR1">#REF!</definedName>
    <definedName name="__________________VAR2" localSheetId="7">#REF!</definedName>
    <definedName name="__________________VAR2">#REF!</definedName>
    <definedName name="__________________VAR3" localSheetId="7">#REF!</definedName>
    <definedName name="__________________VAR3">#REF!</definedName>
    <definedName name="__________________VAR4" localSheetId="7">#REF!</definedName>
    <definedName name="__________________VAR4">#REF!</definedName>
    <definedName name="__________________VAR5" localSheetId="7">#REF!</definedName>
    <definedName name="__________________VAR5">#REF!</definedName>
    <definedName name="__________________VAR6" localSheetId="7">#REF!</definedName>
    <definedName name="__________________VAR6">#REF!</definedName>
    <definedName name="__________________VAR7" localSheetId="7">#REF!</definedName>
    <definedName name="__________________VAR7">#REF!</definedName>
    <definedName name="_________________APP1" localSheetId="7">'[7]APP 2a'!#REF!</definedName>
    <definedName name="_________________APP1">'[7]APP 2a'!#REF!</definedName>
    <definedName name="_________________APP3" localSheetId="7">'[7]APP 2a'!#REF!</definedName>
    <definedName name="_________________APP3">'[7]APP 2a'!#REF!</definedName>
    <definedName name="_________________APR1" localSheetId="8">#REF!</definedName>
    <definedName name="_________________APR1" localSheetId="7">#REF!</definedName>
    <definedName name="_________________APR1">#REF!</definedName>
    <definedName name="_________________APR2" localSheetId="7">#REF!</definedName>
    <definedName name="_________________APR2">#REF!</definedName>
    <definedName name="_________________APR3" localSheetId="7">#REF!</definedName>
    <definedName name="_________________APR3">#REF!</definedName>
    <definedName name="_________________APR4" localSheetId="7">#REF!</definedName>
    <definedName name="_________________APR4">#REF!</definedName>
    <definedName name="_________________APR5" localSheetId="7">#REF!</definedName>
    <definedName name="_________________APR5">#REF!</definedName>
    <definedName name="_________________APR6" localSheetId="7">#REF!</definedName>
    <definedName name="_________________APR6">#REF!</definedName>
    <definedName name="_________________APR7" localSheetId="7">#REF!</definedName>
    <definedName name="_________________APR7">#REF!</definedName>
    <definedName name="_________________APR8" localSheetId="7">#REF!</definedName>
    <definedName name="_________________APR8">#REF!</definedName>
    <definedName name="_________________B2" localSheetId="7">#REF!</definedName>
    <definedName name="_________________B2">#REF!</definedName>
    <definedName name="_________________C80000" localSheetId="7">#REF!</definedName>
    <definedName name="_________________C80000">#REF!</definedName>
    <definedName name="_________________CBS1" localSheetId="7">#REF!</definedName>
    <definedName name="_________________CBS1">#REF!</definedName>
    <definedName name="_________________CBS2" localSheetId="7">#REF!</definedName>
    <definedName name="_________________CBS2">#REF!</definedName>
    <definedName name="_________________cip0306" localSheetId="7">#REF!</definedName>
    <definedName name="_________________cip0306">#REF!</definedName>
    <definedName name="_________________DAT1" localSheetId="7">'[4]DEP 0607'!#REF!</definedName>
    <definedName name="_________________DAT1">'[4]DEP 0607'!#REF!</definedName>
    <definedName name="_________________DAT10" localSheetId="7">[5]Sheet1!#REF!</definedName>
    <definedName name="_________________DAT10">[5]Sheet1!#REF!</definedName>
    <definedName name="_________________DAT11" localSheetId="7">'[4]DEP 0607'!#REF!</definedName>
    <definedName name="_________________DAT11">'[4]DEP 0607'!#REF!</definedName>
    <definedName name="_________________DAT12" localSheetId="7">[5]Sheet1!#REF!</definedName>
    <definedName name="_________________DAT12">[5]Sheet1!#REF!</definedName>
    <definedName name="_________________DAT13" localSheetId="7">'[4]DEP 0607'!#REF!</definedName>
    <definedName name="_________________DAT13">'[4]DEP 0607'!#REF!</definedName>
    <definedName name="_________________DAT14" localSheetId="7">'[4]DEP 0607'!#REF!</definedName>
    <definedName name="_________________DAT14">'[4]DEP 0607'!#REF!</definedName>
    <definedName name="_________________DAT15" localSheetId="8">#REF!</definedName>
    <definedName name="_________________DAT15" localSheetId="7">#REF!</definedName>
    <definedName name="_________________DAT15">#REF!</definedName>
    <definedName name="_________________DAT16" localSheetId="7">#REF!</definedName>
    <definedName name="_________________DAT16">#REF!</definedName>
    <definedName name="_________________DAT17" localSheetId="7">#REF!</definedName>
    <definedName name="_________________DAT17">#REF!</definedName>
    <definedName name="_________________DAT18" localSheetId="7">#REF!</definedName>
    <definedName name="_________________DAT18">#REF!</definedName>
    <definedName name="_________________DAT19" localSheetId="7">'[8]05-06'!#REF!</definedName>
    <definedName name="_________________DAT19">'[8]05-06'!#REF!</definedName>
    <definedName name="_________________DAT2" localSheetId="7">'[4]DEP 0607'!#REF!</definedName>
    <definedName name="_________________DAT2">'[4]DEP 0607'!#REF!</definedName>
    <definedName name="_________________DAT20" localSheetId="8">#REF!</definedName>
    <definedName name="_________________DAT20" localSheetId="7">#REF!</definedName>
    <definedName name="_________________DAT20">#REF!</definedName>
    <definedName name="_________________DAT21" localSheetId="7">#REF!</definedName>
    <definedName name="_________________DAT21">#REF!</definedName>
    <definedName name="_________________DAT22" localSheetId="7">#REF!</definedName>
    <definedName name="_________________DAT22">#REF!</definedName>
    <definedName name="_________________DAT23" localSheetId="7">#REF!</definedName>
    <definedName name="_________________DAT23">#REF!</definedName>
    <definedName name="_________________DAT24" localSheetId="7">#REF!</definedName>
    <definedName name="_________________DAT24">#REF!</definedName>
    <definedName name="_________________DAT25" localSheetId="7">#REF!</definedName>
    <definedName name="_________________DAT25">#REF!</definedName>
    <definedName name="_________________DAT26" localSheetId="7">#REF!</definedName>
    <definedName name="_________________DAT26">#REF!</definedName>
    <definedName name="_________________DAT3" localSheetId="7">[5]Sheet1!#REF!</definedName>
    <definedName name="_________________DAT3">[5]Sheet1!#REF!</definedName>
    <definedName name="_________________DAT4" localSheetId="7">'[6]antq-may-pur'!#REF!</definedName>
    <definedName name="_________________DAT4">'[6]antq-may-pur'!#REF!</definedName>
    <definedName name="_________________DAT5" localSheetId="7">'[4]DEP 0607'!#REF!</definedName>
    <definedName name="_________________DAT5">'[4]DEP 0607'!#REF!</definedName>
    <definedName name="_________________DAT6" localSheetId="7">'[4]DEP 0607'!#REF!</definedName>
    <definedName name="_________________DAT6">'[4]DEP 0607'!#REF!</definedName>
    <definedName name="_________________DAT7" localSheetId="7">'[6]antq-may-pur'!#REF!</definedName>
    <definedName name="_________________DAT7">'[6]antq-may-pur'!#REF!</definedName>
    <definedName name="_________________DAT8" localSheetId="7">[5]Sheet1!#REF!</definedName>
    <definedName name="_________________DAT8">[5]Sheet1!#REF!</definedName>
    <definedName name="_________________DAT9" localSheetId="8">#REF!</definedName>
    <definedName name="_________________DAT9" localSheetId="7">#REF!</definedName>
    <definedName name="_________________DAT9">#REF!</definedName>
    <definedName name="_________________dev2" localSheetId="8">[9]BKCSTOCKVAL!#REF!</definedName>
    <definedName name="_________________dev2" localSheetId="7">[9]BKCSTOCKVAL!#REF!</definedName>
    <definedName name="_________________dev2">[9]BKCSTOCKVAL!#REF!</definedName>
    <definedName name="_________________may6" localSheetId="7">[10]VARA!#REF!</definedName>
    <definedName name="_________________may6">[10]VARA!#REF!</definedName>
    <definedName name="_________________may7" localSheetId="7">[10]VARA!#REF!</definedName>
    <definedName name="_________________may7">[10]VARA!#REF!</definedName>
    <definedName name="_________________may8" localSheetId="7">[10]VARA!#REF!</definedName>
    <definedName name="_________________may8">[10]VARA!#REF!</definedName>
    <definedName name="_________________SCH1" localSheetId="8">#REF!</definedName>
    <definedName name="_________________SCH1" localSheetId="7">#REF!</definedName>
    <definedName name="_________________SCH1">#REF!</definedName>
    <definedName name="_________________SCH2" localSheetId="7">#REF!</definedName>
    <definedName name="_________________SCH2">#REF!</definedName>
    <definedName name="_________________SCH3" localSheetId="7">#REF!</definedName>
    <definedName name="_________________SCH3">#REF!</definedName>
    <definedName name="_________________VAR1" localSheetId="7">#REF!</definedName>
    <definedName name="_________________VAR1">#REF!</definedName>
    <definedName name="_________________VAR2" localSheetId="7">#REF!</definedName>
    <definedName name="_________________VAR2">#REF!</definedName>
    <definedName name="_________________VAR3" localSheetId="7">#REF!</definedName>
    <definedName name="_________________VAR3">#REF!</definedName>
    <definedName name="_________________VAR4" localSheetId="7">#REF!</definedName>
    <definedName name="_________________VAR4">#REF!</definedName>
    <definedName name="_________________VAR5" localSheetId="7">#REF!</definedName>
    <definedName name="_________________VAR5">#REF!</definedName>
    <definedName name="_________________VAR6" localSheetId="7">#REF!</definedName>
    <definedName name="_________________VAR6">#REF!</definedName>
    <definedName name="_________________VAR7" localSheetId="7">#REF!</definedName>
    <definedName name="_________________VAR7">#REF!</definedName>
    <definedName name="________________APP1" localSheetId="7">'[7]APP 2a'!#REF!</definedName>
    <definedName name="________________APP1">'[7]APP 2a'!#REF!</definedName>
    <definedName name="________________APP3" localSheetId="7">'[7]APP 2a'!#REF!</definedName>
    <definedName name="________________APP3">'[7]APP 2a'!#REF!</definedName>
    <definedName name="________________APR1" localSheetId="8">#REF!</definedName>
    <definedName name="________________APR1" localSheetId="7">#REF!</definedName>
    <definedName name="________________APR1">#REF!</definedName>
    <definedName name="________________APR2" localSheetId="7">#REF!</definedName>
    <definedName name="________________APR2">#REF!</definedName>
    <definedName name="________________APR3" localSheetId="7">#REF!</definedName>
    <definedName name="________________APR3">#REF!</definedName>
    <definedName name="________________APR4" localSheetId="7">#REF!</definedName>
    <definedName name="________________APR4">#REF!</definedName>
    <definedName name="________________APR5" localSheetId="7">#REF!</definedName>
    <definedName name="________________APR5">#REF!</definedName>
    <definedName name="________________APR6" localSheetId="7">#REF!</definedName>
    <definedName name="________________APR6">#REF!</definedName>
    <definedName name="________________APR7" localSheetId="7">#REF!</definedName>
    <definedName name="________________APR7">#REF!</definedName>
    <definedName name="________________APR8" localSheetId="7">#REF!</definedName>
    <definedName name="________________APR8">#REF!</definedName>
    <definedName name="________________B2" localSheetId="7">#REF!</definedName>
    <definedName name="________________B2">#REF!</definedName>
    <definedName name="________________C80000" localSheetId="7">#REF!</definedName>
    <definedName name="________________C80000">#REF!</definedName>
    <definedName name="________________CBS1" localSheetId="7">#REF!</definedName>
    <definedName name="________________CBS1">#REF!</definedName>
    <definedName name="________________CBS2" localSheetId="7">#REF!</definedName>
    <definedName name="________________CBS2">#REF!</definedName>
    <definedName name="________________cip0306" localSheetId="7">#REF!</definedName>
    <definedName name="________________cip0306">#REF!</definedName>
    <definedName name="________________DAT1" localSheetId="7">'[4]DEP 0607'!#REF!</definedName>
    <definedName name="________________DAT1">'[4]DEP 0607'!#REF!</definedName>
    <definedName name="________________DAT10" localSheetId="7">[5]Sheet1!#REF!</definedName>
    <definedName name="________________DAT10">[5]Sheet1!#REF!</definedName>
    <definedName name="________________DAT11" localSheetId="7">'[4]DEP 0607'!#REF!</definedName>
    <definedName name="________________DAT11">'[4]DEP 0607'!#REF!</definedName>
    <definedName name="________________DAT12" localSheetId="7">[5]Sheet1!#REF!</definedName>
    <definedName name="________________DAT12">[5]Sheet1!#REF!</definedName>
    <definedName name="________________DAT13" localSheetId="7">'[4]DEP 0607'!#REF!</definedName>
    <definedName name="________________DAT13">'[4]DEP 0607'!#REF!</definedName>
    <definedName name="________________DAT14" localSheetId="7">'[4]DEP 0607'!#REF!</definedName>
    <definedName name="________________DAT14">'[4]DEP 0607'!#REF!</definedName>
    <definedName name="________________DAT15" localSheetId="8">#REF!</definedName>
    <definedName name="________________DAT15" localSheetId="7">#REF!</definedName>
    <definedName name="________________DAT15">#REF!</definedName>
    <definedName name="________________DAT16" localSheetId="7">#REF!</definedName>
    <definedName name="________________DAT16">#REF!</definedName>
    <definedName name="________________DAT17" localSheetId="7">#REF!</definedName>
    <definedName name="________________DAT17">#REF!</definedName>
    <definedName name="________________DAT18" localSheetId="7">#REF!</definedName>
    <definedName name="________________DAT18">#REF!</definedName>
    <definedName name="________________DAT19" localSheetId="7">#REF!</definedName>
    <definedName name="________________DAT19">#REF!</definedName>
    <definedName name="________________DAT2" localSheetId="7">'[4]DEP 0607'!#REF!</definedName>
    <definedName name="________________DAT2">'[4]DEP 0607'!#REF!</definedName>
    <definedName name="________________DAT20" localSheetId="8">#REF!</definedName>
    <definedName name="________________DAT20" localSheetId="7">#REF!</definedName>
    <definedName name="________________DAT20">#REF!</definedName>
    <definedName name="________________DAT21" localSheetId="7">#REF!</definedName>
    <definedName name="________________DAT21">#REF!</definedName>
    <definedName name="________________DAT22" localSheetId="7">#REF!</definedName>
    <definedName name="________________DAT22">#REF!</definedName>
    <definedName name="________________DAT23" localSheetId="7">#REF!</definedName>
    <definedName name="________________DAT23">#REF!</definedName>
    <definedName name="________________DAT24" localSheetId="7">#REF!</definedName>
    <definedName name="________________DAT24">#REF!</definedName>
    <definedName name="________________DAT25" localSheetId="7">#REF!</definedName>
    <definedName name="________________DAT25">#REF!</definedName>
    <definedName name="________________DAT26" localSheetId="7">#REF!</definedName>
    <definedName name="________________DAT26">#REF!</definedName>
    <definedName name="________________DAT3" localSheetId="7">[5]Sheet1!#REF!</definedName>
    <definedName name="________________DAT3">[5]Sheet1!#REF!</definedName>
    <definedName name="________________DAT4" localSheetId="7">'[6]antq-may-pur'!#REF!</definedName>
    <definedName name="________________DAT4">'[6]antq-may-pur'!#REF!</definedName>
    <definedName name="________________DAT5" localSheetId="7">'[4]DEP 0607'!#REF!</definedName>
    <definedName name="________________DAT5">'[4]DEP 0607'!#REF!</definedName>
    <definedName name="________________DAT6" localSheetId="7">'[4]DEP 0607'!#REF!</definedName>
    <definedName name="________________DAT6">'[4]DEP 0607'!#REF!</definedName>
    <definedName name="________________DAT7" localSheetId="7">'[6]antq-may-pur'!#REF!</definedName>
    <definedName name="________________DAT7">'[6]antq-may-pur'!#REF!</definedName>
    <definedName name="________________DAT8" localSheetId="7">[5]Sheet1!#REF!</definedName>
    <definedName name="________________DAT8">[5]Sheet1!#REF!</definedName>
    <definedName name="________________DAT9" localSheetId="8">#REF!</definedName>
    <definedName name="________________DAT9" localSheetId="7">#REF!</definedName>
    <definedName name="________________DAT9">#REF!</definedName>
    <definedName name="________________dev2" localSheetId="8">[9]BKCSTOCKVAL!#REF!</definedName>
    <definedName name="________________dev2" localSheetId="7">[9]BKCSTOCKVAL!#REF!</definedName>
    <definedName name="________________dev2">[9]BKCSTOCKVAL!#REF!</definedName>
    <definedName name="________________may6" localSheetId="7">[10]VARA!#REF!</definedName>
    <definedName name="________________may6">[10]VARA!#REF!</definedName>
    <definedName name="________________may7" localSheetId="7">[10]VARA!#REF!</definedName>
    <definedName name="________________may7">[10]VARA!#REF!</definedName>
    <definedName name="________________may8" localSheetId="7">[10]VARA!#REF!</definedName>
    <definedName name="________________may8">[10]VARA!#REF!</definedName>
    <definedName name="________________SCH1" localSheetId="8">#REF!</definedName>
    <definedName name="________________SCH1" localSheetId="7">#REF!</definedName>
    <definedName name="________________SCH1">#REF!</definedName>
    <definedName name="________________SCH2" localSheetId="7">#REF!</definedName>
    <definedName name="________________SCH2">#REF!</definedName>
    <definedName name="________________SCH3" localSheetId="7">#REF!</definedName>
    <definedName name="________________SCH3">#REF!</definedName>
    <definedName name="________________VAR1" localSheetId="7">#REF!</definedName>
    <definedName name="________________VAR1">#REF!</definedName>
    <definedName name="________________VAR2" localSheetId="7">#REF!</definedName>
    <definedName name="________________VAR2">#REF!</definedName>
    <definedName name="________________VAR3" localSheetId="7">#REF!</definedName>
    <definedName name="________________VAR3">#REF!</definedName>
    <definedName name="________________VAR4" localSheetId="7">#REF!</definedName>
    <definedName name="________________VAR4">#REF!</definedName>
    <definedName name="________________VAR5" localSheetId="7">#REF!</definedName>
    <definedName name="________________VAR5">#REF!</definedName>
    <definedName name="________________VAR6" localSheetId="7">#REF!</definedName>
    <definedName name="________________VAR6">#REF!</definedName>
    <definedName name="________________VAR7" localSheetId="7">#REF!</definedName>
    <definedName name="________________VAR7">#REF!</definedName>
    <definedName name="_______________APP1" localSheetId="7">'[7]APP 2a'!#REF!</definedName>
    <definedName name="_______________APP1">'[7]APP 2a'!#REF!</definedName>
    <definedName name="_______________APP3" localSheetId="7">'[7]APP 2a'!#REF!</definedName>
    <definedName name="_______________APP3">'[7]APP 2a'!#REF!</definedName>
    <definedName name="_______________APR1" localSheetId="8">#REF!</definedName>
    <definedName name="_______________APR1" localSheetId="7">#REF!</definedName>
    <definedName name="_______________APR1">#REF!</definedName>
    <definedName name="_______________APR2" localSheetId="7">#REF!</definedName>
    <definedName name="_______________APR2">#REF!</definedName>
    <definedName name="_______________APR3" localSheetId="7">#REF!</definedName>
    <definedName name="_______________APR3">#REF!</definedName>
    <definedName name="_______________APR4" localSheetId="7">#REF!</definedName>
    <definedName name="_______________APR4">#REF!</definedName>
    <definedName name="_______________APR5" localSheetId="7">#REF!</definedName>
    <definedName name="_______________APR5">#REF!</definedName>
    <definedName name="_______________APR6" localSheetId="7">#REF!</definedName>
    <definedName name="_______________APR6">#REF!</definedName>
    <definedName name="_______________APR7" localSheetId="7">#REF!</definedName>
    <definedName name="_______________APR7">#REF!</definedName>
    <definedName name="_______________APR8" localSheetId="7">#REF!</definedName>
    <definedName name="_______________APR8">#REF!</definedName>
    <definedName name="_______________B2" localSheetId="7">#REF!</definedName>
    <definedName name="_______________B2">#REF!</definedName>
    <definedName name="_______________C80000" localSheetId="7">#REF!</definedName>
    <definedName name="_______________C80000">#REF!</definedName>
    <definedName name="_______________CBS1" localSheetId="7">#REF!</definedName>
    <definedName name="_______________CBS1">#REF!</definedName>
    <definedName name="_______________CBS2" localSheetId="7">#REF!</definedName>
    <definedName name="_______________CBS2">#REF!</definedName>
    <definedName name="_______________cip0306" localSheetId="7">#REF!</definedName>
    <definedName name="_______________cip0306">#REF!</definedName>
    <definedName name="_______________DAT1" localSheetId="7">'[4]DEP 0607'!#REF!</definedName>
    <definedName name="_______________DAT1">'[4]DEP 0607'!#REF!</definedName>
    <definedName name="_______________DAT10" localSheetId="7">[5]Sheet1!#REF!</definedName>
    <definedName name="_______________DAT10">[5]Sheet1!#REF!</definedName>
    <definedName name="_______________DAT11" localSheetId="7">'[4]DEP 0607'!#REF!</definedName>
    <definedName name="_______________DAT11">'[4]DEP 0607'!#REF!</definedName>
    <definedName name="_______________DAT12" localSheetId="7">[5]Sheet1!#REF!</definedName>
    <definedName name="_______________DAT12">[5]Sheet1!#REF!</definedName>
    <definedName name="_______________DAT13" localSheetId="7">'[4]DEP 0607'!#REF!</definedName>
    <definedName name="_______________DAT13">'[4]DEP 0607'!#REF!</definedName>
    <definedName name="_______________DAT14" localSheetId="7">'[4]DEP 0607'!#REF!</definedName>
    <definedName name="_______________DAT14">'[4]DEP 0607'!#REF!</definedName>
    <definedName name="_______________DAT15" localSheetId="8">#REF!</definedName>
    <definedName name="_______________DAT15" localSheetId="7">#REF!</definedName>
    <definedName name="_______________DAT15">#REF!</definedName>
    <definedName name="_______________DAT16" localSheetId="7">#REF!</definedName>
    <definedName name="_______________DAT16">#REF!</definedName>
    <definedName name="_______________DAT17" localSheetId="7">#REF!</definedName>
    <definedName name="_______________DAT17">#REF!</definedName>
    <definedName name="_______________DAT18" localSheetId="7">#REF!</definedName>
    <definedName name="_______________DAT18">#REF!</definedName>
    <definedName name="_______________DAT19" localSheetId="7">#REF!</definedName>
    <definedName name="_______________DAT19">#REF!</definedName>
    <definedName name="_______________DAT2" localSheetId="7">'[4]DEP 0607'!#REF!</definedName>
    <definedName name="_______________DAT2">'[4]DEP 0607'!#REF!</definedName>
    <definedName name="_______________DAT20" localSheetId="8">#REF!</definedName>
    <definedName name="_______________DAT20" localSheetId="7">#REF!</definedName>
    <definedName name="_______________DAT20">#REF!</definedName>
    <definedName name="_______________DAT21" localSheetId="7">#REF!</definedName>
    <definedName name="_______________DAT21">#REF!</definedName>
    <definedName name="_______________DAT22" localSheetId="7">#REF!</definedName>
    <definedName name="_______________DAT22">#REF!</definedName>
    <definedName name="_______________DAT23" localSheetId="7">#REF!</definedName>
    <definedName name="_______________DAT23">#REF!</definedName>
    <definedName name="_______________DAT24" localSheetId="7">#REF!</definedName>
    <definedName name="_______________DAT24">#REF!</definedName>
    <definedName name="_______________DAT25" localSheetId="7">#REF!</definedName>
    <definedName name="_______________DAT25">#REF!</definedName>
    <definedName name="_______________DAT26" localSheetId="7">#REF!</definedName>
    <definedName name="_______________DAT26">#REF!</definedName>
    <definedName name="_______________DAT3" localSheetId="7">[5]Sheet1!#REF!</definedName>
    <definedName name="_______________DAT3">[5]Sheet1!#REF!</definedName>
    <definedName name="_______________DAT4" localSheetId="7">'[6]antq-may-pur'!#REF!</definedName>
    <definedName name="_______________DAT4">'[6]antq-may-pur'!#REF!</definedName>
    <definedName name="_______________DAT5" localSheetId="7">'[4]DEP 0607'!#REF!</definedName>
    <definedName name="_______________DAT5">'[4]DEP 0607'!#REF!</definedName>
    <definedName name="_______________DAT6" localSheetId="7">'[4]DEP 0607'!#REF!</definedName>
    <definedName name="_______________DAT6">'[4]DEP 0607'!#REF!</definedName>
    <definedName name="_______________DAT7" localSheetId="7">'[6]antq-may-pur'!#REF!</definedName>
    <definedName name="_______________DAT7">'[6]antq-may-pur'!#REF!</definedName>
    <definedName name="_______________DAT8" localSheetId="7">[5]Sheet1!#REF!</definedName>
    <definedName name="_______________DAT8">[5]Sheet1!#REF!</definedName>
    <definedName name="_______________DAT9" localSheetId="8">#REF!</definedName>
    <definedName name="_______________DAT9" localSheetId="7">#REF!</definedName>
    <definedName name="_______________DAT9">#REF!</definedName>
    <definedName name="_______________dev2" localSheetId="8">[9]BKCSTOCKVAL!#REF!</definedName>
    <definedName name="_______________dev2" localSheetId="7">[9]BKCSTOCKVAL!#REF!</definedName>
    <definedName name="_______________dev2">[9]BKCSTOCKVAL!#REF!</definedName>
    <definedName name="_______________may6" localSheetId="7">[10]VARA!#REF!</definedName>
    <definedName name="_______________may6">[10]VARA!#REF!</definedName>
    <definedName name="_______________may7" localSheetId="7">[10]VARA!#REF!</definedName>
    <definedName name="_______________may7">[10]VARA!#REF!</definedName>
    <definedName name="_______________may8" localSheetId="7">[10]VARA!#REF!</definedName>
    <definedName name="_______________may8">[10]VARA!#REF!</definedName>
    <definedName name="_______________SCH1" localSheetId="8">#REF!</definedName>
    <definedName name="_______________SCH1" localSheetId="7">#REF!</definedName>
    <definedName name="_______________SCH1">#REF!</definedName>
    <definedName name="_______________SCH2" localSheetId="7">#REF!</definedName>
    <definedName name="_______________SCH2">#REF!</definedName>
    <definedName name="_______________SCH3" localSheetId="7">#REF!</definedName>
    <definedName name="_______________SCH3">#REF!</definedName>
    <definedName name="_______________VAR1" localSheetId="7">#REF!</definedName>
    <definedName name="_______________VAR1">#REF!</definedName>
    <definedName name="_______________VAR2" localSheetId="7">#REF!</definedName>
    <definedName name="_______________VAR2">#REF!</definedName>
    <definedName name="_______________VAR3" localSheetId="7">#REF!</definedName>
    <definedName name="_______________VAR3">#REF!</definedName>
    <definedName name="_______________VAR4" localSheetId="7">#REF!</definedName>
    <definedName name="_______________VAR4">#REF!</definedName>
    <definedName name="_______________VAR5" localSheetId="7">#REF!</definedName>
    <definedName name="_______________VAR5">#REF!</definedName>
    <definedName name="_______________VAR6" localSheetId="7">#REF!</definedName>
    <definedName name="_______________VAR6">#REF!</definedName>
    <definedName name="_______________VAR7" localSheetId="7">#REF!</definedName>
    <definedName name="_______________VAR7">#REF!</definedName>
    <definedName name="______________APP1" localSheetId="7">'[7]APP 2a'!#REF!</definedName>
    <definedName name="______________APP1">'[7]APP 2a'!#REF!</definedName>
    <definedName name="______________APP3" localSheetId="7">'[7]APP 2a'!#REF!</definedName>
    <definedName name="______________APP3">'[7]APP 2a'!#REF!</definedName>
    <definedName name="______________APR1" localSheetId="8">#REF!</definedName>
    <definedName name="______________APR1" localSheetId="7">#REF!</definedName>
    <definedName name="______________APR1">#REF!</definedName>
    <definedName name="______________APR2" localSheetId="7">#REF!</definedName>
    <definedName name="______________APR2">#REF!</definedName>
    <definedName name="______________APR3" localSheetId="7">#REF!</definedName>
    <definedName name="______________APR3">#REF!</definedName>
    <definedName name="______________APR4" localSheetId="7">#REF!</definedName>
    <definedName name="______________APR4">#REF!</definedName>
    <definedName name="______________APR5" localSheetId="7">#REF!</definedName>
    <definedName name="______________APR5">#REF!</definedName>
    <definedName name="______________APR6" localSheetId="7">#REF!</definedName>
    <definedName name="______________APR6">#REF!</definedName>
    <definedName name="______________APR7" localSheetId="7">#REF!</definedName>
    <definedName name="______________APR7">#REF!</definedName>
    <definedName name="______________APR8" localSheetId="7">#REF!</definedName>
    <definedName name="______________APR8">#REF!</definedName>
    <definedName name="______________B2" localSheetId="7">#REF!</definedName>
    <definedName name="______________B2">#REF!</definedName>
    <definedName name="______________C80000" localSheetId="7">#REF!</definedName>
    <definedName name="______________C80000">#REF!</definedName>
    <definedName name="______________CBS1" localSheetId="7">#REF!</definedName>
    <definedName name="______________CBS1">#REF!</definedName>
    <definedName name="______________CBS2" localSheetId="7">#REF!</definedName>
    <definedName name="______________CBS2">#REF!</definedName>
    <definedName name="______________cip0306" localSheetId="7">#REF!</definedName>
    <definedName name="______________cip0306">#REF!</definedName>
    <definedName name="______________DAT1" localSheetId="7">'[4]DEP 0607'!#REF!</definedName>
    <definedName name="______________DAT1">'[4]DEP 0607'!#REF!</definedName>
    <definedName name="______________DAT10" localSheetId="7">[5]Sheet1!#REF!</definedName>
    <definedName name="______________DAT10">[5]Sheet1!#REF!</definedName>
    <definedName name="______________DAT11" localSheetId="7">'[4]DEP 0607'!#REF!</definedName>
    <definedName name="______________DAT11">'[4]DEP 0607'!#REF!</definedName>
    <definedName name="______________DAT12" localSheetId="7">[5]Sheet1!#REF!</definedName>
    <definedName name="______________DAT12">[5]Sheet1!#REF!</definedName>
    <definedName name="______________DAT13" localSheetId="7">'[4]DEP 0607'!#REF!</definedName>
    <definedName name="______________DAT13">'[4]DEP 0607'!#REF!</definedName>
    <definedName name="______________DAT14" localSheetId="7">'[4]DEP 0607'!#REF!</definedName>
    <definedName name="______________DAT14">'[4]DEP 0607'!#REF!</definedName>
    <definedName name="______________DAT15" localSheetId="8">#REF!</definedName>
    <definedName name="______________DAT15" localSheetId="7">#REF!</definedName>
    <definedName name="______________DAT15">#REF!</definedName>
    <definedName name="______________DAT16" localSheetId="7">#REF!</definedName>
    <definedName name="______________DAT16">#REF!</definedName>
    <definedName name="______________DAT17" localSheetId="7">#REF!</definedName>
    <definedName name="______________DAT17">#REF!</definedName>
    <definedName name="______________DAT18" localSheetId="7">#REF!</definedName>
    <definedName name="______________DAT18">#REF!</definedName>
    <definedName name="______________DAT19" localSheetId="7">#REF!</definedName>
    <definedName name="______________DAT19">#REF!</definedName>
    <definedName name="______________DAT2" localSheetId="7">'[4]DEP 0607'!#REF!</definedName>
    <definedName name="______________DAT2">'[4]DEP 0607'!#REF!</definedName>
    <definedName name="______________DAT20" localSheetId="8">#REF!</definedName>
    <definedName name="______________DAT20" localSheetId="7">#REF!</definedName>
    <definedName name="______________DAT20">#REF!</definedName>
    <definedName name="______________DAT21" localSheetId="7">#REF!</definedName>
    <definedName name="______________DAT21">#REF!</definedName>
    <definedName name="______________DAT22" localSheetId="7">#REF!</definedName>
    <definedName name="______________DAT22">#REF!</definedName>
    <definedName name="______________DAT23" localSheetId="7">#REF!</definedName>
    <definedName name="______________DAT23">#REF!</definedName>
    <definedName name="______________DAT24" localSheetId="7">#REF!</definedName>
    <definedName name="______________DAT24">#REF!</definedName>
    <definedName name="______________DAT25" localSheetId="7">#REF!</definedName>
    <definedName name="______________DAT25">#REF!</definedName>
    <definedName name="______________DAT26" localSheetId="7">#REF!</definedName>
    <definedName name="______________DAT26">#REF!</definedName>
    <definedName name="______________DAT3" localSheetId="7">[5]Sheet1!#REF!</definedName>
    <definedName name="______________DAT3">[5]Sheet1!#REF!</definedName>
    <definedName name="______________DAT4" localSheetId="7">'[6]antq-may-pur'!#REF!</definedName>
    <definedName name="______________DAT4">'[6]antq-may-pur'!#REF!</definedName>
    <definedName name="______________DAT5" localSheetId="7">'[4]DEP 0607'!#REF!</definedName>
    <definedName name="______________DAT5">'[4]DEP 0607'!#REF!</definedName>
    <definedName name="______________DAT6" localSheetId="7">'[4]DEP 0607'!#REF!</definedName>
    <definedName name="______________DAT6">'[4]DEP 0607'!#REF!</definedName>
    <definedName name="______________DAT7" localSheetId="7">'[6]antq-may-pur'!#REF!</definedName>
    <definedName name="______________DAT7">'[6]antq-may-pur'!#REF!</definedName>
    <definedName name="______________DAT8" localSheetId="7">[5]Sheet1!#REF!</definedName>
    <definedName name="______________DAT8">[5]Sheet1!#REF!</definedName>
    <definedName name="______________DAT9" localSheetId="8">#REF!</definedName>
    <definedName name="______________DAT9" localSheetId="7">#REF!</definedName>
    <definedName name="______________DAT9">#REF!</definedName>
    <definedName name="______________dev2" localSheetId="8">[9]BKCSTOCKVAL!#REF!</definedName>
    <definedName name="______________dev2" localSheetId="7">[9]BKCSTOCKVAL!#REF!</definedName>
    <definedName name="______________dev2">[9]BKCSTOCKVAL!#REF!</definedName>
    <definedName name="______________may6" localSheetId="7">[10]VARA!#REF!</definedName>
    <definedName name="______________may6">[10]VARA!#REF!</definedName>
    <definedName name="______________may7" localSheetId="7">[10]VARA!#REF!</definedName>
    <definedName name="______________may7">[10]VARA!#REF!</definedName>
    <definedName name="______________may8" localSheetId="7">[10]VARA!#REF!</definedName>
    <definedName name="______________may8">[10]VARA!#REF!</definedName>
    <definedName name="______________SCH1" localSheetId="8">#REF!</definedName>
    <definedName name="______________SCH1" localSheetId="7">#REF!</definedName>
    <definedName name="______________SCH1">#REF!</definedName>
    <definedName name="______________SCH2" localSheetId="7">#REF!</definedName>
    <definedName name="______________SCH2">#REF!</definedName>
    <definedName name="______________SCH3" localSheetId="7">#REF!</definedName>
    <definedName name="______________SCH3">#REF!</definedName>
    <definedName name="______________VAR1" localSheetId="7">#REF!</definedName>
    <definedName name="______________VAR1">#REF!</definedName>
    <definedName name="______________VAR2" localSheetId="7">#REF!</definedName>
    <definedName name="______________VAR2">#REF!</definedName>
    <definedName name="______________VAR3" localSheetId="7">#REF!</definedName>
    <definedName name="______________VAR3">#REF!</definedName>
    <definedName name="______________VAR4" localSheetId="7">#REF!</definedName>
    <definedName name="______________VAR4">#REF!</definedName>
    <definedName name="______________VAR5" localSheetId="7">#REF!</definedName>
    <definedName name="______________VAR5">#REF!</definedName>
    <definedName name="______________VAR6" localSheetId="7">#REF!</definedName>
    <definedName name="______________VAR6">#REF!</definedName>
    <definedName name="______________VAR7" localSheetId="7">#REF!</definedName>
    <definedName name="______________VAR7">#REF!</definedName>
    <definedName name="_____________APP1" localSheetId="7">'[7]APP 2a'!#REF!</definedName>
    <definedName name="_____________APP1">'[7]APP 2a'!#REF!</definedName>
    <definedName name="_____________APP3" localSheetId="7">'[7]APP 2a'!#REF!</definedName>
    <definedName name="_____________APP3">'[7]APP 2a'!#REF!</definedName>
    <definedName name="_____________APR1" localSheetId="8">#REF!</definedName>
    <definedName name="_____________APR1" localSheetId="7">#REF!</definedName>
    <definedName name="_____________APR1">#REF!</definedName>
    <definedName name="_____________APR2" localSheetId="7">#REF!</definedName>
    <definedName name="_____________APR2">#REF!</definedName>
    <definedName name="_____________APR3" localSheetId="7">#REF!</definedName>
    <definedName name="_____________APR3">#REF!</definedName>
    <definedName name="_____________APR4" localSheetId="7">#REF!</definedName>
    <definedName name="_____________APR4">#REF!</definedName>
    <definedName name="_____________APR5" localSheetId="7">#REF!</definedName>
    <definedName name="_____________APR5">#REF!</definedName>
    <definedName name="_____________APR6" localSheetId="7">#REF!</definedName>
    <definedName name="_____________APR6">#REF!</definedName>
    <definedName name="_____________APR7" localSheetId="7">#REF!</definedName>
    <definedName name="_____________APR7">#REF!</definedName>
    <definedName name="_____________APR8" localSheetId="7">#REF!</definedName>
    <definedName name="_____________APR8">#REF!</definedName>
    <definedName name="_____________B2" localSheetId="7">#REF!</definedName>
    <definedName name="_____________B2">#REF!</definedName>
    <definedName name="_____________C80000" localSheetId="7">#REF!</definedName>
    <definedName name="_____________C80000">#REF!</definedName>
    <definedName name="_____________CBS1" localSheetId="7">#REF!</definedName>
    <definedName name="_____________CBS1">#REF!</definedName>
    <definedName name="_____________CBS2" localSheetId="7">#REF!</definedName>
    <definedName name="_____________CBS2">#REF!</definedName>
    <definedName name="_____________cip0306" localSheetId="7">#REF!</definedName>
    <definedName name="_____________cip0306">#REF!</definedName>
    <definedName name="_____________DAT1" localSheetId="7">'[4]DEP 0607'!#REF!</definedName>
    <definedName name="_____________DAT1">'[4]DEP 0607'!#REF!</definedName>
    <definedName name="_____________DAT10" localSheetId="8">#REF!</definedName>
    <definedName name="_____________DAT10" localSheetId="7">#REF!</definedName>
    <definedName name="_____________DAT10">#REF!</definedName>
    <definedName name="_____________DAT11" localSheetId="8">'[4]DEP 0607'!#REF!</definedName>
    <definedName name="_____________DAT11" localSheetId="7">'[4]DEP 0607'!#REF!</definedName>
    <definedName name="_____________DAT11">'[4]DEP 0607'!#REF!</definedName>
    <definedName name="_____________DAT12" localSheetId="7">[5]Sheet1!#REF!</definedName>
    <definedName name="_____________DAT12">[5]Sheet1!#REF!</definedName>
    <definedName name="_____________DAT13" localSheetId="7">'[4]DEP 0607'!#REF!</definedName>
    <definedName name="_____________DAT13">'[4]DEP 0607'!#REF!</definedName>
    <definedName name="_____________DAT14" localSheetId="7">'[4]DEP 0607'!#REF!</definedName>
    <definedName name="_____________DAT14">'[4]DEP 0607'!#REF!</definedName>
    <definedName name="_____________DAT15" localSheetId="8">#REF!</definedName>
    <definedName name="_____________DAT15" localSheetId="7">#REF!</definedName>
    <definedName name="_____________DAT15">#REF!</definedName>
    <definedName name="_____________DAT16" localSheetId="7">#REF!</definedName>
    <definedName name="_____________DAT16">#REF!</definedName>
    <definedName name="_____________DAT17" localSheetId="7">#REF!</definedName>
    <definedName name="_____________DAT17">#REF!</definedName>
    <definedName name="_____________DAT18" localSheetId="7">#REF!</definedName>
    <definedName name="_____________DAT18">#REF!</definedName>
    <definedName name="_____________DAT19" localSheetId="7">#REF!</definedName>
    <definedName name="_____________DAT19">#REF!</definedName>
    <definedName name="_____________DAT2" localSheetId="7">'[4]DEP 0607'!#REF!</definedName>
    <definedName name="_____________DAT2">'[4]DEP 0607'!#REF!</definedName>
    <definedName name="_____________DAT20" localSheetId="8">#REF!</definedName>
    <definedName name="_____________DAT20" localSheetId="7">#REF!</definedName>
    <definedName name="_____________DAT20">#REF!</definedName>
    <definedName name="_____________DAT21" localSheetId="7">#REF!</definedName>
    <definedName name="_____________DAT21">#REF!</definedName>
    <definedName name="_____________DAT22" localSheetId="7">#REF!</definedName>
    <definedName name="_____________DAT22">#REF!</definedName>
    <definedName name="_____________DAT23" localSheetId="7">#REF!</definedName>
    <definedName name="_____________DAT23">#REF!</definedName>
    <definedName name="_____________DAT24" localSheetId="7">#REF!</definedName>
    <definedName name="_____________DAT24">#REF!</definedName>
    <definedName name="_____________DAT25" localSheetId="7">#REF!</definedName>
    <definedName name="_____________DAT25">#REF!</definedName>
    <definedName name="_____________DAT26" localSheetId="7">#REF!</definedName>
    <definedName name="_____________DAT26">#REF!</definedName>
    <definedName name="_____________DAT3" localSheetId="7">[5]Sheet1!#REF!</definedName>
    <definedName name="_____________DAT3">[5]Sheet1!#REF!</definedName>
    <definedName name="_____________DAT4" localSheetId="7">'[6]antq-may-pur'!#REF!</definedName>
    <definedName name="_____________DAT4">'[6]antq-may-pur'!#REF!</definedName>
    <definedName name="_____________DAT5" localSheetId="7">'[4]DEP 0607'!#REF!</definedName>
    <definedName name="_____________DAT5">'[4]DEP 0607'!#REF!</definedName>
    <definedName name="_____________DAT6" localSheetId="8">#REF!</definedName>
    <definedName name="_____________DAT6" localSheetId="7">#REF!</definedName>
    <definedName name="_____________DAT6">#REF!</definedName>
    <definedName name="_____________DAT7" localSheetId="8">'[6]antq-may-pur'!#REF!</definedName>
    <definedName name="_____________DAT7" localSheetId="7">'[6]antq-may-pur'!#REF!</definedName>
    <definedName name="_____________DAT7">'[6]antq-may-pur'!#REF!</definedName>
    <definedName name="_____________DAT8" localSheetId="7">[5]Sheet1!#REF!</definedName>
    <definedName name="_____________DAT8">[5]Sheet1!#REF!</definedName>
    <definedName name="_____________DAT9" localSheetId="8">#REF!</definedName>
    <definedName name="_____________DAT9" localSheetId="7">#REF!</definedName>
    <definedName name="_____________DAT9">#REF!</definedName>
    <definedName name="_____________dev2" localSheetId="8">[9]BKCSTOCKVAL!#REF!</definedName>
    <definedName name="_____________dev2" localSheetId="7">[9]BKCSTOCKVAL!#REF!</definedName>
    <definedName name="_____________dev2">[9]BKCSTOCKVAL!#REF!</definedName>
    <definedName name="_____________may6" localSheetId="7">[10]VARA!#REF!</definedName>
    <definedName name="_____________may6">[10]VARA!#REF!</definedName>
    <definedName name="_____________may7" localSheetId="7">[10]VARA!#REF!</definedName>
    <definedName name="_____________may7">[10]VARA!#REF!</definedName>
    <definedName name="_____________may8" localSheetId="7">[10]VARA!#REF!</definedName>
    <definedName name="_____________may8">[10]VARA!#REF!</definedName>
    <definedName name="_____________SCH1" localSheetId="8">#REF!</definedName>
    <definedName name="_____________SCH1" localSheetId="7">#REF!</definedName>
    <definedName name="_____________SCH1">#REF!</definedName>
    <definedName name="_____________SCH2" localSheetId="7">#REF!</definedName>
    <definedName name="_____________SCH2">#REF!</definedName>
    <definedName name="_____________SCH3" localSheetId="7">#REF!</definedName>
    <definedName name="_____________SCH3">#REF!</definedName>
    <definedName name="_____________VAR1" localSheetId="7">#REF!</definedName>
    <definedName name="_____________VAR1">#REF!</definedName>
    <definedName name="_____________VAR2" localSheetId="7">#REF!</definedName>
    <definedName name="_____________VAR2">#REF!</definedName>
    <definedName name="_____________VAR3" localSheetId="7">#REF!</definedName>
    <definedName name="_____________VAR3">#REF!</definedName>
    <definedName name="_____________VAR4" localSheetId="7">#REF!</definedName>
    <definedName name="_____________VAR4">#REF!</definedName>
    <definedName name="_____________VAR5" localSheetId="7">#REF!</definedName>
    <definedName name="_____________VAR5">#REF!</definedName>
    <definedName name="_____________VAR6" localSheetId="7">#REF!</definedName>
    <definedName name="_____________VAR6">#REF!</definedName>
    <definedName name="_____________VAR7" localSheetId="7">#REF!</definedName>
    <definedName name="_____________VAR7">#REF!</definedName>
    <definedName name="____________APP1" localSheetId="7">'[7]APP 2a'!#REF!</definedName>
    <definedName name="____________APP1">'[7]APP 2a'!#REF!</definedName>
    <definedName name="____________APP3" localSheetId="7">'[7]APP 2a'!#REF!</definedName>
    <definedName name="____________APP3">'[7]APP 2a'!#REF!</definedName>
    <definedName name="____________APR1" localSheetId="8">#REF!</definedName>
    <definedName name="____________APR1" localSheetId="7">#REF!</definedName>
    <definedName name="____________APR1">#REF!</definedName>
    <definedName name="____________APR2" localSheetId="7">#REF!</definedName>
    <definedName name="____________APR2">#REF!</definedName>
    <definedName name="____________APR3" localSheetId="7">#REF!</definedName>
    <definedName name="____________APR3">#REF!</definedName>
    <definedName name="____________APR4" localSheetId="7">#REF!</definedName>
    <definedName name="____________APR4">#REF!</definedName>
    <definedName name="____________APR5" localSheetId="7">#REF!</definedName>
    <definedName name="____________APR5">#REF!</definedName>
    <definedName name="____________APR6" localSheetId="7">#REF!</definedName>
    <definedName name="____________APR6">#REF!</definedName>
    <definedName name="____________APR7" localSheetId="7">#REF!</definedName>
    <definedName name="____________APR7">#REF!</definedName>
    <definedName name="____________APR8" localSheetId="7">#REF!</definedName>
    <definedName name="____________APR8">#REF!</definedName>
    <definedName name="____________B2" localSheetId="7">#REF!</definedName>
    <definedName name="____________B2">#REF!</definedName>
    <definedName name="____________C80000" localSheetId="7">#REF!</definedName>
    <definedName name="____________C80000">#REF!</definedName>
    <definedName name="____________CBS1" localSheetId="7">#REF!</definedName>
    <definedName name="____________CBS1">#REF!</definedName>
    <definedName name="____________CBS2" localSheetId="7">#REF!</definedName>
    <definedName name="____________CBS2">#REF!</definedName>
    <definedName name="____________cip0306" localSheetId="7">#REF!</definedName>
    <definedName name="____________cip0306">#REF!</definedName>
    <definedName name="____________DAT1" localSheetId="7">'[4]DEP 0607'!#REF!</definedName>
    <definedName name="____________DAT1">'[4]DEP 0607'!#REF!</definedName>
    <definedName name="____________DAT10" localSheetId="7">[5]Sheet1!#REF!</definedName>
    <definedName name="____________DAT10">[5]Sheet1!#REF!</definedName>
    <definedName name="____________DAT11" localSheetId="7">'[4]DEP 0607'!#REF!</definedName>
    <definedName name="____________DAT11">'[4]DEP 0607'!#REF!</definedName>
    <definedName name="____________DAT12" localSheetId="7">[5]Sheet1!#REF!</definedName>
    <definedName name="____________DAT12">[5]Sheet1!#REF!</definedName>
    <definedName name="____________DAT13" localSheetId="7">'[4]DEP 0607'!#REF!</definedName>
    <definedName name="____________DAT13">'[4]DEP 0607'!#REF!</definedName>
    <definedName name="____________DAT14" localSheetId="7">'[4]DEP 0607'!#REF!</definedName>
    <definedName name="____________DAT14">'[4]DEP 0607'!#REF!</definedName>
    <definedName name="____________DAT15" localSheetId="8">#REF!</definedName>
    <definedName name="____________DAT15" localSheetId="7">#REF!</definedName>
    <definedName name="____________DAT15">#REF!</definedName>
    <definedName name="____________DAT16" localSheetId="7">#REF!</definedName>
    <definedName name="____________DAT16">#REF!</definedName>
    <definedName name="____________DAT17" localSheetId="7">#REF!</definedName>
    <definedName name="____________DAT17">#REF!</definedName>
    <definedName name="____________DAT18" localSheetId="7">#REF!</definedName>
    <definedName name="____________DAT18">#REF!</definedName>
    <definedName name="____________DAT19" localSheetId="7">'[8]05-06'!#REF!</definedName>
    <definedName name="____________DAT19">'[8]05-06'!#REF!</definedName>
    <definedName name="____________DAT2" localSheetId="7">'[4]DEP 0607'!#REF!</definedName>
    <definedName name="____________DAT2">'[4]DEP 0607'!#REF!</definedName>
    <definedName name="____________DAT20" localSheetId="8">#REF!</definedName>
    <definedName name="____________DAT20" localSheetId="7">#REF!</definedName>
    <definedName name="____________DAT20">#REF!</definedName>
    <definedName name="____________DAT21" localSheetId="7">#REF!</definedName>
    <definedName name="____________DAT21">#REF!</definedName>
    <definedName name="____________DAT22" localSheetId="7">#REF!</definedName>
    <definedName name="____________DAT22">#REF!</definedName>
    <definedName name="____________DAT23" localSheetId="7">#REF!</definedName>
    <definedName name="____________DAT23">#REF!</definedName>
    <definedName name="____________DAT24" localSheetId="7">#REF!</definedName>
    <definedName name="____________DAT24">#REF!</definedName>
    <definedName name="____________DAT25" localSheetId="7">#REF!</definedName>
    <definedName name="____________DAT25">#REF!</definedName>
    <definedName name="____________DAT26" localSheetId="7">#REF!</definedName>
    <definedName name="____________DAT26">#REF!</definedName>
    <definedName name="____________DAT3" localSheetId="7">[5]Sheet1!#REF!</definedName>
    <definedName name="____________DAT3">[5]Sheet1!#REF!</definedName>
    <definedName name="____________DAT4" localSheetId="7">'[6]antq-may-pur'!#REF!</definedName>
    <definedName name="____________DAT4">'[6]antq-may-pur'!#REF!</definedName>
    <definedName name="____________DAT5" localSheetId="7">'[4]DEP 0607'!#REF!</definedName>
    <definedName name="____________DAT5">'[4]DEP 0607'!#REF!</definedName>
    <definedName name="____________DAT6" localSheetId="7">'[4]DEP 0607'!#REF!</definedName>
    <definedName name="____________DAT6">'[4]DEP 0607'!#REF!</definedName>
    <definedName name="____________DAT7" localSheetId="7">'[6]antq-may-pur'!#REF!</definedName>
    <definedName name="____________DAT7">'[6]antq-may-pur'!#REF!</definedName>
    <definedName name="____________DAT8" localSheetId="7">[5]Sheet1!#REF!</definedName>
    <definedName name="____________DAT8">[5]Sheet1!#REF!</definedName>
    <definedName name="____________DAT9" localSheetId="8">#REF!</definedName>
    <definedName name="____________DAT9" localSheetId="7">#REF!</definedName>
    <definedName name="____________DAT9">#REF!</definedName>
    <definedName name="____________dev2" localSheetId="8">[9]BKCSTOCKVAL!#REF!</definedName>
    <definedName name="____________dev2" localSheetId="7">[9]BKCSTOCKVAL!#REF!</definedName>
    <definedName name="____________dev2">[9]BKCSTOCKVAL!#REF!</definedName>
    <definedName name="____________may6" localSheetId="7">[10]VARA!#REF!</definedName>
    <definedName name="____________may6">[10]VARA!#REF!</definedName>
    <definedName name="____________may7" localSheetId="7">[10]VARA!#REF!</definedName>
    <definedName name="____________may7">[10]VARA!#REF!</definedName>
    <definedName name="____________may8" localSheetId="7">[10]VARA!#REF!</definedName>
    <definedName name="____________may8">[10]VARA!#REF!</definedName>
    <definedName name="____________SCH1" localSheetId="8">#REF!</definedName>
    <definedName name="____________SCH1" localSheetId="7">#REF!</definedName>
    <definedName name="____________SCH1">#REF!</definedName>
    <definedName name="____________SCH2" localSheetId="7">#REF!</definedName>
    <definedName name="____________SCH2">#REF!</definedName>
    <definedName name="____________SCH3" localSheetId="7">#REF!</definedName>
    <definedName name="____________SCH3">#REF!</definedName>
    <definedName name="____________VAR1" localSheetId="7">#REF!</definedName>
    <definedName name="____________VAR1">#REF!</definedName>
    <definedName name="____________VAR2" localSheetId="7">#REF!</definedName>
    <definedName name="____________VAR2">#REF!</definedName>
    <definedName name="____________VAR3" localSheetId="7">#REF!</definedName>
    <definedName name="____________VAR3">#REF!</definedName>
    <definedName name="____________VAR4" localSheetId="7">#REF!</definedName>
    <definedName name="____________VAR4">#REF!</definedName>
    <definedName name="____________VAR5" localSheetId="7">#REF!</definedName>
    <definedName name="____________VAR5">#REF!</definedName>
    <definedName name="____________VAR6" localSheetId="7">#REF!</definedName>
    <definedName name="____________VAR6">#REF!</definedName>
    <definedName name="____________VAR7" localSheetId="7">#REF!</definedName>
    <definedName name="____________VAR7">#REF!</definedName>
    <definedName name="___________APP1" localSheetId="7">'[7]APP 2a'!#REF!</definedName>
    <definedName name="___________APP1">'[7]APP 2a'!#REF!</definedName>
    <definedName name="___________APP3" localSheetId="7">'[7]APP 2a'!#REF!</definedName>
    <definedName name="___________APP3">'[7]APP 2a'!#REF!</definedName>
    <definedName name="___________APR1" localSheetId="8">#REF!</definedName>
    <definedName name="___________APR1" localSheetId="7">#REF!</definedName>
    <definedName name="___________APR1">#REF!</definedName>
    <definedName name="___________APR2" localSheetId="7">#REF!</definedName>
    <definedName name="___________APR2">#REF!</definedName>
    <definedName name="___________APR3" localSheetId="7">#REF!</definedName>
    <definedName name="___________APR3">#REF!</definedName>
    <definedName name="___________APR4" localSheetId="7">#REF!</definedName>
    <definedName name="___________APR4">#REF!</definedName>
    <definedName name="___________APR5" localSheetId="7">#REF!</definedName>
    <definedName name="___________APR5">#REF!</definedName>
    <definedName name="___________APR6" localSheetId="7">#REF!</definedName>
    <definedName name="___________APR6">#REF!</definedName>
    <definedName name="___________APR7" localSheetId="7">#REF!</definedName>
    <definedName name="___________APR7">#REF!</definedName>
    <definedName name="___________APR8" localSheetId="7">#REF!</definedName>
    <definedName name="___________APR8">#REF!</definedName>
    <definedName name="___________B2" localSheetId="7">#REF!</definedName>
    <definedName name="___________B2">#REF!</definedName>
    <definedName name="___________C80000" localSheetId="7">#REF!</definedName>
    <definedName name="___________C80000">#REF!</definedName>
    <definedName name="___________CBS1" localSheetId="7">#REF!</definedName>
    <definedName name="___________CBS1">#REF!</definedName>
    <definedName name="___________CBS2" localSheetId="7">#REF!</definedName>
    <definedName name="___________CBS2">#REF!</definedName>
    <definedName name="___________cip0306" localSheetId="7">#REF!</definedName>
    <definedName name="___________cip0306">#REF!</definedName>
    <definedName name="___________DAT1" localSheetId="7">'[4]DEP 0607'!#REF!</definedName>
    <definedName name="___________DAT1">'[4]DEP 0607'!#REF!</definedName>
    <definedName name="___________DAT10" localSheetId="7">[5]Sheet1!#REF!</definedName>
    <definedName name="___________DAT10">[5]Sheet1!#REF!</definedName>
    <definedName name="___________DAT11" localSheetId="7">'[4]DEP 0607'!#REF!</definedName>
    <definedName name="___________DAT11">'[4]DEP 0607'!#REF!</definedName>
    <definedName name="___________DAT12" localSheetId="7">[5]Sheet1!#REF!</definedName>
    <definedName name="___________DAT12">[5]Sheet1!#REF!</definedName>
    <definedName name="___________DAT13" localSheetId="7">'[4]DEP 0607'!#REF!</definedName>
    <definedName name="___________DAT13">'[4]DEP 0607'!#REF!</definedName>
    <definedName name="___________DAT14" localSheetId="7">'[4]DEP 0607'!#REF!</definedName>
    <definedName name="___________DAT14">'[4]DEP 0607'!#REF!</definedName>
    <definedName name="___________DAT15" localSheetId="8">#REF!</definedName>
    <definedName name="___________DAT15" localSheetId="7">#REF!</definedName>
    <definedName name="___________DAT15">#REF!</definedName>
    <definedName name="___________DAT16" localSheetId="7">#REF!</definedName>
    <definedName name="___________DAT16">#REF!</definedName>
    <definedName name="___________DAT17" localSheetId="7">#REF!</definedName>
    <definedName name="___________DAT17">#REF!</definedName>
    <definedName name="___________DAT18" localSheetId="7">#REF!</definedName>
    <definedName name="___________DAT18">#REF!</definedName>
    <definedName name="___________DAT19" localSheetId="7">#REF!</definedName>
    <definedName name="___________DAT19">#REF!</definedName>
    <definedName name="___________DAT2" localSheetId="7">'[4]DEP 0607'!#REF!</definedName>
    <definedName name="___________DAT2">'[4]DEP 0607'!#REF!</definedName>
    <definedName name="___________DAT20" localSheetId="7">'[8]05-06'!#REF!</definedName>
    <definedName name="___________DAT20">'[8]05-06'!#REF!</definedName>
    <definedName name="___________DAT21" localSheetId="7">'[8]05-06'!#REF!</definedName>
    <definedName name="___________DAT21">'[8]05-06'!#REF!</definedName>
    <definedName name="___________DAT22" localSheetId="8">#REF!</definedName>
    <definedName name="___________DAT22" localSheetId="7">#REF!</definedName>
    <definedName name="___________DAT22">#REF!</definedName>
    <definedName name="___________DAT23" localSheetId="7">#REF!</definedName>
    <definedName name="___________DAT23">#REF!</definedName>
    <definedName name="___________DAT24" localSheetId="7">#REF!</definedName>
    <definedName name="___________DAT24">#REF!</definedName>
    <definedName name="___________DAT25" localSheetId="7">#REF!</definedName>
    <definedName name="___________DAT25">#REF!</definedName>
    <definedName name="___________DAT26" localSheetId="7">#REF!</definedName>
    <definedName name="___________DAT26">#REF!</definedName>
    <definedName name="___________DAT3" localSheetId="7">[5]Sheet1!#REF!</definedName>
    <definedName name="___________DAT3">[5]Sheet1!#REF!</definedName>
    <definedName name="___________DAT4" localSheetId="7">'[6]antq-may-pur'!#REF!</definedName>
    <definedName name="___________DAT4">'[6]antq-may-pur'!#REF!</definedName>
    <definedName name="___________DAT5" localSheetId="7">'[4]DEP 0607'!#REF!</definedName>
    <definedName name="___________DAT5">'[4]DEP 0607'!#REF!</definedName>
    <definedName name="___________DAT6" localSheetId="7">'[4]DEP 0607'!#REF!</definedName>
    <definedName name="___________DAT6">'[4]DEP 0607'!#REF!</definedName>
    <definedName name="___________DAT7" localSheetId="7">'[6]antq-may-pur'!#REF!</definedName>
    <definedName name="___________DAT7">'[6]antq-may-pur'!#REF!</definedName>
    <definedName name="___________DAT8" localSheetId="7">[5]Sheet1!#REF!</definedName>
    <definedName name="___________DAT8">[5]Sheet1!#REF!</definedName>
    <definedName name="___________DAT9" localSheetId="8">#REF!</definedName>
    <definedName name="___________DAT9" localSheetId="7">#REF!</definedName>
    <definedName name="___________DAT9">#REF!</definedName>
    <definedName name="___________dev2" localSheetId="8">[9]BKCSTOCKVAL!#REF!</definedName>
    <definedName name="___________dev2" localSheetId="7">[9]BKCSTOCKVAL!#REF!</definedName>
    <definedName name="___________dev2">[9]BKCSTOCKVAL!#REF!</definedName>
    <definedName name="___________may6" localSheetId="7">[10]VARA!#REF!</definedName>
    <definedName name="___________may6">[10]VARA!#REF!</definedName>
    <definedName name="___________may7" localSheetId="7">[10]VARA!#REF!</definedName>
    <definedName name="___________may7">[10]VARA!#REF!</definedName>
    <definedName name="___________may8" localSheetId="7">[10]VARA!#REF!</definedName>
    <definedName name="___________may8">[10]VARA!#REF!</definedName>
    <definedName name="___________SCH1" localSheetId="8">#REF!</definedName>
    <definedName name="___________SCH1" localSheetId="7">#REF!</definedName>
    <definedName name="___________SCH1">#REF!</definedName>
    <definedName name="___________SCH2" localSheetId="7">#REF!</definedName>
    <definedName name="___________SCH2">#REF!</definedName>
    <definedName name="___________SCH3" localSheetId="7">#REF!</definedName>
    <definedName name="___________SCH3">#REF!</definedName>
    <definedName name="___________VAR1" localSheetId="7">#REF!</definedName>
    <definedName name="___________VAR1">#REF!</definedName>
    <definedName name="___________VAR2" localSheetId="7">#REF!</definedName>
    <definedName name="___________VAR2">#REF!</definedName>
    <definedName name="___________VAR3" localSheetId="7">#REF!</definedName>
    <definedName name="___________VAR3">#REF!</definedName>
    <definedName name="___________VAR4" localSheetId="7">#REF!</definedName>
    <definedName name="___________VAR4">#REF!</definedName>
    <definedName name="___________VAR5" localSheetId="7">#REF!</definedName>
    <definedName name="___________VAR5">#REF!</definedName>
    <definedName name="___________VAR6" localSheetId="7">#REF!</definedName>
    <definedName name="___________VAR6">#REF!</definedName>
    <definedName name="___________VAR7" localSheetId="7">#REF!</definedName>
    <definedName name="___________VAR7">#REF!</definedName>
    <definedName name="__________APP1" localSheetId="7">'[7]APP 2a'!#REF!</definedName>
    <definedName name="__________APP1">'[7]APP 2a'!#REF!</definedName>
    <definedName name="__________APP3" localSheetId="7">'[7]APP 2a'!#REF!</definedName>
    <definedName name="__________APP3">'[7]APP 2a'!#REF!</definedName>
    <definedName name="__________APR1" localSheetId="8">#REF!</definedName>
    <definedName name="__________APR1" localSheetId="7">#REF!</definedName>
    <definedName name="__________APR1">#REF!</definedName>
    <definedName name="__________APR2" localSheetId="7">#REF!</definedName>
    <definedName name="__________APR2">#REF!</definedName>
    <definedName name="__________APR3" localSheetId="7">#REF!</definedName>
    <definedName name="__________APR3">#REF!</definedName>
    <definedName name="__________APR4" localSheetId="7">#REF!</definedName>
    <definedName name="__________APR4">#REF!</definedName>
    <definedName name="__________APR5" localSheetId="7">#REF!</definedName>
    <definedName name="__________APR5">#REF!</definedName>
    <definedName name="__________APR6" localSheetId="7">#REF!</definedName>
    <definedName name="__________APR6">#REF!</definedName>
    <definedName name="__________APR7" localSheetId="7">#REF!</definedName>
    <definedName name="__________APR7">#REF!</definedName>
    <definedName name="__________APR8" localSheetId="7">#REF!</definedName>
    <definedName name="__________APR8">#REF!</definedName>
    <definedName name="__________B2" localSheetId="7">#REF!</definedName>
    <definedName name="__________B2">#REF!</definedName>
    <definedName name="__________C80000" localSheetId="7">#REF!</definedName>
    <definedName name="__________C80000">#REF!</definedName>
    <definedName name="__________CBS1" localSheetId="7">#REF!</definedName>
    <definedName name="__________CBS1">#REF!</definedName>
    <definedName name="__________CBS2" localSheetId="7">#REF!</definedName>
    <definedName name="__________CBS2">#REF!</definedName>
    <definedName name="__________cip0306" localSheetId="7">#REF!</definedName>
    <definedName name="__________cip0306">#REF!</definedName>
    <definedName name="__________DAT1" localSheetId="7">'[4]DEP 0607'!#REF!</definedName>
    <definedName name="__________DAT1">'[4]DEP 0607'!#REF!</definedName>
    <definedName name="__________DAT10" localSheetId="7">[5]Sheet1!#REF!</definedName>
    <definedName name="__________DAT10">[5]Sheet1!#REF!</definedName>
    <definedName name="__________DAT11" localSheetId="7">'[4]DEP 0607'!#REF!</definedName>
    <definedName name="__________DAT11">'[4]DEP 0607'!#REF!</definedName>
    <definedName name="__________DAT12" localSheetId="7">[5]Sheet1!#REF!</definedName>
    <definedName name="__________DAT12">[5]Sheet1!#REF!</definedName>
    <definedName name="__________DAT13" localSheetId="7">'[4]DEP 0607'!#REF!</definedName>
    <definedName name="__________DAT13">'[4]DEP 0607'!#REF!</definedName>
    <definedName name="__________DAT14" localSheetId="7">'[4]DEP 0607'!#REF!</definedName>
    <definedName name="__________DAT14">'[4]DEP 0607'!#REF!</definedName>
    <definedName name="__________DAT15" localSheetId="8">#REF!</definedName>
    <definedName name="__________DAT15" localSheetId="7">#REF!</definedName>
    <definedName name="__________DAT15">#REF!</definedName>
    <definedName name="__________DAT16" localSheetId="7">#REF!</definedName>
    <definedName name="__________DAT16">#REF!</definedName>
    <definedName name="__________DAT17" localSheetId="7">#REF!</definedName>
    <definedName name="__________DAT17">#REF!</definedName>
    <definedName name="__________DAT18" localSheetId="7">#REF!</definedName>
    <definedName name="__________DAT18">#REF!</definedName>
    <definedName name="__________DAT19" localSheetId="7">#REF!</definedName>
    <definedName name="__________DAT19">#REF!</definedName>
    <definedName name="__________DAT2" localSheetId="7">'[4]DEP 0607'!#REF!</definedName>
    <definedName name="__________DAT2">'[4]DEP 0607'!#REF!</definedName>
    <definedName name="__________DAT20" localSheetId="8">#REF!</definedName>
    <definedName name="__________DAT20" localSheetId="7">#REF!</definedName>
    <definedName name="__________DAT20">#REF!</definedName>
    <definedName name="__________DAT21" localSheetId="7">#REF!</definedName>
    <definedName name="__________DAT21">#REF!</definedName>
    <definedName name="__________DAT22" localSheetId="7">#REF!</definedName>
    <definedName name="__________DAT22">#REF!</definedName>
    <definedName name="__________DAT23" localSheetId="7">#REF!</definedName>
    <definedName name="__________DAT23">#REF!</definedName>
    <definedName name="__________DAT24" localSheetId="7">#REF!</definedName>
    <definedName name="__________DAT24">#REF!</definedName>
    <definedName name="__________DAT25" localSheetId="7">#REF!</definedName>
    <definedName name="__________DAT25">#REF!</definedName>
    <definedName name="__________DAT26" localSheetId="7">#REF!</definedName>
    <definedName name="__________DAT26">#REF!</definedName>
    <definedName name="__________DAT3" localSheetId="7">[5]Sheet1!#REF!</definedName>
    <definedName name="__________DAT3">[5]Sheet1!#REF!</definedName>
    <definedName name="__________DAT4" localSheetId="7">'[6]antq-may-pur'!#REF!</definedName>
    <definedName name="__________DAT4">'[6]antq-may-pur'!#REF!</definedName>
    <definedName name="__________DAT5" localSheetId="7">'[4]DEP 0607'!#REF!</definedName>
    <definedName name="__________DAT5">'[4]DEP 0607'!#REF!</definedName>
    <definedName name="__________DAT6" localSheetId="7">'[4]DEP 0607'!#REF!</definedName>
    <definedName name="__________DAT6">'[4]DEP 0607'!#REF!</definedName>
    <definedName name="__________DAT7" localSheetId="7">'[6]antq-may-pur'!#REF!</definedName>
    <definedName name="__________DAT7">'[6]antq-may-pur'!#REF!</definedName>
    <definedName name="__________DAT8" localSheetId="7">[5]Sheet1!#REF!</definedName>
    <definedName name="__________DAT8">[5]Sheet1!#REF!</definedName>
    <definedName name="__________DAT9" localSheetId="8">#REF!</definedName>
    <definedName name="__________DAT9" localSheetId="7">#REF!</definedName>
    <definedName name="__________DAT9">#REF!</definedName>
    <definedName name="__________dev2" localSheetId="8">[9]BKCSTOCKVAL!#REF!</definedName>
    <definedName name="__________dev2" localSheetId="7">[9]BKCSTOCKVAL!#REF!</definedName>
    <definedName name="__________dev2">[9]BKCSTOCKVAL!#REF!</definedName>
    <definedName name="__________may6" localSheetId="7">[10]VARA!#REF!</definedName>
    <definedName name="__________may6">[10]VARA!#REF!</definedName>
    <definedName name="__________may7" localSheetId="7">[10]VARA!#REF!</definedName>
    <definedName name="__________may7">[10]VARA!#REF!</definedName>
    <definedName name="__________may8" localSheetId="7">[10]VARA!#REF!</definedName>
    <definedName name="__________may8">[10]VARA!#REF!</definedName>
    <definedName name="__________SCH1" localSheetId="8">#REF!</definedName>
    <definedName name="__________SCH1" localSheetId="7">#REF!</definedName>
    <definedName name="__________SCH1">#REF!</definedName>
    <definedName name="__________SCH2" localSheetId="7">#REF!</definedName>
    <definedName name="__________SCH2">#REF!</definedName>
    <definedName name="__________SCH3" localSheetId="7">#REF!</definedName>
    <definedName name="__________SCH3">#REF!</definedName>
    <definedName name="__________VAR1" localSheetId="7">#REF!</definedName>
    <definedName name="__________VAR1">#REF!</definedName>
    <definedName name="__________VAR2" localSheetId="7">#REF!</definedName>
    <definedName name="__________VAR2">#REF!</definedName>
    <definedName name="__________VAR3" localSheetId="7">#REF!</definedName>
    <definedName name="__________VAR3">#REF!</definedName>
    <definedName name="__________VAR4" localSheetId="7">#REF!</definedName>
    <definedName name="__________VAR4">#REF!</definedName>
    <definedName name="__________VAR5" localSheetId="7">#REF!</definedName>
    <definedName name="__________VAR5">#REF!</definedName>
    <definedName name="__________VAR6" localSheetId="7">#REF!</definedName>
    <definedName name="__________VAR6">#REF!</definedName>
    <definedName name="__________VAR7" localSheetId="7">#REF!</definedName>
    <definedName name="__________VAR7">#REF!</definedName>
    <definedName name="_________APP1" localSheetId="7">'[7]APP 2a'!#REF!</definedName>
    <definedName name="_________APP1">'[7]APP 2a'!#REF!</definedName>
    <definedName name="_________APP3" localSheetId="7">'[7]APP 2a'!#REF!</definedName>
    <definedName name="_________APP3">'[7]APP 2a'!#REF!</definedName>
    <definedName name="_________APR1" localSheetId="8">#REF!</definedName>
    <definedName name="_________APR1" localSheetId="7">#REF!</definedName>
    <definedName name="_________APR1">#REF!</definedName>
    <definedName name="_________APR2" localSheetId="7">#REF!</definedName>
    <definedName name="_________APR2">#REF!</definedName>
    <definedName name="_________APR3" localSheetId="7">#REF!</definedName>
    <definedName name="_________APR3">#REF!</definedName>
    <definedName name="_________APR4" localSheetId="7">#REF!</definedName>
    <definedName name="_________APR4">#REF!</definedName>
    <definedName name="_________APR5" localSheetId="7">#REF!</definedName>
    <definedName name="_________APR5">#REF!</definedName>
    <definedName name="_________APR6" localSheetId="7">#REF!</definedName>
    <definedName name="_________APR6">#REF!</definedName>
    <definedName name="_________APR7" localSheetId="7">#REF!</definedName>
    <definedName name="_________APR7">#REF!</definedName>
    <definedName name="_________APR8" localSheetId="7">#REF!</definedName>
    <definedName name="_________APR8">#REF!</definedName>
    <definedName name="_________B2" localSheetId="7">#REF!</definedName>
    <definedName name="_________B2">#REF!</definedName>
    <definedName name="_________C80000" localSheetId="7">#REF!</definedName>
    <definedName name="_________C80000">#REF!</definedName>
    <definedName name="_________CBS1" localSheetId="7">#REF!</definedName>
    <definedName name="_________CBS1">#REF!</definedName>
    <definedName name="_________CBS2" localSheetId="7">#REF!</definedName>
    <definedName name="_________CBS2">#REF!</definedName>
    <definedName name="_________cip0306" localSheetId="7">#REF!</definedName>
    <definedName name="_________cip0306">#REF!</definedName>
    <definedName name="_________col1" localSheetId="7">#REF!</definedName>
    <definedName name="_________col1">#REF!</definedName>
    <definedName name="_________col10" localSheetId="7">#REF!</definedName>
    <definedName name="_________col10">#REF!</definedName>
    <definedName name="_________col11" localSheetId="7">#REF!</definedName>
    <definedName name="_________col11">#REF!</definedName>
    <definedName name="_________col12" localSheetId="7">#REF!</definedName>
    <definedName name="_________col12">#REF!</definedName>
    <definedName name="_________col13" localSheetId="7">#REF!</definedName>
    <definedName name="_________col13">#REF!</definedName>
    <definedName name="_________col2" localSheetId="7">#REF!</definedName>
    <definedName name="_________col2">#REF!</definedName>
    <definedName name="_________col3" localSheetId="7">#REF!</definedName>
    <definedName name="_________col3">#REF!</definedName>
    <definedName name="_________col4" localSheetId="7">#REF!</definedName>
    <definedName name="_________col4">#REF!</definedName>
    <definedName name="_________col5" localSheetId="7">#REF!</definedName>
    <definedName name="_________col5">#REF!</definedName>
    <definedName name="_________col6" localSheetId="7">#REF!</definedName>
    <definedName name="_________col6">#REF!</definedName>
    <definedName name="_________col7" localSheetId="7">#REF!</definedName>
    <definedName name="_________col7">#REF!</definedName>
    <definedName name="_________col8" localSheetId="7">#REF!</definedName>
    <definedName name="_________col8">#REF!</definedName>
    <definedName name="_________col9" localSheetId="7">#REF!</definedName>
    <definedName name="_________col9">#REF!</definedName>
    <definedName name="_________DAT1" localSheetId="7">'[4]DEP 0607'!#REF!</definedName>
    <definedName name="_________DAT1">'[4]DEP 0607'!#REF!</definedName>
    <definedName name="_________DAT10" localSheetId="7">[5]Sheet1!#REF!</definedName>
    <definedName name="_________DAT10">[5]Sheet1!#REF!</definedName>
    <definedName name="_________DAT11" localSheetId="7">'[4]DEP 0607'!#REF!</definedName>
    <definedName name="_________DAT11">'[4]DEP 0607'!#REF!</definedName>
    <definedName name="_________DAT12" localSheetId="7">[5]Sheet1!#REF!</definedName>
    <definedName name="_________DAT12">[5]Sheet1!#REF!</definedName>
    <definedName name="_________DAT13" localSheetId="7">'[4]DEP 0607'!#REF!</definedName>
    <definedName name="_________DAT13">'[4]DEP 0607'!#REF!</definedName>
    <definedName name="_________DAT14" localSheetId="7">'[4]DEP 0607'!#REF!</definedName>
    <definedName name="_________DAT14">'[4]DEP 0607'!#REF!</definedName>
    <definedName name="_________DAT15" localSheetId="8">#REF!</definedName>
    <definedName name="_________DAT15" localSheetId="7">#REF!</definedName>
    <definedName name="_________DAT15">#REF!</definedName>
    <definedName name="_________DAT16" localSheetId="7">#REF!</definedName>
    <definedName name="_________DAT16">#REF!</definedName>
    <definedName name="_________DAT17" localSheetId="7">#REF!</definedName>
    <definedName name="_________DAT17">#REF!</definedName>
    <definedName name="_________DAT18" localSheetId="7">#REF!</definedName>
    <definedName name="_________DAT18">#REF!</definedName>
    <definedName name="_________DAT19" localSheetId="7">#REF!</definedName>
    <definedName name="_________DAT19">#REF!</definedName>
    <definedName name="_________DAT2" localSheetId="7">'[4]DEP 0607'!#REF!</definedName>
    <definedName name="_________DAT2">'[4]DEP 0607'!#REF!</definedName>
    <definedName name="_________DAT20" localSheetId="8">#REF!</definedName>
    <definedName name="_________DAT20" localSheetId="7">#REF!</definedName>
    <definedName name="_________DAT20">#REF!</definedName>
    <definedName name="_________DAT21" localSheetId="7">#REF!</definedName>
    <definedName name="_________DAT21">#REF!</definedName>
    <definedName name="_________DAT22" localSheetId="7">#REF!</definedName>
    <definedName name="_________DAT22">#REF!</definedName>
    <definedName name="_________DAT23" localSheetId="7">#REF!</definedName>
    <definedName name="_________DAT23">#REF!</definedName>
    <definedName name="_________DAT24" localSheetId="7">#REF!</definedName>
    <definedName name="_________DAT24">#REF!</definedName>
    <definedName name="_________DAT25" localSheetId="7">#REF!</definedName>
    <definedName name="_________DAT25">#REF!</definedName>
    <definedName name="_________DAT26" localSheetId="7">#REF!</definedName>
    <definedName name="_________DAT26">#REF!</definedName>
    <definedName name="_________DAT3" localSheetId="7">[5]Sheet1!#REF!</definedName>
    <definedName name="_________DAT3">[5]Sheet1!#REF!</definedName>
    <definedName name="_________DAT4" localSheetId="7">'[6]antq-may-pur'!#REF!</definedName>
    <definedName name="_________DAT4">'[6]antq-may-pur'!#REF!</definedName>
    <definedName name="_________DAT5" localSheetId="7">'[4]DEP 0607'!#REF!</definedName>
    <definedName name="_________DAT5">'[4]DEP 0607'!#REF!</definedName>
    <definedName name="_________DAT6" localSheetId="7">'[4]DEP 0607'!#REF!</definedName>
    <definedName name="_________DAT6">'[4]DEP 0607'!#REF!</definedName>
    <definedName name="_________DAT7" localSheetId="7">'[6]antq-may-pur'!#REF!</definedName>
    <definedName name="_________DAT7">'[6]antq-may-pur'!#REF!</definedName>
    <definedName name="_________DAT8" localSheetId="7">[5]Sheet1!#REF!</definedName>
    <definedName name="_________DAT8">[5]Sheet1!#REF!</definedName>
    <definedName name="_________DAT9" localSheetId="8">#REF!</definedName>
    <definedName name="_________DAT9" localSheetId="7">#REF!</definedName>
    <definedName name="_________DAT9">#REF!</definedName>
    <definedName name="_________dev2" localSheetId="8">[9]BKCSTOCKVAL!#REF!</definedName>
    <definedName name="_________dev2" localSheetId="7">[9]BKCSTOCKVAL!#REF!</definedName>
    <definedName name="_________dev2">[9]BKCSTOCKVAL!#REF!</definedName>
    <definedName name="_________MAR9091" localSheetId="7">'[11]TRIAL BALANCE'!#REF!</definedName>
    <definedName name="_________MAR9091">'[11]TRIAL BALANCE'!#REF!</definedName>
    <definedName name="_________may6" localSheetId="7">[10]VARA!#REF!</definedName>
    <definedName name="_________may6">[10]VARA!#REF!</definedName>
    <definedName name="_________may7" localSheetId="7">[10]VARA!#REF!</definedName>
    <definedName name="_________may7">[10]VARA!#REF!</definedName>
    <definedName name="_________may8" localSheetId="7">[10]VARA!#REF!</definedName>
    <definedName name="_________may8">[10]VARA!#REF!</definedName>
    <definedName name="_________SCH1" localSheetId="8">#REF!</definedName>
    <definedName name="_________SCH1" localSheetId="7">#REF!</definedName>
    <definedName name="_________SCH1">#REF!</definedName>
    <definedName name="_________SCH2" localSheetId="7">#REF!</definedName>
    <definedName name="_________SCH2">#REF!</definedName>
    <definedName name="_________SCH3" localSheetId="7">#REF!</definedName>
    <definedName name="_________SCH3">#REF!</definedName>
    <definedName name="_________VAR1" localSheetId="7">#REF!</definedName>
    <definedName name="_________VAR1">#REF!</definedName>
    <definedName name="_________VAR2" localSheetId="7">#REF!</definedName>
    <definedName name="_________VAR2">#REF!</definedName>
    <definedName name="_________VAR3" localSheetId="7">#REF!</definedName>
    <definedName name="_________VAR3">#REF!</definedName>
    <definedName name="_________VAR4" localSheetId="7">#REF!</definedName>
    <definedName name="_________VAR4">#REF!</definedName>
    <definedName name="_________VAR5" localSheetId="7">#REF!</definedName>
    <definedName name="_________VAR5">#REF!</definedName>
    <definedName name="_________VAR6" localSheetId="7">#REF!</definedName>
    <definedName name="_________VAR6">#REF!</definedName>
    <definedName name="_________VAR7" localSheetId="7">#REF!</definedName>
    <definedName name="_________VAR7">#REF!</definedName>
    <definedName name="________APP1" localSheetId="7">'[7]APP 2a'!#REF!</definedName>
    <definedName name="________APP1">'[7]APP 2a'!#REF!</definedName>
    <definedName name="________APP3" localSheetId="7">'[7]APP 2a'!#REF!</definedName>
    <definedName name="________APP3">'[7]APP 2a'!#REF!</definedName>
    <definedName name="________APR1" localSheetId="8">#REF!</definedName>
    <definedName name="________APR1" localSheetId="7">#REF!</definedName>
    <definedName name="________APR1">#REF!</definedName>
    <definedName name="________APR2" localSheetId="7">#REF!</definedName>
    <definedName name="________APR2">#REF!</definedName>
    <definedName name="________APR3" localSheetId="7">#REF!</definedName>
    <definedName name="________APR3">#REF!</definedName>
    <definedName name="________APR4" localSheetId="7">#REF!</definedName>
    <definedName name="________APR4">#REF!</definedName>
    <definedName name="________APR5" localSheetId="7">#REF!</definedName>
    <definedName name="________APR5">#REF!</definedName>
    <definedName name="________APR6" localSheetId="7">#REF!</definedName>
    <definedName name="________APR6">#REF!</definedName>
    <definedName name="________APR7" localSheetId="7">#REF!</definedName>
    <definedName name="________APR7">#REF!</definedName>
    <definedName name="________APR8" localSheetId="7">#REF!</definedName>
    <definedName name="________APR8">#REF!</definedName>
    <definedName name="________B2" localSheetId="7">#REF!</definedName>
    <definedName name="________B2">#REF!</definedName>
    <definedName name="________C80000" localSheetId="7">#REF!</definedName>
    <definedName name="________C80000">#REF!</definedName>
    <definedName name="________CBS1" localSheetId="7">#REF!</definedName>
    <definedName name="________CBS1">#REF!</definedName>
    <definedName name="________CBS2" localSheetId="7">#REF!</definedName>
    <definedName name="________CBS2">#REF!</definedName>
    <definedName name="________cip0306" localSheetId="7">#REF!</definedName>
    <definedName name="________cip0306">#REF!</definedName>
    <definedName name="________DAT1" localSheetId="7">'[4]DEP 0607'!#REF!</definedName>
    <definedName name="________DAT1">'[4]DEP 0607'!#REF!</definedName>
    <definedName name="________DAT10" localSheetId="7">[5]Sheet1!#REF!</definedName>
    <definedName name="________DAT10">[5]Sheet1!#REF!</definedName>
    <definedName name="________DAT11" localSheetId="7">'[4]DEP 0607'!#REF!</definedName>
    <definedName name="________DAT11">'[4]DEP 0607'!#REF!</definedName>
    <definedName name="________DAT12" localSheetId="7">[5]Sheet1!#REF!</definedName>
    <definedName name="________DAT12">[5]Sheet1!#REF!</definedName>
    <definedName name="________DAT13" localSheetId="7">'[4]DEP 0607'!#REF!</definedName>
    <definedName name="________DAT13">'[4]DEP 0607'!#REF!</definedName>
    <definedName name="________DAT14" localSheetId="7">'[4]DEP 0607'!#REF!</definedName>
    <definedName name="________DAT14">'[4]DEP 0607'!#REF!</definedName>
    <definedName name="________DAT15" localSheetId="8">#REF!</definedName>
    <definedName name="________DAT15" localSheetId="7">#REF!</definedName>
    <definedName name="________DAT15">#REF!</definedName>
    <definedName name="________DAT16" localSheetId="7">#REF!</definedName>
    <definedName name="________DAT16">#REF!</definedName>
    <definedName name="________DAT17" localSheetId="7">#REF!</definedName>
    <definedName name="________DAT17">#REF!</definedName>
    <definedName name="________DAT18" localSheetId="7">#REF!</definedName>
    <definedName name="________DAT18">#REF!</definedName>
    <definedName name="________DAT19" localSheetId="7">#REF!</definedName>
    <definedName name="________DAT19">#REF!</definedName>
    <definedName name="________DAT2" localSheetId="7">'[4]DEP 0607'!#REF!</definedName>
    <definedName name="________DAT2">'[4]DEP 0607'!#REF!</definedName>
    <definedName name="________DAT20" localSheetId="8">#REF!</definedName>
    <definedName name="________DAT20" localSheetId="7">#REF!</definedName>
    <definedName name="________DAT20">#REF!</definedName>
    <definedName name="________DAT21" localSheetId="7">#REF!</definedName>
    <definedName name="________DAT21">#REF!</definedName>
    <definedName name="________DAT22" localSheetId="7">#REF!</definedName>
    <definedName name="________DAT22">#REF!</definedName>
    <definedName name="________DAT23" localSheetId="7">#REF!</definedName>
    <definedName name="________DAT23">#REF!</definedName>
    <definedName name="________DAT24" localSheetId="7">#REF!</definedName>
    <definedName name="________DAT24">#REF!</definedName>
    <definedName name="________DAT25" localSheetId="7">#REF!</definedName>
    <definedName name="________DAT25">#REF!</definedName>
    <definedName name="________DAT26" localSheetId="7">#REF!</definedName>
    <definedName name="________DAT26">#REF!</definedName>
    <definedName name="________DAT3" localSheetId="7">[5]Sheet1!#REF!</definedName>
    <definedName name="________DAT3">[5]Sheet1!#REF!</definedName>
    <definedName name="________DAT4" localSheetId="7">'[6]antq-may-pur'!#REF!</definedName>
    <definedName name="________DAT4">'[6]antq-may-pur'!#REF!</definedName>
    <definedName name="________DAT5" localSheetId="7">'[4]DEP 0607'!#REF!</definedName>
    <definedName name="________DAT5">'[4]DEP 0607'!#REF!</definedName>
    <definedName name="________DAT6" localSheetId="7">'[4]DEP 0607'!#REF!</definedName>
    <definedName name="________DAT6">'[4]DEP 0607'!#REF!</definedName>
    <definedName name="________DAT7" localSheetId="7">'[6]antq-may-pur'!#REF!</definedName>
    <definedName name="________DAT7">'[6]antq-may-pur'!#REF!</definedName>
    <definedName name="________DAT8" localSheetId="7">[5]Sheet1!#REF!</definedName>
    <definedName name="________DAT8">[5]Sheet1!#REF!</definedName>
    <definedName name="________DAT9" localSheetId="8">#REF!</definedName>
    <definedName name="________DAT9" localSheetId="7">#REF!</definedName>
    <definedName name="________DAT9">#REF!</definedName>
    <definedName name="________dev2" localSheetId="8">[9]BKCSTOCKVAL!#REF!</definedName>
    <definedName name="________dev2" localSheetId="7">[9]BKCSTOCKVAL!#REF!</definedName>
    <definedName name="________dev2">[9]BKCSTOCKVAL!#REF!</definedName>
    <definedName name="________may6" localSheetId="7">[10]VARA!#REF!</definedName>
    <definedName name="________may6">[10]VARA!#REF!</definedName>
    <definedName name="________may7" localSheetId="7">[10]VARA!#REF!</definedName>
    <definedName name="________may7">[10]VARA!#REF!</definedName>
    <definedName name="________may8" localSheetId="7">[10]VARA!#REF!</definedName>
    <definedName name="________may8">[10]VARA!#REF!</definedName>
    <definedName name="________SCH1" localSheetId="8">#REF!</definedName>
    <definedName name="________SCH1" localSheetId="7">#REF!</definedName>
    <definedName name="________SCH1">#REF!</definedName>
    <definedName name="________SCH2" localSheetId="7">#REF!</definedName>
    <definedName name="________SCH2">#REF!</definedName>
    <definedName name="________SCH3" localSheetId="7">#REF!</definedName>
    <definedName name="________SCH3">#REF!</definedName>
    <definedName name="________sch4" localSheetId="7">#REF!</definedName>
    <definedName name="________sch4">#REF!</definedName>
    <definedName name="________VAR1" localSheetId="7">#REF!</definedName>
    <definedName name="________VAR1">#REF!</definedName>
    <definedName name="________VAR2" localSheetId="7">#REF!</definedName>
    <definedName name="________VAR2">#REF!</definedName>
    <definedName name="________VAR3" localSheetId="7">#REF!</definedName>
    <definedName name="________VAR3">#REF!</definedName>
    <definedName name="________VAR4" localSheetId="7">#REF!</definedName>
    <definedName name="________VAR4">#REF!</definedName>
    <definedName name="________VAR5" localSheetId="7">#REF!</definedName>
    <definedName name="________VAR5">#REF!</definedName>
    <definedName name="________VAR6" localSheetId="7">#REF!</definedName>
    <definedName name="________VAR6">#REF!</definedName>
    <definedName name="________VAR7" localSheetId="7">#REF!</definedName>
    <definedName name="________VAR7">#REF!</definedName>
    <definedName name="_______APP1" localSheetId="7">'[7]APP 2a'!#REF!</definedName>
    <definedName name="_______APP1">'[7]APP 2a'!#REF!</definedName>
    <definedName name="_______APP3" localSheetId="7">'[7]APP 2a'!#REF!</definedName>
    <definedName name="_______APP3">'[7]APP 2a'!#REF!</definedName>
    <definedName name="_______APR1" localSheetId="8">#REF!</definedName>
    <definedName name="_______APR1" localSheetId="7">#REF!</definedName>
    <definedName name="_______APR1">#REF!</definedName>
    <definedName name="_______APR2" localSheetId="7">#REF!</definedName>
    <definedName name="_______APR2">#REF!</definedName>
    <definedName name="_______APR3" localSheetId="7">#REF!</definedName>
    <definedName name="_______APR3">#REF!</definedName>
    <definedName name="_______APR4" localSheetId="7">#REF!</definedName>
    <definedName name="_______APR4">#REF!</definedName>
    <definedName name="_______APR5" localSheetId="7">#REF!</definedName>
    <definedName name="_______APR5">#REF!</definedName>
    <definedName name="_______APR6" localSheetId="7">#REF!</definedName>
    <definedName name="_______APR6">#REF!</definedName>
    <definedName name="_______APR7" localSheetId="7">#REF!</definedName>
    <definedName name="_______APR7">#REF!</definedName>
    <definedName name="_______APR8" localSheetId="7">#REF!</definedName>
    <definedName name="_______APR8">#REF!</definedName>
    <definedName name="_______B2" localSheetId="7">#REF!</definedName>
    <definedName name="_______B2">#REF!</definedName>
    <definedName name="_______C80000" localSheetId="7">#REF!</definedName>
    <definedName name="_______C80000">#REF!</definedName>
    <definedName name="_______CBS1" localSheetId="7">#REF!</definedName>
    <definedName name="_______CBS1">#REF!</definedName>
    <definedName name="_______CBS2" localSheetId="7">#REF!</definedName>
    <definedName name="_______CBS2">#REF!</definedName>
    <definedName name="_______cip0306" localSheetId="7">#REF!</definedName>
    <definedName name="_______cip0306">#REF!</definedName>
    <definedName name="_______col1" localSheetId="7">#REF!</definedName>
    <definedName name="_______col1">#REF!</definedName>
    <definedName name="_______col10" localSheetId="7">#REF!</definedName>
    <definedName name="_______col10">#REF!</definedName>
    <definedName name="_______col11" localSheetId="7">#REF!</definedName>
    <definedName name="_______col11">#REF!</definedName>
    <definedName name="_______col12" localSheetId="7">#REF!</definedName>
    <definedName name="_______col12">#REF!</definedName>
    <definedName name="_______col13" localSheetId="7">#REF!</definedName>
    <definedName name="_______col13">#REF!</definedName>
    <definedName name="_______col2" localSheetId="7">#REF!</definedName>
    <definedName name="_______col2">#REF!</definedName>
    <definedName name="_______col3" localSheetId="7">#REF!</definedName>
    <definedName name="_______col3">#REF!</definedName>
    <definedName name="_______col4" localSheetId="7">#REF!</definedName>
    <definedName name="_______col4">#REF!</definedName>
    <definedName name="_______col5" localSheetId="7">#REF!</definedName>
    <definedName name="_______col5">#REF!</definedName>
    <definedName name="_______col6" localSheetId="7">#REF!</definedName>
    <definedName name="_______col6">#REF!</definedName>
    <definedName name="_______col7" localSheetId="7">#REF!</definedName>
    <definedName name="_______col7">#REF!</definedName>
    <definedName name="_______col8" localSheetId="7">#REF!</definedName>
    <definedName name="_______col8">#REF!</definedName>
    <definedName name="_______col9" localSheetId="7">#REF!</definedName>
    <definedName name="_______col9">#REF!</definedName>
    <definedName name="_______DAT1" localSheetId="7">'[4]DEP 0607'!#REF!</definedName>
    <definedName name="_______DAT1">'[4]DEP 0607'!#REF!</definedName>
    <definedName name="_______DAT10" localSheetId="7">[5]Sheet1!#REF!</definedName>
    <definedName name="_______DAT10">[5]Sheet1!#REF!</definedName>
    <definedName name="_______DAT11" localSheetId="7">'[4]DEP 0607'!#REF!</definedName>
    <definedName name="_______DAT11">'[4]DEP 0607'!#REF!</definedName>
    <definedName name="_______DAT12" localSheetId="7">[5]Sheet1!#REF!</definedName>
    <definedName name="_______DAT12">[5]Sheet1!#REF!</definedName>
    <definedName name="_______DAT13" localSheetId="7">'[4]DEP 0607'!#REF!</definedName>
    <definedName name="_______DAT13">'[4]DEP 0607'!#REF!</definedName>
    <definedName name="_______DAT14" localSheetId="7">'[4]DEP 0607'!#REF!</definedName>
    <definedName name="_______DAT14">'[4]DEP 0607'!#REF!</definedName>
    <definedName name="_______DAT15" localSheetId="8">#REF!</definedName>
    <definedName name="_______DAT15" localSheetId="7">#REF!</definedName>
    <definedName name="_______DAT15">#REF!</definedName>
    <definedName name="_______DAT16" localSheetId="7">#REF!</definedName>
    <definedName name="_______DAT16">#REF!</definedName>
    <definedName name="_______DAT17" localSheetId="7">#REF!</definedName>
    <definedName name="_______DAT17">#REF!</definedName>
    <definedName name="_______DAT18" localSheetId="7">#REF!</definedName>
    <definedName name="_______DAT18">#REF!</definedName>
    <definedName name="_______DAT19" localSheetId="7">#REF!</definedName>
    <definedName name="_______DAT19">#REF!</definedName>
    <definedName name="_______DAT2" localSheetId="7">'[4]DEP 0607'!#REF!</definedName>
    <definedName name="_______DAT2">'[4]DEP 0607'!#REF!</definedName>
    <definedName name="_______DAT20" localSheetId="8">#REF!</definedName>
    <definedName name="_______DAT20" localSheetId="7">#REF!</definedName>
    <definedName name="_______DAT20">#REF!</definedName>
    <definedName name="_______DAT21" localSheetId="7">#REF!</definedName>
    <definedName name="_______DAT21">#REF!</definedName>
    <definedName name="_______DAT22" localSheetId="7">#REF!</definedName>
    <definedName name="_______DAT22">#REF!</definedName>
    <definedName name="_______DAT23" localSheetId="7">#REF!</definedName>
    <definedName name="_______DAT23">#REF!</definedName>
    <definedName name="_______DAT24" localSheetId="7">#REF!</definedName>
    <definedName name="_______DAT24">#REF!</definedName>
    <definedName name="_______DAT25" localSheetId="7">#REF!</definedName>
    <definedName name="_______DAT25">#REF!</definedName>
    <definedName name="_______DAT26" localSheetId="7">#REF!</definedName>
    <definedName name="_______DAT26">#REF!</definedName>
    <definedName name="_______DAT3" localSheetId="7">[5]Sheet1!#REF!</definedName>
    <definedName name="_______DAT3">[5]Sheet1!#REF!</definedName>
    <definedName name="_______DAT4" localSheetId="7">'[6]antq-may-pur'!#REF!</definedName>
    <definedName name="_______DAT4">'[6]antq-may-pur'!#REF!</definedName>
    <definedName name="_______DAT5" localSheetId="7">'[4]DEP 0607'!#REF!</definedName>
    <definedName name="_______DAT5">'[4]DEP 0607'!#REF!</definedName>
    <definedName name="_______DAT6" localSheetId="7">'[4]DEP 0607'!#REF!</definedName>
    <definedName name="_______DAT6">'[4]DEP 0607'!#REF!</definedName>
    <definedName name="_______DAT7" localSheetId="7">'[6]antq-may-pur'!#REF!</definedName>
    <definedName name="_______DAT7">'[6]antq-may-pur'!#REF!</definedName>
    <definedName name="_______DAT8" localSheetId="7">[5]Sheet1!#REF!</definedName>
    <definedName name="_______DAT8">[5]Sheet1!#REF!</definedName>
    <definedName name="_______DAT9" localSheetId="8">#REF!</definedName>
    <definedName name="_______DAT9" localSheetId="7">#REF!</definedName>
    <definedName name="_______DAT9">#REF!</definedName>
    <definedName name="_______dev2" localSheetId="8">[9]BKCSTOCKVAL!#REF!</definedName>
    <definedName name="_______dev2" localSheetId="7">[9]BKCSTOCKVAL!#REF!</definedName>
    <definedName name="_______dev2">[9]BKCSTOCKVAL!#REF!</definedName>
    <definedName name="_______MAR9091" localSheetId="7">'[11]TRIAL BALANCE'!#REF!</definedName>
    <definedName name="_______MAR9091">'[11]TRIAL BALANCE'!#REF!</definedName>
    <definedName name="_______may6" localSheetId="7">[10]VARA!#REF!</definedName>
    <definedName name="_______may6">[10]VARA!#REF!</definedName>
    <definedName name="_______may7" localSheetId="7">[10]VARA!#REF!</definedName>
    <definedName name="_______may7">[10]VARA!#REF!</definedName>
    <definedName name="_______may8" localSheetId="7">[10]VARA!#REF!</definedName>
    <definedName name="_______may8">[10]VARA!#REF!</definedName>
    <definedName name="_______SCH1" localSheetId="8">#REF!</definedName>
    <definedName name="_______SCH1" localSheetId="7">#REF!</definedName>
    <definedName name="_______SCH1">#REF!</definedName>
    <definedName name="_______SCH2" localSheetId="7">#REF!</definedName>
    <definedName name="_______SCH2">#REF!</definedName>
    <definedName name="_______SCH3" localSheetId="7">#REF!</definedName>
    <definedName name="_______SCH3">#REF!</definedName>
    <definedName name="_______VAR1" localSheetId="7">#REF!</definedName>
    <definedName name="_______VAR1">#REF!</definedName>
    <definedName name="_______VAR2" localSheetId="7">#REF!</definedName>
    <definedName name="_______VAR2">#REF!</definedName>
    <definedName name="_______VAR3" localSheetId="7">#REF!</definedName>
    <definedName name="_______VAR3">#REF!</definedName>
    <definedName name="_______VAR4" localSheetId="7">#REF!</definedName>
    <definedName name="_______VAR4">#REF!</definedName>
    <definedName name="_______VAR5" localSheetId="7">#REF!</definedName>
    <definedName name="_______VAR5">#REF!</definedName>
    <definedName name="_______VAR6" localSheetId="7">#REF!</definedName>
    <definedName name="_______VAR6">#REF!</definedName>
    <definedName name="_______VAR7" localSheetId="7">#REF!</definedName>
    <definedName name="_______VAR7">#REF!</definedName>
    <definedName name="______APP1" localSheetId="7">'[7]APP 2a'!#REF!</definedName>
    <definedName name="______APP1">'[7]APP 2a'!#REF!</definedName>
    <definedName name="______APP3" localSheetId="7">'[7]APP 2a'!#REF!</definedName>
    <definedName name="______APP3">'[7]APP 2a'!#REF!</definedName>
    <definedName name="______APR1" localSheetId="8">#REF!</definedName>
    <definedName name="______APR1" localSheetId="7">#REF!</definedName>
    <definedName name="______APR1">#REF!</definedName>
    <definedName name="______APR2" localSheetId="7">#REF!</definedName>
    <definedName name="______APR2">#REF!</definedName>
    <definedName name="______APR3" localSheetId="7">#REF!</definedName>
    <definedName name="______APR3">#REF!</definedName>
    <definedName name="______APR4" localSheetId="7">#REF!</definedName>
    <definedName name="______APR4">#REF!</definedName>
    <definedName name="______APR5" localSheetId="7">#REF!</definedName>
    <definedName name="______APR5">#REF!</definedName>
    <definedName name="______APR6" localSheetId="7">#REF!</definedName>
    <definedName name="______APR6">#REF!</definedName>
    <definedName name="______APR7" localSheetId="7">#REF!</definedName>
    <definedName name="______APR7">#REF!</definedName>
    <definedName name="______APR8" localSheetId="7">#REF!</definedName>
    <definedName name="______APR8">#REF!</definedName>
    <definedName name="______B2" localSheetId="7">#REF!</definedName>
    <definedName name="______B2">#REF!</definedName>
    <definedName name="______C80000" localSheetId="7">#REF!</definedName>
    <definedName name="______C80000">#REF!</definedName>
    <definedName name="______CBS1" localSheetId="7">#REF!</definedName>
    <definedName name="______CBS1">#REF!</definedName>
    <definedName name="______CBS2" localSheetId="7">#REF!</definedName>
    <definedName name="______CBS2">#REF!</definedName>
    <definedName name="______cip0306" localSheetId="7">#REF!</definedName>
    <definedName name="______cip0306">#REF!</definedName>
    <definedName name="______col1" localSheetId="7">#REF!</definedName>
    <definedName name="______col1">#REF!</definedName>
    <definedName name="______col10" localSheetId="7">#REF!</definedName>
    <definedName name="______col10">#REF!</definedName>
    <definedName name="______col11" localSheetId="7">#REF!</definedName>
    <definedName name="______col11">#REF!</definedName>
    <definedName name="______col12" localSheetId="7">#REF!</definedName>
    <definedName name="______col12">#REF!</definedName>
    <definedName name="______col13" localSheetId="7">#REF!</definedName>
    <definedName name="______col13">#REF!</definedName>
    <definedName name="______col2" localSheetId="7">#REF!</definedName>
    <definedName name="______col2">#REF!</definedName>
    <definedName name="______col3" localSheetId="7">#REF!</definedName>
    <definedName name="______col3">#REF!</definedName>
    <definedName name="______col4" localSheetId="7">#REF!</definedName>
    <definedName name="______col4">#REF!</definedName>
    <definedName name="______col5" localSheetId="7">#REF!</definedName>
    <definedName name="______col5">#REF!</definedName>
    <definedName name="______col6" localSheetId="7">#REF!</definedName>
    <definedName name="______col6">#REF!</definedName>
    <definedName name="______col7" localSheetId="7">#REF!</definedName>
    <definedName name="______col7">#REF!</definedName>
    <definedName name="______col8" localSheetId="7">#REF!</definedName>
    <definedName name="______col8">#REF!</definedName>
    <definedName name="______col9" localSheetId="7">#REF!</definedName>
    <definedName name="______col9">#REF!</definedName>
    <definedName name="______DAT1" localSheetId="7">'[12]790100'!#REF!</definedName>
    <definedName name="______DAT1">'[12]790100'!#REF!</definedName>
    <definedName name="______DAT10" localSheetId="7">'[13]Antique Apr-Mar08'!#REF!</definedName>
    <definedName name="______DAT10">'[13]Antique Apr-Mar08'!#REF!</definedName>
    <definedName name="______DAT11" localSheetId="8">#REF!</definedName>
    <definedName name="______DAT11" localSheetId="7">#REF!</definedName>
    <definedName name="______DAT11">#REF!</definedName>
    <definedName name="______DAT12" localSheetId="7">#REF!</definedName>
    <definedName name="______DAT12">#REF!</definedName>
    <definedName name="______DAT13" localSheetId="7">#REF!</definedName>
    <definedName name="______DAT13">#REF!</definedName>
    <definedName name="______DAT14" localSheetId="7">#REF!</definedName>
    <definedName name="______DAT14">#REF!</definedName>
    <definedName name="______DAT15" localSheetId="7">#REF!</definedName>
    <definedName name="______DAT15">#REF!</definedName>
    <definedName name="______DAT16" localSheetId="7">#REF!</definedName>
    <definedName name="______DAT16">#REF!</definedName>
    <definedName name="______DAT17" localSheetId="7">#REF!</definedName>
    <definedName name="______DAT17">#REF!</definedName>
    <definedName name="______DAT18" localSheetId="7">#REF!</definedName>
    <definedName name="______DAT18">#REF!</definedName>
    <definedName name="______DAT19" localSheetId="7">#REF!</definedName>
    <definedName name="______DAT19">#REF!</definedName>
    <definedName name="______DAT2" localSheetId="7">'[13]Antique Apr-Mar08'!#REF!</definedName>
    <definedName name="______DAT2">'[13]Antique Apr-Mar08'!#REF!</definedName>
    <definedName name="______DAT20" localSheetId="8">#REF!</definedName>
    <definedName name="______DAT20" localSheetId="7">#REF!</definedName>
    <definedName name="______DAT20">#REF!</definedName>
    <definedName name="______DAT21" localSheetId="7">#REF!</definedName>
    <definedName name="______DAT21">#REF!</definedName>
    <definedName name="______DAT22" localSheetId="7">#REF!</definedName>
    <definedName name="______DAT22">#REF!</definedName>
    <definedName name="______DAT23" localSheetId="7">#REF!</definedName>
    <definedName name="______DAT23">#REF!</definedName>
    <definedName name="______DAT24" localSheetId="7">#REF!</definedName>
    <definedName name="______DAT24">#REF!</definedName>
    <definedName name="______DAT25" localSheetId="7">#REF!</definedName>
    <definedName name="______DAT25">#REF!</definedName>
    <definedName name="______DAT26" localSheetId="7">#REF!</definedName>
    <definedName name="______DAT26">#REF!</definedName>
    <definedName name="______DAT3" localSheetId="7">[14]DETAILS!#REF!</definedName>
    <definedName name="______DAT3">[14]DETAILS!#REF!</definedName>
    <definedName name="______DAT4" localSheetId="7">[15]Sheet1!#REF!</definedName>
    <definedName name="______DAT4">[15]Sheet1!#REF!</definedName>
    <definedName name="______DAT5" localSheetId="7">'[13]Antique Apr-Mar08'!#REF!</definedName>
    <definedName name="______DAT5">'[13]Antique Apr-Mar08'!#REF!</definedName>
    <definedName name="______DAT6" localSheetId="7">'[13]Antique Apr-Mar08'!#REF!</definedName>
    <definedName name="______DAT6">'[13]Antique Apr-Mar08'!#REF!</definedName>
    <definedName name="______DAT7" localSheetId="7">[15]Sheet1!#REF!</definedName>
    <definedName name="______DAT7">[15]Sheet1!#REF!</definedName>
    <definedName name="______DAT8" localSheetId="7">[15]Sheet1!#REF!</definedName>
    <definedName name="______DAT8">[15]Sheet1!#REF!</definedName>
    <definedName name="______DAT9" localSheetId="8">#REF!</definedName>
    <definedName name="______DAT9" localSheetId="7">#REF!</definedName>
    <definedName name="______DAT9">#REF!</definedName>
    <definedName name="______dev2" localSheetId="8">[9]BKCSTOCKVAL!#REF!</definedName>
    <definedName name="______dev2" localSheetId="7">[9]BKCSTOCKVAL!#REF!</definedName>
    <definedName name="______dev2">[9]BKCSTOCKVAL!#REF!</definedName>
    <definedName name="______MAR9091" localSheetId="7">'[11]TRIAL BALANCE'!#REF!</definedName>
    <definedName name="______MAR9091">'[11]TRIAL BALANCE'!#REF!</definedName>
    <definedName name="______may6" localSheetId="7">[10]VARA!#REF!</definedName>
    <definedName name="______may6">[10]VARA!#REF!</definedName>
    <definedName name="______may7" localSheetId="7">[10]VARA!#REF!</definedName>
    <definedName name="______may7">[10]VARA!#REF!</definedName>
    <definedName name="______may8" localSheetId="7">[10]VARA!#REF!</definedName>
    <definedName name="______may8">[10]VARA!#REF!</definedName>
    <definedName name="______SCH1" localSheetId="8">#REF!</definedName>
    <definedName name="______SCH1" localSheetId="7">#REF!</definedName>
    <definedName name="______SCH1">#REF!</definedName>
    <definedName name="______SCH2" localSheetId="7">#REF!</definedName>
    <definedName name="______SCH2">#REF!</definedName>
    <definedName name="______SCH3" localSheetId="7">#REF!</definedName>
    <definedName name="______SCH3">#REF!</definedName>
    <definedName name="______sch4" localSheetId="7">#REF!</definedName>
    <definedName name="______sch4">#REF!</definedName>
    <definedName name="______VAR1" localSheetId="7">#REF!</definedName>
    <definedName name="______VAR1">#REF!</definedName>
    <definedName name="______VAR2" localSheetId="7">#REF!</definedName>
    <definedName name="______VAR2">#REF!</definedName>
    <definedName name="______VAR3" localSheetId="7">#REF!</definedName>
    <definedName name="______VAR3">#REF!</definedName>
    <definedName name="______VAR4" localSheetId="7">#REF!</definedName>
    <definedName name="______VAR4">#REF!</definedName>
    <definedName name="______VAR5" localSheetId="7">#REF!</definedName>
    <definedName name="______VAR5">#REF!</definedName>
    <definedName name="______VAR6" localSheetId="7">#REF!</definedName>
    <definedName name="______VAR6">#REF!</definedName>
    <definedName name="______VAR7" localSheetId="7">#REF!</definedName>
    <definedName name="______VAR7">#REF!</definedName>
    <definedName name="_____APP1" localSheetId="7">'[7]APP 2a'!#REF!</definedName>
    <definedName name="_____APP1">'[7]APP 2a'!#REF!</definedName>
    <definedName name="_____APP3" localSheetId="7">'[7]APP 2a'!#REF!</definedName>
    <definedName name="_____APP3">'[7]APP 2a'!#REF!</definedName>
    <definedName name="_____APR1" localSheetId="8">#REF!</definedName>
    <definedName name="_____APR1" localSheetId="7">#REF!</definedName>
    <definedName name="_____APR1">#REF!</definedName>
    <definedName name="_____APR2" localSheetId="7">#REF!</definedName>
    <definedName name="_____APR2">#REF!</definedName>
    <definedName name="_____APR3" localSheetId="7">#REF!</definedName>
    <definedName name="_____APR3">#REF!</definedName>
    <definedName name="_____APR4" localSheetId="7">#REF!</definedName>
    <definedName name="_____APR4">#REF!</definedName>
    <definedName name="_____APR5" localSheetId="7">#REF!</definedName>
    <definedName name="_____APR5">#REF!</definedName>
    <definedName name="_____APR6" localSheetId="7">#REF!</definedName>
    <definedName name="_____APR6">#REF!</definedName>
    <definedName name="_____APR7" localSheetId="7">#REF!</definedName>
    <definedName name="_____APR7">#REF!</definedName>
    <definedName name="_____APR8" localSheetId="7">#REF!</definedName>
    <definedName name="_____APR8">#REF!</definedName>
    <definedName name="_____B2" localSheetId="7">#REF!</definedName>
    <definedName name="_____B2">#REF!</definedName>
    <definedName name="_____C80000" localSheetId="7">#REF!</definedName>
    <definedName name="_____C80000">#REF!</definedName>
    <definedName name="_____CBS1" localSheetId="7">#REF!</definedName>
    <definedName name="_____CBS1">#REF!</definedName>
    <definedName name="_____CBS2" localSheetId="7">#REF!</definedName>
    <definedName name="_____CBS2">#REF!</definedName>
    <definedName name="_____cip0306" localSheetId="7">#REF!</definedName>
    <definedName name="_____cip0306">#REF!</definedName>
    <definedName name="_____col1" localSheetId="7">#REF!</definedName>
    <definedName name="_____col1">#REF!</definedName>
    <definedName name="_____col10" localSheetId="7">#REF!</definedName>
    <definedName name="_____col10">#REF!</definedName>
    <definedName name="_____col11" localSheetId="7">#REF!</definedName>
    <definedName name="_____col11">#REF!</definedName>
    <definedName name="_____col12" localSheetId="7">#REF!</definedName>
    <definedName name="_____col12">#REF!</definedName>
    <definedName name="_____col13" localSheetId="7">#REF!</definedName>
    <definedName name="_____col13">#REF!</definedName>
    <definedName name="_____col2" localSheetId="7">#REF!</definedName>
    <definedName name="_____col2">#REF!</definedName>
    <definedName name="_____col3" localSheetId="7">#REF!</definedName>
    <definedName name="_____col3">#REF!</definedName>
    <definedName name="_____col4" localSheetId="7">#REF!</definedName>
    <definedName name="_____col4">#REF!</definedName>
    <definedName name="_____col5" localSheetId="7">#REF!</definedName>
    <definedName name="_____col5">#REF!</definedName>
    <definedName name="_____col6" localSheetId="7">#REF!</definedName>
    <definedName name="_____col6">#REF!</definedName>
    <definedName name="_____col7" localSheetId="7">#REF!</definedName>
    <definedName name="_____col7">#REF!</definedName>
    <definedName name="_____col8" localSheetId="7">#REF!</definedName>
    <definedName name="_____col8">#REF!</definedName>
    <definedName name="_____col9" localSheetId="7">#REF!</definedName>
    <definedName name="_____col9">#REF!</definedName>
    <definedName name="_____DAT1" localSheetId="7">#REF!</definedName>
    <definedName name="_____DAT1">#REF!</definedName>
    <definedName name="_____DAT10" localSheetId="7">#REF!</definedName>
    <definedName name="_____DAT10">#REF!</definedName>
    <definedName name="_____DAT11" localSheetId="7">#REF!</definedName>
    <definedName name="_____DAT11">#REF!</definedName>
    <definedName name="_____DAT12" localSheetId="7">[15]Sheet1!#REF!</definedName>
    <definedName name="_____DAT12">[15]Sheet1!#REF!</definedName>
    <definedName name="_____DAT13" localSheetId="8">#REF!</definedName>
    <definedName name="_____DAT13" localSheetId="7">#REF!</definedName>
    <definedName name="_____DAT13">#REF!</definedName>
    <definedName name="_____DAT14" localSheetId="8">[16]INTT!#REF!</definedName>
    <definedName name="_____DAT14" localSheetId="7">[16]INTT!#REF!</definedName>
    <definedName name="_____DAT14">[16]INTT!#REF!</definedName>
    <definedName name="_____DAT15" localSheetId="8">#REF!</definedName>
    <definedName name="_____DAT15" localSheetId="7">#REF!</definedName>
    <definedName name="_____DAT15">#REF!</definedName>
    <definedName name="_____DAT16" localSheetId="8">'[13]Bella Casa Vendor'!#REF!</definedName>
    <definedName name="_____DAT16" localSheetId="7">'[13]Bella Casa Vendor'!#REF!</definedName>
    <definedName name="_____DAT16">'[13]Bella Casa Vendor'!#REF!</definedName>
    <definedName name="_____DAT17" localSheetId="7">'[17]MILANO-MBLIPL'!#REF!</definedName>
    <definedName name="_____DAT17">'[17]MILANO-MBLIPL'!#REF!</definedName>
    <definedName name="_____DAT18" localSheetId="7">'[17]MILANO-MBLIPL'!#REF!</definedName>
    <definedName name="_____DAT18">'[17]MILANO-MBLIPL'!#REF!</definedName>
    <definedName name="_____DAT19" localSheetId="8">#REF!</definedName>
    <definedName name="_____DAT19" localSheetId="7">#REF!</definedName>
    <definedName name="_____DAT19">#REF!</definedName>
    <definedName name="_____DAT2" localSheetId="7">#REF!</definedName>
    <definedName name="_____DAT2">#REF!</definedName>
    <definedName name="_____DAT20" localSheetId="7">#REF!</definedName>
    <definedName name="_____DAT20">#REF!</definedName>
    <definedName name="_____DAT21" localSheetId="7">#REF!</definedName>
    <definedName name="_____DAT21">#REF!</definedName>
    <definedName name="_____DAT22" localSheetId="7">#REF!</definedName>
    <definedName name="_____DAT22">#REF!</definedName>
    <definedName name="_____DAT23" localSheetId="7">#REF!</definedName>
    <definedName name="_____DAT23">#REF!</definedName>
    <definedName name="_____DAT24" localSheetId="7">#REF!</definedName>
    <definedName name="_____DAT24">#REF!</definedName>
    <definedName name="_____DAT25" localSheetId="7">#REF!</definedName>
    <definedName name="_____DAT25">#REF!</definedName>
    <definedName name="_____DAT26" localSheetId="7">#REF!</definedName>
    <definedName name="_____DAT26">#REF!</definedName>
    <definedName name="_____DAT3" localSheetId="7">#REF!</definedName>
    <definedName name="_____DAT3">#REF!</definedName>
    <definedName name="_____DAT4" localSheetId="7">#REF!</definedName>
    <definedName name="_____DAT4">#REF!</definedName>
    <definedName name="_____DAT5" localSheetId="7">#REF!</definedName>
    <definedName name="_____DAT5">#REF!</definedName>
    <definedName name="_____DAT6" localSheetId="7">#REF!</definedName>
    <definedName name="_____DAT6">#REF!</definedName>
    <definedName name="_____DAT7" localSheetId="7">#REF!</definedName>
    <definedName name="_____DAT7">#REF!</definedName>
    <definedName name="_____DAT8" localSheetId="7">#REF!</definedName>
    <definedName name="_____DAT8">#REF!</definedName>
    <definedName name="_____DAT9" localSheetId="7">#REF!</definedName>
    <definedName name="_____DAT9">#REF!</definedName>
    <definedName name="_____dev2" localSheetId="7">[9]BKCSTOCKVAL!#REF!</definedName>
    <definedName name="_____dev2">[9]BKCSTOCKVAL!#REF!</definedName>
    <definedName name="_____MAR9091" localSheetId="7">'[11]TRIAL BALANCE'!#REF!</definedName>
    <definedName name="_____MAR9091">'[11]TRIAL BALANCE'!#REF!</definedName>
    <definedName name="_____may6" localSheetId="7">[10]VARA!#REF!</definedName>
    <definedName name="_____may6">[10]VARA!#REF!</definedName>
    <definedName name="_____may7" localSheetId="7">[10]VARA!#REF!</definedName>
    <definedName name="_____may7">[10]VARA!#REF!</definedName>
    <definedName name="_____may8" localSheetId="7">[10]VARA!#REF!</definedName>
    <definedName name="_____may8">[10]VARA!#REF!</definedName>
    <definedName name="_____SCH1" localSheetId="8">#REF!</definedName>
    <definedName name="_____SCH1" localSheetId="7">#REF!</definedName>
    <definedName name="_____SCH1">#REF!</definedName>
    <definedName name="_____SCH2" localSheetId="7">#REF!</definedName>
    <definedName name="_____SCH2">#REF!</definedName>
    <definedName name="_____SCH3" localSheetId="7">#REF!</definedName>
    <definedName name="_____SCH3">#REF!</definedName>
    <definedName name="_____sch4" localSheetId="7">#REF!</definedName>
    <definedName name="_____sch4">#REF!</definedName>
    <definedName name="_____VAR1" localSheetId="7">#REF!</definedName>
    <definedName name="_____VAR1">#REF!</definedName>
    <definedName name="_____VAR2" localSheetId="7">#REF!</definedName>
    <definedName name="_____VAR2">#REF!</definedName>
    <definedName name="_____VAR3" localSheetId="7">#REF!</definedName>
    <definedName name="_____VAR3">#REF!</definedName>
    <definedName name="_____VAR4" localSheetId="7">#REF!</definedName>
    <definedName name="_____VAR4">#REF!</definedName>
    <definedName name="_____VAR5" localSheetId="7">#REF!</definedName>
    <definedName name="_____VAR5">#REF!</definedName>
    <definedName name="_____VAR6" localSheetId="7">#REF!</definedName>
    <definedName name="_____VAR6">#REF!</definedName>
    <definedName name="_____VAR7" localSheetId="7">#REF!</definedName>
    <definedName name="_____VAR7">#REF!</definedName>
    <definedName name="____APP1" localSheetId="7">'[7]APP 2a'!#REF!</definedName>
    <definedName name="____APP1">'[7]APP 2a'!#REF!</definedName>
    <definedName name="____APP3" localSheetId="7">'[7]APP 2a'!#REF!</definedName>
    <definedName name="____APP3">'[7]APP 2a'!#REF!</definedName>
    <definedName name="____APR1" localSheetId="8">#REF!</definedName>
    <definedName name="____APR1" localSheetId="7">#REF!</definedName>
    <definedName name="____APR1">#REF!</definedName>
    <definedName name="____APR2" localSheetId="7">#REF!</definedName>
    <definedName name="____APR2">#REF!</definedName>
    <definedName name="____APR3" localSheetId="7">#REF!</definedName>
    <definedName name="____APR3">#REF!</definedName>
    <definedName name="____APR4" localSheetId="7">#REF!</definedName>
    <definedName name="____APR4">#REF!</definedName>
    <definedName name="____APR5" localSheetId="7">#REF!</definedName>
    <definedName name="____APR5">#REF!</definedName>
    <definedName name="____APR6" localSheetId="7">#REF!</definedName>
    <definedName name="____APR6">#REF!</definedName>
    <definedName name="____APR7" localSheetId="7">#REF!</definedName>
    <definedName name="____APR7">#REF!</definedName>
    <definedName name="____APR8" localSheetId="7">#REF!</definedName>
    <definedName name="____APR8">#REF!</definedName>
    <definedName name="____B2" localSheetId="7">#REF!</definedName>
    <definedName name="____B2">#REF!</definedName>
    <definedName name="____C80000" localSheetId="7">#REF!</definedName>
    <definedName name="____C80000">#REF!</definedName>
    <definedName name="____CBS1" localSheetId="7">#REF!</definedName>
    <definedName name="____CBS1">#REF!</definedName>
    <definedName name="____CBS2" localSheetId="7">#REF!</definedName>
    <definedName name="____CBS2">#REF!</definedName>
    <definedName name="____cip0306" localSheetId="7">#REF!</definedName>
    <definedName name="____cip0306">#REF!</definedName>
    <definedName name="____col1" localSheetId="7">#REF!</definedName>
    <definedName name="____col1">#REF!</definedName>
    <definedName name="____col10" localSheetId="7">#REF!</definedName>
    <definedName name="____col10">#REF!</definedName>
    <definedName name="____col11" localSheetId="7">#REF!</definedName>
    <definedName name="____col11">#REF!</definedName>
    <definedName name="____col12" localSheetId="7">#REF!</definedName>
    <definedName name="____col12">#REF!</definedName>
    <definedName name="____col13" localSheetId="7">#REF!</definedName>
    <definedName name="____col13">#REF!</definedName>
    <definedName name="____col2" localSheetId="7">#REF!</definedName>
    <definedName name="____col2">#REF!</definedName>
    <definedName name="____col3" localSheetId="7">#REF!</definedName>
    <definedName name="____col3">#REF!</definedName>
    <definedName name="____col4" localSheetId="7">#REF!</definedName>
    <definedName name="____col4">#REF!</definedName>
    <definedName name="____col5" localSheetId="7">#REF!</definedName>
    <definedName name="____col5">#REF!</definedName>
    <definedName name="____col6" localSheetId="7">#REF!</definedName>
    <definedName name="____col6">#REF!</definedName>
    <definedName name="____col7" localSheetId="7">#REF!</definedName>
    <definedName name="____col7">#REF!</definedName>
    <definedName name="____col8" localSheetId="7">#REF!</definedName>
    <definedName name="____col8">#REF!</definedName>
    <definedName name="____col9" localSheetId="7">#REF!</definedName>
    <definedName name="____col9">#REF!</definedName>
    <definedName name="____DAT1" localSheetId="7">#REF!</definedName>
    <definedName name="____DAT1">#REF!</definedName>
    <definedName name="____DAT10" localSheetId="7">#REF!</definedName>
    <definedName name="____DAT10">#REF!</definedName>
    <definedName name="____DAT11" localSheetId="7">#REF!</definedName>
    <definedName name="____DAT11">#REF!</definedName>
    <definedName name="____DAT12" localSheetId="7">#REF!</definedName>
    <definedName name="____DAT12">#REF!</definedName>
    <definedName name="____DAT13" localSheetId="7">#REF!</definedName>
    <definedName name="____DAT13">#REF!</definedName>
    <definedName name="____DAT14" localSheetId="7">#REF!</definedName>
    <definedName name="____DAT14">#REF!</definedName>
    <definedName name="____DAT15" localSheetId="7">#REF!</definedName>
    <definedName name="____DAT15">#REF!</definedName>
    <definedName name="____DAT16" localSheetId="7">'[13]Bella Casa Vendor'!#REF!</definedName>
    <definedName name="____DAT16">'[13]Bella Casa Vendor'!#REF!</definedName>
    <definedName name="____DAT17" localSheetId="7">'[17]MILANO-MBLIPL'!#REF!</definedName>
    <definedName name="____DAT17">'[17]MILANO-MBLIPL'!#REF!</definedName>
    <definedName name="____DAT18" localSheetId="7">'[17]MILANO-MBLIPL'!#REF!</definedName>
    <definedName name="____DAT18">'[17]MILANO-MBLIPL'!#REF!</definedName>
    <definedName name="____DAT19" localSheetId="8">#REF!</definedName>
    <definedName name="____DAT19" localSheetId="7">#REF!</definedName>
    <definedName name="____DAT19">#REF!</definedName>
    <definedName name="____DAT2" localSheetId="7">#REF!</definedName>
    <definedName name="____DAT2">#REF!</definedName>
    <definedName name="____DAT20" localSheetId="7">#REF!</definedName>
    <definedName name="____DAT20">#REF!</definedName>
    <definedName name="____DAT21" localSheetId="7">#REF!</definedName>
    <definedName name="____DAT21">#REF!</definedName>
    <definedName name="____DAT22" localSheetId="7">#REF!</definedName>
    <definedName name="____DAT22">#REF!</definedName>
    <definedName name="____DAT23" localSheetId="7">#REF!</definedName>
    <definedName name="____DAT23">#REF!</definedName>
    <definedName name="____DAT24" localSheetId="7">#REF!</definedName>
    <definedName name="____DAT24">#REF!</definedName>
    <definedName name="____DAT25" localSheetId="7">#REF!</definedName>
    <definedName name="____DAT25">#REF!</definedName>
    <definedName name="____DAT26" localSheetId="7">#REF!</definedName>
    <definedName name="____DAT26">#REF!</definedName>
    <definedName name="____DAT3" localSheetId="7">#REF!</definedName>
    <definedName name="____DAT3">#REF!</definedName>
    <definedName name="____DAT4" localSheetId="7">#REF!</definedName>
    <definedName name="____DAT4">#REF!</definedName>
    <definedName name="____DAT5" localSheetId="7">#REF!</definedName>
    <definedName name="____DAT5">#REF!</definedName>
    <definedName name="____DAT6" localSheetId="7">#REF!</definedName>
    <definedName name="____DAT6">#REF!</definedName>
    <definedName name="____DAT7" localSheetId="7">#REF!</definedName>
    <definedName name="____DAT7">#REF!</definedName>
    <definedName name="____DAT8" localSheetId="7">#REF!</definedName>
    <definedName name="____DAT8">#REF!</definedName>
    <definedName name="____DAT9" localSheetId="7">#REF!</definedName>
    <definedName name="____DAT9">#REF!</definedName>
    <definedName name="____dev2" localSheetId="7">[9]BKCSTOCKVAL!#REF!</definedName>
    <definedName name="____dev2">[9]BKCSTOCKVAL!#REF!</definedName>
    <definedName name="____MAR9091" localSheetId="7">'[11]TRIAL BALANCE'!#REF!</definedName>
    <definedName name="____MAR9091">'[11]TRIAL BALANCE'!#REF!</definedName>
    <definedName name="____may6" localSheetId="7">[10]VARA!#REF!</definedName>
    <definedName name="____may6">[10]VARA!#REF!</definedName>
    <definedName name="____may7" localSheetId="7">[10]VARA!#REF!</definedName>
    <definedName name="____may7">[10]VARA!#REF!</definedName>
    <definedName name="____may8" localSheetId="7">[10]VARA!#REF!</definedName>
    <definedName name="____may8">[10]VARA!#REF!</definedName>
    <definedName name="____SCH1" localSheetId="8">#REF!</definedName>
    <definedName name="____SCH1" localSheetId="7">#REF!</definedName>
    <definedName name="____SCH1">#REF!</definedName>
    <definedName name="____SCH2" localSheetId="7">#REF!</definedName>
    <definedName name="____SCH2">#REF!</definedName>
    <definedName name="____SCH3" localSheetId="7">#REF!</definedName>
    <definedName name="____SCH3">#REF!</definedName>
    <definedName name="____sch4" localSheetId="7">#REF!</definedName>
    <definedName name="____sch4">#REF!</definedName>
    <definedName name="____VAR1" localSheetId="7">#REF!</definedName>
    <definedName name="____VAR1">#REF!</definedName>
    <definedName name="____VAR2" localSheetId="7">#REF!</definedName>
    <definedName name="____VAR2">#REF!</definedName>
    <definedName name="____VAR3" localSheetId="7">#REF!</definedName>
    <definedName name="____VAR3">#REF!</definedName>
    <definedName name="____VAR4" localSheetId="7">#REF!</definedName>
    <definedName name="____VAR4">#REF!</definedName>
    <definedName name="____VAR5" localSheetId="7">#REF!</definedName>
    <definedName name="____VAR5">#REF!</definedName>
    <definedName name="____VAR6" localSheetId="7">#REF!</definedName>
    <definedName name="____VAR6">#REF!</definedName>
    <definedName name="____VAR7" localSheetId="7">#REF!</definedName>
    <definedName name="____VAR7">#REF!</definedName>
    <definedName name="___APP1" localSheetId="7">'[7]APP 2a'!#REF!</definedName>
    <definedName name="___APP1">'[7]APP 2a'!#REF!</definedName>
    <definedName name="___APP3" localSheetId="7">'[7]APP 2a'!#REF!</definedName>
    <definedName name="___APP3">'[7]APP 2a'!#REF!</definedName>
    <definedName name="___APR1" localSheetId="8">#REF!</definedName>
    <definedName name="___APR1" localSheetId="7">#REF!</definedName>
    <definedName name="___APR1">#REF!</definedName>
    <definedName name="___APR2" localSheetId="7">#REF!</definedName>
    <definedName name="___APR2">#REF!</definedName>
    <definedName name="___APR3" localSheetId="7">#REF!</definedName>
    <definedName name="___APR3">#REF!</definedName>
    <definedName name="___APR4" localSheetId="7">#REF!</definedName>
    <definedName name="___APR4">#REF!</definedName>
    <definedName name="___APR5" localSheetId="7">#REF!</definedName>
    <definedName name="___APR5">#REF!</definedName>
    <definedName name="___APR6" localSheetId="7">#REF!</definedName>
    <definedName name="___APR6">#REF!</definedName>
    <definedName name="___APR7" localSheetId="7">#REF!</definedName>
    <definedName name="___APR7">#REF!</definedName>
    <definedName name="___APR8" localSheetId="7">#REF!</definedName>
    <definedName name="___APR8">#REF!</definedName>
    <definedName name="___B2" localSheetId="7">#REF!</definedName>
    <definedName name="___B2">#REF!</definedName>
    <definedName name="___C80000" localSheetId="7">#REF!</definedName>
    <definedName name="___C80000">#REF!</definedName>
    <definedName name="___CBS1" localSheetId="7">#REF!</definedName>
    <definedName name="___CBS1">#REF!</definedName>
    <definedName name="___CBS2" localSheetId="7">#REF!</definedName>
    <definedName name="___CBS2">#REF!</definedName>
    <definedName name="___cip0306" localSheetId="7">#REF!</definedName>
    <definedName name="___cip0306">#REF!</definedName>
    <definedName name="___col1" localSheetId="7">#REF!</definedName>
    <definedName name="___col1">#REF!</definedName>
    <definedName name="___col10" localSheetId="7">#REF!</definedName>
    <definedName name="___col10">#REF!</definedName>
    <definedName name="___col11" localSheetId="7">#REF!</definedName>
    <definedName name="___col11">#REF!</definedName>
    <definedName name="___col12" localSheetId="7">#REF!</definedName>
    <definedName name="___col12">#REF!</definedName>
    <definedName name="___col13" localSheetId="7">#REF!</definedName>
    <definedName name="___col13">#REF!</definedName>
    <definedName name="___col2" localSheetId="7">#REF!</definedName>
    <definedName name="___col2">#REF!</definedName>
    <definedName name="___col3" localSheetId="7">#REF!</definedName>
    <definedName name="___col3">#REF!</definedName>
    <definedName name="___col4" localSheetId="7">#REF!</definedName>
    <definedName name="___col4">#REF!</definedName>
    <definedName name="___col5" localSheetId="7">#REF!</definedName>
    <definedName name="___col5">#REF!</definedName>
    <definedName name="___col6" localSheetId="7">#REF!</definedName>
    <definedName name="___col6">#REF!</definedName>
    <definedName name="___col7" localSheetId="7">#REF!</definedName>
    <definedName name="___col7">#REF!</definedName>
    <definedName name="___col8" localSheetId="7">#REF!</definedName>
    <definedName name="___col8">#REF!</definedName>
    <definedName name="___col9" localSheetId="7">#REF!</definedName>
    <definedName name="___col9">#REF!</definedName>
    <definedName name="___DAT1" localSheetId="7">'[4]DEP 0607'!#REF!</definedName>
    <definedName name="___DAT1">'[4]DEP 0607'!#REF!</definedName>
    <definedName name="___DAT10" localSheetId="7">[5]Sheet1!#REF!</definedName>
    <definedName name="___DAT10">[5]Sheet1!#REF!</definedName>
    <definedName name="___DAT11" localSheetId="7">'[4]DEP 0607'!#REF!</definedName>
    <definedName name="___DAT11">'[4]DEP 0607'!#REF!</definedName>
    <definedName name="___DAT12" localSheetId="7">[15]Sheet1!#REF!</definedName>
    <definedName name="___DAT12">[15]Sheet1!#REF!</definedName>
    <definedName name="___DAT13" localSheetId="8">#REF!</definedName>
    <definedName name="___DAT13" localSheetId="7">#REF!</definedName>
    <definedName name="___DAT13">#REF!</definedName>
    <definedName name="___DAT14" localSheetId="8">[16]INTT!#REF!</definedName>
    <definedName name="___DAT14" localSheetId="7">[16]INTT!#REF!</definedName>
    <definedName name="___DAT14">[16]INTT!#REF!</definedName>
    <definedName name="___DAT15" localSheetId="8">#REF!</definedName>
    <definedName name="___DAT15" localSheetId="7">#REF!</definedName>
    <definedName name="___DAT15">#REF!</definedName>
    <definedName name="___DAT16" localSheetId="8">'[13]Bella Casa Vendor'!#REF!</definedName>
    <definedName name="___DAT16" localSheetId="7">'[13]Bella Casa Vendor'!#REF!</definedName>
    <definedName name="___DAT16">'[13]Bella Casa Vendor'!#REF!</definedName>
    <definedName name="___DAT17" localSheetId="7">'[17]MILANO-MBLIPL'!#REF!</definedName>
    <definedName name="___DAT17">'[17]MILANO-MBLIPL'!#REF!</definedName>
    <definedName name="___DAT18" localSheetId="7">'[17]MILANO-MBLIPL'!#REF!</definedName>
    <definedName name="___DAT18">'[17]MILANO-MBLIPL'!#REF!</definedName>
    <definedName name="___DAT19" localSheetId="8">#REF!</definedName>
    <definedName name="___DAT19" localSheetId="7">#REF!</definedName>
    <definedName name="___DAT19">#REF!</definedName>
    <definedName name="___DAT2" localSheetId="8">'[4]DEP 0607'!#REF!</definedName>
    <definedName name="___DAT2" localSheetId="7">'[4]DEP 0607'!#REF!</definedName>
    <definedName name="___DAT2">'[4]DEP 0607'!#REF!</definedName>
    <definedName name="___DAT20" localSheetId="8">#REF!</definedName>
    <definedName name="___DAT20" localSheetId="7">#REF!</definedName>
    <definedName name="___DAT20">#REF!</definedName>
    <definedName name="___DAT21" localSheetId="7">#REF!</definedName>
    <definedName name="___DAT21">#REF!</definedName>
    <definedName name="___DAT22" localSheetId="7">#REF!</definedName>
    <definedName name="___DAT22">#REF!</definedName>
    <definedName name="___DAT23" localSheetId="7">#REF!</definedName>
    <definedName name="___DAT23">#REF!</definedName>
    <definedName name="___DAT24" localSheetId="7">#REF!</definedName>
    <definedName name="___DAT24">#REF!</definedName>
    <definedName name="___DAT25" localSheetId="7">#REF!</definedName>
    <definedName name="___DAT25">#REF!</definedName>
    <definedName name="___DAT26" localSheetId="7">#REF!</definedName>
    <definedName name="___DAT26">#REF!</definedName>
    <definedName name="___DAT3" localSheetId="7">[5]Sheet1!#REF!</definedName>
    <definedName name="___DAT3">[5]Sheet1!#REF!</definedName>
    <definedName name="___DAT4" localSheetId="7">'[6]antq-may-pur'!#REF!</definedName>
    <definedName name="___DAT4">'[6]antq-may-pur'!#REF!</definedName>
    <definedName name="___DAT5" localSheetId="7">'[4]DEP 0607'!#REF!</definedName>
    <definedName name="___DAT5">'[4]DEP 0607'!#REF!</definedName>
    <definedName name="___DAT6" localSheetId="7">'[4]DEP 0607'!#REF!</definedName>
    <definedName name="___DAT6">'[4]DEP 0607'!#REF!</definedName>
    <definedName name="___DAT7" localSheetId="7">'[6]antq-may-pur'!#REF!</definedName>
    <definedName name="___DAT7">'[6]antq-may-pur'!#REF!</definedName>
    <definedName name="___DAT8" localSheetId="7">[5]Sheet1!#REF!</definedName>
    <definedName name="___DAT8">[5]Sheet1!#REF!</definedName>
    <definedName name="___DAT9" localSheetId="8">#REF!</definedName>
    <definedName name="___DAT9" localSheetId="7">#REF!</definedName>
    <definedName name="___DAT9">#REF!</definedName>
    <definedName name="___dev2" localSheetId="8">[9]BKCSTOCKVAL!#REF!</definedName>
    <definedName name="___dev2" localSheetId="7">[9]BKCSTOCKVAL!#REF!</definedName>
    <definedName name="___dev2">[9]BKCSTOCKVAL!#REF!</definedName>
    <definedName name="___MAR9091" localSheetId="7">'[11]TRIAL BALANCE'!#REF!</definedName>
    <definedName name="___MAR9091">'[11]TRIAL BALANCE'!#REF!</definedName>
    <definedName name="___may6" localSheetId="7">[10]VARA!#REF!</definedName>
    <definedName name="___may6">[10]VARA!#REF!</definedName>
    <definedName name="___may7" localSheetId="7">[10]VARA!#REF!</definedName>
    <definedName name="___may7">[10]VARA!#REF!</definedName>
    <definedName name="___may8" localSheetId="7">[10]VARA!#REF!</definedName>
    <definedName name="___may8">[10]VARA!#REF!</definedName>
    <definedName name="___SCH1" localSheetId="8">#REF!</definedName>
    <definedName name="___SCH1" localSheetId="7">#REF!</definedName>
    <definedName name="___SCH1">#REF!</definedName>
    <definedName name="___SCH2" localSheetId="7">#REF!</definedName>
    <definedName name="___SCH2">#REF!</definedName>
    <definedName name="___SCH3" localSheetId="7">#REF!</definedName>
    <definedName name="___SCH3">#REF!</definedName>
    <definedName name="___sch4" localSheetId="7">#REF!</definedName>
    <definedName name="___sch4">#REF!</definedName>
    <definedName name="___VAR1" localSheetId="7">#REF!</definedName>
    <definedName name="___VAR1">#REF!</definedName>
    <definedName name="___VAR2" localSheetId="7">#REF!</definedName>
    <definedName name="___VAR2">#REF!</definedName>
    <definedName name="___VAR3" localSheetId="7">#REF!</definedName>
    <definedName name="___VAR3">#REF!</definedName>
    <definedName name="___VAR4" localSheetId="7">#REF!</definedName>
    <definedName name="___VAR4">#REF!</definedName>
    <definedName name="___VAR5" localSheetId="7">#REF!</definedName>
    <definedName name="___VAR5">#REF!</definedName>
    <definedName name="___VAR6" localSheetId="7">#REF!</definedName>
    <definedName name="___VAR6">#REF!</definedName>
    <definedName name="___VAR7" localSheetId="7">#REF!</definedName>
    <definedName name="___VAR7">#REF!</definedName>
    <definedName name="__123Graph_A" localSheetId="7" hidden="1">'[18]TRIAL BALANCE'!#REF!</definedName>
    <definedName name="__123Graph_A" hidden="1">'[18]TRIAL BALANCE'!#REF!</definedName>
    <definedName name="__123Graph_B" localSheetId="7" hidden="1">'[18]TRIAL BALANCE'!#REF!</definedName>
    <definedName name="__123Graph_B" hidden="1">'[18]TRIAL BALANCE'!#REF!</definedName>
    <definedName name="__123Graph_X" localSheetId="7" hidden="1">'[18]TRIAL BALANCE'!#REF!</definedName>
    <definedName name="__123Graph_X" hidden="1">'[18]TRIAL BALANCE'!#REF!</definedName>
    <definedName name="__APP1" localSheetId="7">'[7]APP 2a'!#REF!</definedName>
    <definedName name="__APP1">'[7]APP 2a'!#REF!</definedName>
    <definedName name="__APP3" localSheetId="7">'[7]APP 2a'!#REF!</definedName>
    <definedName name="__APP3">'[7]APP 2a'!#REF!</definedName>
    <definedName name="__APR1" localSheetId="8">#REF!</definedName>
    <definedName name="__APR1" localSheetId="7">#REF!</definedName>
    <definedName name="__APR1">#REF!</definedName>
    <definedName name="__APR2" localSheetId="7">#REF!</definedName>
    <definedName name="__APR2">#REF!</definedName>
    <definedName name="__APR3" localSheetId="7">#REF!</definedName>
    <definedName name="__APR3">#REF!</definedName>
    <definedName name="__APR4" localSheetId="7">#REF!</definedName>
    <definedName name="__APR4">#REF!</definedName>
    <definedName name="__APR5" localSheetId="7">#REF!</definedName>
    <definedName name="__APR5">#REF!</definedName>
    <definedName name="__APR6" localSheetId="7">#REF!</definedName>
    <definedName name="__APR6">#REF!</definedName>
    <definedName name="__APR7" localSheetId="7">#REF!</definedName>
    <definedName name="__APR7">#REF!</definedName>
    <definedName name="__APR8" localSheetId="7">#REF!</definedName>
    <definedName name="__APR8">#REF!</definedName>
    <definedName name="__B2" localSheetId="7">#REF!</definedName>
    <definedName name="__B2">#REF!</definedName>
    <definedName name="__C80000" localSheetId="7">#REF!</definedName>
    <definedName name="__C80000">#REF!</definedName>
    <definedName name="__CBS1" localSheetId="7">#REF!</definedName>
    <definedName name="__CBS1">#REF!</definedName>
    <definedName name="__CBS2" localSheetId="7">#REF!</definedName>
    <definedName name="__CBS2">#REF!</definedName>
    <definedName name="__cip0306" localSheetId="7">#REF!</definedName>
    <definedName name="__cip0306">#REF!</definedName>
    <definedName name="__col1" localSheetId="7">#REF!</definedName>
    <definedName name="__col1">#REF!</definedName>
    <definedName name="__col10" localSheetId="7">#REF!</definedName>
    <definedName name="__col10">#REF!</definedName>
    <definedName name="__col11" localSheetId="7">#REF!</definedName>
    <definedName name="__col11">#REF!</definedName>
    <definedName name="__col12" localSheetId="7">#REF!</definedName>
    <definedName name="__col12">#REF!</definedName>
    <definedName name="__col13" localSheetId="7">#REF!</definedName>
    <definedName name="__col13">#REF!</definedName>
    <definedName name="__col2" localSheetId="7">#REF!</definedName>
    <definedName name="__col2">#REF!</definedName>
    <definedName name="__col3" localSheetId="7">#REF!</definedName>
    <definedName name="__col3">#REF!</definedName>
    <definedName name="__col4" localSheetId="7">#REF!</definedName>
    <definedName name="__col4">#REF!</definedName>
    <definedName name="__col5" localSheetId="7">#REF!</definedName>
    <definedName name="__col5">#REF!</definedName>
    <definedName name="__col6" localSheetId="7">#REF!</definedName>
    <definedName name="__col6">#REF!</definedName>
    <definedName name="__col7" localSheetId="7">#REF!</definedName>
    <definedName name="__col7">#REF!</definedName>
    <definedName name="__col8" localSheetId="7">#REF!</definedName>
    <definedName name="__col8">#REF!</definedName>
    <definedName name="__col9" localSheetId="7">#REF!</definedName>
    <definedName name="__col9">#REF!</definedName>
    <definedName name="__DAT1" localSheetId="7">'[8]05-06'!#REF!</definedName>
    <definedName name="__DAT1">'[8]05-06'!#REF!</definedName>
    <definedName name="__DAT10" localSheetId="8">#REF!</definedName>
    <definedName name="__DAT10" localSheetId="7">#REF!</definedName>
    <definedName name="__DAT10">#REF!</definedName>
    <definedName name="__DAT11" localSheetId="7">#REF!</definedName>
    <definedName name="__DAT11">#REF!</definedName>
    <definedName name="__DAT12" localSheetId="7">#REF!</definedName>
    <definedName name="__DAT12">#REF!</definedName>
    <definedName name="__DAT13" localSheetId="7">'[8]05-06'!#REF!</definedName>
    <definedName name="__DAT13">'[8]05-06'!#REF!</definedName>
    <definedName name="__DAT14" localSheetId="7">'[8]05-06'!#REF!</definedName>
    <definedName name="__DAT14">'[8]05-06'!#REF!</definedName>
    <definedName name="__DAT15" localSheetId="8">#REF!</definedName>
    <definedName name="__DAT15" localSheetId="7">#REF!</definedName>
    <definedName name="__DAT15">#REF!</definedName>
    <definedName name="__DAT16" localSheetId="7">#REF!</definedName>
    <definedName name="__DAT16">#REF!</definedName>
    <definedName name="__DAT17" localSheetId="7">'[17]MILANO-MBLIPL'!#REF!</definedName>
    <definedName name="__DAT17">'[17]MILANO-MBLIPL'!#REF!</definedName>
    <definedName name="__DAT18" localSheetId="7">'[17]MILANO-MBLIPL'!#REF!</definedName>
    <definedName name="__DAT18">'[17]MILANO-MBLIPL'!#REF!</definedName>
    <definedName name="__DAT19" localSheetId="7">'[8]05-06'!#REF!</definedName>
    <definedName name="__DAT19">'[8]05-06'!#REF!</definedName>
    <definedName name="__DAT2" localSheetId="7">'[8]05-06'!#REF!</definedName>
    <definedName name="__DAT2">'[8]05-06'!#REF!</definedName>
    <definedName name="__DAT20" localSheetId="7">'[8]05-06'!#REF!</definedName>
    <definedName name="__DAT20">'[8]05-06'!#REF!</definedName>
    <definedName name="__DAT21" localSheetId="7">'[8]05-06'!#REF!</definedName>
    <definedName name="__DAT21">'[8]05-06'!#REF!</definedName>
    <definedName name="__DAT22" localSheetId="8">#REF!</definedName>
    <definedName name="__DAT22" localSheetId="7">#REF!</definedName>
    <definedName name="__DAT22">#REF!</definedName>
    <definedName name="__DAT23" localSheetId="7">#REF!</definedName>
    <definedName name="__DAT23">#REF!</definedName>
    <definedName name="__DAT24" localSheetId="7">#REF!</definedName>
    <definedName name="__DAT24">#REF!</definedName>
    <definedName name="__DAT25" localSheetId="7">[19]ZSTAX!#REF!</definedName>
    <definedName name="__DAT25">[19]ZSTAX!#REF!</definedName>
    <definedName name="__DAT26" localSheetId="8">#REF!</definedName>
    <definedName name="__DAT26" localSheetId="7">#REF!</definedName>
    <definedName name="__DAT26">#REF!</definedName>
    <definedName name="__DAT27" localSheetId="7">#REF!</definedName>
    <definedName name="__DAT27">#REF!</definedName>
    <definedName name="__DAT28" localSheetId="7">#REF!</definedName>
    <definedName name="__DAT28">#REF!</definedName>
    <definedName name="__DAT29" localSheetId="7">#REF!</definedName>
    <definedName name="__DAT29">#REF!</definedName>
    <definedName name="__DAT3" localSheetId="7">'[8]05-06'!#REF!</definedName>
    <definedName name="__DAT3">'[8]05-06'!#REF!</definedName>
    <definedName name="__DAT30" localSheetId="8">#REF!</definedName>
    <definedName name="__DAT30" localSheetId="7">#REF!</definedName>
    <definedName name="__DAT30">#REF!</definedName>
    <definedName name="__DAT31" localSheetId="7">#REF!</definedName>
    <definedName name="__DAT31">#REF!</definedName>
    <definedName name="__DAT32" localSheetId="7">#REF!</definedName>
    <definedName name="__DAT32">#REF!</definedName>
    <definedName name="__DAT33" localSheetId="7">#REF!</definedName>
    <definedName name="__DAT33">#REF!</definedName>
    <definedName name="__DAT34" localSheetId="7">#REF!</definedName>
    <definedName name="__DAT34">#REF!</definedName>
    <definedName name="__DAT4" localSheetId="7">'[8]05-06'!#REF!</definedName>
    <definedName name="__DAT4">'[8]05-06'!#REF!</definedName>
    <definedName name="__DAT5" localSheetId="8">#REF!</definedName>
    <definedName name="__DAT5" localSheetId="7">#REF!</definedName>
    <definedName name="__DAT5">#REF!</definedName>
    <definedName name="__DAT6" localSheetId="7">#REF!</definedName>
    <definedName name="__DAT6">#REF!</definedName>
    <definedName name="__DAT7" localSheetId="7">'[8]05-06'!#REF!</definedName>
    <definedName name="__DAT7">'[8]05-06'!#REF!</definedName>
    <definedName name="__DAT8" localSheetId="7">'[8]05-06'!#REF!</definedName>
    <definedName name="__DAT8">'[8]05-06'!#REF!</definedName>
    <definedName name="__DAT9" localSheetId="8">#REF!</definedName>
    <definedName name="__DAT9" localSheetId="7">#REF!</definedName>
    <definedName name="__DAT9">#REF!</definedName>
    <definedName name="__dev2" localSheetId="8">[9]BKCSTOCKVAL!#REF!</definedName>
    <definedName name="__dev2" localSheetId="7">[9]BKCSTOCKVAL!#REF!</definedName>
    <definedName name="__dev2">[9]BKCSTOCKVAL!#REF!</definedName>
    <definedName name="__KEY2" localSheetId="8" hidden="1">#REF!</definedName>
    <definedName name="__KEY2" localSheetId="7" hidden="1">#REF!</definedName>
    <definedName name="__KEY2" hidden="1">#REF!</definedName>
    <definedName name="__MAR9091" localSheetId="8">'[11]TRIAL BALANCE'!#REF!</definedName>
    <definedName name="__MAR9091" localSheetId="7">'[11]TRIAL BALANCE'!#REF!</definedName>
    <definedName name="__MAR9091">'[11]TRIAL BALANCE'!#REF!</definedName>
    <definedName name="__may6" localSheetId="7">[10]VARA!#REF!</definedName>
    <definedName name="__may6">[10]VARA!#REF!</definedName>
    <definedName name="__may7" localSheetId="7">[10]VARA!#REF!</definedName>
    <definedName name="__may7">[10]VARA!#REF!</definedName>
    <definedName name="__may8" localSheetId="7">[10]VARA!#REF!</definedName>
    <definedName name="__may8">[10]VARA!#REF!</definedName>
    <definedName name="__SCH1" localSheetId="8">#REF!</definedName>
    <definedName name="__SCH1" localSheetId="7">#REF!</definedName>
    <definedName name="__SCH1">#REF!</definedName>
    <definedName name="__SCH2" localSheetId="7">#REF!</definedName>
    <definedName name="__SCH2">#REF!</definedName>
    <definedName name="__SCH3" localSheetId="7">#REF!</definedName>
    <definedName name="__SCH3">#REF!</definedName>
    <definedName name="__sch4" localSheetId="7">#REF!</definedName>
    <definedName name="__sch4">#REF!</definedName>
    <definedName name="__VAR1" localSheetId="7">#REF!</definedName>
    <definedName name="__VAR1">#REF!</definedName>
    <definedName name="__VAR2" localSheetId="7">#REF!</definedName>
    <definedName name="__VAR2">#REF!</definedName>
    <definedName name="__VAR3" localSheetId="7">#REF!</definedName>
    <definedName name="__VAR3">#REF!</definedName>
    <definedName name="__VAR4" localSheetId="7">#REF!</definedName>
    <definedName name="__VAR4">#REF!</definedName>
    <definedName name="__VAR5" localSheetId="7">#REF!</definedName>
    <definedName name="__VAR5">#REF!</definedName>
    <definedName name="__VAR6" localSheetId="7">#REF!</definedName>
    <definedName name="__VAR6">#REF!</definedName>
    <definedName name="__VAR7" localSheetId="7">#REF!</definedName>
    <definedName name="__VAR7">#REF!</definedName>
    <definedName name="_1" localSheetId="7">#REF!</definedName>
    <definedName name="_1">#REF!</definedName>
    <definedName name="_10" localSheetId="7">#REF!</definedName>
    <definedName name="_10">#REF!</definedName>
    <definedName name="_2" localSheetId="7">#REF!</definedName>
    <definedName name="_2">#REF!</definedName>
    <definedName name="_3" localSheetId="7">[20]sch4!#REF!</definedName>
    <definedName name="_3">[20]sch4!#REF!</definedName>
    <definedName name="_4" localSheetId="8">#REF!</definedName>
    <definedName name="_4" localSheetId="7">#REF!</definedName>
    <definedName name="_4">#REF!</definedName>
    <definedName name="_5" localSheetId="7">#REF!</definedName>
    <definedName name="_5">#REF!</definedName>
    <definedName name="_6" localSheetId="7">#REF!</definedName>
    <definedName name="_6">#REF!</definedName>
    <definedName name="_7" localSheetId="7">#REF!</definedName>
    <definedName name="_7">#REF!</definedName>
    <definedName name="_8" localSheetId="7">#REF!</definedName>
    <definedName name="_8">#REF!</definedName>
    <definedName name="_9" localSheetId="7">#REF!</definedName>
    <definedName name="_9">#REF!</definedName>
    <definedName name="_APP1" localSheetId="7">'[7]APP 2a'!#REF!</definedName>
    <definedName name="_APP1">'[7]APP 2a'!#REF!</definedName>
    <definedName name="_APP3" localSheetId="7">'[7]APP 2a'!#REF!</definedName>
    <definedName name="_APP3">'[7]APP 2a'!#REF!</definedName>
    <definedName name="_APR1" localSheetId="8">#REF!</definedName>
    <definedName name="_APR1" localSheetId="7">#REF!</definedName>
    <definedName name="_APR1">#REF!</definedName>
    <definedName name="_APR2" localSheetId="7">#REF!</definedName>
    <definedName name="_APR2">#REF!</definedName>
    <definedName name="_APR3" localSheetId="7">#REF!</definedName>
    <definedName name="_APR3">#REF!</definedName>
    <definedName name="_APR4" localSheetId="7">#REF!</definedName>
    <definedName name="_APR4">#REF!</definedName>
    <definedName name="_APR5" localSheetId="7">#REF!</definedName>
    <definedName name="_APR5">#REF!</definedName>
    <definedName name="_APR6" localSheetId="7">#REF!</definedName>
    <definedName name="_APR6">#REF!</definedName>
    <definedName name="_APR7" localSheetId="7">#REF!</definedName>
    <definedName name="_APR7">#REF!</definedName>
    <definedName name="_APR8" localSheetId="7">#REF!</definedName>
    <definedName name="_APR8">#REF!</definedName>
    <definedName name="_B2" localSheetId="7">#REF!</definedName>
    <definedName name="_B2">#REF!</definedName>
    <definedName name="_C80000" localSheetId="7">#REF!</definedName>
    <definedName name="_C80000">#REF!</definedName>
    <definedName name="_CBS1" localSheetId="7">#REF!</definedName>
    <definedName name="_CBS1">#REF!</definedName>
    <definedName name="_CBS2" localSheetId="7">#REF!</definedName>
    <definedName name="_CBS2">#REF!</definedName>
    <definedName name="_cip0306" localSheetId="7">#REF!</definedName>
    <definedName name="_cip0306">#REF!</definedName>
    <definedName name="_col1" localSheetId="7">#REF!</definedName>
    <definedName name="_col1">#REF!</definedName>
    <definedName name="_col10" localSheetId="7">#REF!</definedName>
    <definedName name="_col10">#REF!</definedName>
    <definedName name="_col11" localSheetId="7">#REF!</definedName>
    <definedName name="_col11">#REF!</definedName>
    <definedName name="_col12" localSheetId="7">#REF!</definedName>
    <definedName name="_col12">#REF!</definedName>
    <definedName name="_col13" localSheetId="7">#REF!</definedName>
    <definedName name="_col13">#REF!</definedName>
    <definedName name="_col2" localSheetId="7">#REF!</definedName>
    <definedName name="_col2">#REF!</definedName>
    <definedName name="_col3" localSheetId="7">#REF!</definedName>
    <definedName name="_col3">#REF!</definedName>
    <definedName name="_col4" localSheetId="7">#REF!</definedName>
    <definedName name="_col4">#REF!</definedName>
    <definedName name="_col5" localSheetId="7">#REF!</definedName>
    <definedName name="_col5">#REF!</definedName>
    <definedName name="_col6" localSheetId="7">#REF!</definedName>
    <definedName name="_col6">#REF!</definedName>
    <definedName name="_col7" localSheetId="7">#REF!</definedName>
    <definedName name="_col7">#REF!</definedName>
    <definedName name="_col8" localSheetId="7">#REF!</definedName>
    <definedName name="_col8">#REF!</definedName>
    <definedName name="_col9" localSheetId="7">#REF!</definedName>
    <definedName name="_col9">#REF!</definedName>
    <definedName name="_DAT1" localSheetId="7">#REF!</definedName>
    <definedName name="_DAT1">#REF!</definedName>
    <definedName name="_DAT10" localSheetId="7">#REF!</definedName>
    <definedName name="_DAT10">#REF!</definedName>
    <definedName name="_DAT11" localSheetId="7">#REF!</definedName>
    <definedName name="_DAT11">#REF!</definedName>
    <definedName name="_DAT12" localSheetId="7">[5]Sheet1!#REF!</definedName>
    <definedName name="_DAT12">[5]Sheet1!#REF!</definedName>
    <definedName name="_DAT13" localSheetId="7">'[4]DEP 0607'!#REF!</definedName>
    <definedName name="_DAT13">'[4]DEP 0607'!#REF!</definedName>
    <definedName name="_DAT14" localSheetId="7">'[4]DEP 0607'!#REF!</definedName>
    <definedName name="_DAT14">'[4]DEP 0607'!#REF!</definedName>
    <definedName name="_DAT15" localSheetId="8">#REF!</definedName>
    <definedName name="_DAT15" localSheetId="7">#REF!</definedName>
    <definedName name="_DAT15">#REF!</definedName>
    <definedName name="_DAT16" localSheetId="7">#REF!</definedName>
    <definedName name="_DAT16">#REF!</definedName>
    <definedName name="_DAT17" localSheetId="7">#REF!</definedName>
    <definedName name="_DAT17">#REF!</definedName>
    <definedName name="_DAT18" localSheetId="7">#REF!</definedName>
    <definedName name="_DAT18">#REF!</definedName>
    <definedName name="_DAT19" localSheetId="7">#REF!</definedName>
    <definedName name="_DAT19">#REF!</definedName>
    <definedName name="_DAT2" localSheetId="7">#REF!</definedName>
    <definedName name="_DAT2">#REF!</definedName>
    <definedName name="_DAT20" localSheetId="7">#REF!</definedName>
    <definedName name="_DAT20">#REF!</definedName>
    <definedName name="_DAT21" localSheetId="7">#REF!</definedName>
    <definedName name="_DAT21">#REF!</definedName>
    <definedName name="_DAT22" localSheetId="7">#REF!</definedName>
    <definedName name="_DAT22">#REF!</definedName>
    <definedName name="_DAT23" localSheetId="7">#REF!</definedName>
    <definedName name="_DAT23">#REF!</definedName>
    <definedName name="_DAT24" localSheetId="7">#REF!</definedName>
    <definedName name="_DAT24">#REF!</definedName>
    <definedName name="_DAT25" localSheetId="7">#REF!</definedName>
    <definedName name="_DAT25">#REF!</definedName>
    <definedName name="_DAT26" localSheetId="7">#REF!</definedName>
    <definedName name="_DAT26">#REF!</definedName>
    <definedName name="_DAT27" localSheetId="7">#REF!</definedName>
    <definedName name="_DAT27">#REF!</definedName>
    <definedName name="_DAT28" localSheetId="7">#REF!</definedName>
    <definedName name="_DAT28">#REF!</definedName>
    <definedName name="_DAT29" localSheetId="7">#REF!</definedName>
    <definedName name="_DAT29">#REF!</definedName>
    <definedName name="_DAT3" localSheetId="7">#REF!</definedName>
    <definedName name="_DAT3">#REF!</definedName>
    <definedName name="_dat30">'[21]total fixed assets'!$Q$2:$Q$7059</definedName>
    <definedName name="_DAT31" localSheetId="8">#REF!</definedName>
    <definedName name="_DAT31" localSheetId="7">#REF!</definedName>
    <definedName name="_DAT31">#REF!</definedName>
    <definedName name="_DAT32" localSheetId="7">#REF!</definedName>
    <definedName name="_DAT32">#REF!</definedName>
    <definedName name="_dat33">'[21]total fixed assets'!$T$2:$T$7059</definedName>
    <definedName name="_DAT34" localSheetId="8">#REF!</definedName>
    <definedName name="_DAT34" localSheetId="7">#REF!</definedName>
    <definedName name="_DAT34">#REF!</definedName>
    <definedName name="_dat35">'[21]total fixed assets'!$A$2:$A$7059</definedName>
    <definedName name="_DAT4" localSheetId="8">#REF!</definedName>
    <definedName name="_DAT4" localSheetId="7">#REF!</definedName>
    <definedName name="_DAT4">#REF!</definedName>
    <definedName name="_DAT5" localSheetId="7">#REF!</definedName>
    <definedName name="_DAT5">#REF!</definedName>
    <definedName name="_DAT6" localSheetId="7">#REF!</definedName>
    <definedName name="_DAT6">#REF!</definedName>
    <definedName name="_DAT7" localSheetId="7">#REF!</definedName>
    <definedName name="_DAT7">#REF!</definedName>
    <definedName name="_DAT8" localSheetId="7">#REF!</definedName>
    <definedName name="_DAT8">#REF!</definedName>
    <definedName name="_DAT9" localSheetId="7">#REF!</definedName>
    <definedName name="_DAT9">#REF!</definedName>
    <definedName name="_dev2" localSheetId="7">[22]BKCSTOCKVAL!#REF!</definedName>
    <definedName name="_dev2">[22]BKCSTOCKVAL!#REF!</definedName>
    <definedName name="_Fill" localSheetId="8" hidden="1">#REF!</definedName>
    <definedName name="_Fill" localSheetId="7" hidden="1">#REF!</definedName>
    <definedName name="_Fill" hidden="1">#REF!</definedName>
    <definedName name="_xlnm._FilterDatabase" localSheetId="7" hidden="1">#REF!</definedName>
    <definedName name="_xlnm._FilterDatabase" hidden="1">#REF!</definedName>
    <definedName name="_Key1" localSheetId="7" hidden="1">#REF!</definedName>
    <definedName name="_Key1" hidden="1">#REF!</definedName>
    <definedName name="_Key2" localSheetId="7" hidden="1">#REF!</definedName>
    <definedName name="_Key2" hidden="1">#REF!</definedName>
    <definedName name="_KEY3" localSheetId="7" hidden="1">#REF!</definedName>
    <definedName name="_KEY3" hidden="1">#REF!</definedName>
    <definedName name="_lll">#REF!</definedName>
    <definedName name="_MAR9091" localSheetId="7">'[11]TRIAL BALANCE'!#REF!</definedName>
    <definedName name="_MAR9091">'[11]TRIAL BALANCE'!#REF!</definedName>
    <definedName name="_may6" localSheetId="7">[10]VARA!#REF!</definedName>
    <definedName name="_may6">[10]VARA!#REF!</definedName>
    <definedName name="_may7" localSheetId="7">[10]VARA!#REF!</definedName>
    <definedName name="_may7">[10]VARA!#REF!</definedName>
    <definedName name="_may8" localSheetId="7">[10]VARA!#REF!</definedName>
    <definedName name="_may8">[10]VARA!#REF!</definedName>
    <definedName name="_Order1" hidden="1">255</definedName>
    <definedName name="_Order2" hidden="1">0</definedName>
    <definedName name="_Regression_X" localSheetId="7" hidden="1">#REF!</definedName>
    <definedName name="_Regression_X" hidden="1">#REF!</definedName>
    <definedName name="_sat1" localSheetId="7">#REF!</definedName>
    <definedName name="_sat1">#REF!</definedName>
    <definedName name="_SCH1" localSheetId="7">#REF!</definedName>
    <definedName name="_SCH1">#REF!</definedName>
    <definedName name="_SCH2" localSheetId="7">#REF!</definedName>
    <definedName name="_SCH2">#REF!</definedName>
    <definedName name="_SCH3" localSheetId="7">#REF!</definedName>
    <definedName name="_SCH3">#REF!</definedName>
    <definedName name="_sch4" localSheetId="7">#REF!</definedName>
    <definedName name="_sch4">#REF!</definedName>
    <definedName name="_Sort" localSheetId="7" hidden="1">#REF!</definedName>
    <definedName name="_Sort" hidden="1">#REF!</definedName>
    <definedName name="_VAR1" localSheetId="7">#REF!</definedName>
    <definedName name="_VAR1">#REF!</definedName>
    <definedName name="_VAR2" localSheetId="7">#REF!</definedName>
    <definedName name="_VAR2">#REF!</definedName>
    <definedName name="_VAR3" localSheetId="7">#REF!</definedName>
    <definedName name="_VAR3">#REF!</definedName>
    <definedName name="_VAR4" localSheetId="7">#REF!</definedName>
    <definedName name="_VAR4">#REF!</definedName>
    <definedName name="_VAR5" localSheetId="7">#REF!</definedName>
    <definedName name="_VAR5">#REF!</definedName>
    <definedName name="_VAR6" localSheetId="7">#REF!</definedName>
    <definedName name="_VAR6">#REF!</definedName>
    <definedName name="_VAR7" localSheetId="7">#REF!</definedName>
    <definedName name="_VAR7">#REF!</definedName>
    <definedName name="a" localSheetId="7">#REF!</definedName>
    <definedName name="a">#REF!</definedName>
    <definedName name="aa">'[23]May FA'!$A$2:$A$30</definedName>
    <definedName name="aaa" localSheetId="8" hidden="1">'[24]Sch 11-16'!#REF!</definedName>
    <definedName name="aaa" localSheetId="7" hidden="1">'[24]Sch 11-16'!#REF!</definedName>
    <definedName name="aaa" hidden="1">'[24]Sch 11-16'!#REF!</definedName>
    <definedName name="aaaa" localSheetId="8">#REF!</definedName>
    <definedName name="aaaa" localSheetId="7">#REF!</definedName>
    <definedName name="aaaa">#REF!</definedName>
    <definedName name="aaaaaaaa" localSheetId="7">#REF!</definedName>
    <definedName name="aaaaaaaa">#REF!</definedName>
    <definedName name="aaaaaaaaaaaa" localSheetId="7">[25]WORKINGS!#REF!</definedName>
    <definedName name="aaaaaaaaaaaa">[25]WORKINGS!#REF!</definedName>
    <definedName name="ABC" localSheetId="7" hidden="1">'[18]TRIAL BALANCE'!#REF!</definedName>
    <definedName name="ABC" hidden="1">'[18]TRIAL BALANCE'!#REF!</definedName>
    <definedName name="abstract" localSheetId="8">#REF!</definedName>
    <definedName name="abstract" localSheetId="7">#REF!</definedName>
    <definedName name="abstract">#REF!</definedName>
    <definedName name="Ad" localSheetId="7">#REF!</definedName>
    <definedName name="Ad">#REF!</definedName>
    <definedName name="Adarsh" localSheetId="7">#REF!</definedName>
    <definedName name="Adarsh">#REF!</definedName>
    <definedName name="Adas" localSheetId="7">#REF!</definedName>
    <definedName name="Adas">#REF!</definedName>
    <definedName name="adc" localSheetId="7">[26]base!#REF!</definedName>
    <definedName name="adc">[26]base!#REF!</definedName>
    <definedName name="adfsjl" localSheetId="8">#REF!</definedName>
    <definedName name="adfsjl" localSheetId="7">#REF!</definedName>
    <definedName name="adfsjl">#REF!</definedName>
    <definedName name="ads" localSheetId="8" hidden="1">{#N/A,#N/A,FALSE,"5"}</definedName>
    <definedName name="ads" localSheetId="6" hidden="1">{#N/A,#N/A,FALSE,"5"}</definedName>
    <definedName name="ads" localSheetId="7" hidden="1">{#N/A,#N/A,FALSE,"5"}</definedName>
    <definedName name="ads" hidden="1">{#N/A,#N/A,FALSE,"5"}</definedName>
    <definedName name="adv">[27]tb!$G$670:$O$697</definedName>
    <definedName name="affas" localSheetId="8">'[7]APP 2a'!#REF!</definedName>
    <definedName name="affas" localSheetId="7">'[7]APP 2a'!#REF!</definedName>
    <definedName name="affas">'[7]APP 2a'!#REF!</definedName>
    <definedName name="ahd">[28]Ahd!$A$1:$H$65536</definedName>
    <definedName name="AL" localSheetId="8">#REF!</definedName>
    <definedName name="AL" localSheetId="7">#REF!</definedName>
    <definedName name="AL">#REF!</definedName>
    <definedName name="ALPROJ" localSheetId="7">#REF!</definedName>
    <definedName name="ALPROJ">#REF!</definedName>
    <definedName name="ammm" localSheetId="7">'[29]ann 16'!#REF!</definedName>
    <definedName name="ammm">'[29]ann 16'!#REF!</definedName>
    <definedName name="ANKUR">#N/A</definedName>
    <definedName name="annex" localSheetId="7">'[29]ann 16'!#REF!</definedName>
    <definedName name="annex">'[29]ann 16'!#REF!</definedName>
    <definedName name="anp" localSheetId="8">#REF!</definedName>
    <definedName name="anp" localSheetId="7">#REF!</definedName>
    <definedName name="anp">#REF!</definedName>
    <definedName name="anscount" hidden="1">1</definedName>
    <definedName name="Anupam" localSheetId="8">#REF!</definedName>
    <definedName name="Anupam" localSheetId="7">#REF!</definedName>
    <definedName name="Anupam">#REF!</definedName>
    <definedName name="anupam123" localSheetId="7">#REF!</definedName>
    <definedName name="anupam123">#REF!</definedName>
    <definedName name="Anupam2" localSheetId="7">#REF!</definedName>
    <definedName name="Anupam2">#REF!</definedName>
    <definedName name="Anupam3" localSheetId="7">#REF!</definedName>
    <definedName name="Anupam3">#REF!</definedName>
    <definedName name="anupam4" localSheetId="7">#REF!</definedName>
    <definedName name="anupam4">#REF!</definedName>
    <definedName name="APCOM" localSheetId="7">#REF!</definedName>
    <definedName name="APCOM">#REF!</definedName>
    <definedName name="APPDT" localSheetId="7">#REF!</definedName>
    <definedName name="APPDT">#REF!</definedName>
    <definedName name="apr">[30]APR!$A$1:$AP$93</definedName>
    <definedName name="APRQUALITY" localSheetId="8">#REF!</definedName>
    <definedName name="APRQUALITY" localSheetId="7">#REF!</definedName>
    <definedName name="APRQUALITY">#REF!</definedName>
    <definedName name="are" localSheetId="7">#REF!</definedName>
    <definedName name="are">#REF!</definedName>
    <definedName name="as" localSheetId="7">#REF!</definedName>
    <definedName name="as">#REF!</definedName>
    <definedName name="AS2DocOpenMode" hidden="1">"AS2DocumentEdit"</definedName>
    <definedName name="AS2ReportLS" hidden="1">1</definedName>
    <definedName name="AS2SyncStepLS" hidden="1">0</definedName>
    <definedName name="AS2TickmarkLS" localSheetId="7" hidden="1">#REF!</definedName>
    <definedName name="AS2TickmarkLS" hidden="1">#REF!</definedName>
    <definedName name="AS2VersionLS" hidden="1">300</definedName>
    <definedName name="asap">'[31]FG030701 gm1007'!$A$2:$R$136</definedName>
    <definedName name="asd" localSheetId="8">#REF!</definedName>
    <definedName name="asd" localSheetId="7">#REF!</definedName>
    <definedName name="asd">#REF!</definedName>
    <definedName name="asdf" localSheetId="8" hidden="1">{#N/A,#N/A,FALSE,"4"}</definedName>
    <definedName name="asdf" localSheetId="6" hidden="1">{#N/A,#N/A,FALSE,"4"}</definedName>
    <definedName name="asdf" localSheetId="7" hidden="1">{#N/A,#N/A,FALSE,"4"}</definedName>
    <definedName name="asdf" hidden="1">{#N/A,#N/A,FALSE,"4"}</definedName>
    <definedName name="asdfa" localSheetId="8" hidden="1">{#N/A,#N/A,FALSE,"4"}</definedName>
    <definedName name="asdfa" localSheetId="6" hidden="1">{#N/A,#N/A,FALSE,"4"}</definedName>
    <definedName name="asdfa" localSheetId="7" hidden="1">{#N/A,#N/A,FALSE,"4"}</definedName>
    <definedName name="asdfa" hidden="1">{#N/A,#N/A,FALSE,"4"}</definedName>
    <definedName name="ASDFG" localSheetId="8" hidden="1">{#N/A,#N/A,FALSE,"4"}</definedName>
    <definedName name="ASDFG" localSheetId="6" hidden="1">{#N/A,#N/A,FALSE,"4"}</definedName>
    <definedName name="ASDFG" localSheetId="7" hidden="1">{#N/A,#N/A,FALSE,"4"}</definedName>
    <definedName name="ASDFG" hidden="1">{#N/A,#N/A,FALSE,"4"}</definedName>
    <definedName name="asds" localSheetId="8" hidden="1">{#N/A,#N/A,FALSE,"10"}</definedName>
    <definedName name="asds" localSheetId="6" hidden="1">{#N/A,#N/A,FALSE,"10"}</definedName>
    <definedName name="asds" localSheetId="7" hidden="1">{#N/A,#N/A,FALSE,"10"}</definedName>
    <definedName name="asds" hidden="1">{#N/A,#N/A,FALSE,"10"}</definedName>
    <definedName name="ASIA_PLASTIC_in_KUSD" localSheetId="8">#REF!</definedName>
    <definedName name="ASIA_PLASTIC_in_KUSD" localSheetId="7">#REF!</definedName>
    <definedName name="ASIA_PLASTIC_in_KUSD">#REF!</definedName>
    <definedName name="assetproj" localSheetId="7">#REF!</definedName>
    <definedName name="assetproj">#REF!</definedName>
    <definedName name="assets" localSheetId="7">#REF!</definedName>
    <definedName name="assets">#REF!</definedName>
    <definedName name="AssetTrans_T_AmountCur" localSheetId="7">#REF!</definedName>
    <definedName name="AssetTrans_T_AmountCur">#REF!</definedName>
    <definedName name="AssetTrans_T_AmountMST" localSheetId="7">#REF!</definedName>
    <definedName name="AssetTrans_T_AmountMST">#REF!</definedName>
    <definedName name="AssetTrans_T_ApprovedBy" localSheetId="7">#REF!</definedName>
    <definedName name="AssetTrans_T_ApprovedBy">#REF!</definedName>
    <definedName name="AssetTrans_T_AssetGroup" localSheetId="7">#REF!</definedName>
    <definedName name="AssetTrans_T_AssetGroup">#REF!</definedName>
    <definedName name="AssetTrans_T_AssetId" localSheetId="7">#REF!</definedName>
    <definedName name="AssetTrans_T_AssetId">#REF!</definedName>
    <definedName name="AssetTrans_T_BookId" localSheetId="7">#REF!</definedName>
    <definedName name="AssetTrans_T_BookId">#REF!</definedName>
    <definedName name="AssetTrans_T_ConsumptionQty" localSheetId="7">#REF!</definedName>
    <definedName name="AssetTrans_T_ConsumptionQty">#REF!</definedName>
    <definedName name="AssetTrans_T_CurrencyCode" localSheetId="7">#REF!</definedName>
    <definedName name="AssetTrans_T_CurrencyCode">#REF!</definedName>
    <definedName name="AssetTrans_T_Dimension" localSheetId="7">#REF!</definedName>
    <definedName name="AssetTrans_T_Dimension">#REF!</definedName>
    <definedName name="AssetTrans_T_PostingProfile" localSheetId="7">#REF!</definedName>
    <definedName name="AssetTrans_T_PostingProfile">#REF!</definedName>
    <definedName name="AssetTrans_T_ReserveTransferDone" localSheetId="7">#REF!</definedName>
    <definedName name="AssetTrans_T_ReserveTransferDone">#REF!</definedName>
    <definedName name="AssetTrans_T_RevaluationAmount" localSheetId="7">#REF!</definedName>
    <definedName name="AssetTrans_T_RevaluationAmount">#REF!</definedName>
    <definedName name="AssetTrans_T_RevaluationDone" localSheetId="7">#REF!</definedName>
    <definedName name="AssetTrans_T_RevaluationDone">#REF!</definedName>
    <definedName name="AssetTrans_T_RevaluationTrans" localSheetId="7">#REF!</definedName>
    <definedName name="AssetTrans_T_RevaluationTrans">#REF!</definedName>
    <definedName name="AssetTrans_T_Section179Trans" localSheetId="7">#REF!</definedName>
    <definedName name="AssetTrans_T_Section179Trans">#REF!</definedName>
    <definedName name="AssetTrans_T_TransDate" localSheetId="7">#REF!</definedName>
    <definedName name="AssetTrans_T_TransDate">#REF!</definedName>
    <definedName name="AssetTrans_T_TransType" localSheetId="7">#REF!</definedName>
    <definedName name="AssetTrans_T_TransType">#REF!</definedName>
    <definedName name="AssetTrans_T_Txt" localSheetId="7">#REF!</definedName>
    <definedName name="AssetTrans_T_Txt">#REF!</definedName>
    <definedName name="AssetTrans_T_Voucher" localSheetId="7">#REF!</definedName>
    <definedName name="AssetTrans_T_Voucher">#REF!</definedName>
    <definedName name="AsstYr">[32]Masters!$C$34</definedName>
    <definedName name="aug">[30]AUG!$A$1:$AP$116</definedName>
    <definedName name="awlp" localSheetId="8">#REF!</definedName>
    <definedName name="awlp" localSheetId="7">#REF!</definedName>
    <definedName name="awlp">#REF!</definedName>
    <definedName name="axedoc" localSheetId="7">#REF!</definedName>
    <definedName name="axedoc">#REF!</definedName>
    <definedName name="b" localSheetId="7">#REF!</definedName>
    <definedName name="b">#REF!</definedName>
    <definedName name="B_1" localSheetId="7">#REF!</definedName>
    <definedName name="B_1">#REF!</definedName>
    <definedName name="B_2" localSheetId="7">#REF!</definedName>
    <definedName name="B_2">#REF!</definedName>
    <definedName name="B_3" localSheetId="7">#REF!</definedName>
    <definedName name="B_3">#REF!</definedName>
    <definedName name="B_RANGE" localSheetId="7">#REF!</definedName>
    <definedName name="B_RANGE">#REF!</definedName>
    <definedName name="BAL" localSheetId="7">#REF!</definedName>
    <definedName name="BAL">#REF!</definedName>
    <definedName name="balancesheet" localSheetId="7">[33]NotesSubsidiaryInformation_1!#REF!</definedName>
    <definedName name="balancesheet">[33]NotesSubsidiaryInformation_1!#REF!</definedName>
    <definedName name="ballal">[34]Rates!$A$99:$I$156</definedName>
    <definedName name="Balsht" localSheetId="8">#REF!</definedName>
    <definedName name="Balsht" localSheetId="7">#REF!</definedName>
    <definedName name="Balsht">#REF!</definedName>
    <definedName name="bankfinance" localSheetId="7">#REF!</definedName>
    <definedName name="bankfinance">#REF!</definedName>
    <definedName name="BB">[35]BB!$A$1:$J$54</definedName>
    <definedName name="BB_RANGE" localSheetId="8">#REF!</definedName>
    <definedName name="BB_RANGE" localSheetId="7">#REF!</definedName>
    <definedName name="BB_RANGE">#REF!</definedName>
    <definedName name="BBB_RANGE" localSheetId="7">#REF!</definedName>
    <definedName name="BBB_RANGE">#REF!</definedName>
    <definedName name="bg" localSheetId="7">#REF!</definedName>
    <definedName name="bg">#REF!</definedName>
    <definedName name="BG_Del" hidden="1">15</definedName>
    <definedName name="BG_Ins" hidden="1">4</definedName>
    <definedName name="BG_Mod" hidden="1">6</definedName>
    <definedName name="bharat" localSheetId="8">#REF!</definedName>
    <definedName name="bharat" localSheetId="7">#REF!</definedName>
    <definedName name="bharat">#REF!</definedName>
    <definedName name="bl" localSheetId="7">#REF!</definedName>
    <definedName name="bl">#REF!</definedName>
    <definedName name="block2">#REF!</definedName>
    <definedName name="bmbmb" localSheetId="7">#REF!</definedName>
    <definedName name="bmbmb">#REF!</definedName>
    <definedName name="bng">[28]bng!$A$1:$H$65536</definedName>
    <definedName name="bnm">'[36]Balance Sheet'!$O$1</definedName>
    <definedName name="bod" localSheetId="8">[37]PNLBS!#REF!</definedName>
    <definedName name="bod" localSheetId="7">[37]PNLBS!#REF!</definedName>
    <definedName name="bod">[37]PNLBS!#REF!</definedName>
    <definedName name="Boolean">[38]Lists!$B$14:$C$14</definedName>
    <definedName name="BRANCHES" localSheetId="8">#REF!</definedName>
    <definedName name="BRANCHES" localSheetId="7">#REF!</definedName>
    <definedName name="BRANCHES">#REF!</definedName>
    <definedName name="BS" localSheetId="7">#REF!</definedName>
    <definedName name="BS">#REF!</definedName>
    <definedName name="BS_D" localSheetId="7">'[39]Sch F to M'!#REF!</definedName>
    <definedName name="BS_D">'[39]Sch F to M'!#REF!</definedName>
    <definedName name="BS_G" localSheetId="8">#REF!</definedName>
    <definedName name="BS_G" localSheetId="7">#REF!</definedName>
    <definedName name="BS_G">#REF!</definedName>
    <definedName name="BS_H">[40]BS1!$A$3:$K$69</definedName>
    <definedName name="BSDATA" localSheetId="8">#REF!</definedName>
    <definedName name="BSDATA" localSheetId="7">#REF!</definedName>
    <definedName name="BSDATA">#REF!</definedName>
    <definedName name="BSDateSF">[32]Masters!$C$28</definedName>
    <definedName name="BSHT" localSheetId="8">#REF!</definedName>
    <definedName name="BSHT" localSheetId="7">#REF!</definedName>
    <definedName name="BSHT">#REF!</definedName>
    <definedName name="BSIVA">'[41]NSV N KGs'!$A$3:$O$72</definedName>
    <definedName name="BSPRN" localSheetId="8">#REF!</definedName>
    <definedName name="BSPRN" localSheetId="7">#REF!</definedName>
    <definedName name="BSPRN">#REF!</definedName>
    <definedName name="bss" localSheetId="7">#REF!</definedName>
    <definedName name="bss">#REF!</definedName>
    <definedName name="bt3t6">#REF!</definedName>
    <definedName name="Budgeted_Figures">"as"</definedName>
    <definedName name="Budgetthismonth">'[42]SUMMARY SHEET- Mike Report'!$C$3</definedName>
    <definedName name="BuiltIn_Print_Area___0" localSheetId="8">#REF!</definedName>
    <definedName name="BuiltIn_Print_Area___0" localSheetId="7">#REF!</definedName>
    <definedName name="BuiltIn_Print_Area___0">#REF!</definedName>
    <definedName name="C_" localSheetId="7">#REF!</definedName>
    <definedName name="C_">#REF!</definedName>
    <definedName name="cacl" localSheetId="7">#REF!</definedName>
    <definedName name="cacl">#REF!</definedName>
    <definedName name="can" localSheetId="7">#REF!</definedName>
    <definedName name="can">#REF!</definedName>
    <definedName name="CAPWIP">[27]tb!$G$46:$P$56</definedName>
    <definedName name="CASH" localSheetId="8">#REF!</definedName>
    <definedName name="CASH" localSheetId="7">#REF!</definedName>
    <definedName name="CASH">#REF!</definedName>
    <definedName name="CashFlow" localSheetId="7">#REF!</definedName>
    <definedName name="CashFlow">#REF!</definedName>
    <definedName name="cashflow2" localSheetId="8" hidden="1">{#N/A,#N/A,FALSE,"10"}</definedName>
    <definedName name="cashflow2" localSheetId="6" hidden="1">{#N/A,#N/A,FALSE,"10"}</definedName>
    <definedName name="cashflow2" localSheetId="7" hidden="1">{#N/A,#N/A,FALSE,"10"}</definedName>
    <definedName name="cashflow2" hidden="1">{#N/A,#N/A,FALSE,"10"}</definedName>
    <definedName name="cbe">[28]cbe!$A$1:$H$65536</definedName>
    <definedName name="CBS" localSheetId="8">#REF!</definedName>
    <definedName name="CBS" localSheetId="7">#REF!</definedName>
    <definedName name="CBS">#REF!</definedName>
    <definedName name="CCCC" localSheetId="7">#REF!</definedName>
    <definedName name="CCCC">#REF!</definedName>
    <definedName name="cde" localSheetId="8" hidden="1">{TRUE,TRUE,-1.25,-15.5,484.5,276.75,FALSE,FALSE,TRUE,TRUE,0,11,#N/A,641,#N/A,7.16304347826087,18.4666666666667,1,FALSE,FALSE,3,TRUE,1,FALSE,75,"Swvu.otr.","ACwvu.otr.",#N/A,FALSE,FALSE,0.54,0.5,0.53,0.25,1,"","",FALSE,FALSE,FALSE,FALSE,1,61,#N/A,#N/A,"=R280C12:R779C19",FALSE,"Rwvu.otr.","Cwvu.otr.",FALSE,FALSE,TRUE,1,180,180,FALSE,FALSE,TRUE,TRUE,TRUE}</definedName>
    <definedName name="cde" localSheetId="6" hidden="1">{TRUE,TRUE,-1.25,-15.5,484.5,276.75,FALSE,FALSE,TRUE,TRUE,0,11,#N/A,641,#N/A,7.16304347826087,18.4666666666667,1,FALSE,FALSE,3,TRUE,1,FALSE,75,"Swvu.otr.","ACwvu.otr.",#N/A,FALSE,FALSE,0.54,0.5,0.53,0.25,1,"","",FALSE,FALSE,FALSE,FALSE,1,61,#N/A,#N/A,"=R280C12:R779C19",FALSE,"Rwvu.otr.","Cwvu.otr.",FALSE,FALSE,TRUE,1,180,180,FALSE,FALSE,TRUE,TRUE,TRUE}</definedName>
    <definedName name="cde" localSheetId="7" hidden="1">{TRUE,TRUE,-1.25,-15.5,484.5,276.75,FALSE,FALSE,TRUE,TRUE,0,11,#N/A,641,#N/A,7.16304347826087,18.4666666666667,1,FALSE,FALSE,3,TRUE,1,FALSE,75,"Swvu.otr.","ACwvu.otr.",#N/A,FALSE,FALSE,0.54,0.5,0.53,0.25,1,"","",FALSE,FALSE,FALSE,FALSE,1,61,#N/A,#N/A,"=R280C12:R779C19",FALSE,"Rwvu.otr.","Cwvu.otr.",FALSE,FALSE,TRUE,1,180,180,FALSE,FALSE,TRUE,TRUE,TRUE}</definedName>
    <definedName name="cde" hidden="1">{TRUE,TRUE,-1.25,-15.5,484.5,276.75,FALSE,FALSE,TRUE,TRUE,0,11,#N/A,641,#N/A,7.16304347826087,18.4666666666667,1,FALSE,FALSE,3,TRUE,1,FALSE,75,"Swvu.otr.","ACwvu.otr.",#N/A,FALSE,FALSE,0.54,0.5,0.53,0.25,1,"","",FALSE,FALSE,FALSE,FALSE,1,61,#N/A,#N/A,"=R280C12:R779C19",FALSE,"Rwvu.otr.","Cwvu.otr.",FALSE,FALSE,TRUE,1,180,180,FALSE,FALSE,TRUE,TRUE,TRUE}</definedName>
    <definedName name="CDWS" localSheetId="8">#REF!</definedName>
    <definedName name="CDWS" localSheetId="7">#REF!</definedName>
    <definedName name="CDWS">#REF!</definedName>
    <definedName name="CFS" localSheetId="7">#REF!</definedName>
    <definedName name="CFS">#REF!</definedName>
    <definedName name="ChallanDatabase">[43]Challan!$A$7:$S$77</definedName>
    <definedName name="ChargeableTo41">[44]Codes!$C$386:$C$392</definedName>
    <definedName name="che">[28]che!$A$1:$H$65536</definedName>
    <definedName name="CHHANELS" localSheetId="8" hidden="1">{TRUE,TRUE,-1.25,-15.5,484.5,276.75,FALSE,FALSE,TRUE,TRUE,0,11,#N/A,641,#N/A,7.16304347826087,18.4666666666667,1,FALSE,FALSE,3,TRUE,1,FALSE,75,"Swvu.otr.","ACwvu.otr.",#N/A,FALSE,FALSE,0.54,0.5,0.53,0.25,1,"","",FALSE,FALSE,FALSE,FALSE,1,61,#N/A,#N/A,"=R280C12:R779C19",FALSE,"Rwvu.otr.","Cwvu.otr.",FALSE,FALSE,TRUE,1,180,180,FALSE,FALSE,TRUE,TRUE,TRUE}</definedName>
    <definedName name="CHHANELS" localSheetId="6" hidden="1">{TRUE,TRUE,-1.25,-15.5,484.5,276.75,FALSE,FALSE,TRUE,TRUE,0,11,#N/A,641,#N/A,7.16304347826087,18.4666666666667,1,FALSE,FALSE,3,TRUE,1,FALSE,75,"Swvu.otr.","ACwvu.otr.",#N/A,FALSE,FALSE,0.54,0.5,0.53,0.25,1,"","",FALSE,FALSE,FALSE,FALSE,1,61,#N/A,#N/A,"=R280C12:R779C19",FALSE,"Rwvu.otr.","Cwvu.otr.",FALSE,FALSE,TRUE,1,180,180,FALSE,FALSE,TRUE,TRUE,TRUE}</definedName>
    <definedName name="CHHANELS" localSheetId="7" hidden="1">{TRUE,TRUE,-1.25,-15.5,484.5,276.75,FALSE,FALSE,TRUE,TRUE,0,11,#N/A,641,#N/A,7.16304347826087,18.4666666666667,1,FALSE,FALSE,3,TRUE,1,FALSE,75,"Swvu.otr.","ACwvu.otr.",#N/A,FALSE,FALSE,0.54,0.5,0.53,0.25,1,"","",FALSE,FALSE,FALSE,FALSE,1,61,#N/A,#N/A,"=R280C12:R779C19",FALSE,"Rwvu.otr.","Cwvu.otr.",FALSE,FALSE,TRUE,1,180,180,FALSE,FALSE,TRUE,TRUE,TRUE}</definedName>
    <definedName name="CHHANELS" hidden="1">{TRUE,TRUE,-1.25,-15.5,484.5,276.75,FALSE,FALSE,TRUE,TRUE,0,11,#N/A,641,#N/A,7.16304347826087,18.4666666666667,1,FALSE,FALSE,3,TRUE,1,FALSE,75,"Swvu.otr.","ACwvu.otr.",#N/A,FALSE,FALSE,0.54,0.5,0.53,0.25,1,"","",FALSE,FALSE,FALSE,FALSE,1,61,#N/A,#N/A,"=R280C12:R779C19",FALSE,"Rwvu.otr.","Cwvu.otr.",FALSE,FALSE,TRUE,1,180,180,FALSE,FALSE,TRUE,TRUE,TRUE}</definedName>
    <definedName name="CHINA_PLASTIC_in_KUSD" localSheetId="8">#REF!</definedName>
    <definedName name="CHINA_PLASTIC_in_KUSD" localSheetId="7">#REF!</definedName>
    <definedName name="CHINA_PLASTIC_in_KUSD">#REF!</definedName>
    <definedName name="CINSubsidiary" localSheetId="8">[38]NotesSubsidiaryInformation_1!#REF!</definedName>
    <definedName name="CINSubsidiary" localSheetId="7">[38]NotesSubsidiaryInformation_1!#REF!</definedName>
    <definedName name="CINSubsidiary">[38]NotesSubsidiaryInformation_1!#REF!</definedName>
    <definedName name="CKGL" localSheetId="8">#REF!</definedName>
    <definedName name="CKGL" localSheetId="7">#REF!</definedName>
    <definedName name="CKGL">#REF!</definedName>
    <definedName name="CKKL" localSheetId="7">#REF!</definedName>
    <definedName name="CKKL">#REF!</definedName>
    <definedName name="class" localSheetId="7">#REF!</definedName>
    <definedName name="class">#REF!</definedName>
    <definedName name="ClassOfDebenture">[38]Lists!$B$2:$D$2</definedName>
    <definedName name="cmb_PAGH2.StateCode">[45]GENERAL2!$E$47:$E$82</definedName>
    <definedName name="CoAdd">[46]Masters!$C$4</definedName>
    <definedName name="COALMILL">[47]Const_and_macro!#REF!</definedName>
    <definedName name="Code" localSheetId="8">#REF!</definedName>
    <definedName name="Code" localSheetId="7">#REF!</definedName>
    <definedName name="Code">#REF!</definedName>
    <definedName name="coh">[28]coh!$A$1:$H$65536</definedName>
    <definedName name="COM" localSheetId="8">#REF!</definedName>
    <definedName name="COM" localSheetId="7">#REF!</definedName>
    <definedName name="COM">#REF!</definedName>
    <definedName name="CON" localSheetId="7">#REF!</definedName>
    <definedName name="CON">#REF!</definedName>
    <definedName name="CoName">[32]Masters!$C$3</definedName>
    <definedName name="CONM" localSheetId="8">#REF!</definedName>
    <definedName name="CONM" localSheetId="7">#REF!</definedName>
    <definedName name="CONM">#REF!</definedName>
    <definedName name="cons_ana_tapo_master_test" localSheetId="7">#REF!</definedName>
    <definedName name="cons_ana_tapo_master_test">#REF!</definedName>
    <definedName name="cons_itm_tapo_master_test" localSheetId="7">#REF!</definedName>
    <definedName name="cons_itm_tapo_master_test">#REF!</definedName>
    <definedName name="consol" localSheetId="7">#REF!</definedName>
    <definedName name="consol">#REF!</definedName>
    <definedName name="CONTFUND" localSheetId="7">'[48]Wrk-EmpBen'!#REF!</definedName>
    <definedName name="CONTFUND">'[48]Wrk-EmpBen'!#REF!</definedName>
    <definedName name="COR" localSheetId="8">#REF!</definedName>
    <definedName name="COR" localSheetId="7">#REF!</definedName>
    <definedName name="COR">#REF!</definedName>
    <definedName name="CORP" localSheetId="7">#REF!</definedName>
    <definedName name="CORP">#REF!</definedName>
    <definedName name="COS">'[35]20'!$A$1:$J$21</definedName>
    <definedName name="COST" localSheetId="8">#REF!</definedName>
    <definedName name="COST" localSheetId="7">#REF!</definedName>
    <definedName name="COST">#REF!</definedName>
    <definedName name="cost_calcn" localSheetId="7">#REF!</definedName>
    <definedName name="cost_calcn">#REF!</definedName>
    <definedName name="CoStatus">[32]Masters!$C$7</definedName>
    <definedName name="Country">[38]Lists!$B$22:$IM$22</definedName>
    <definedName name="CP_NEW">[47]Const_and_macro!#REF!</definedName>
    <definedName name="CP_OLD">[47]Const_and_macro!#REF!</definedName>
    <definedName name="CPEN" localSheetId="8">#REF!</definedName>
    <definedName name="CPEN" localSheetId="7">#REF!</definedName>
    <definedName name="CPEN">#REF!</definedName>
    <definedName name="cpltdproj" localSheetId="7">#REF!</definedName>
    <definedName name="cpltdproj">#REF!</definedName>
    <definedName name="_xlnm.Criteria" localSheetId="7">[49]STAT!#REF!</definedName>
    <definedName name="_xlnm.Criteria">[49]STAT!#REF!</definedName>
    <definedName name="cru" localSheetId="8">#REF!</definedName>
    <definedName name="cru" localSheetId="7">#REF!</definedName>
    <definedName name="cru">#REF!</definedName>
    <definedName name="crupro" localSheetId="7">#REF!</definedName>
    <definedName name="crupro">#REF!</definedName>
    <definedName name="crush" localSheetId="7">[50]WORKINGS!#REF!</definedName>
    <definedName name="crush">[50]WORKINGS!#REF!</definedName>
    <definedName name="CRUSHER" localSheetId="8">#REF!</definedName>
    <definedName name="CRUSHER" localSheetId="7">#REF!</definedName>
    <definedName name="CRUSHER">#REF!</definedName>
    <definedName name="CRUSHERPRODUCTION" localSheetId="7">#REF!</definedName>
    <definedName name="CRUSHERPRODUCTION">#REF!</definedName>
    <definedName name="CS" localSheetId="7">#REF!</definedName>
    <definedName name="CS">#REF!</definedName>
    <definedName name="CTHN" localSheetId="7">#REF!</definedName>
    <definedName name="CTHN">#REF!</definedName>
    <definedName name="cur_mth" localSheetId="7">#REF!</definedName>
    <definedName name="cur_mth">#REF!</definedName>
    <definedName name="Currency">[38]Lists!$B$23:$FI$23</definedName>
    <definedName name="current_ye">[51]Help!$E$2</definedName>
    <definedName name="currmnth" localSheetId="8">#REF!</definedName>
    <definedName name="currmnth" localSheetId="7">#REF!</definedName>
    <definedName name="currmnth">#REF!</definedName>
    <definedName name="cus" localSheetId="7">#REF!</definedName>
    <definedName name="cus">#REF!</definedName>
    <definedName name="customer">[52]Sheet2!$A$2:$A$200</definedName>
    <definedName name="cy_ad">'[53]Notes to cash flow pt. 1'!$D$67</definedName>
    <definedName name="cy_cefi">'[53]Notes to cash flow pt. 1'!$D$55</definedName>
    <definedName name="cy_curr_cred">'[51]Balance Sheet'!$D$20</definedName>
    <definedName name="cy_debtors">'[51]Balance Sheet'!$D$15</definedName>
    <definedName name="cy_fin">'[53]Notes to cash flow pt. 1'!$D$98</definedName>
    <definedName name="cy_long_cred">'[51]Balance Sheet'!$D$23</definedName>
    <definedName name="cy_mlr">'[53]Notes to cash flow pt. 1'!$D$78</definedName>
    <definedName name="cy_nci_op_prof">'[53]Notes to cash flow pt. 1'!$D$18</definedName>
    <definedName name="cy_roisf">'[53]Notes to cash flow pt. 1'!$D$32</definedName>
    <definedName name="cy_stock">'[51]Balance Sheet'!$D$14</definedName>
    <definedName name="cy_tax">'[53]Notes to cash flow pt. 1'!$D$42</definedName>
    <definedName name="cy_tb_rprofit">'[51]Balance Sheet'!$D$40</definedName>
    <definedName name="CYCLONE">[47]Const_and_macro!#REF!</definedName>
    <definedName name="d" localSheetId="8">#REF!</definedName>
    <definedName name="d" localSheetId="7">#REF!</definedName>
    <definedName name="d">#REF!</definedName>
    <definedName name="D2P" localSheetId="7">#REF!</definedName>
    <definedName name="D2P">#REF!</definedName>
    <definedName name="D2T" localSheetId="7">#REF!</definedName>
    <definedName name="D2T">#REF!</definedName>
    <definedName name="Da" localSheetId="7">#REF!</definedName>
    <definedName name="Da">#REF!</definedName>
    <definedName name="DAT" localSheetId="7">#REF!</definedName>
    <definedName name="DAT">#REF!</definedName>
    <definedName name="data" localSheetId="7">#REF!</definedName>
    <definedName name="data">#REF!</definedName>
    <definedName name="DATA1">'[54]Data Sheet'!$B$1:$P$96</definedName>
    <definedName name="DATA10" localSheetId="8">#REF!</definedName>
    <definedName name="DATA10" localSheetId="7">#REF!</definedName>
    <definedName name="DATA10">#REF!</definedName>
    <definedName name="DATA11">'[55]ICICI &amp; TMBL interest'!$J$4:$J$28</definedName>
    <definedName name="DATA12" localSheetId="8">#REF!</definedName>
    <definedName name="DATA12" localSheetId="7">#REF!</definedName>
    <definedName name="DATA12">#REF!</definedName>
    <definedName name="DATA13" localSheetId="7">#REF!</definedName>
    <definedName name="DATA13">#REF!</definedName>
    <definedName name="DATA14" localSheetId="7">#REF!</definedName>
    <definedName name="DATA14">#REF!</definedName>
    <definedName name="DATA15" localSheetId="7">#REF!</definedName>
    <definedName name="DATA15">#REF!</definedName>
    <definedName name="DATA16" localSheetId="7">#REF!</definedName>
    <definedName name="DATA16">#REF!</definedName>
    <definedName name="DATA17" localSheetId="7">#REF!</definedName>
    <definedName name="DATA17">#REF!</definedName>
    <definedName name="DATA18" localSheetId="7">#REF!</definedName>
    <definedName name="DATA18">#REF!</definedName>
    <definedName name="DATA19" localSheetId="7">#REF!</definedName>
    <definedName name="DATA19">#REF!</definedName>
    <definedName name="data2" localSheetId="7">'[56]Data Sheet'!#REF!</definedName>
    <definedName name="data2">'[56]Data Sheet'!#REF!</definedName>
    <definedName name="DATA20" localSheetId="8">#REF!</definedName>
    <definedName name="DATA20" localSheetId="7">#REF!</definedName>
    <definedName name="DATA20">#REF!</definedName>
    <definedName name="DATA21" localSheetId="7">#REF!</definedName>
    <definedName name="DATA21">#REF!</definedName>
    <definedName name="DATA22" localSheetId="7">#REF!</definedName>
    <definedName name="DATA22">#REF!</definedName>
    <definedName name="DATA23" localSheetId="7">[57]Sheet1!#REF!</definedName>
    <definedName name="DATA23">[57]Sheet1!#REF!</definedName>
    <definedName name="DATA24" localSheetId="7">[57]Sheet1!#REF!</definedName>
    <definedName name="DATA24">[57]Sheet1!#REF!</definedName>
    <definedName name="DATA25" localSheetId="7">[57]Sheet1!#REF!</definedName>
    <definedName name="DATA25">[57]Sheet1!#REF!</definedName>
    <definedName name="DATA26" localSheetId="7">[57]Sheet1!#REF!</definedName>
    <definedName name="DATA26">[57]Sheet1!#REF!</definedName>
    <definedName name="DATA27" localSheetId="7">[57]Sheet1!#REF!</definedName>
    <definedName name="DATA27">[57]Sheet1!#REF!</definedName>
    <definedName name="DATA28" localSheetId="7">[57]Sheet1!#REF!</definedName>
    <definedName name="DATA28">[57]Sheet1!#REF!</definedName>
    <definedName name="DATA29" localSheetId="7">[57]Sheet1!#REF!</definedName>
    <definedName name="DATA29">[57]Sheet1!#REF!</definedName>
    <definedName name="DATA3" localSheetId="8">#REF!</definedName>
    <definedName name="DATA3" localSheetId="7">#REF!</definedName>
    <definedName name="DATA3">#REF!</definedName>
    <definedName name="DATA30" localSheetId="8">[57]Sheet1!#REF!</definedName>
    <definedName name="DATA30" localSheetId="7">[57]Sheet1!#REF!</definedName>
    <definedName name="DATA30">[57]Sheet1!#REF!</definedName>
    <definedName name="DATA31" localSheetId="7">[57]Sheet1!#REF!</definedName>
    <definedName name="DATA31">[57]Sheet1!#REF!</definedName>
    <definedName name="DATA32" localSheetId="7">[57]Sheet1!#REF!</definedName>
    <definedName name="DATA32">[57]Sheet1!#REF!</definedName>
    <definedName name="DATA33" localSheetId="7">[57]Sheet1!#REF!</definedName>
    <definedName name="DATA33">[57]Sheet1!#REF!</definedName>
    <definedName name="DATA34" localSheetId="7">[57]Sheet1!#REF!</definedName>
    <definedName name="DATA34">[57]Sheet1!#REF!</definedName>
    <definedName name="DATA35" localSheetId="7">[57]Sheet1!#REF!</definedName>
    <definedName name="DATA35">[57]Sheet1!#REF!</definedName>
    <definedName name="DATA36" localSheetId="7">[57]Sheet1!#REF!</definedName>
    <definedName name="DATA36">[57]Sheet1!#REF!</definedName>
    <definedName name="DATA37" localSheetId="7">[57]Sheet1!#REF!</definedName>
    <definedName name="DATA37">[57]Sheet1!#REF!</definedName>
    <definedName name="DATA38" localSheetId="7">[57]Sheet1!#REF!</definedName>
    <definedName name="DATA38">[57]Sheet1!#REF!</definedName>
    <definedName name="DATA39" localSheetId="8">#REF!</definedName>
    <definedName name="DATA39" localSheetId="7">#REF!</definedName>
    <definedName name="DATA39">#REF!</definedName>
    <definedName name="DATA4">[58]Subscription!$D$2:$D$171</definedName>
    <definedName name="DATA40" localSheetId="8">#REF!</definedName>
    <definedName name="DATA40" localSheetId="7">#REF!</definedName>
    <definedName name="DATA40">#REF!</definedName>
    <definedName name="DATA41" localSheetId="7">#REF!</definedName>
    <definedName name="DATA41">#REF!</definedName>
    <definedName name="DATA42" localSheetId="7">#REF!</definedName>
    <definedName name="DATA42">#REF!</definedName>
    <definedName name="DATA43" localSheetId="7">#REF!</definedName>
    <definedName name="DATA43">#REF!</definedName>
    <definedName name="DATA44" localSheetId="7">#REF!</definedName>
    <definedName name="DATA44">#REF!</definedName>
    <definedName name="DATA45" localSheetId="7">#REF!</definedName>
    <definedName name="DATA45">#REF!</definedName>
    <definedName name="DATA46" localSheetId="7">#REF!</definedName>
    <definedName name="DATA46">#REF!</definedName>
    <definedName name="DATA47" localSheetId="7">#REF!</definedName>
    <definedName name="DATA47">#REF!</definedName>
    <definedName name="DATA48" localSheetId="7">#REF!</definedName>
    <definedName name="DATA48">#REF!</definedName>
    <definedName name="DATA49" localSheetId="7">#REF!</definedName>
    <definedName name="DATA49">#REF!</definedName>
    <definedName name="DATA5" localSheetId="7">#REF!</definedName>
    <definedName name="DATA5">#REF!</definedName>
    <definedName name="DATA50" localSheetId="7">#REF!</definedName>
    <definedName name="DATA50">#REF!</definedName>
    <definedName name="DATA51" localSheetId="7">#REF!</definedName>
    <definedName name="DATA51">#REF!</definedName>
    <definedName name="DATA52" localSheetId="7">#REF!</definedName>
    <definedName name="DATA52">#REF!</definedName>
    <definedName name="DATA53" localSheetId="7">#REF!</definedName>
    <definedName name="DATA53">#REF!</definedName>
    <definedName name="DATA54" localSheetId="7">#REF!</definedName>
    <definedName name="DATA54">#REF!</definedName>
    <definedName name="DATA55" localSheetId="7">#REF!</definedName>
    <definedName name="DATA55">#REF!</definedName>
    <definedName name="DATA56" localSheetId="7">#REF!</definedName>
    <definedName name="DATA56">#REF!</definedName>
    <definedName name="DATA57" localSheetId="7">#REF!</definedName>
    <definedName name="DATA57">#REF!</definedName>
    <definedName name="DATA58" localSheetId="7">#REF!</definedName>
    <definedName name="DATA58">#REF!</definedName>
    <definedName name="DATA59" localSheetId="7">#REF!</definedName>
    <definedName name="DATA59">#REF!</definedName>
    <definedName name="DATA6" localSheetId="7">#REF!</definedName>
    <definedName name="DATA6">#REF!</definedName>
    <definedName name="DATA60" localSheetId="7">#REF!</definedName>
    <definedName name="DATA60">#REF!</definedName>
    <definedName name="DATA61" localSheetId="7">#REF!</definedName>
    <definedName name="DATA61">#REF!</definedName>
    <definedName name="DATA62" localSheetId="7">#REF!</definedName>
    <definedName name="DATA62">#REF!</definedName>
    <definedName name="DATA63" localSheetId="7">#REF!</definedName>
    <definedName name="DATA63">#REF!</definedName>
    <definedName name="DATA64" localSheetId="7">#REF!</definedName>
    <definedName name="DATA64">#REF!</definedName>
    <definedName name="DATA65" localSheetId="7">#REF!</definedName>
    <definedName name="DATA65">#REF!</definedName>
    <definedName name="DATA66" localSheetId="7">#REF!</definedName>
    <definedName name="DATA66">#REF!</definedName>
    <definedName name="DATA67" localSheetId="7">#REF!</definedName>
    <definedName name="DATA67">#REF!</definedName>
    <definedName name="DATA68" localSheetId="7">#REF!</definedName>
    <definedName name="DATA68">#REF!</definedName>
    <definedName name="DATA69" localSheetId="7">#REF!</definedName>
    <definedName name="DATA69">#REF!</definedName>
    <definedName name="DATA7" localSheetId="7">#REF!</definedName>
    <definedName name="DATA7">#REF!</definedName>
    <definedName name="DATA70" localSheetId="7">#REF!</definedName>
    <definedName name="DATA70">#REF!</definedName>
    <definedName name="DATA71" localSheetId="7">#REF!</definedName>
    <definedName name="DATA71">#REF!</definedName>
    <definedName name="DATA72" localSheetId="7">#REF!</definedName>
    <definedName name="DATA72">#REF!</definedName>
    <definedName name="DATA73" localSheetId="7">#REF!</definedName>
    <definedName name="DATA73">#REF!</definedName>
    <definedName name="DATA74" localSheetId="7">#REF!</definedName>
    <definedName name="DATA74">#REF!</definedName>
    <definedName name="DATA75" localSheetId="7">#REF!</definedName>
    <definedName name="DATA75">#REF!</definedName>
    <definedName name="DATA76" localSheetId="7">#REF!</definedName>
    <definedName name="DATA76">#REF!</definedName>
    <definedName name="DATA77" localSheetId="7">#REF!</definedName>
    <definedName name="DATA77">#REF!</definedName>
    <definedName name="DATA78" localSheetId="7">#REF!</definedName>
    <definedName name="DATA78">#REF!</definedName>
    <definedName name="DATA79" localSheetId="7">#REF!</definedName>
    <definedName name="DATA79">#REF!</definedName>
    <definedName name="DATA8">'[58]4219020-SIE Advert'!$H$2:$H$45</definedName>
    <definedName name="DATA80" localSheetId="8">#REF!</definedName>
    <definedName name="DATA80" localSheetId="7">#REF!</definedName>
    <definedName name="DATA80">#REF!</definedName>
    <definedName name="DATA81" localSheetId="7">#REF!</definedName>
    <definedName name="DATA81">#REF!</definedName>
    <definedName name="DATA82" localSheetId="7">#REF!</definedName>
    <definedName name="DATA82">#REF!</definedName>
    <definedName name="DATA83" localSheetId="7">#REF!</definedName>
    <definedName name="DATA83">#REF!</definedName>
    <definedName name="DATA84" localSheetId="7">#REF!</definedName>
    <definedName name="DATA84">#REF!</definedName>
    <definedName name="DATA85" localSheetId="7">#REF!</definedName>
    <definedName name="DATA85">#REF!</definedName>
    <definedName name="DATA86" localSheetId="7">#REF!</definedName>
    <definedName name="DATA86">#REF!</definedName>
    <definedName name="DATA87" localSheetId="7">#REF!</definedName>
    <definedName name="DATA87">#REF!</definedName>
    <definedName name="DATA88" localSheetId="7">#REF!</definedName>
    <definedName name="DATA88">#REF!</definedName>
    <definedName name="DATA89" localSheetId="7">#REF!</definedName>
    <definedName name="DATA89">#REF!</definedName>
    <definedName name="DATA9" localSheetId="7">#REF!</definedName>
    <definedName name="DATA9">#REF!</definedName>
    <definedName name="_xlnm.Database" localSheetId="7">#REF!</definedName>
    <definedName name="_xlnm.Database">#REF!</definedName>
    <definedName name="dbs" localSheetId="7">#REF!</definedName>
    <definedName name="dbs">#REF!</definedName>
    <definedName name="DC" localSheetId="7">#REF!</definedName>
    <definedName name="DC">#REF!</definedName>
    <definedName name="dd" localSheetId="7">#REF!</definedName>
    <definedName name="dd">#REF!</definedName>
    <definedName name="ddd">#REF!</definedName>
    <definedName name="dddd" localSheetId="7">'[8]05-06'!#REF!</definedName>
    <definedName name="dddd">'[8]05-06'!#REF!</definedName>
    <definedName name="ddddddd" localSheetId="7">'[8]05-06'!#REF!</definedName>
    <definedName name="ddddddd">'[8]05-06'!#REF!</definedName>
    <definedName name="ddddddddd" localSheetId="7">'[8]05-06'!#REF!</definedName>
    <definedName name="ddddddddd">'[8]05-06'!#REF!</definedName>
    <definedName name="DDL_RelatedParties" localSheetId="7">[38]NotesRelatedParties_1!#REF!</definedName>
    <definedName name="DDL_RelatedParties">[38]NotesRelatedParties_1!#REF!</definedName>
    <definedName name="DDL_SubsidiaryNames" localSheetId="7">[38]NotesSubsidiaryInformation_1!#REF!</definedName>
    <definedName name="DDL_SubsidiaryNames">[38]NotesSubsidiaryInformation_1!#REF!</definedName>
    <definedName name="DE" localSheetId="8">#REF!</definedName>
    <definedName name="DE" localSheetId="7">#REF!</definedName>
    <definedName name="DE">#REF!</definedName>
    <definedName name="DebitPlTotAllw_Section">[59]Codes!$C$234:$C$254</definedName>
    <definedName name="DENDURA" localSheetId="8">#REF!</definedName>
    <definedName name="DENDURA" localSheetId="7">#REF!</definedName>
    <definedName name="DENDURA">#REF!</definedName>
    <definedName name="DEP" localSheetId="7">#REF!</definedName>
    <definedName name="DEP">#REF!</definedName>
    <definedName name="dep_co.act" localSheetId="7">#REF!</definedName>
    <definedName name="dep_co.act">#REF!</definedName>
    <definedName name="DEP_IT" localSheetId="7">#REF!</definedName>
    <definedName name="DEP_IT">#REF!</definedName>
    <definedName name="depreciation" localSheetId="7">#REF!</definedName>
    <definedName name="depreciation">#REF!</definedName>
    <definedName name="DepreciationBlocks">[60]Codes!$C$298:$C$343</definedName>
    <definedName name="deprichaubal" localSheetId="8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deprichaubal" localSheetId="6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deprichaubal" localSheetId="7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deprichaubal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DEPRN" localSheetId="8">#REF!</definedName>
    <definedName name="DEPRN" localSheetId="7">#REF!</definedName>
    <definedName name="DEPRN">#REF!</definedName>
    <definedName name="deprod" localSheetId="7">#REF!</definedName>
    <definedName name="deprod">#REF!</definedName>
    <definedName name="DescriptionOfNatureOfRelatedPartyRelationship">[38]Lists!$B$5:$K$5</definedName>
    <definedName name="DEVA" localSheetId="8">[25]WORKINGS!#REF!</definedName>
    <definedName name="DEVA" localSheetId="7">[25]WORKINGS!#REF!</definedName>
    <definedName name="DEVA">[25]WORKINGS!#REF!</definedName>
    <definedName name="DEVA1" localSheetId="7">[25]WORKINGS!#REF!</definedName>
    <definedName name="DEVA1">[25]WORKINGS!#REF!</definedName>
    <definedName name="DEVA11" localSheetId="7">[25]WORKINGS!#REF!</definedName>
    <definedName name="DEVA11">[25]WORKINGS!#REF!</definedName>
    <definedName name="DEVA2" localSheetId="7">[25]WORKINGS!#REF!</definedName>
    <definedName name="DEVA2">[25]WORKINGS!#REF!</definedName>
    <definedName name="DEWAS" localSheetId="8">#REF!</definedName>
    <definedName name="DEWAS" localSheetId="7">#REF!</definedName>
    <definedName name="DEWAS">#REF!</definedName>
    <definedName name="DF" localSheetId="7">#REF!</definedName>
    <definedName name="DF">#REF!</definedName>
    <definedName name="DFBB">'[61]Rev CF'!$AG$2</definedName>
    <definedName name="dfd">'[62]Cash Flow'!$AG$2</definedName>
    <definedName name="dfg">'[63]Rev CF'!$AG$2</definedName>
    <definedName name="dfggg">'[62]Cash Flow'!$AG$2</definedName>
    <definedName name="DFL" localSheetId="8">#REF!</definedName>
    <definedName name="DFL" localSheetId="7">#REF!</definedName>
    <definedName name="DFL">#REF!</definedName>
    <definedName name="DFLOOR" localSheetId="7">#REF!</definedName>
    <definedName name="DFLOOR">#REF!</definedName>
    <definedName name="DFLPL" localSheetId="7">[64]dewas!#REF!</definedName>
    <definedName name="DFLPL">[64]dewas!#REF!</definedName>
    <definedName name="DG" localSheetId="7">[65]C!#REF!</definedName>
    <definedName name="DG">[65]C!#REF!</definedName>
    <definedName name="DIES" localSheetId="8">#REF!</definedName>
    <definedName name="DIES" localSheetId="7">#REF!</definedName>
    <definedName name="DIES">#REF!</definedName>
    <definedName name="dm">'[56]Dewas Wall'!$CQ$1:$DJ$58</definedName>
    <definedName name="DPF" localSheetId="8">#REF!</definedName>
    <definedName name="DPF" localSheetId="7">#REF!</definedName>
    <definedName name="DPF">#REF!</definedName>
    <definedName name="dsfdsfwww" localSheetId="7">#REF!</definedName>
    <definedName name="dsfdsfwww">#REF!</definedName>
    <definedName name="dter" localSheetId="7">#REF!</definedName>
    <definedName name="dter">#REF!</definedName>
    <definedName name="DW" localSheetId="7">#REF!</definedName>
    <definedName name="DW">#REF!</definedName>
    <definedName name="DWALL" localSheetId="7">#REF!</definedName>
    <definedName name="DWALL">#REF!</definedName>
    <definedName name="dwbulk" localSheetId="7">[66]dwbulk!#REF!</definedName>
    <definedName name="dwbulk">[66]dwbulk!#REF!</definedName>
    <definedName name="DWL" localSheetId="8">#REF!</definedName>
    <definedName name="DWL" localSheetId="7">#REF!</definedName>
    <definedName name="DWL">#REF!</definedName>
    <definedName name="DWLPL" localSheetId="8">[64]dewas!#REF!</definedName>
    <definedName name="DWLPL" localSheetId="7">[64]dewas!#REF!</definedName>
    <definedName name="DWLPL">[64]dewas!#REF!</definedName>
    <definedName name="e" localSheetId="7">'[67]BUDGET-IMPORT'!#REF!</definedName>
    <definedName name="e">'[67]BUDGET-IMPORT'!#REF!</definedName>
    <definedName name="edc" localSheetId="8" hidden="1">{TRUE,TRUE,-1.25,-15.5,484.5,276.75,FALSE,FALSE,TRUE,TRUE,0,11,#N/A,641,#N/A,7.16304347826087,18.4666666666667,1,FALSE,FALSE,3,TRUE,1,FALSE,75,"Swvu.otr.","ACwvu.otr.",#N/A,FALSE,FALSE,0.54,0.5,0.53,0.25,1,"","",FALSE,FALSE,FALSE,FALSE,1,61,#N/A,#N/A,"=R280C12:R779C19",FALSE,"Rwvu.otr.","Cwvu.otr.",FALSE,FALSE,TRUE,1,180,180,FALSE,FALSE,TRUE,TRUE,TRUE}</definedName>
    <definedName name="edc" localSheetId="6" hidden="1">{TRUE,TRUE,-1.25,-15.5,484.5,276.75,FALSE,FALSE,TRUE,TRUE,0,11,#N/A,641,#N/A,7.16304347826087,18.4666666666667,1,FALSE,FALSE,3,TRUE,1,FALSE,75,"Swvu.otr.","ACwvu.otr.",#N/A,FALSE,FALSE,0.54,0.5,0.53,0.25,1,"","",FALSE,FALSE,FALSE,FALSE,1,61,#N/A,#N/A,"=R280C12:R779C19",FALSE,"Rwvu.otr.","Cwvu.otr.",FALSE,FALSE,TRUE,1,180,180,FALSE,FALSE,TRUE,TRUE,TRUE}</definedName>
    <definedName name="edc" localSheetId="7" hidden="1">{TRUE,TRUE,-1.25,-15.5,484.5,276.75,FALSE,FALSE,TRUE,TRUE,0,11,#N/A,641,#N/A,7.16304347826087,18.4666666666667,1,FALSE,FALSE,3,TRUE,1,FALSE,75,"Swvu.otr.","ACwvu.otr.",#N/A,FALSE,FALSE,0.54,0.5,0.53,0.25,1,"","",FALSE,FALSE,FALSE,FALSE,1,61,#N/A,#N/A,"=R280C12:R779C19",FALSE,"Rwvu.otr.","Cwvu.otr.",FALSE,FALSE,TRUE,1,180,180,FALSE,FALSE,TRUE,TRUE,TRUE}</definedName>
    <definedName name="edc" hidden="1">{TRUE,TRUE,-1.25,-15.5,484.5,276.75,FALSE,FALSE,TRUE,TRUE,0,11,#N/A,641,#N/A,7.16304347826087,18.4666666666667,1,FALSE,FALSE,3,TRUE,1,FALSE,75,"Swvu.otr.","ACwvu.otr.",#N/A,FALSE,FALSE,0.54,0.5,0.53,0.25,1,"","",FALSE,FALSE,FALSE,FALSE,1,61,#N/A,#N/A,"=R280C12:R779C19",FALSE,"Rwvu.otr.","Cwvu.otr.",FALSE,FALSE,TRUE,1,180,180,FALSE,FALSE,TRUE,TRUE,TRUE}</definedName>
    <definedName name="ee" localSheetId="8" hidden="1">{#N/A,#N/A,FALSE,"5"}</definedName>
    <definedName name="ee" localSheetId="6" hidden="1">{#N/A,#N/A,FALSE,"5"}</definedName>
    <definedName name="ee" localSheetId="7" hidden="1">{#N/A,#N/A,FALSE,"5"}</definedName>
    <definedName name="ee" hidden="1">{#N/A,#N/A,FALSE,"5"}</definedName>
    <definedName name="empben" localSheetId="7">'[48]Wrk-EmpBen'!#REF!</definedName>
    <definedName name="empben">'[48]Wrk-EmpBen'!#REF!</definedName>
    <definedName name="EPMWorkbookOptions_1" hidden="1">"SAEAAB|LCAAAAAAABADsvQdgHEmWJSYvbcp7f0r1StfgdKEIgGATJNiQQBDswYjN5pLsHWlHIymrKoHKZVZlXWYWQMztnbz33nvvvffee||997o7nU4n99//P1xmZAFs9s5K2smeIYCqyB8/fnwfPyIe/x7vFmV6mddNUS0/|2h3vPNRmi|n1axYXnz20bo939799KPf4|g3Th5/t6rfTqrq7Zerlpo2Kb23bB69a4rPPpq37erR3btXV1fjq3v"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2" hidden="1">"jqr64u7ezs3v39/7i|evpPF9k28WyabPlNP/IvjW7|a2PqNc0ffwqP6/zZv7l8stVvjw6z8omf3w3/JDbnZR5Vj/N2uzL5evsMjctux9zWzOWl3XV5tM2n5nW/S/C9lez9C6IYRsqNY7|nwAAAP//Sn4wTEgBAAA="</definedName>
    <definedName name="eq3dwefdwed" localSheetId="8">#REF!</definedName>
    <definedName name="eq3dwefdwed" localSheetId="7">#REF!</definedName>
    <definedName name="eq3dwefdwed">#REF!</definedName>
    <definedName name="Excel_BuiltIn__FilterDatabase_1" localSheetId="7">#REF!</definedName>
    <definedName name="Excel_BuiltIn__FilterDatabase_1">#REF!</definedName>
    <definedName name="Excel_BuiltIn__FilterDatabase_4" localSheetId="7">#REF!</definedName>
    <definedName name="Excel_BuiltIn__FilterDatabase_4">#REF!</definedName>
    <definedName name="Excel_BuiltIn_Print_Area_2" localSheetId="7">#REF!</definedName>
    <definedName name="Excel_BuiltIn_Print_Area_2">#REF!</definedName>
    <definedName name="Excel_BuiltIn_Print_Area_20" localSheetId="7">#REF!</definedName>
    <definedName name="Excel_BuiltIn_Print_Area_20">#REF!</definedName>
    <definedName name="Excel_BuiltIn_Print_Area_4" localSheetId="7">#REF!</definedName>
    <definedName name="Excel_BuiltIn_Print_Area_4">#REF!</definedName>
    <definedName name="Excel_BuiltIn_Print_Area_9" localSheetId="7">#REF!</definedName>
    <definedName name="Excel_BuiltIn_Print_Area_9">#REF!</definedName>
    <definedName name="excepitem" localSheetId="8">'[48]Wrk-AS4'!#REF!</definedName>
    <definedName name="excepitem" localSheetId="7">'[48]Wrk-AS4'!#REF!</definedName>
    <definedName name="excepitem">'[48]Wrk-AS4'!#REF!</definedName>
    <definedName name="exchgl" localSheetId="7">'[48]Wrk-FinCost'!#REF!</definedName>
    <definedName name="exchgl">'[48]Wrk-FinCost'!#REF!</definedName>
    <definedName name="ExpenditureType">[59]Codes!$C$496:$C$503</definedName>
    <definedName name="_xlnm.Extract" localSheetId="8">[49]STAT!#REF!</definedName>
    <definedName name="_xlnm.Extract" localSheetId="7">[49]STAT!#REF!</definedName>
    <definedName name="_xlnm.Extract">[49]STAT!#REF!</definedName>
    <definedName name="f" localSheetId="7">'[67]BUDGET-IMPORT'!#REF!</definedName>
    <definedName name="f">'[67]BUDGET-IMPORT'!#REF!</definedName>
    <definedName name="fa" localSheetId="7">'[68]Depn chart'!#REF!</definedName>
    <definedName name="fa">'[68]Depn chart'!#REF!</definedName>
    <definedName name="fae" localSheetId="8">#REF!</definedName>
    <definedName name="fae" localSheetId="7">#REF!</definedName>
    <definedName name="fae">#REF!</definedName>
    <definedName name="FBClass" localSheetId="7">#REF!</definedName>
    <definedName name="FBClass">#REF!</definedName>
    <definedName name="fbt" localSheetId="8" hidden="1">{TRUE,TRUE,-1.25,-15.5,484.5,276.75,FALSE,FALSE,TRUE,TRUE,0,11,#N/A,641,#N/A,7.16304347826087,18.4666666666667,1,FALSE,FALSE,3,TRUE,1,FALSE,75,"Swvu.otr.","ACwvu.otr.",#N/A,FALSE,FALSE,0.54,0.5,0.53,0.25,1,"","",FALSE,FALSE,FALSE,FALSE,1,61,#N/A,#N/A,"=R280C12:R779C19",FALSE,"Rwvu.otr.","Cwvu.otr.",FALSE,FALSE,TRUE,1,180,180,FALSE,FALSE,TRUE,TRUE,TRUE}</definedName>
    <definedName name="fbt" localSheetId="6" hidden="1">{TRUE,TRUE,-1.25,-15.5,484.5,276.75,FALSE,FALSE,TRUE,TRUE,0,11,#N/A,641,#N/A,7.16304347826087,18.4666666666667,1,FALSE,FALSE,3,TRUE,1,FALSE,75,"Swvu.otr.","ACwvu.otr.",#N/A,FALSE,FALSE,0.54,0.5,0.53,0.25,1,"","",FALSE,FALSE,FALSE,FALSE,1,61,#N/A,#N/A,"=R280C12:R779C19",FALSE,"Rwvu.otr.","Cwvu.otr.",FALSE,FALSE,TRUE,1,180,180,FALSE,FALSE,TRUE,TRUE,TRUE}</definedName>
    <definedName name="fbt" localSheetId="7" hidden="1">{TRUE,TRUE,-1.25,-15.5,484.5,276.75,FALSE,FALSE,TRUE,TRUE,0,11,#N/A,641,#N/A,7.16304347826087,18.4666666666667,1,FALSE,FALSE,3,TRUE,1,FALSE,75,"Swvu.otr.","ACwvu.otr.",#N/A,FALSE,FALSE,0.54,0.5,0.53,0.25,1,"","",FALSE,FALSE,FALSE,FALSE,1,61,#N/A,#N/A,"=R280C12:R779C19",FALSE,"Rwvu.otr.","Cwvu.otr.",FALSE,FALSE,TRUE,1,180,180,FALSE,FALSE,TRUE,TRUE,TRUE}</definedName>
    <definedName name="fbt" hidden="1">{TRUE,TRUE,-1.25,-15.5,484.5,276.75,FALSE,FALSE,TRUE,TRUE,0,11,#N/A,641,#N/A,7.16304347826087,18.4666666666667,1,FALSE,FALSE,3,TRUE,1,FALSE,75,"Swvu.otr.","ACwvu.otr.",#N/A,FALSE,FALSE,0.54,0.5,0.53,0.25,1,"","",FALSE,FALSE,FALSE,FALSE,1,61,#N/A,#N/A,"=R280C12:R779C19",FALSE,"Rwvu.otr.","Cwvu.otr.",FALSE,FALSE,TRUE,1,180,180,FALSE,FALSE,TRUE,TRUE,TRUE}</definedName>
    <definedName name="FCL" localSheetId="7">[15]Sheet1!#REF!</definedName>
    <definedName name="FCL">[15]Sheet1!#REF!</definedName>
    <definedName name="FD" localSheetId="7">[65]E!#REF!</definedName>
    <definedName name="FD">[65]E!#REF!</definedName>
    <definedName name="fdhgf" localSheetId="8">#REF!</definedName>
    <definedName name="fdhgf" localSheetId="7">#REF!</definedName>
    <definedName name="fdhgf">#REF!</definedName>
    <definedName name="fds" localSheetId="8" hidden="1">{#N/A,#N/A,FALSE,"1"}</definedName>
    <definedName name="fds" localSheetId="6" hidden="1">{#N/A,#N/A,FALSE,"1"}</definedName>
    <definedName name="fds" localSheetId="7" hidden="1">{#N/A,#N/A,FALSE,"1"}</definedName>
    <definedName name="fds" hidden="1">{#N/A,#N/A,FALSE,"1"}</definedName>
    <definedName name="FEBD" localSheetId="8">#REF!</definedName>
    <definedName name="FEBD" localSheetId="7">#REF!</definedName>
    <definedName name="FEBD">#REF!</definedName>
    <definedName name="ff">#REF!</definedName>
    <definedName name="FFF" localSheetId="7">#REF!</definedName>
    <definedName name="FFF">#REF!</definedName>
    <definedName name="fffffff">#REF!</definedName>
    <definedName name="FFS" localSheetId="7">#REF!</definedName>
    <definedName name="FFS">#REF!</definedName>
    <definedName name="fg" localSheetId="7">#REF!</definedName>
    <definedName name="fg">#REF!</definedName>
    <definedName name="fgfsfg">'[69]Cash Flow'!$AG$2</definedName>
    <definedName name="fhfhfhhf" localSheetId="8" hidden="1">{#N/A,#N/A,FALSE,"17"}</definedName>
    <definedName name="fhfhfhhf" localSheetId="6" hidden="1">{#N/A,#N/A,FALSE,"17"}</definedName>
    <definedName name="fhfhfhhf" localSheetId="7" hidden="1">{#N/A,#N/A,FALSE,"17"}</definedName>
    <definedName name="fhfhfhhf" hidden="1">{#N/A,#N/A,FALSE,"17"}</definedName>
    <definedName name="FIN" localSheetId="8">#REF!</definedName>
    <definedName name="FIN" localSheetId="7">#REF!</definedName>
    <definedName name="FIN">#REF!</definedName>
    <definedName name="FinalBudgetReport2010" localSheetId="7">#REF!</definedName>
    <definedName name="FinalBudgetReport2010">#REF!</definedName>
    <definedName name="FLOW" localSheetId="7">#REF!</definedName>
    <definedName name="FLOW">#REF!</definedName>
    <definedName name="FLR" localSheetId="7">#REF!</definedName>
    <definedName name="FLR">#REF!</definedName>
    <definedName name="fnfnfnfn" localSheetId="8" hidden="1">{#N/A,#N/A,FALSE,"15"}</definedName>
    <definedName name="fnfnfnfn" localSheetId="6" hidden="1">{#N/A,#N/A,FALSE,"15"}</definedName>
    <definedName name="fnfnfnfn" localSheetId="7" hidden="1">{#N/A,#N/A,FALSE,"15"}</definedName>
    <definedName name="fnfnfnfn" hidden="1">{#N/A,#N/A,FALSE,"15"}</definedName>
    <definedName name="form" localSheetId="8">#REF!</definedName>
    <definedName name="form" localSheetId="7">#REF!</definedName>
    <definedName name="form">#REF!</definedName>
    <definedName name="FT" localSheetId="7">#REF!</definedName>
    <definedName name="FT">#REF!</definedName>
    <definedName name="fu" localSheetId="7">#REF!</definedName>
    <definedName name="fu">#REF!</definedName>
    <definedName name="fund" localSheetId="7">#REF!</definedName>
    <definedName name="fund">#REF!</definedName>
    <definedName name="FundType">[59]Codes!$C$377:$C$381</definedName>
    <definedName name="g" localSheetId="8">#REF!</definedName>
    <definedName name="g" localSheetId="7">#REF!</definedName>
    <definedName name="g">#REF!</definedName>
    <definedName name="ggg">#REF!</definedName>
    <definedName name="goa">[28]goa!$A$1:$H$65536</definedName>
    <definedName name="Gross_Margin___Rs_M" localSheetId="8">#REF!</definedName>
    <definedName name="Gross_Margin___Rs_M" localSheetId="7">#REF!</definedName>
    <definedName name="Gross_Margin___Rs_M">#REF!</definedName>
    <definedName name="groupings" localSheetId="7">#REF!</definedName>
    <definedName name="groupings">#REF!</definedName>
    <definedName name="h" localSheetId="7">#REF!</definedName>
    <definedName name="h">#REF!</definedName>
    <definedName name="hdfc" localSheetId="8" hidden="1">{#N/A,#N/A,FALSE,"17"}</definedName>
    <definedName name="hdfc" localSheetId="6" hidden="1">{#N/A,#N/A,FALSE,"17"}</definedName>
    <definedName name="hdfc" localSheetId="7" hidden="1">{#N/A,#N/A,FALSE,"17"}</definedName>
    <definedName name="hdfc" hidden="1">{#N/A,#N/A,FALSE,"17"}</definedName>
    <definedName name="HEAT_GEN">[47]Const_and_macro!#REF!</definedName>
    <definedName name="hffffffffffffffffffffff" localSheetId="8">#REF!</definedName>
    <definedName name="hffffffffffffffffffffff" localSheetId="7">#REF!</definedName>
    <definedName name="hffffffffffffffffffffff">#REF!</definedName>
    <definedName name="hjhjfh">'[70]15'!$A$1:$J$22</definedName>
    <definedName name="HP" localSheetId="8">#REF!</definedName>
    <definedName name="HP" localSheetId="7">#REF!</definedName>
    <definedName name="HP">#REF!</definedName>
    <definedName name="hrn">[28]hrn!$A$1:$H$65536</definedName>
    <definedName name="HT" localSheetId="8">#REF!</definedName>
    <definedName name="HT" localSheetId="7">#REF!</definedName>
    <definedName name="HT">#REF!</definedName>
    <definedName name="hu">'[71]Apr-sept05'!$B$5:$B$26</definedName>
    <definedName name="hyd">[28]hyd!$A$1:$H$65536</definedName>
    <definedName name="hyj" localSheetId="8">#REF!</definedName>
    <definedName name="hyj" localSheetId="7">#REF!</definedName>
    <definedName name="hyj">#REF!</definedName>
    <definedName name="i" localSheetId="7">#REF!</definedName>
    <definedName name="i">#REF!</definedName>
    <definedName name="I10642357" localSheetId="7">#REF!</definedName>
    <definedName name="I10642357">#REF!</definedName>
    <definedName name="IBT" localSheetId="7">#REF!</definedName>
    <definedName name="IBT">#REF!</definedName>
    <definedName name="idr">[28]idr!$A$1:$H$65536</definedName>
    <definedName name="ifs">[72]Ifs!$A$1:$H$65536</definedName>
    <definedName name="INDEX" localSheetId="8">#REF!</definedName>
    <definedName name="INDEX" localSheetId="7">#REF!</definedName>
    <definedName name="INDEX">#REF!</definedName>
    <definedName name="INDIA_PLASTIC_in_KUSD" localSheetId="7">#REF!</definedName>
    <definedName name="INDIA_PLASTIC_in_KUSD">#REF!</definedName>
    <definedName name="IndirectTaxInfo">[73]Codes!$C$350:$C$355</definedName>
    <definedName name="insaksi" localSheetId="8">#REF!</definedName>
    <definedName name="insaksi" localSheetId="7">#REF!</definedName>
    <definedName name="insaksi">#REF!</definedName>
    <definedName name="intcost" localSheetId="8">'[48]Wrk-FinCost'!#REF!</definedName>
    <definedName name="intcost" localSheetId="7">'[48]Wrk-FinCost'!#REF!</definedName>
    <definedName name="intcost">'[48]Wrk-FinCost'!#REF!</definedName>
    <definedName name="intcost2" localSheetId="7">'[48]Wrk-FinCost'!#REF!</definedName>
    <definedName name="intcost2">'[48]Wrk-FinCost'!#REF!</definedName>
    <definedName name="Interest" localSheetId="8">#REF!</definedName>
    <definedName name="Interest" localSheetId="7">#REF!</definedName>
    <definedName name="Interest">#REF!</definedName>
    <definedName name="interest1" localSheetId="7">#REF!</definedName>
    <definedName name="interest1">#REF!</definedName>
    <definedName name="inv" localSheetId="7">#REF!</definedName>
    <definedName name="inv">#REF!</definedName>
    <definedName name="INVEN">[35]C!$A$1:$K$28</definedName>
    <definedName name="IRRRANGE" localSheetId="8">#REF!</definedName>
    <definedName name="IRRRANGE" localSheetId="7">#REF!</definedName>
    <definedName name="IRRRANGE">#REF!</definedName>
    <definedName name="ISS" localSheetId="7">#REF!</definedName>
    <definedName name="ISS">#REF!</definedName>
    <definedName name="it" localSheetId="7">#REF!</definedName>
    <definedName name="it">#REF!</definedName>
    <definedName name="IT_COMPUTE" localSheetId="7">#REF!</definedName>
    <definedName name="IT_COMPUTE">#REF!</definedName>
    <definedName name="j" localSheetId="7">#REF!</definedName>
    <definedName name="j">#REF!</definedName>
    <definedName name="jpr">[28]Jpr!$A$1:$H$65536</definedName>
    <definedName name="jul">[30]JULY!$A$1:$AP$127</definedName>
    <definedName name="jun">[30]JUNE!$A$1:$AP$116</definedName>
    <definedName name="JUNLIM" localSheetId="8">[49]STAT!#REF!</definedName>
    <definedName name="JUNLIM" localSheetId="7">[49]STAT!#REF!</definedName>
    <definedName name="JUNLIM">[49]STAT!#REF!</definedName>
    <definedName name="justi2" localSheetId="8">#REF!</definedName>
    <definedName name="justi2" localSheetId="7">#REF!</definedName>
    <definedName name="justi2">#REF!</definedName>
    <definedName name="k" localSheetId="7">#REF!</definedName>
    <definedName name="k">#REF!</definedName>
    <definedName name="kbs" localSheetId="7">#REF!</definedName>
    <definedName name="kbs">#REF!</definedName>
    <definedName name="KC" localSheetId="7">#REF!</definedName>
    <definedName name="KC">#REF!</definedName>
    <definedName name="kerala" localSheetId="7">#REF!</definedName>
    <definedName name="kerala">#REF!</definedName>
    <definedName name="KES" localSheetId="7" hidden="1">[74]STAT!#REF!</definedName>
    <definedName name="KES" hidden="1">[74]STAT!#REF!</definedName>
    <definedName name="KESH" localSheetId="7">[74]STAT!#REF!</definedName>
    <definedName name="KESH">[74]STAT!#REF!</definedName>
    <definedName name="KESHA" localSheetId="7">[74]STAT!#REF!</definedName>
    <definedName name="KESHA">[74]STAT!#REF!</definedName>
    <definedName name="KESHAV" localSheetId="7">[74]STAT!#REF!</definedName>
    <definedName name="KESHAV">[74]STAT!#REF!</definedName>
    <definedName name="KF" localSheetId="8">#REF!</definedName>
    <definedName name="KF" localSheetId="7">#REF!</definedName>
    <definedName name="KF">#REF!</definedName>
    <definedName name="KFLOOR" localSheetId="7">#REF!</definedName>
    <definedName name="KFLOOR">#REF!</definedName>
    <definedName name="KFTF" localSheetId="7">#REF!</definedName>
    <definedName name="KFTF">#REF!</definedName>
    <definedName name="KKBS" localSheetId="7">#REF!</definedName>
    <definedName name="KKBS">#REF!</definedName>
    <definedName name="KKC" localSheetId="7">#REF!</definedName>
    <definedName name="KKC">#REF!</definedName>
    <definedName name="kkfkfkf" localSheetId="8" hidden="1">{#N/A,#N/A,FALSE,"3"}</definedName>
    <definedName name="kkfkfkf" localSheetId="6" hidden="1">{#N/A,#N/A,FALSE,"3"}</definedName>
    <definedName name="kkfkfkf" localSheetId="7" hidden="1">{#N/A,#N/A,FALSE,"3"}</definedName>
    <definedName name="kkfkfkf" hidden="1">{#N/A,#N/A,FALSE,"3"}</definedName>
    <definedName name="KKL" localSheetId="8">#REF!</definedName>
    <definedName name="KKL" localSheetId="7">#REF!</definedName>
    <definedName name="KKL">#REF!</definedName>
    <definedName name="KKLBS" localSheetId="7">#REF!</definedName>
    <definedName name="KKLBS">#REF!</definedName>
    <definedName name="KKLC" localSheetId="7">#REF!</definedName>
    <definedName name="KKLC">#REF!</definedName>
    <definedName name="KKLW" localSheetId="7">#REF!</definedName>
    <definedName name="KKLW">#REF!</definedName>
    <definedName name="KNGL" localSheetId="7">[49]STAT!#REF!</definedName>
    <definedName name="KNGL">[49]STAT!#REF!</definedName>
    <definedName name="kol">[28]Kol!$A$1:$H$65536</definedName>
    <definedName name="KOREA_PLASTIC_in_KUSD" localSheetId="8">#REF!</definedName>
    <definedName name="KOREA_PLASTIC_in_KUSD" localSheetId="7">#REF!</definedName>
    <definedName name="KOREA_PLASTIC_in_KUSD">#REF!</definedName>
    <definedName name="KP" localSheetId="7">#REF!</definedName>
    <definedName name="KP">#REF!</definedName>
    <definedName name="krbs" localSheetId="7">#REF!</definedName>
    <definedName name="krbs">#REF!</definedName>
    <definedName name="KRWALL" localSheetId="7">#REF!</definedName>
    <definedName name="KRWALL">#REF!</definedName>
    <definedName name="KT" localSheetId="7">#REF!</definedName>
    <definedName name="KT">#REF!</definedName>
    <definedName name="KTB" localSheetId="7">#REF!</definedName>
    <definedName name="KTB">#REF!</definedName>
    <definedName name="KTF" localSheetId="7">#REF!</definedName>
    <definedName name="KTF">#REF!</definedName>
    <definedName name="KTRF" localSheetId="7">#REF!</definedName>
    <definedName name="KTRF">#REF!</definedName>
    <definedName name="KTW" localSheetId="7">#REF!</definedName>
    <definedName name="KTW">#REF!</definedName>
    <definedName name="KUNIGAL" localSheetId="7">#REF!</definedName>
    <definedName name="KUNIGAL">#REF!</definedName>
    <definedName name="KW" localSheetId="7">#REF!</definedName>
    <definedName name="KW">#REF!</definedName>
    <definedName name="KWALL" localSheetId="7">#REF!</definedName>
    <definedName name="KWALL">#REF!</definedName>
    <definedName name="L" localSheetId="7">#REF!</definedName>
    <definedName name="L">#REF!</definedName>
    <definedName name="LAC" localSheetId="7">#REF!</definedName>
    <definedName name="LAC">#REF!</definedName>
    <definedName name="Last_Year_Bsheet" localSheetId="7">#REF!</definedName>
    <definedName name="Last_Year_Bsheet">#REF!</definedName>
    <definedName name="Last_Year_Profit_Loss" localSheetId="7">#REF!</definedName>
    <definedName name="Last_Year_Profit_Loss">#REF!</definedName>
    <definedName name="LevelOfRoundingUsedInFinancialStatements">[38]Lists!$B$9:$G$9</definedName>
    <definedName name="lia" localSheetId="8">#REF!</definedName>
    <definedName name="lia" localSheetId="7">#REF!</definedName>
    <definedName name="lia">#REF!</definedName>
    <definedName name="liabilities" localSheetId="7">#REF!</definedName>
    <definedName name="liabilities">#REF!</definedName>
    <definedName name="liabproj" localSheetId="7">#REF!</definedName>
    <definedName name="liabproj">#REF!</definedName>
    <definedName name="limcount" hidden="1">1</definedName>
    <definedName name="LIMITS" localSheetId="7">[49]STAT!#REF!</definedName>
    <definedName name="LIMITS">[49]STAT!#REF!</definedName>
    <definedName name="LIMTS1" localSheetId="7">[49]STAT!#REF!</definedName>
    <definedName name="LIMTS1">[49]STAT!#REF!</definedName>
    <definedName name="lkn">[28]lkn!$A$1:$H$65536</definedName>
    <definedName name="lnj">[28]lnj!$A$1:$H$65536</definedName>
    <definedName name="LOCATION" localSheetId="8">#REF!</definedName>
    <definedName name="LOCATION" localSheetId="7">#REF!</definedName>
    <definedName name="LOCATION">#REF!</definedName>
    <definedName name="loss" localSheetId="7">#REF!</definedName>
    <definedName name="loss">#REF!</definedName>
    <definedName name="lsdjlk" localSheetId="7">[9]BKCSTOCKVAL!#REF!</definedName>
    <definedName name="lsdjlk">[9]BKCSTOCKVAL!#REF!</definedName>
    <definedName name="m" localSheetId="8">#REF!</definedName>
    <definedName name="m" localSheetId="7">#REF!</definedName>
    <definedName name="m">#REF!</definedName>
    <definedName name="mahape" localSheetId="8">[9]MAHSTOCKVAL!#REF!</definedName>
    <definedName name="mahape" localSheetId="7">[9]MAHSTOCKVAL!#REF!</definedName>
    <definedName name="mahape">[9]MAHSTOCKVAL!#REF!</definedName>
    <definedName name="MAR" localSheetId="8">#REF!</definedName>
    <definedName name="MAR" localSheetId="7">#REF!</definedName>
    <definedName name="MAR">#REF!</definedName>
    <definedName name="may">[30]MAY!$A$1:$AP$91</definedName>
    <definedName name="MBS" localSheetId="8">#REF!</definedName>
    <definedName name="MBS" localSheetId="7">#REF!</definedName>
    <definedName name="MBS">#REF!</definedName>
    <definedName name="MDEVISES" localSheetId="8">#REF!,#REF!,#REF!</definedName>
    <definedName name="MDEVISES" localSheetId="7">#REF!,#REF!,#REF!</definedName>
    <definedName name="MDEVISES">#REF!,#REF!,#REF!</definedName>
    <definedName name="MeasurementUnitType">[59]Codes!$C$177:$C$199</definedName>
    <definedName name="MethodAcc">[32]Masters!$C$46</definedName>
    <definedName name="MFRF" localSheetId="8">#REF!,#REF!,#REF!,#REF!,#REF!</definedName>
    <definedName name="MFRF" localSheetId="7">#REF!,#REF!,#REF!,#REF!,#REF!</definedName>
    <definedName name="MFRF">#REF!,#REF!,#REF!,#REF!,#REF!</definedName>
    <definedName name="mgl">[28]mgl!$A$1:$H$65536</definedName>
    <definedName name="MILANO" localSheetId="8">#REF!</definedName>
    <definedName name="MILANO" localSheetId="7">#REF!</definedName>
    <definedName name="MILANO">#REF!</definedName>
    <definedName name="mks">"$Inputs.$#REF!$#REF!"</definedName>
    <definedName name="mm">'[75]Mumbai Revised'!$A$2:$D$83</definedName>
    <definedName name="moh">[28]moh!$A$1:$H$65536</definedName>
    <definedName name="MONTH">'[76]SUMMARY SHEET'!$B$4</definedName>
    <definedName name="MONTHDAY">'[76]SUMMARY SHEET'!$B$3</definedName>
    <definedName name="MStVal">[46]Masters!$C$47</definedName>
    <definedName name="mts">[28]mts!$A$1:$H$65536</definedName>
    <definedName name="mum">[28]mum!$A$1:$H$65536</definedName>
    <definedName name="mys">[28]mys!$A$1:$H$65536</definedName>
    <definedName name="n" localSheetId="8">#REF!</definedName>
    <definedName name="n" localSheetId="7">#REF!</definedName>
    <definedName name="n">#REF!</definedName>
    <definedName name="name">[77]Masters!$A$2:$Y$600</definedName>
    <definedName name="NatureBusiness">[46]Masters!$C$45</definedName>
    <definedName name="NatureOfGoods">[38]Lists!$B$3:$C$3</definedName>
    <definedName name="NatureOfInvestmentPurchasedOrSoldDuringPeriod">[38]Lists!$B$15:$C$15</definedName>
    <definedName name="NatureOfReportStandaloneConsolidated">[38]Lists!$B$7:$C$7</definedName>
    <definedName name="new" localSheetId="8" hidden="1">{TRUE,TRUE,-1.25,-15.5,484.5,276.75,FALSE,FALSE,TRUE,TRUE,0,11,#N/A,641,#N/A,7.16304347826087,18.4666666666667,1,FALSE,FALSE,3,TRUE,1,FALSE,75,"Swvu.otr.","ACwvu.otr.",#N/A,FALSE,FALSE,0.54,0.5,0.53,0.25,1,"","",FALSE,FALSE,FALSE,FALSE,1,61,#N/A,#N/A,"=R280C12:R779C19",FALSE,"Rwvu.otr.","Cwvu.otr.",FALSE,FALSE,TRUE,1,180,180,FALSE,FALSE,TRUE,TRUE,TRUE}</definedName>
    <definedName name="new" localSheetId="6" hidden="1">{TRUE,TRUE,-1.25,-15.5,484.5,276.75,FALSE,FALSE,TRUE,TRUE,0,11,#N/A,641,#N/A,7.16304347826087,18.4666666666667,1,FALSE,FALSE,3,TRUE,1,FALSE,75,"Swvu.otr.","ACwvu.otr.",#N/A,FALSE,FALSE,0.54,0.5,0.53,0.25,1,"","",FALSE,FALSE,FALSE,FALSE,1,61,#N/A,#N/A,"=R280C12:R779C19",FALSE,"Rwvu.otr.","Cwvu.otr.",FALSE,FALSE,TRUE,1,180,180,FALSE,FALSE,TRUE,TRUE,TRUE}</definedName>
    <definedName name="new" localSheetId="7" hidden="1">{TRUE,TRUE,-1.25,-15.5,484.5,276.75,FALSE,FALSE,TRUE,TRUE,0,11,#N/A,641,#N/A,7.16304347826087,18.4666666666667,1,FALSE,FALSE,3,TRUE,1,FALSE,75,"Swvu.otr.","ACwvu.otr.",#N/A,FALSE,FALSE,0.54,0.5,0.53,0.25,1,"","",FALSE,FALSE,FALSE,FALSE,1,61,#N/A,#N/A,"=R280C12:R779C19",FALSE,"Rwvu.otr.","Cwvu.otr.",FALSE,FALSE,TRUE,1,180,180,FALSE,FALSE,TRUE,TRUE,TRUE}</definedName>
    <definedName name="new" hidden="1">{TRUE,TRUE,-1.25,-15.5,484.5,276.75,FALSE,FALSE,TRUE,TRUE,0,11,#N/A,641,#N/A,7.16304347826087,18.4666666666667,1,FALSE,FALSE,3,TRUE,1,FALSE,75,"Swvu.otr.","ACwvu.otr.",#N/A,FALSE,FALSE,0.54,0.5,0.53,0.25,1,"","",FALSE,FALSE,FALSE,FALSE,1,61,#N/A,#N/A,"=R280C12:R779C19",FALSE,"Rwvu.otr.","Cwvu.otr.",FALSE,FALSE,TRUE,1,180,180,FALSE,FALSE,TRUE,TRUE,TRUE}</definedName>
    <definedName name="newasap">[78]Sheet4!$A$2:$E$138</definedName>
    <definedName name="newfile">[79]master!$A$4:$J$53</definedName>
    <definedName name="ngp">[28]ngp!$A$1:$H$65536</definedName>
    <definedName name="NIkul">#N/A</definedName>
    <definedName name="NIkul1">#N/A</definedName>
    <definedName name="nilesh" localSheetId="8">#REF!</definedName>
    <definedName name="nilesh" localSheetId="7">#REF!</definedName>
    <definedName name="nilesh">#REF!</definedName>
    <definedName name="nitin" localSheetId="8" hidden="1">'[80]SCH 1-3'!#REF!</definedName>
    <definedName name="nitin" localSheetId="7" hidden="1">'[80]SCH 1-3'!#REF!</definedName>
    <definedName name="nitin" hidden="1">'[80]SCH 1-3'!#REF!</definedName>
    <definedName name="NN">[35]NN!$A$1:$J$19</definedName>
    <definedName name="no" localSheetId="8">#REF!</definedName>
    <definedName name="no" localSheetId="7">#REF!</definedName>
    <definedName name="no">#REF!</definedName>
    <definedName name="NO_CYCLONE" localSheetId="8">[47]Const_and_macro!#REF!</definedName>
    <definedName name="NO_CYCLONE">[47]Const_and_macro!#REF!</definedName>
    <definedName name="notes" localSheetId="8">#REF!</definedName>
    <definedName name="notes" localSheetId="7">#REF!</definedName>
    <definedName name="notes">#REF!</definedName>
    <definedName name="NOTES1" localSheetId="7">#REF!</definedName>
    <definedName name="NOTES1">#REF!</definedName>
    <definedName name="NOTES2" localSheetId="7">#REF!</definedName>
    <definedName name="NOTES2">#REF!</definedName>
    <definedName name="nsk">[28]nsk!$A$1:$H$65536</definedName>
    <definedName name="NUTS" localSheetId="8">#REF!</definedName>
    <definedName name="NUTS" localSheetId="7">#REF!</definedName>
    <definedName name="NUTS">#REF!</definedName>
    <definedName name="o" localSheetId="7">#REF!</definedName>
    <definedName name="o">#REF!</definedName>
    <definedName name="OC_LC1" localSheetId="7" hidden="1">#REF!</definedName>
    <definedName name="OC_LC1" hidden="1">#REF!</definedName>
    <definedName name="OCOST" localSheetId="7">#REF!</definedName>
    <definedName name="OCOST">#REF!</definedName>
    <definedName name="oct">[30]OCT!$A$2:$AU$104</definedName>
    <definedName name="OldPit" localSheetId="8">#REF!</definedName>
    <definedName name="OldPit" localSheetId="7">#REF!</definedName>
    <definedName name="OldPit">#REF!</definedName>
    <definedName name="op" localSheetId="8" hidden="1">{#N/A,#N/A,FALSE,"8"}</definedName>
    <definedName name="op" localSheetId="6" hidden="1">{#N/A,#N/A,FALSE,"8"}</definedName>
    <definedName name="op" localSheetId="7" hidden="1">{#N/A,#N/A,FALSE,"8"}</definedName>
    <definedName name="op" hidden="1">{#N/A,#N/A,FALSE,"8"}</definedName>
    <definedName name="Op_exp">'[35]30'!$A$1:$K$31</definedName>
    <definedName name="operations" localSheetId="8">#REF!</definedName>
    <definedName name="operations" localSheetId="7">#REF!</definedName>
    <definedName name="operations">#REF!</definedName>
    <definedName name="Oth_inc">'[35]15'!$A$1:$J$22</definedName>
    <definedName name="other_reserves" localSheetId="8">'[81]Reserves &amp; Surplus'!#REF!</definedName>
    <definedName name="other_reserves" localSheetId="7">'[81]Reserves &amp; Surplus'!#REF!</definedName>
    <definedName name="other_reserves">'[81]Reserves &amp; Surplus'!#REF!</definedName>
    <definedName name="othpay">[27]tb!$G$804:$O$926</definedName>
    <definedName name="OUT" localSheetId="8">[82]DATASHEET!#REF!</definedName>
    <definedName name="OUT" localSheetId="7">[82]DATASHEET!#REF!</definedName>
    <definedName name="OUT">[82]DATASHEET!#REF!</definedName>
    <definedName name="p" localSheetId="8">#REF!</definedName>
    <definedName name="p" localSheetId="7">#REF!</definedName>
    <definedName name="p">#REF!</definedName>
    <definedName name="P___L___Statement" localSheetId="7">#REF!</definedName>
    <definedName name="P___L___Statement">#REF!</definedName>
    <definedName name="PackingMaterial">[83]Sheet2!$A$1:$A$65536</definedName>
    <definedName name="Page_5" localSheetId="8">#REF!</definedName>
    <definedName name="Page_5" localSheetId="7">#REF!</definedName>
    <definedName name="Page_5">#REF!</definedName>
    <definedName name="page1" localSheetId="7">#REF!</definedName>
    <definedName name="page1">#REF!</definedName>
    <definedName name="PAGE10" localSheetId="7">#REF!</definedName>
    <definedName name="PAGE10">#REF!</definedName>
    <definedName name="PAGE11" localSheetId="7">#REF!</definedName>
    <definedName name="PAGE11">#REF!</definedName>
    <definedName name="PAGE13" localSheetId="7">#REF!</definedName>
    <definedName name="PAGE13">#REF!</definedName>
    <definedName name="PAGE14" localSheetId="7">#REF!</definedName>
    <definedName name="PAGE14">#REF!</definedName>
    <definedName name="PAGE15" localSheetId="7">#REF!</definedName>
    <definedName name="PAGE15">#REF!</definedName>
    <definedName name="PAGE16">'[84]Agency BS'!$A$1:$E$58:'[84]Agency BS'!$B$42</definedName>
    <definedName name="PAGE18" localSheetId="8">#REF!</definedName>
    <definedName name="PAGE18" localSheetId="7">#REF!</definedName>
    <definedName name="PAGE18">#REF!</definedName>
    <definedName name="PAGE19" localSheetId="7">#REF!</definedName>
    <definedName name="PAGE19">#REF!</definedName>
    <definedName name="page2" localSheetId="7">#REF!</definedName>
    <definedName name="page2">#REF!</definedName>
    <definedName name="PAGE21" localSheetId="7">#REF!</definedName>
    <definedName name="PAGE21">#REF!</definedName>
    <definedName name="PAGE22" localSheetId="7">#REF!</definedName>
    <definedName name="PAGE22">#REF!</definedName>
    <definedName name="page3" localSheetId="7">#REF!</definedName>
    <definedName name="page3">#REF!</definedName>
    <definedName name="page4" localSheetId="7">#REF!</definedName>
    <definedName name="page4">#REF!</definedName>
    <definedName name="page5" localSheetId="7">#REF!</definedName>
    <definedName name="page5">#REF!</definedName>
    <definedName name="page6" localSheetId="7">#REF!</definedName>
    <definedName name="page6">#REF!</definedName>
    <definedName name="page7" localSheetId="7">#REF!</definedName>
    <definedName name="page7">#REF!</definedName>
    <definedName name="page8" localSheetId="7">#REF!</definedName>
    <definedName name="page8">#REF!</definedName>
    <definedName name="PAGE9" localSheetId="7">#REF!</definedName>
    <definedName name="PAGE9">#REF!</definedName>
    <definedName name="PAGEJ" localSheetId="7">#REF!</definedName>
    <definedName name="PAGEJ">#REF!</definedName>
    <definedName name="PAN">[32]Masters!$C$11</definedName>
    <definedName name="PartDesignation">[46]Masters!$C$16</definedName>
    <definedName name="PBS" localSheetId="8">#REF!</definedName>
    <definedName name="PBS" localSheetId="7">#REF!</definedName>
    <definedName name="PBS">#REF!</definedName>
    <definedName name="PC" localSheetId="7">#REF!</definedName>
    <definedName name="PC">#REF!</definedName>
    <definedName name="PCCS" localSheetId="7">#REF!</definedName>
    <definedName name="PCCS">#REF!</definedName>
    <definedName name="PD" localSheetId="7">#REF!</definedName>
    <definedName name="PD">#REF!</definedName>
    <definedName name="PDIE" localSheetId="7">#REF!</definedName>
    <definedName name="PDIE">#REF!</definedName>
    <definedName name="PDT" localSheetId="7">#REF!</definedName>
    <definedName name="PDT">#REF!</definedName>
    <definedName name="PEN" localSheetId="7">#REF!</definedName>
    <definedName name="PEN">#REF!</definedName>
    <definedName name="PERF" localSheetId="7">#REF!</definedName>
    <definedName name="PERF">#REF!</definedName>
    <definedName name="PF" localSheetId="7">#REF!</definedName>
    <definedName name="PF">#REF!</definedName>
    <definedName name="PFLOOR" localSheetId="7">#REF!</definedName>
    <definedName name="PFLOOR">#REF!</definedName>
    <definedName name="PGP" localSheetId="7">#REF!</definedName>
    <definedName name="PGP">#REF!</definedName>
    <definedName name="PGRES" localSheetId="7">#REF!</definedName>
    <definedName name="PGRES">#REF!</definedName>
    <definedName name="PGUP" localSheetId="7">#REF!</definedName>
    <definedName name="PGUP">#REF!</definedName>
    <definedName name="PHYSICAL_STOCK_AS_ON__31_03_2000" localSheetId="7">#REF!</definedName>
    <definedName name="PHYSICAL_STOCK_AS_ON__31_03_2000">#REF!</definedName>
    <definedName name="PIR_RANGE" localSheetId="7">#REF!</definedName>
    <definedName name="PIR_RANGE">#REF!</definedName>
    <definedName name="pl">[27]tb!$H$9:$Z$1190</definedName>
    <definedName name="pl_a">[27]tb!$G$10:$V$1193</definedName>
    <definedName name="PLPROJ" localSheetId="8">#REF!</definedName>
    <definedName name="PLPROJ" localSheetId="7">#REF!</definedName>
    <definedName name="PLPROJ">#REF!</definedName>
    <definedName name="PLRANGE" localSheetId="7">#REF!</definedName>
    <definedName name="PLRANGE">#REF!</definedName>
    <definedName name="PM" localSheetId="7">#REF!</definedName>
    <definedName name="PM">#REF!</definedName>
    <definedName name="PMARB" localSheetId="7">#REF!</definedName>
    <definedName name="PMARB">#REF!</definedName>
    <definedName name="pmonth" localSheetId="7">#REF!</definedName>
    <definedName name="pmonth">#REF!</definedName>
    <definedName name="PNL" localSheetId="7">#REF!</definedName>
    <definedName name="PNL">#REF!</definedName>
    <definedName name="poerujgslnmv" localSheetId="7">[85]BKCSTOCKVAL!#REF!</definedName>
    <definedName name="poerujgslnmv">[85]BKCSTOCKVAL!#REF!</definedName>
    <definedName name="POFG">[86]POFG!$A$5:$Q$90</definedName>
    <definedName name="pp" localSheetId="8" hidden="1">{#N/A,#N/A,FALSE,"5"}</definedName>
    <definedName name="pp" localSheetId="6" hidden="1">{#N/A,#N/A,FALSE,"5"}</definedName>
    <definedName name="pp" localSheetId="7" hidden="1">{#N/A,#N/A,FALSE,"5"}</definedName>
    <definedName name="pp" hidden="1">{#N/A,#N/A,FALSE,"5"}</definedName>
    <definedName name="PPP" localSheetId="8">#REF!</definedName>
    <definedName name="PPP" localSheetId="7">#REF!</definedName>
    <definedName name="PPP">#REF!</definedName>
    <definedName name="pppp" localSheetId="7">#REF!</definedName>
    <definedName name="pppp">#REF!</definedName>
    <definedName name="Print" localSheetId="7">#REF!</definedName>
    <definedName name="Print">#REF!</definedName>
    <definedName name="_xlnm.Print_Area" localSheetId="7">#REF!</definedName>
    <definedName name="_xlnm.Print_Area">#REF!</definedName>
    <definedName name="PRINT_AREA_MI" localSheetId="7">#REF!</definedName>
    <definedName name="PRINT_AREA_MI">#REF!</definedName>
    <definedName name="print_head" localSheetId="7">#REF!</definedName>
    <definedName name="print_head">#REF!</definedName>
    <definedName name="_xlnm.Print_Titles" localSheetId="7">#REF!</definedName>
    <definedName name="_xlnm.Print_Titles">#REF!</definedName>
    <definedName name="prior_ye">[51]Help!$G$2</definedName>
    <definedName name="PROFIT" localSheetId="8">'[3]BAL96-97'!#REF!</definedName>
    <definedName name="PROFIT" localSheetId="7">'[3]BAL96-97'!#REF!</definedName>
    <definedName name="PROFIT">'[3]BAL96-97'!#REF!</definedName>
    <definedName name="prov" localSheetId="7">[25]WORKINGS!#REF!</definedName>
    <definedName name="prov">[25]WORKINGS!#REF!</definedName>
    <definedName name="PROVISION" localSheetId="7">[25]WORKINGS!#REF!</definedName>
    <definedName name="PROVISION">[25]WORKINGS!#REF!</definedName>
    <definedName name="PT">#N/A</definedName>
    <definedName name="pt_tax">'[53]Notes to cash flow pt. 1'!$F$42</definedName>
    <definedName name="ptaud" localSheetId="8">'[87]Other Expenses'!#REF!</definedName>
    <definedName name="ptaud" localSheetId="7">'[87]Other Expenses'!#REF!</definedName>
    <definedName name="ptaud">'[87]Other Expenses'!#REF!</definedName>
    <definedName name="pun">[28]Pun!$A$1:$H$65536</definedName>
    <definedName name="Pur" localSheetId="8">#REF!</definedName>
    <definedName name="Pur" localSheetId="7">#REF!</definedName>
    <definedName name="Pur">#REF!</definedName>
    <definedName name="purch" localSheetId="8">'[88]Wrk-Mov in Invent'!#REF!</definedName>
    <definedName name="purch" localSheetId="7">'[88]Wrk-Mov in Invent'!#REF!</definedName>
    <definedName name="purch">'[88]Wrk-Mov in Invent'!#REF!</definedName>
    <definedName name="PW" localSheetId="8">#REF!</definedName>
    <definedName name="PW" localSheetId="7">#REF!</definedName>
    <definedName name="PW">#REF!</definedName>
    <definedName name="PWALL" localSheetId="7">#REF!</definedName>
    <definedName name="PWALL">#REF!</definedName>
    <definedName name="PWR" localSheetId="7">#REF!</definedName>
    <definedName name="PWR">#REF!</definedName>
    <definedName name="py_ad">'[53]Notes to cash flow pt. 1'!$F$67</definedName>
    <definedName name="py_cefi">'[53]Notes to cash flow pt. 1'!$F$55</definedName>
    <definedName name="py_curr_cred">'[51]Balance Sheet'!$F$20</definedName>
    <definedName name="py_debtors">'[51]Balance Sheet'!$F$15</definedName>
    <definedName name="py_fin">'[53]Notes to cash flow pt. 1'!$F$98</definedName>
    <definedName name="py_long_cred">'[51]Balance Sheet'!$F$23</definedName>
    <definedName name="py_mlr">'[53]Notes to cash flow pt. 1'!$F$78</definedName>
    <definedName name="py_nci_op_prof">'[53]Notes to cash flow pt. 1'!$F$18</definedName>
    <definedName name="py_roisf">'[53]Notes to cash flow pt. 1'!$F$32</definedName>
    <definedName name="py_stock">'[51]Balance Sheet'!$F$14</definedName>
    <definedName name="q" localSheetId="8">#REF!</definedName>
    <definedName name="q" localSheetId="7">#REF!</definedName>
    <definedName name="q">#REF!</definedName>
    <definedName name="qaz" localSheetId="8" hidden="1">{TRUE,TRUE,-1.25,-15.5,484.5,276.75,FALSE,FALSE,TRUE,TRUE,0,11,#N/A,641,#N/A,7.16304347826087,18.4666666666667,1,FALSE,FALSE,3,TRUE,1,FALSE,75,"Swvu.otr.","ACwvu.otr.",#N/A,FALSE,FALSE,0.54,0.5,0.53,0.25,1,"","",FALSE,FALSE,FALSE,FALSE,1,61,#N/A,#N/A,"=R280C12:R779C19",FALSE,"Rwvu.otr.","Cwvu.otr.",FALSE,FALSE,TRUE,1,180,180,FALSE,FALSE,TRUE,TRUE,TRUE}</definedName>
    <definedName name="qaz" localSheetId="6" hidden="1">{TRUE,TRUE,-1.25,-15.5,484.5,276.75,FALSE,FALSE,TRUE,TRUE,0,11,#N/A,641,#N/A,7.16304347826087,18.4666666666667,1,FALSE,FALSE,3,TRUE,1,FALSE,75,"Swvu.otr.","ACwvu.otr.",#N/A,FALSE,FALSE,0.54,0.5,0.53,0.25,1,"","",FALSE,FALSE,FALSE,FALSE,1,61,#N/A,#N/A,"=R280C12:R779C19",FALSE,"Rwvu.otr.","Cwvu.otr.",FALSE,FALSE,TRUE,1,180,180,FALSE,FALSE,TRUE,TRUE,TRUE}</definedName>
    <definedName name="qaz" localSheetId="7" hidden="1">{TRUE,TRUE,-1.25,-15.5,484.5,276.75,FALSE,FALSE,TRUE,TRUE,0,11,#N/A,641,#N/A,7.16304347826087,18.4666666666667,1,FALSE,FALSE,3,TRUE,1,FALSE,75,"Swvu.otr.","ACwvu.otr.",#N/A,FALSE,FALSE,0.54,0.5,0.53,0.25,1,"","",FALSE,FALSE,FALSE,FALSE,1,61,#N/A,#N/A,"=R280C12:R779C19",FALSE,"Rwvu.otr.","Cwvu.otr.",FALSE,FALSE,TRUE,1,180,180,FALSE,FALSE,TRUE,TRUE,TRUE}</definedName>
    <definedName name="qaz" hidden="1">{TRUE,TRUE,-1.25,-15.5,484.5,276.75,FALSE,FALSE,TRUE,TRUE,0,11,#N/A,641,#N/A,7.16304347826087,18.4666666666667,1,FALSE,FALSE,3,TRUE,1,FALSE,75,"Swvu.otr.","ACwvu.otr.",#N/A,FALSE,FALSE,0.54,0.5,0.53,0.25,1,"","",FALSE,FALSE,FALSE,FALSE,1,61,#N/A,#N/A,"=R280C12:R779C19",FALSE,"Rwvu.otr.","Cwvu.otr.",FALSE,FALSE,TRUE,1,180,180,FALSE,FALSE,TRUE,TRUE,TRUE}</definedName>
    <definedName name="qejkl" localSheetId="8" hidden="1">{#N/A,#N/A,FALSE,"5"}</definedName>
    <definedName name="qejkl" localSheetId="6" hidden="1">{#N/A,#N/A,FALSE,"5"}</definedName>
    <definedName name="qejkl" localSheetId="7" hidden="1">{#N/A,#N/A,FALSE,"5"}</definedName>
    <definedName name="qejkl" hidden="1">{#N/A,#N/A,FALSE,"5"}</definedName>
    <definedName name="R_">#N/A</definedName>
    <definedName name="ranga" localSheetId="8" hidden="1">{#N/A,#N/A,FALSE,"4"}</definedName>
    <definedName name="ranga" localSheetId="6" hidden="1">{#N/A,#N/A,FALSE,"4"}</definedName>
    <definedName name="ranga" localSheetId="7" hidden="1">{#N/A,#N/A,FALSE,"4"}</definedName>
    <definedName name="ranga" hidden="1">{#N/A,#N/A,FALSE,"4"}</definedName>
    <definedName name="ratecc" localSheetId="8">#REF!</definedName>
    <definedName name="ratecc" localSheetId="7">#REF!</definedName>
    <definedName name="ratecc">#REF!</definedName>
    <definedName name="rateusd" localSheetId="7">#REF!</definedName>
    <definedName name="rateusd">#REF!</definedName>
    <definedName name="RAWMILL">[47]Const_and_macro!#REF!</definedName>
    <definedName name="RBS" localSheetId="8">#REF!</definedName>
    <definedName name="RBS" localSheetId="7">#REF!</definedName>
    <definedName name="RBS">#REF!</definedName>
    <definedName name="RCF" localSheetId="7">#REF!</definedName>
    <definedName name="RCF">#REF!</definedName>
    <definedName name="rdc" localSheetId="8" hidden="1">{TRUE,TRUE,-1.25,-15.5,484.5,276.75,FALSE,FALSE,TRUE,TRUE,0,11,#N/A,641,#N/A,7.16304347826087,18.4666666666667,1,FALSE,FALSE,3,TRUE,1,FALSE,75,"Swvu.otr.","ACwvu.otr.",#N/A,FALSE,FALSE,0.54,0.5,0.53,0.25,1,"","",FALSE,FALSE,FALSE,FALSE,1,61,#N/A,#N/A,"=R280C12:R779C19",FALSE,"Rwvu.otr.","Cwvu.otr.",FALSE,FALSE,TRUE,1,180,180,FALSE,FALSE,TRUE,TRUE,TRUE}</definedName>
    <definedName name="rdc" localSheetId="6" hidden="1">{TRUE,TRUE,-1.25,-15.5,484.5,276.75,FALSE,FALSE,TRUE,TRUE,0,11,#N/A,641,#N/A,7.16304347826087,18.4666666666667,1,FALSE,FALSE,3,TRUE,1,FALSE,75,"Swvu.otr.","ACwvu.otr.",#N/A,FALSE,FALSE,0.54,0.5,0.53,0.25,1,"","",FALSE,FALSE,FALSE,FALSE,1,61,#N/A,#N/A,"=R280C12:R779C19",FALSE,"Rwvu.otr.","Cwvu.otr.",FALSE,FALSE,TRUE,1,180,180,FALSE,FALSE,TRUE,TRUE,TRUE}</definedName>
    <definedName name="rdc" localSheetId="7" hidden="1">{TRUE,TRUE,-1.25,-15.5,484.5,276.75,FALSE,FALSE,TRUE,TRUE,0,11,#N/A,641,#N/A,7.16304347826087,18.4666666666667,1,FALSE,FALSE,3,TRUE,1,FALSE,75,"Swvu.otr.","ACwvu.otr.",#N/A,FALSE,FALSE,0.54,0.5,0.53,0.25,1,"","",FALSE,FALSE,FALSE,FALSE,1,61,#N/A,#N/A,"=R280C12:R779C19",FALSE,"Rwvu.otr.","Cwvu.otr.",FALSE,FALSE,TRUE,1,180,180,FALSE,FALSE,TRUE,TRUE,TRUE}</definedName>
    <definedName name="rdc" hidden="1">{TRUE,TRUE,-1.25,-15.5,484.5,276.75,FALSE,FALSE,TRUE,TRUE,0,11,#N/A,641,#N/A,7.16304347826087,18.4666666666667,1,FALSE,FALSE,3,TRUE,1,FALSE,75,"Swvu.otr.","ACwvu.otr.",#N/A,FALSE,FALSE,0.54,0.5,0.53,0.25,1,"","",FALSE,FALSE,FALSE,FALSE,1,61,#N/A,#N/A,"=R280C12:R779C19",FALSE,"Rwvu.otr.","Cwvu.otr.",FALSE,FALSE,TRUE,1,180,180,FALSE,FALSE,TRUE,TRUE,TRUE}</definedName>
    <definedName name="Realisations_salevalue" localSheetId="8">#REF!</definedName>
    <definedName name="Realisations_salevalue" localSheetId="7">#REF!</definedName>
    <definedName name="Realisations_salevalue">#REF!</definedName>
    <definedName name="regid" localSheetId="7">#REF!</definedName>
    <definedName name="regid">#REF!</definedName>
    <definedName name="region">[89]Region!$A$2:$C$36</definedName>
    <definedName name="Repay" localSheetId="8">#REF!</definedName>
    <definedName name="Repay" localSheetId="7">#REF!</definedName>
    <definedName name="Repay">#REF!</definedName>
    <definedName name="Repay1" localSheetId="7">#REF!</definedName>
    <definedName name="Repay1">#REF!</definedName>
    <definedName name="RM" localSheetId="7">#REF!</definedName>
    <definedName name="RM">#REF!</definedName>
    <definedName name="RMB">[90]Data!$D$10</definedName>
    <definedName name="RMC" localSheetId="8">[25]WORKINGS!#REF!</definedName>
    <definedName name="RMC" localSheetId="7">[25]WORKINGS!#REF!</definedName>
    <definedName name="RMC">[25]WORKINGS!#REF!</definedName>
    <definedName name="rng_branch" localSheetId="8">#REF!</definedName>
    <definedName name="rng_branch">#REF!</definedName>
    <definedName name="rng_branch_head" localSheetId="8">#REF!</definedName>
    <definedName name="rng_branch_head">#REF!</definedName>
    <definedName name="rng_region">#REF!</definedName>
    <definedName name="rng_region_head">#REF!</definedName>
    <definedName name="rng_territory">#REF!</definedName>
    <definedName name="rng_territory_head">#REF!</definedName>
    <definedName name="ROECC" localSheetId="7">#REF!</definedName>
    <definedName name="ROECC">#REF!</definedName>
    <definedName name="ROEUSD" localSheetId="7">#REF!</definedName>
    <definedName name="ROEUSD">#REF!</definedName>
    <definedName name="rollingplan202021R2" localSheetId="7">#REF!</definedName>
    <definedName name="rollingplan202021R2">#REF!</definedName>
    <definedName name="ROUGH" localSheetId="7">#REF!</definedName>
    <definedName name="ROUGH">#REF!</definedName>
    <definedName name="rounding_factor">[51]Help!$G$5</definedName>
    <definedName name="RP" localSheetId="8">#REF!</definedName>
    <definedName name="RP" localSheetId="7">#REF!</definedName>
    <definedName name="RP">#REF!</definedName>
    <definedName name="rpr">[28]rpr!$A$1:$H$65536</definedName>
    <definedName name="RR" localSheetId="8">#REF!</definedName>
    <definedName name="RR" localSheetId="7">#REF!</definedName>
    <definedName name="RR">#REF!</definedName>
    <definedName name="rrgfg" localSheetId="7">#REF!</definedName>
    <definedName name="rrgfg">#REF!</definedName>
    <definedName name="rt6ujy" localSheetId="7">#REF!</definedName>
    <definedName name="rt6ujy">#REF!</definedName>
    <definedName name="Rwvu.otr." localSheetId="7" hidden="1">[91]ORIGINAL!#REF!</definedName>
    <definedName name="Rwvu.otr." hidden="1">[91]ORIGINAL!#REF!</definedName>
    <definedName name="s" localSheetId="8">#REF!</definedName>
    <definedName name="s" localSheetId="7">#REF!</definedName>
    <definedName name="s">#REF!</definedName>
    <definedName name="S2P" localSheetId="7">#REF!</definedName>
    <definedName name="S2P">#REF!</definedName>
    <definedName name="S2T" localSheetId="7">#REF!</definedName>
    <definedName name="S2T">#REF!</definedName>
    <definedName name="sal" localSheetId="7">[25]WORKINGS!#REF!</definedName>
    <definedName name="sal">[25]WORKINGS!#REF!</definedName>
    <definedName name="SALARY" localSheetId="7">[25]WORKINGS!#REF!</definedName>
    <definedName name="SALARY">[25]WORKINGS!#REF!</definedName>
    <definedName name="sale">[92]SALE!$A$4:$E$71</definedName>
    <definedName name="SALES" localSheetId="8">#REF!</definedName>
    <definedName name="SALES" localSheetId="7">#REF!</definedName>
    <definedName name="SALES">#REF!</definedName>
    <definedName name="salwag" localSheetId="8">'[88]Wrk-EmpBen'!#REF!</definedName>
    <definedName name="salwag" localSheetId="7">'[88]Wrk-EmpBen'!#REF!</definedName>
    <definedName name="salwag">'[88]Wrk-EmpBen'!#REF!</definedName>
    <definedName name="sat" localSheetId="8">#REF!</definedName>
    <definedName name="sat" localSheetId="7">#REF!</definedName>
    <definedName name="sat">#REF!</definedName>
    <definedName name="SB" localSheetId="8">[20]tb!#REF!</definedName>
    <definedName name="SB" localSheetId="7">[20]tb!#REF!</definedName>
    <definedName name="SB">[20]tb!#REF!</definedName>
    <definedName name="SCH" localSheetId="8">#REF!</definedName>
    <definedName name="SCH" localSheetId="7">#REF!</definedName>
    <definedName name="SCH">#REF!</definedName>
    <definedName name="SCHA" localSheetId="7">#REF!</definedName>
    <definedName name="SCHA">#REF!</definedName>
    <definedName name="SCHB" localSheetId="7">#REF!</definedName>
    <definedName name="SCHB">#REF!</definedName>
    <definedName name="schbal1" localSheetId="7">[93]inve!#REF!</definedName>
    <definedName name="schbal1">[93]inve!#REF!</definedName>
    <definedName name="schbal2" localSheetId="7">[93]inve!#REF!</definedName>
    <definedName name="schbal2">[93]inve!#REF!</definedName>
    <definedName name="SCHC" localSheetId="8">#REF!</definedName>
    <definedName name="SCHC" localSheetId="7">#REF!</definedName>
    <definedName name="SCHC">#REF!</definedName>
    <definedName name="SCHD" localSheetId="7">#REF!</definedName>
    <definedName name="SCHD">#REF!</definedName>
    <definedName name="SCHE" localSheetId="7">#REF!</definedName>
    <definedName name="SCHE">#REF!</definedName>
    <definedName name="SCHF" localSheetId="7">#REF!</definedName>
    <definedName name="SCHF">#REF!</definedName>
    <definedName name="SCHG" localSheetId="7">#REF!</definedName>
    <definedName name="SCHG">#REF!</definedName>
    <definedName name="SCHH" localSheetId="7">#REF!</definedName>
    <definedName name="SCHH">#REF!</definedName>
    <definedName name="SCHI" localSheetId="7">#REF!</definedName>
    <definedName name="SCHI">#REF!</definedName>
    <definedName name="SCHJ" localSheetId="7">#REF!</definedName>
    <definedName name="SCHJ">#REF!</definedName>
    <definedName name="SCHK" localSheetId="7">#REF!</definedName>
    <definedName name="SCHK">#REF!</definedName>
    <definedName name="SCHL" localSheetId="7">#REF!</definedName>
    <definedName name="SCHL">#REF!</definedName>
    <definedName name="SCHM" localSheetId="7">#REF!</definedName>
    <definedName name="SCHM">#REF!</definedName>
    <definedName name="SCHN" localSheetId="7">#REF!</definedName>
    <definedName name="SCHN">#REF!</definedName>
    <definedName name="SCHO" localSheetId="7">#REF!</definedName>
    <definedName name="SCHO">#REF!</definedName>
    <definedName name="SCHP" localSheetId="7">#REF!</definedName>
    <definedName name="SCHP">#REF!</definedName>
    <definedName name="sdd" localSheetId="7">#REF!</definedName>
    <definedName name="sdd">#REF!</definedName>
    <definedName name="sdfg" localSheetId="7">#REF!</definedName>
    <definedName name="sdfg">#REF!</definedName>
    <definedName name="sdflhk" localSheetId="7">[85]MAHSTOCKVAL!#REF!</definedName>
    <definedName name="sdflhk">[85]MAHSTOCKVAL!#REF!</definedName>
    <definedName name="SECH5A" localSheetId="7">'[94]CA_and_CL_2002_proj_opn(2001-0)'!#REF!</definedName>
    <definedName name="SECH5A">'[94]CA_and_CL_2002_proj_opn(2001-0)'!#REF!</definedName>
    <definedName name="SectionUnderWhichCompanyIsSubsidiary">[38]Lists!$B$4:$F$4</definedName>
    <definedName name="SEGUINE" localSheetId="8">#REF!</definedName>
    <definedName name="SEGUINE" localSheetId="7">#REF!</definedName>
    <definedName name="SEGUINE">#REF!</definedName>
    <definedName name="sencount" hidden="1">1</definedName>
    <definedName name="sep">[30]SEP!$A$1:$AP$139</definedName>
    <definedName name="sf" localSheetId="8">#REF!</definedName>
    <definedName name="sf" localSheetId="7">#REF!</definedName>
    <definedName name="sf">#REF!</definedName>
    <definedName name="sfdg" localSheetId="8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}</definedName>
    <definedName name="sfdg" localSheetId="6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}</definedName>
    <definedName name="sfdg" localSheetId="7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}</definedName>
    <definedName name="sfdg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}</definedName>
    <definedName name="sfg" localSheetId="7" hidden="1">'[95]B S'!#REF!</definedName>
    <definedName name="sfg" hidden="1">'[95]B S'!#REF!</definedName>
    <definedName name="SIGHT" localSheetId="7">[96]CAPEX!#REF!</definedName>
    <definedName name="SIGHT">[96]CAPEX!#REF!</definedName>
    <definedName name="SIVA" localSheetId="8">#REF!</definedName>
    <definedName name="SIVA" localSheetId="7">#REF!</definedName>
    <definedName name="SIVA">#REF!</definedName>
    <definedName name="SIX" localSheetId="7">#REF!</definedName>
    <definedName name="SIX">#REF!</definedName>
    <definedName name="SP">#N/A</definedName>
    <definedName name="srt">[28]srt!$A$1:$H$65536</definedName>
    <definedName name="SS">[35]SS!$A$1:$J$28</definedName>
    <definedName name="ssurplusadd" localSheetId="8">'[81]Reserves &amp; Surplus'!#REF!</definedName>
    <definedName name="ssurplusadd" localSheetId="7">'[81]Reserves &amp; Surplus'!#REF!</definedName>
    <definedName name="ssurplusadd">'[81]Reserves &amp; Surplus'!#REF!</definedName>
    <definedName name="States">[59]Codes!$C$20:$C$54</definedName>
    <definedName name="STB" localSheetId="8">#REF!</definedName>
    <definedName name="STB" localSheetId="7">#REF!</definedName>
    <definedName name="STB">#REF!</definedName>
    <definedName name="stock" localSheetId="7">#REF!</definedName>
    <definedName name="stock">#REF!</definedName>
    <definedName name="Stocks" localSheetId="7">#REF!</definedName>
    <definedName name="Stocks">#REF!</definedName>
    <definedName name="store" localSheetId="7">#REF!</definedName>
    <definedName name="store">#REF!</definedName>
    <definedName name="SUBTOTAL" localSheetId="7">#REF!</definedName>
    <definedName name="SUBTOTAL">#REF!</definedName>
    <definedName name="SUM" localSheetId="7">[20]tb!#REF!</definedName>
    <definedName name="SUM">[20]tb!#REF!</definedName>
    <definedName name="SUMM" localSheetId="7">[49]STAT!#REF!</definedName>
    <definedName name="SUMM">[49]STAT!#REF!</definedName>
    <definedName name="surplusadd" localSheetId="7">'[81]Reserves &amp; Surplus'!#REF!</definedName>
    <definedName name="surplusadd">'[81]Reserves &amp; Surplus'!#REF!</definedName>
    <definedName name="SW" localSheetId="8">#REF!</definedName>
    <definedName name="SW" localSheetId="7">#REF!</definedName>
    <definedName name="SW">#REF!</definedName>
    <definedName name="TAB" localSheetId="7">#REF!</definedName>
    <definedName name="TAB">#REF!</definedName>
    <definedName name="tabnn" localSheetId="7">#REF!</definedName>
    <definedName name="tabnn">#REF!</definedName>
    <definedName name="TAFName">[32]Masters!$C$19</definedName>
    <definedName name="TAMNo">[46]Masters!$C$23</definedName>
    <definedName name="TAName">[46]Masters!$C$20</definedName>
    <definedName name="TAPlace">[46]Masters!$C$43</definedName>
    <definedName name="TaxAudAdd">[46]Masters!$C$24</definedName>
    <definedName name="TaxAuditDate">[46]Masters!$C$40</definedName>
    <definedName name="TB" localSheetId="8">#REF!</definedName>
    <definedName name="TB" localSheetId="7">#REF!</definedName>
    <definedName name="TB">#REF!</definedName>
    <definedName name="TBC_2002" localSheetId="7">#REF!</definedName>
    <definedName name="TBC_2002">#REF!</definedName>
    <definedName name="TBS" localSheetId="7">#REF!</definedName>
    <definedName name="TBS">#REF!</definedName>
    <definedName name="tbsep" localSheetId="7">#REF!</definedName>
    <definedName name="tbsep">#REF!</definedName>
    <definedName name="tbsep21">'[97]#REF'!$D$10:$J$751</definedName>
    <definedName name="tds">[27]tb!$G$966:$O$1040</definedName>
    <definedName name="TDSSections">[44]Codes!$C$449:$C$475</definedName>
    <definedName name="TE" localSheetId="8">#REF!</definedName>
    <definedName name="TE" localSheetId="7">#REF!</definedName>
    <definedName name="TE">#REF!</definedName>
    <definedName name="Test" localSheetId="7">#REF!</definedName>
    <definedName name="Test">#REF!</definedName>
    <definedName name="TEST0" localSheetId="7">#REF!</definedName>
    <definedName name="TEST0">#REF!</definedName>
    <definedName name="TEST1" localSheetId="7">#REF!</definedName>
    <definedName name="TEST1">#REF!</definedName>
    <definedName name="TEST10" localSheetId="7">#REF!</definedName>
    <definedName name="TEST10">#REF!</definedName>
    <definedName name="TEST100" localSheetId="7">#REF!</definedName>
    <definedName name="TEST100">#REF!</definedName>
    <definedName name="TEST101" localSheetId="7">#REF!</definedName>
    <definedName name="TEST101">#REF!</definedName>
    <definedName name="TEST102" localSheetId="7">#REF!</definedName>
    <definedName name="TEST102">#REF!</definedName>
    <definedName name="TEST11" localSheetId="7">#REF!</definedName>
    <definedName name="TEST11">#REF!</definedName>
    <definedName name="TEST12" localSheetId="7">#REF!</definedName>
    <definedName name="TEST12">#REF!</definedName>
    <definedName name="TEST13" localSheetId="7">#REF!</definedName>
    <definedName name="TEST13">#REF!</definedName>
    <definedName name="TEST14" localSheetId="7">#REF!</definedName>
    <definedName name="TEST14">#REF!</definedName>
    <definedName name="TEST15" localSheetId="7">#REF!</definedName>
    <definedName name="TEST15">#REF!</definedName>
    <definedName name="TEST16" localSheetId="7">#REF!</definedName>
    <definedName name="TEST16">#REF!</definedName>
    <definedName name="TEST17" localSheetId="7">#REF!</definedName>
    <definedName name="TEST17">#REF!</definedName>
    <definedName name="TEST18" localSheetId="7">#REF!</definedName>
    <definedName name="TEST18">#REF!</definedName>
    <definedName name="TEST19" localSheetId="7">#REF!</definedName>
    <definedName name="TEST19">#REF!</definedName>
    <definedName name="TEST2" localSheetId="7">#REF!</definedName>
    <definedName name="TEST2">#REF!</definedName>
    <definedName name="TEST20" localSheetId="7">#REF!</definedName>
    <definedName name="TEST20">#REF!</definedName>
    <definedName name="TEST21" localSheetId="7">#REF!</definedName>
    <definedName name="TEST21">#REF!</definedName>
    <definedName name="TEST22" localSheetId="7">#REF!</definedName>
    <definedName name="TEST22">#REF!</definedName>
    <definedName name="TEST23" localSheetId="7">#REF!</definedName>
    <definedName name="TEST23">#REF!</definedName>
    <definedName name="TEST24" localSheetId="7">#REF!</definedName>
    <definedName name="TEST24">#REF!</definedName>
    <definedName name="TEST25" localSheetId="7">#REF!</definedName>
    <definedName name="TEST25">#REF!</definedName>
    <definedName name="TEST26" localSheetId="7">#REF!</definedName>
    <definedName name="TEST26">#REF!</definedName>
    <definedName name="TEST27" localSheetId="7">#REF!</definedName>
    <definedName name="TEST27">#REF!</definedName>
    <definedName name="TEST28" localSheetId="7">#REF!</definedName>
    <definedName name="TEST28">#REF!</definedName>
    <definedName name="TEST29" localSheetId="7">#REF!</definedName>
    <definedName name="TEST29">#REF!</definedName>
    <definedName name="TEST3" localSheetId="7">#REF!</definedName>
    <definedName name="TEST3">#REF!</definedName>
    <definedName name="TEST30" localSheetId="7">#REF!</definedName>
    <definedName name="TEST30">#REF!</definedName>
    <definedName name="TEST31" localSheetId="7">#REF!</definedName>
    <definedName name="TEST31">#REF!</definedName>
    <definedName name="TEST32" localSheetId="7">#REF!</definedName>
    <definedName name="TEST32">#REF!</definedName>
    <definedName name="TEST33" localSheetId="7">#REF!</definedName>
    <definedName name="TEST33">#REF!</definedName>
    <definedName name="TEST34" localSheetId="7">#REF!</definedName>
    <definedName name="TEST34">#REF!</definedName>
    <definedName name="TEST35" localSheetId="7">#REF!</definedName>
    <definedName name="TEST35">#REF!</definedName>
    <definedName name="TEST36" localSheetId="7">#REF!</definedName>
    <definedName name="TEST36">#REF!</definedName>
    <definedName name="TEST37" localSheetId="7">#REF!</definedName>
    <definedName name="TEST37">#REF!</definedName>
    <definedName name="TEST38" localSheetId="7">#REF!</definedName>
    <definedName name="TEST38">#REF!</definedName>
    <definedName name="TEST39" localSheetId="7">#REF!</definedName>
    <definedName name="TEST39">#REF!</definedName>
    <definedName name="TEST4" localSheetId="7">#REF!</definedName>
    <definedName name="TEST4">#REF!</definedName>
    <definedName name="TEST40" localSheetId="7">#REF!</definedName>
    <definedName name="TEST40">#REF!</definedName>
    <definedName name="TEST41" localSheetId="7">#REF!</definedName>
    <definedName name="TEST41">#REF!</definedName>
    <definedName name="TEST42" localSheetId="7">#REF!</definedName>
    <definedName name="TEST42">#REF!</definedName>
    <definedName name="TEST43" localSheetId="7">#REF!</definedName>
    <definedName name="TEST43">#REF!</definedName>
    <definedName name="TEST44" localSheetId="7">#REF!</definedName>
    <definedName name="TEST44">#REF!</definedName>
    <definedName name="TEST45" localSheetId="7">#REF!</definedName>
    <definedName name="TEST45">#REF!</definedName>
    <definedName name="TEST46" localSheetId="7">#REF!</definedName>
    <definedName name="TEST46">#REF!</definedName>
    <definedName name="TEST47" localSheetId="7">#REF!</definedName>
    <definedName name="TEST47">#REF!</definedName>
    <definedName name="TEST48" localSheetId="7">#REF!</definedName>
    <definedName name="TEST48">#REF!</definedName>
    <definedName name="TEST49" localSheetId="7">#REF!</definedName>
    <definedName name="TEST49">#REF!</definedName>
    <definedName name="TEST5" localSheetId="7">#REF!</definedName>
    <definedName name="TEST5">#REF!</definedName>
    <definedName name="TEST50" localSheetId="7">#REF!</definedName>
    <definedName name="TEST50">#REF!</definedName>
    <definedName name="TEST51" localSheetId="7">#REF!</definedName>
    <definedName name="TEST51">#REF!</definedName>
    <definedName name="TEST52" localSheetId="7">#REF!</definedName>
    <definedName name="TEST52">#REF!</definedName>
    <definedName name="TEST53" localSheetId="7">#REF!</definedName>
    <definedName name="TEST53">#REF!</definedName>
    <definedName name="TEST54" localSheetId="7">#REF!</definedName>
    <definedName name="TEST54">#REF!</definedName>
    <definedName name="TEST55" localSheetId="7">#REF!</definedName>
    <definedName name="TEST55">#REF!</definedName>
    <definedName name="TEST56" localSheetId="7">#REF!</definedName>
    <definedName name="TEST56">#REF!</definedName>
    <definedName name="TEST57" localSheetId="7">#REF!</definedName>
    <definedName name="TEST57">#REF!</definedName>
    <definedName name="TEST58" localSheetId="7">#REF!</definedName>
    <definedName name="TEST58">#REF!</definedName>
    <definedName name="TEST59" localSheetId="7">#REF!</definedName>
    <definedName name="TEST59">#REF!</definedName>
    <definedName name="TEST6" localSheetId="7">#REF!</definedName>
    <definedName name="TEST6">#REF!</definedName>
    <definedName name="TEST60" localSheetId="7">#REF!</definedName>
    <definedName name="TEST60">#REF!</definedName>
    <definedName name="TEST61" localSheetId="7">#REF!</definedName>
    <definedName name="TEST61">#REF!</definedName>
    <definedName name="TEST62" localSheetId="7">#REF!</definedName>
    <definedName name="TEST62">#REF!</definedName>
    <definedName name="TEST63" localSheetId="7">#REF!</definedName>
    <definedName name="TEST63">#REF!</definedName>
    <definedName name="TEST64" localSheetId="7">#REF!</definedName>
    <definedName name="TEST64">#REF!</definedName>
    <definedName name="TEST65" localSheetId="7">#REF!</definedName>
    <definedName name="TEST65">#REF!</definedName>
    <definedName name="TEST66" localSheetId="7">#REF!</definedName>
    <definedName name="TEST66">#REF!</definedName>
    <definedName name="TEST67" localSheetId="7">#REF!</definedName>
    <definedName name="TEST67">#REF!</definedName>
    <definedName name="TEST68" localSheetId="7">#REF!</definedName>
    <definedName name="TEST68">#REF!</definedName>
    <definedName name="TEST69" localSheetId="7">#REF!</definedName>
    <definedName name="TEST69">#REF!</definedName>
    <definedName name="TEST7" localSheetId="7">#REF!</definedName>
    <definedName name="TEST7">#REF!</definedName>
    <definedName name="TEST70" localSheetId="7">#REF!</definedName>
    <definedName name="TEST70">#REF!</definedName>
    <definedName name="TEST71" localSheetId="7">#REF!</definedName>
    <definedName name="TEST71">#REF!</definedName>
    <definedName name="TEST72" localSheetId="7">#REF!</definedName>
    <definedName name="TEST72">#REF!</definedName>
    <definedName name="TEST73" localSheetId="7">#REF!</definedName>
    <definedName name="TEST73">#REF!</definedName>
    <definedName name="TEST74" localSheetId="7">#REF!</definedName>
    <definedName name="TEST74">#REF!</definedName>
    <definedName name="TEST75" localSheetId="7">#REF!</definedName>
    <definedName name="TEST75">#REF!</definedName>
    <definedName name="TEST76" localSheetId="7">#REF!</definedName>
    <definedName name="TEST76">#REF!</definedName>
    <definedName name="TEST77" localSheetId="7">#REF!</definedName>
    <definedName name="TEST77">#REF!</definedName>
    <definedName name="TEST78" localSheetId="7">#REF!</definedName>
    <definedName name="TEST78">#REF!</definedName>
    <definedName name="TEST79" localSheetId="7">#REF!</definedName>
    <definedName name="TEST79">#REF!</definedName>
    <definedName name="TEST8" localSheetId="7">#REF!</definedName>
    <definedName name="TEST8">#REF!</definedName>
    <definedName name="TEST80" localSheetId="7">#REF!</definedName>
    <definedName name="TEST80">#REF!</definedName>
    <definedName name="TEST81" localSheetId="7">#REF!</definedName>
    <definedName name="TEST81">#REF!</definedName>
    <definedName name="TEST82" localSheetId="7">#REF!</definedName>
    <definedName name="TEST82">#REF!</definedName>
    <definedName name="TEST83" localSheetId="7">#REF!</definedName>
    <definedName name="TEST83">#REF!</definedName>
    <definedName name="TEST84" localSheetId="7">#REF!</definedName>
    <definedName name="TEST84">#REF!</definedName>
    <definedName name="TEST85" localSheetId="7">#REF!</definedName>
    <definedName name="TEST85">#REF!</definedName>
    <definedName name="TEST86" localSheetId="7">#REF!</definedName>
    <definedName name="TEST86">#REF!</definedName>
    <definedName name="TEST87" localSheetId="7">#REF!</definedName>
    <definedName name="TEST87">#REF!</definedName>
    <definedName name="TEST88" localSheetId="7">#REF!</definedName>
    <definedName name="TEST88">#REF!</definedName>
    <definedName name="TEST89" localSheetId="7">#REF!</definedName>
    <definedName name="TEST89">#REF!</definedName>
    <definedName name="TEST9" localSheetId="7">#REF!</definedName>
    <definedName name="TEST9">#REF!</definedName>
    <definedName name="TEST90" localSheetId="7">#REF!</definedName>
    <definedName name="TEST90">#REF!</definedName>
    <definedName name="TEST91" localSheetId="7">#REF!</definedName>
    <definedName name="TEST91">#REF!</definedName>
    <definedName name="TEST92" localSheetId="7">#REF!</definedName>
    <definedName name="TEST92">#REF!</definedName>
    <definedName name="TEST93" localSheetId="7">#REF!</definedName>
    <definedName name="TEST93">#REF!</definedName>
    <definedName name="TEST94" localSheetId="7">#REF!</definedName>
    <definedName name="TEST94">#REF!</definedName>
    <definedName name="TEST95" localSheetId="7">#REF!</definedName>
    <definedName name="TEST95">#REF!</definedName>
    <definedName name="TEST96" localSheetId="7">#REF!</definedName>
    <definedName name="TEST96">#REF!</definedName>
    <definedName name="TEST97" localSheetId="7">#REF!</definedName>
    <definedName name="TEST97">#REF!</definedName>
    <definedName name="TEST98" localSheetId="7">#REF!</definedName>
    <definedName name="TEST98">#REF!</definedName>
    <definedName name="TEST99" localSheetId="7">#REF!</definedName>
    <definedName name="TEST99">#REF!</definedName>
    <definedName name="TESTHKEY" localSheetId="7">#REF!</definedName>
    <definedName name="TESTHKEY">#REF!</definedName>
    <definedName name="TESTKEYS" localSheetId="7">#REF!</definedName>
    <definedName name="TESTKEYS">#REF!</definedName>
    <definedName name="testkeys11111111" localSheetId="7">#REF!</definedName>
    <definedName name="testkeys11111111">#REF!</definedName>
    <definedName name="TESTVKEY" localSheetId="7">#REF!</definedName>
    <definedName name="TESTVKEY">#REF!</definedName>
    <definedName name="TextRefCopy1" localSheetId="7">#REF!</definedName>
    <definedName name="TextRefCopy1">#REF!</definedName>
    <definedName name="TextRefCopy10" localSheetId="7">#REF!</definedName>
    <definedName name="TextRefCopy10">#REF!</definedName>
    <definedName name="TextRefCopy11" localSheetId="7">#REF!</definedName>
    <definedName name="TextRefCopy11">#REF!</definedName>
    <definedName name="TextRefCopy12" localSheetId="7">#REF!</definedName>
    <definedName name="TextRefCopy12">#REF!</definedName>
    <definedName name="TextRefCopy13" localSheetId="7">#REF!</definedName>
    <definedName name="TextRefCopy13">#REF!</definedName>
    <definedName name="TextRefCopy14" localSheetId="7">#REF!</definedName>
    <definedName name="TextRefCopy14">#REF!</definedName>
    <definedName name="TextRefCopy15" localSheetId="7">#REF!</definedName>
    <definedName name="TextRefCopy15">#REF!</definedName>
    <definedName name="TextRefCopy16" localSheetId="7">#REF!</definedName>
    <definedName name="TextRefCopy16">#REF!</definedName>
    <definedName name="TextRefCopy17" localSheetId="7">#REF!</definedName>
    <definedName name="TextRefCopy17">#REF!</definedName>
    <definedName name="TextRefCopy18" localSheetId="7">#REF!</definedName>
    <definedName name="TextRefCopy18">#REF!</definedName>
    <definedName name="TextRefCopy19" localSheetId="7">#REF!</definedName>
    <definedName name="TextRefCopy19">#REF!</definedName>
    <definedName name="TextRefCopy2" localSheetId="7">#REF!</definedName>
    <definedName name="TextRefCopy2">#REF!</definedName>
    <definedName name="TextRefCopy20" localSheetId="7">#REF!</definedName>
    <definedName name="TextRefCopy20">#REF!</definedName>
    <definedName name="TextRefCopy21" localSheetId="7">#REF!</definedName>
    <definedName name="TextRefCopy21">#REF!</definedName>
    <definedName name="TextRefCopy22" localSheetId="7">#REF!</definedName>
    <definedName name="TextRefCopy22">#REF!</definedName>
    <definedName name="TextRefCopy23" localSheetId="7">#REF!</definedName>
    <definedName name="TextRefCopy23">#REF!</definedName>
    <definedName name="TextRefCopy24" localSheetId="7">#REF!</definedName>
    <definedName name="TextRefCopy24">#REF!</definedName>
    <definedName name="TextRefCopy25" localSheetId="7">#REF!</definedName>
    <definedName name="TextRefCopy25">#REF!</definedName>
    <definedName name="TextRefCopy26" localSheetId="7">#REF!</definedName>
    <definedName name="TextRefCopy26">#REF!</definedName>
    <definedName name="TextRefCopy27" localSheetId="7">#REF!</definedName>
    <definedName name="TextRefCopy27">#REF!</definedName>
    <definedName name="TextRefCopy28" localSheetId="7">#REF!</definedName>
    <definedName name="TextRefCopy28">#REF!</definedName>
    <definedName name="TextRefCopy29" localSheetId="7">#REF!</definedName>
    <definedName name="TextRefCopy29">#REF!</definedName>
    <definedName name="TextRefCopy3" localSheetId="7">#REF!</definedName>
    <definedName name="TextRefCopy3">#REF!</definedName>
    <definedName name="TextRefCopy30" localSheetId="7">#REF!</definedName>
    <definedName name="TextRefCopy30">#REF!</definedName>
    <definedName name="TextRefCopy31" localSheetId="7">#REF!</definedName>
    <definedName name="TextRefCopy31">#REF!</definedName>
    <definedName name="TextRefCopy32" localSheetId="7">#REF!</definedName>
    <definedName name="TextRefCopy32">#REF!</definedName>
    <definedName name="TextRefCopy33" localSheetId="7">#REF!</definedName>
    <definedName name="TextRefCopy33">#REF!</definedName>
    <definedName name="TextRefCopy34" localSheetId="7">#REF!</definedName>
    <definedName name="TextRefCopy34">#REF!</definedName>
    <definedName name="TextRefCopy4" localSheetId="7">#REF!</definedName>
    <definedName name="TextRefCopy4">#REF!</definedName>
    <definedName name="TextRefCopy5" localSheetId="7">#REF!</definedName>
    <definedName name="TextRefCopy5">#REF!</definedName>
    <definedName name="TextRefCopy6" localSheetId="7">#REF!</definedName>
    <definedName name="TextRefCopy6">#REF!</definedName>
    <definedName name="TextRefCopy7" localSheetId="7">#REF!</definedName>
    <definedName name="TextRefCopy7">#REF!</definedName>
    <definedName name="TextRefCopy8" localSheetId="7">#REF!</definedName>
    <definedName name="TextRefCopy8">#REF!</definedName>
    <definedName name="TextRefCopy9" localSheetId="7">#REF!</definedName>
    <definedName name="TextRefCopy9">#REF!</definedName>
    <definedName name="TextRefCopyRangeCount" hidden="1">34</definedName>
    <definedName name="tfh" localSheetId="8">#REF!</definedName>
    <definedName name="tfh" localSheetId="7">#REF!</definedName>
    <definedName name="tfh">#REF!</definedName>
    <definedName name="THAI_PLASTIC_in_KUSD" localSheetId="7">#REF!</definedName>
    <definedName name="THAI_PLASTIC_in_KUSD">#REF!</definedName>
    <definedName name="THANE" localSheetId="7">#REF!</definedName>
    <definedName name="THANE">#REF!</definedName>
    <definedName name="This_year_Bsheet" localSheetId="7">#REF!</definedName>
    <definedName name="This_year_Bsheet">#REF!</definedName>
    <definedName name="This_Year_Profit_Loss" localSheetId="7">#REF!</definedName>
    <definedName name="This_Year_Profit_Loss">#REF!</definedName>
    <definedName name="TK" localSheetId="7">#REF!</definedName>
    <definedName name="TK">#REF!</definedName>
    <definedName name="TOTAL" localSheetId="7">#REF!</definedName>
    <definedName name="TOTAL">#REF!</definedName>
    <definedName name="tour">[27]tb!$G$540:$O$669</definedName>
    <definedName name="trcompay">[27]tb!$G$756:$O$802</definedName>
    <definedName name="trial" localSheetId="8">#REF!</definedName>
    <definedName name="trial" localSheetId="7">#REF!</definedName>
    <definedName name="trial">#REF!</definedName>
    <definedName name="TrialBal" localSheetId="7">#REF!</definedName>
    <definedName name="TrialBal">#REF!</definedName>
    <definedName name="tvd">[28]tvd!$A$1:$H$65536</definedName>
    <definedName name="TW" localSheetId="8">#REF!</definedName>
    <definedName name="TW" localSheetId="7">#REF!</definedName>
    <definedName name="TW">#REF!</definedName>
    <definedName name="TypeOfBalanceSheet">[38]Lists!$B$10:$C$10</definedName>
    <definedName name="TypeOfCashFlowStatement">[38]Lists!$B$12:$C$12</definedName>
    <definedName name="TypeOfIncomeStatement">[38]Lists!$B$11:$C$11</definedName>
    <definedName name="TypeOfShare">[38]Lists!$B$1:$C$1</definedName>
    <definedName name="upn">[28]upn!$A$1:$H$65536</definedName>
    <definedName name="USD.A" localSheetId="8">#REF!</definedName>
    <definedName name="USD.A" localSheetId="7">#REF!</definedName>
    <definedName name="USD.A">#REF!</definedName>
    <definedName name="USD.E" localSheetId="7">#REF!</definedName>
    <definedName name="USD.E">#REF!</definedName>
    <definedName name="USD_B" localSheetId="7">#REF!</definedName>
    <definedName name="USD_B">#REF!</definedName>
    <definedName name="UV">[35]UV!$A$1:$O$27</definedName>
    <definedName name="ValidClass">'[58]Dont Alter'!$B$3:$B$15</definedName>
    <definedName name="vdr">[28]vdr!$A$1:$H$65536</definedName>
    <definedName name="vfr" localSheetId="8" hidden="1">{TRUE,TRUE,-1.25,-15.5,484.5,276.75,FALSE,FALSE,TRUE,TRUE,0,11,#N/A,641,#N/A,7.16304347826087,18.4666666666667,1,FALSE,FALSE,3,TRUE,1,FALSE,75,"Swvu.otr.","ACwvu.otr.",#N/A,FALSE,FALSE,0.54,0.5,0.53,0.25,1,"","",FALSE,FALSE,FALSE,FALSE,1,61,#N/A,#N/A,"=R280C12:R779C19",FALSE,"Rwvu.otr.","Cwvu.otr.",FALSE,FALSE,TRUE,1,180,180,FALSE,FALSE,TRUE,TRUE,TRUE}</definedName>
    <definedName name="vfr" localSheetId="6" hidden="1">{TRUE,TRUE,-1.25,-15.5,484.5,276.75,FALSE,FALSE,TRUE,TRUE,0,11,#N/A,641,#N/A,7.16304347826087,18.4666666666667,1,FALSE,FALSE,3,TRUE,1,FALSE,75,"Swvu.otr.","ACwvu.otr.",#N/A,FALSE,FALSE,0.54,0.5,0.53,0.25,1,"","",FALSE,FALSE,FALSE,FALSE,1,61,#N/A,#N/A,"=R280C12:R779C19",FALSE,"Rwvu.otr.","Cwvu.otr.",FALSE,FALSE,TRUE,1,180,180,FALSE,FALSE,TRUE,TRUE,TRUE}</definedName>
    <definedName name="vfr" localSheetId="7" hidden="1">{TRUE,TRUE,-1.25,-15.5,484.5,276.75,FALSE,FALSE,TRUE,TRUE,0,11,#N/A,641,#N/A,7.16304347826087,18.4666666666667,1,FALSE,FALSE,3,TRUE,1,FALSE,75,"Swvu.otr.","ACwvu.otr.",#N/A,FALSE,FALSE,0.54,0.5,0.53,0.25,1,"","",FALSE,FALSE,FALSE,FALSE,1,61,#N/A,#N/A,"=R280C12:R779C19",FALSE,"Rwvu.otr.","Cwvu.otr.",FALSE,FALSE,TRUE,1,180,180,FALSE,FALSE,TRUE,TRUE,TRUE}</definedName>
    <definedName name="vfr" hidden="1">{TRUE,TRUE,-1.25,-15.5,484.5,276.75,FALSE,FALSE,TRUE,TRUE,0,11,#N/A,641,#N/A,7.16304347826087,18.4666666666667,1,FALSE,FALSE,3,TRUE,1,FALSE,75,"Swvu.otr.","ACwvu.otr.",#N/A,FALSE,FALSE,0.54,0.5,0.53,0.25,1,"","",FALSE,FALSE,FALSE,FALSE,1,61,#N/A,#N/A,"=R280C12:R779C19",FALSE,"Rwvu.otr.","Cwvu.otr.",FALSE,FALSE,TRUE,1,180,180,FALSE,FALSE,TRUE,TRUE,TRUE}</definedName>
    <definedName name="VIJAYA" localSheetId="7">[98]Sheet1!#REF!</definedName>
    <definedName name="VIJAYA">[98]Sheet1!#REF!</definedName>
    <definedName name="VIT" localSheetId="8">#REF!</definedName>
    <definedName name="VIT" localSheetId="7">#REF!</definedName>
    <definedName name="VIT">#REF!</definedName>
    <definedName name="vzg">[28]vzg!$A$1:$H$65536</definedName>
    <definedName name="W">#N/A</definedName>
    <definedName name="wall" localSheetId="8">#REF!</definedName>
    <definedName name="wall" localSheetId="7">#REF!</definedName>
    <definedName name="wall">#REF!</definedName>
    <definedName name="WCA" localSheetId="7">#REF!</definedName>
    <definedName name="WCA">#REF!</definedName>
    <definedName name="WDV" localSheetId="7">#REF!</definedName>
    <definedName name="WDV">#REF!</definedName>
    <definedName name="WealthTaxDemandType">[73]Codes!$C$493:$C$494</definedName>
    <definedName name="WG">#N/A</definedName>
    <definedName name="WORKING" localSheetId="8">#REF!</definedName>
    <definedName name="WORKING" localSheetId="7">#REF!</definedName>
    <definedName name="WORKING">#REF!</definedName>
    <definedName name="wrn.all." localSheetId="8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}</definedName>
    <definedName name="wrn.all." localSheetId="6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}</definedName>
    <definedName name="wrn.all." localSheetId="7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}</definedName>
    <definedName name="wrn.all.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}</definedName>
    <definedName name="wrn.imprim." localSheetId="8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wrn.imprim." localSheetId="6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wrn.imprim." localSheetId="7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wrn.imprim.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wrn.pg" localSheetId="8" hidden="1">{#N/A,#N/A,FALSE,"16"}</definedName>
    <definedName name="wrn.pg" localSheetId="6" hidden="1">{#N/A,#N/A,FALSE,"16"}</definedName>
    <definedName name="wrn.pg" localSheetId="7" hidden="1">{#N/A,#N/A,FALSE,"16"}</definedName>
    <definedName name="wrn.pg" hidden="1">{#N/A,#N/A,FALSE,"16"}</definedName>
    <definedName name="wrn.pg1." localSheetId="8" hidden="1">{#N/A,#N/A,FALSE,"1"}</definedName>
    <definedName name="wrn.pg1." localSheetId="6" hidden="1">{#N/A,#N/A,FALSE,"1"}</definedName>
    <definedName name="wrn.pg1." localSheetId="7" hidden="1">{#N/A,#N/A,FALSE,"1"}</definedName>
    <definedName name="wrn.pg1." hidden="1">{#N/A,#N/A,FALSE,"1"}</definedName>
    <definedName name="wrn.pg10" localSheetId="8" hidden="1">{#N/A,#N/A,FALSE,"10"}</definedName>
    <definedName name="wrn.pg10" localSheetId="6" hidden="1">{#N/A,#N/A,FALSE,"10"}</definedName>
    <definedName name="wrn.pg10" localSheetId="7" hidden="1">{#N/A,#N/A,FALSE,"10"}</definedName>
    <definedName name="wrn.pg10" hidden="1">{#N/A,#N/A,FALSE,"10"}</definedName>
    <definedName name="wrn.pg10." localSheetId="8" hidden="1">{#N/A,#N/A,FALSE,"10"}</definedName>
    <definedName name="wrn.pg10." localSheetId="6" hidden="1">{#N/A,#N/A,FALSE,"10"}</definedName>
    <definedName name="wrn.pg10." localSheetId="7" hidden="1">{#N/A,#N/A,FALSE,"10"}</definedName>
    <definedName name="wrn.pg10." hidden="1">{#N/A,#N/A,FALSE,"10"}</definedName>
    <definedName name="wrn.pg100" localSheetId="8" hidden="1">{#N/A,#N/A,FALSE,"8"}</definedName>
    <definedName name="wrn.pg100" localSheetId="6" hidden="1">{#N/A,#N/A,FALSE,"8"}</definedName>
    <definedName name="wrn.pg100" localSheetId="7" hidden="1">{#N/A,#N/A,FALSE,"8"}</definedName>
    <definedName name="wrn.pg100" hidden="1">{#N/A,#N/A,FALSE,"8"}</definedName>
    <definedName name="wrn.pg11." localSheetId="8" hidden="1">{#N/A,#N/A,FALSE,"11"}</definedName>
    <definedName name="wrn.pg11." localSheetId="6" hidden="1">{#N/A,#N/A,FALSE,"11"}</definedName>
    <definedName name="wrn.pg11." localSheetId="7" hidden="1">{#N/A,#N/A,FALSE,"11"}</definedName>
    <definedName name="wrn.pg11." hidden="1">{#N/A,#N/A,FALSE,"11"}</definedName>
    <definedName name="wrn.pg11\" localSheetId="8" hidden="1">{#N/A,#N/A,FALSE,"10"}</definedName>
    <definedName name="wrn.pg11\" localSheetId="6" hidden="1">{#N/A,#N/A,FALSE,"10"}</definedName>
    <definedName name="wrn.pg11\" localSheetId="7" hidden="1">{#N/A,#N/A,FALSE,"10"}</definedName>
    <definedName name="wrn.pg11\" hidden="1">{#N/A,#N/A,FALSE,"10"}</definedName>
    <definedName name="wrn.pg12." localSheetId="8" hidden="1">{#N/A,#N/A,FALSE,"12"}</definedName>
    <definedName name="wrn.pg12." localSheetId="6" hidden="1">{#N/A,#N/A,FALSE,"12"}</definedName>
    <definedName name="wrn.pg12." localSheetId="7" hidden="1">{#N/A,#N/A,FALSE,"12"}</definedName>
    <definedName name="wrn.pg12." hidden="1">{#N/A,#N/A,FALSE,"12"}</definedName>
    <definedName name="wrn.pg13." localSheetId="8" hidden="1">{#N/A,#N/A,FALSE,"13"}</definedName>
    <definedName name="wrn.pg13." localSheetId="6" hidden="1">{#N/A,#N/A,FALSE,"13"}</definedName>
    <definedName name="wrn.pg13." localSheetId="7" hidden="1">{#N/A,#N/A,FALSE,"13"}</definedName>
    <definedName name="wrn.pg13." hidden="1">{#N/A,#N/A,FALSE,"13"}</definedName>
    <definedName name="wrn.pg14." localSheetId="8" hidden="1">{#N/A,#N/A,FALSE,"14"}</definedName>
    <definedName name="wrn.pg14." localSheetId="6" hidden="1">{#N/A,#N/A,FALSE,"14"}</definedName>
    <definedName name="wrn.pg14." localSheetId="7" hidden="1">{#N/A,#N/A,FALSE,"14"}</definedName>
    <definedName name="wrn.pg14." hidden="1">{#N/A,#N/A,FALSE,"14"}</definedName>
    <definedName name="wrn.pg15" localSheetId="8" hidden="1">{#N/A,#N/A,FALSE,"13"}</definedName>
    <definedName name="wrn.pg15" localSheetId="6" hidden="1">{#N/A,#N/A,FALSE,"13"}</definedName>
    <definedName name="wrn.pg15" localSheetId="7" hidden="1">{#N/A,#N/A,FALSE,"13"}</definedName>
    <definedName name="wrn.pg15" hidden="1">{#N/A,#N/A,FALSE,"13"}</definedName>
    <definedName name="wrn.pg15." localSheetId="8" hidden="1">{#N/A,#N/A,FALSE,"15"}</definedName>
    <definedName name="wrn.pg15." localSheetId="6" hidden="1">{#N/A,#N/A,FALSE,"15"}</definedName>
    <definedName name="wrn.pg15." localSheetId="7" hidden="1">{#N/A,#N/A,FALSE,"15"}</definedName>
    <definedName name="wrn.pg15." hidden="1">{#N/A,#N/A,FALSE,"15"}</definedName>
    <definedName name="wrn.pg16." localSheetId="8" hidden="1">{#N/A,#N/A,FALSE,"16"}</definedName>
    <definedName name="wrn.pg16." localSheetId="6" hidden="1">{#N/A,#N/A,FALSE,"16"}</definedName>
    <definedName name="wrn.pg16." localSheetId="7" hidden="1">{#N/A,#N/A,FALSE,"16"}</definedName>
    <definedName name="wrn.pg16." hidden="1">{#N/A,#N/A,FALSE,"16"}</definedName>
    <definedName name="wrn.pg17." localSheetId="8" hidden="1">{#N/A,#N/A,FALSE,"17"}</definedName>
    <definedName name="wrn.pg17." localSheetId="6" hidden="1">{#N/A,#N/A,FALSE,"17"}</definedName>
    <definedName name="wrn.pg17." localSheetId="7" hidden="1">{#N/A,#N/A,FALSE,"17"}</definedName>
    <definedName name="wrn.pg17." hidden="1">{#N/A,#N/A,FALSE,"17"}</definedName>
    <definedName name="wrn.pg2" localSheetId="8" hidden="1">{#N/A,#N/A,FALSE,"1"}</definedName>
    <definedName name="wrn.pg2" localSheetId="6" hidden="1">{#N/A,#N/A,FALSE,"1"}</definedName>
    <definedName name="wrn.pg2" localSheetId="7" hidden="1">{#N/A,#N/A,FALSE,"1"}</definedName>
    <definedName name="wrn.pg2" hidden="1">{#N/A,#N/A,FALSE,"1"}</definedName>
    <definedName name="wrn.pg2." localSheetId="8" hidden="1">{#N/A,#N/A,FALSE,"2"}</definedName>
    <definedName name="wrn.pg2." localSheetId="6" hidden="1">{#N/A,#N/A,FALSE,"2"}</definedName>
    <definedName name="wrn.pg2." localSheetId="7" hidden="1">{#N/A,#N/A,FALSE,"2"}</definedName>
    <definedName name="wrn.pg2." hidden="1">{#N/A,#N/A,FALSE,"2"}</definedName>
    <definedName name="wrn.pg20" localSheetId="8" hidden="1">{#N/A,#N/A,FALSE,"4"}</definedName>
    <definedName name="wrn.pg20" localSheetId="6" hidden="1">{#N/A,#N/A,FALSE,"4"}</definedName>
    <definedName name="wrn.pg20" localSheetId="7" hidden="1">{#N/A,#N/A,FALSE,"4"}</definedName>
    <definedName name="wrn.pg20" hidden="1">{#N/A,#N/A,FALSE,"4"}</definedName>
    <definedName name="wrn.pg21" localSheetId="8" hidden="1">{#N/A,#N/A,FALSE,"17"}</definedName>
    <definedName name="wrn.pg21" localSheetId="6" hidden="1">{#N/A,#N/A,FALSE,"17"}</definedName>
    <definedName name="wrn.pg21" localSheetId="7" hidden="1">{#N/A,#N/A,FALSE,"17"}</definedName>
    <definedName name="wrn.pg21" hidden="1">{#N/A,#N/A,FALSE,"17"}</definedName>
    <definedName name="wrn.pg3." localSheetId="8" hidden="1">{#N/A,#N/A,FALSE,"3"}</definedName>
    <definedName name="wrn.pg3." localSheetId="6" hidden="1">{#N/A,#N/A,FALSE,"3"}</definedName>
    <definedName name="wrn.pg3." localSheetId="7" hidden="1">{#N/A,#N/A,FALSE,"3"}</definedName>
    <definedName name="wrn.pg3." hidden="1">{#N/A,#N/A,FALSE,"3"}</definedName>
    <definedName name="wrn.pg4." localSheetId="8" hidden="1">{#N/A,#N/A,FALSE,"4"}</definedName>
    <definedName name="wrn.pg4." localSheetId="6" hidden="1">{#N/A,#N/A,FALSE,"4"}</definedName>
    <definedName name="wrn.pg4." localSheetId="7" hidden="1">{#N/A,#N/A,FALSE,"4"}</definedName>
    <definedName name="wrn.pg4." hidden="1">{#N/A,#N/A,FALSE,"4"}</definedName>
    <definedName name="wrn.pg5." localSheetId="8" hidden="1">{#N/A,#N/A,FALSE,"5"}</definedName>
    <definedName name="wrn.pg5." localSheetId="6" hidden="1">{#N/A,#N/A,FALSE,"5"}</definedName>
    <definedName name="wrn.pg5." localSheetId="7" hidden="1">{#N/A,#N/A,FALSE,"5"}</definedName>
    <definedName name="wrn.pg5." hidden="1">{#N/A,#N/A,FALSE,"5"}</definedName>
    <definedName name="wrn.pg6." localSheetId="8" hidden="1">{#N/A,#N/A,FALSE,"6"}</definedName>
    <definedName name="wrn.pg6." localSheetId="6" hidden="1">{#N/A,#N/A,FALSE,"6"}</definedName>
    <definedName name="wrn.pg6." localSheetId="7" hidden="1">{#N/A,#N/A,FALSE,"6"}</definedName>
    <definedName name="wrn.pg6." hidden="1">{#N/A,#N/A,FALSE,"6"}</definedName>
    <definedName name="wrn.pg7." localSheetId="8" hidden="1">{#N/A,#N/A,FALSE,"7"}</definedName>
    <definedName name="wrn.pg7." localSheetId="6" hidden="1">{#N/A,#N/A,FALSE,"7"}</definedName>
    <definedName name="wrn.pg7." localSheetId="7" hidden="1">{#N/A,#N/A,FALSE,"7"}</definedName>
    <definedName name="wrn.pg7." hidden="1">{#N/A,#N/A,FALSE,"7"}</definedName>
    <definedName name="wrn.pg8." localSheetId="8" hidden="1">{#N/A,#N/A,FALSE,"8"}</definedName>
    <definedName name="wrn.pg8." localSheetId="6" hidden="1">{#N/A,#N/A,FALSE,"8"}</definedName>
    <definedName name="wrn.pg8." localSheetId="7" hidden="1">{#N/A,#N/A,FALSE,"8"}</definedName>
    <definedName name="wrn.pg8." hidden="1">{#N/A,#N/A,FALSE,"8"}</definedName>
    <definedName name="wrn.pg9." localSheetId="8" hidden="1">{#N/A,#N/A,FALSE,"9"}</definedName>
    <definedName name="wrn.pg9." localSheetId="6" hidden="1">{#N/A,#N/A,FALSE,"9"}</definedName>
    <definedName name="wrn.pg9." localSheetId="7" hidden="1">{#N/A,#N/A,FALSE,"9"}</definedName>
    <definedName name="wrn.pg9." hidden="1">{#N/A,#N/A,FALSE,"9"}</definedName>
    <definedName name="wsx" localSheetId="8" hidden="1">{TRUE,TRUE,-1.25,-15.5,484.5,276.75,FALSE,FALSE,TRUE,TRUE,0,11,#N/A,641,#N/A,7.16304347826087,18.4666666666667,1,FALSE,FALSE,3,TRUE,1,FALSE,75,"Swvu.otr.","ACwvu.otr.",#N/A,FALSE,FALSE,0.54,0.5,0.53,0.25,1,"","",FALSE,FALSE,FALSE,FALSE,1,61,#N/A,#N/A,"=R280C12:R779C19",FALSE,"Rwvu.otr.","Cwvu.otr.",FALSE,FALSE,TRUE,1,180,180,FALSE,FALSE,TRUE,TRUE,TRUE}</definedName>
    <definedName name="wsx" localSheetId="6" hidden="1">{TRUE,TRUE,-1.25,-15.5,484.5,276.75,FALSE,FALSE,TRUE,TRUE,0,11,#N/A,641,#N/A,7.16304347826087,18.4666666666667,1,FALSE,FALSE,3,TRUE,1,FALSE,75,"Swvu.otr.","ACwvu.otr.",#N/A,FALSE,FALSE,0.54,0.5,0.53,0.25,1,"","",FALSE,FALSE,FALSE,FALSE,1,61,#N/A,#N/A,"=R280C12:R779C19",FALSE,"Rwvu.otr.","Cwvu.otr.",FALSE,FALSE,TRUE,1,180,180,FALSE,FALSE,TRUE,TRUE,TRUE}</definedName>
    <definedName name="wsx" localSheetId="7" hidden="1">{TRUE,TRUE,-1.25,-15.5,484.5,276.75,FALSE,FALSE,TRUE,TRUE,0,11,#N/A,641,#N/A,7.16304347826087,18.4666666666667,1,FALSE,FALSE,3,TRUE,1,FALSE,75,"Swvu.otr.","ACwvu.otr.",#N/A,FALSE,FALSE,0.54,0.5,0.53,0.25,1,"","",FALSE,FALSE,FALSE,FALSE,1,61,#N/A,#N/A,"=R280C12:R779C19",FALSE,"Rwvu.otr.","Cwvu.otr.",FALSE,FALSE,TRUE,1,180,180,FALSE,FALSE,TRUE,TRUE,TRUE}</definedName>
    <definedName name="wsx" hidden="1">{TRUE,TRUE,-1.25,-15.5,484.5,276.75,FALSE,FALSE,TRUE,TRUE,0,11,#N/A,641,#N/A,7.16304347826087,18.4666666666667,1,FALSE,FALSE,3,TRUE,1,FALSE,75,"Swvu.otr.","ACwvu.otr.",#N/A,FALSE,FALSE,0.54,0.5,0.53,0.25,1,"","",FALSE,FALSE,FALSE,FALSE,1,61,#N/A,#N/A,"=R280C12:R779C19",FALSE,"Rwvu.otr.","Cwvu.otr.",FALSE,FALSE,TRUE,1,180,180,FALSE,FALSE,TRUE,TRUE,TRUE}</definedName>
    <definedName name="wvu.otr." localSheetId="8" hidden="1">{TRUE,TRUE,-1.25,-15.5,484.5,276.75,FALSE,FALSE,TRUE,TRUE,0,11,#N/A,641,#N/A,7.16304347826087,18.4666666666667,1,FALSE,FALSE,3,TRUE,1,FALSE,75,"Swvu.otr.","ACwvu.otr.",#N/A,FALSE,FALSE,0.54,0.5,0.53,0.25,1,"","",FALSE,FALSE,FALSE,FALSE,1,61,#N/A,#N/A,"=R280C12:R779C19",FALSE,"Rwvu.otr.","Cwvu.otr.",FALSE,FALSE,TRUE,1,180,180,FALSE,FALSE,TRUE,TRUE,TRUE}</definedName>
    <definedName name="wvu.otr." localSheetId="6" hidden="1">{TRUE,TRUE,-1.25,-15.5,484.5,276.75,FALSE,FALSE,TRUE,TRUE,0,11,#N/A,641,#N/A,7.16304347826087,18.4666666666667,1,FALSE,FALSE,3,TRUE,1,FALSE,75,"Swvu.otr.","ACwvu.otr.",#N/A,FALSE,FALSE,0.54,0.5,0.53,0.25,1,"","",FALSE,FALSE,FALSE,FALSE,1,61,#N/A,#N/A,"=R280C12:R779C19",FALSE,"Rwvu.otr.","Cwvu.otr.",FALSE,FALSE,TRUE,1,180,180,FALSE,FALSE,TRUE,TRUE,TRUE}</definedName>
    <definedName name="wvu.otr." localSheetId="7" hidden="1">{TRUE,TRUE,-1.25,-15.5,484.5,276.75,FALSE,FALSE,TRUE,TRUE,0,11,#N/A,641,#N/A,7.16304347826087,18.4666666666667,1,FALSE,FALSE,3,TRUE,1,FALSE,75,"Swvu.otr.","ACwvu.otr.",#N/A,FALSE,FALSE,0.54,0.5,0.53,0.25,1,"","",FALSE,FALSE,FALSE,FALSE,1,61,#N/A,#N/A,"=R280C12:R779C19",FALSE,"Rwvu.otr.","Cwvu.otr.",FALSE,FALSE,TRUE,1,180,180,FALSE,FALSE,TRUE,TRUE,TRUE}</definedName>
    <definedName name="wvu.otr." hidden="1">{TRUE,TRUE,-1.25,-15.5,484.5,276.75,FALSE,FALSE,TRUE,TRUE,0,11,#N/A,641,#N/A,7.16304347826087,18.4666666666667,1,FALSE,FALSE,3,TRUE,1,FALSE,75,"Swvu.otr.","ACwvu.otr.",#N/A,FALSE,FALSE,0.54,0.5,0.53,0.25,1,"","",FALSE,FALSE,FALSE,FALSE,1,61,#N/A,#N/A,"=R280C12:R779C19",FALSE,"Rwvu.otr.","Cwvu.otr.",FALSE,FALSE,TRUE,1,180,180,FALSE,FALSE,TRUE,TRUE,TRUE}</definedName>
    <definedName name="x">[99]test!$A$1:$CO$73</definedName>
    <definedName name="XREF_COLUMN_1" localSheetId="8" hidden="1">#REF!</definedName>
    <definedName name="XREF_COLUMN_1" localSheetId="7" hidden="1">#REF!</definedName>
    <definedName name="XREF_COLUMN_1" hidden="1">#REF!</definedName>
    <definedName name="XREF_COLUMN_10" localSheetId="8" hidden="1">'[100]B S'!#REF!</definedName>
    <definedName name="XREF_COLUMN_10" localSheetId="7" hidden="1">'[100]B S'!#REF!</definedName>
    <definedName name="XREF_COLUMN_10" hidden="1">'[100]B S'!#REF!</definedName>
    <definedName name="XREF_COLUMN_11" localSheetId="7" hidden="1">'[101]TBK Deziner'!#REF!</definedName>
    <definedName name="XREF_COLUMN_11" hidden="1">'[101]TBK Deziner'!#REF!</definedName>
    <definedName name="XREF_COLUMN_12" localSheetId="7" hidden="1">'[100]B S'!#REF!</definedName>
    <definedName name="XREF_COLUMN_12" hidden="1">'[100]B S'!#REF!</definedName>
    <definedName name="XREF_COLUMN_13" localSheetId="7" hidden="1">'[101]TBK Deziner'!#REF!</definedName>
    <definedName name="XREF_COLUMN_13" hidden="1">'[101]TBK Deziner'!#REF!</definedName>
    <definedName name="XREF_COLUMN_14" localSheetId="7" hidden="1">'[101]TBK Deziner'!#REF!</definedName>
    <definedName name="XREF_COLUMN_14" hidden="1">'[101]TBK Deziner'!#REF!</definedName>
    <definedName name="XREF_COLUMN_15" localSheetId="7" hidden="1">'[100]B S'!#REF!</definedName>
    <definedName name="XREF_COLUMN_15" hidden="1">'[100]B S'!#REF!</definedName>
    <definedName name="XREF_COLUMN_16" localSheetId="7" hidden="1">'[100]B S'!#REF!</definedName>
    <definedName name="XREF_COLUMN_16" hidden="1">'[100]B S'!#REF!</definedName>
    <definedName name="XREF_COLUMN_17" localSheetId="7" hidden="1">'[100]SCH 1-3'!#REF!</definedName>
    <definedName name="XREF_COLUMN_17" hidden="1">'[100]SCH 1-3'!#REF!</definedName>
    <definedName name="XREF_COLUMN_18" localSheetId="7" hidden="1">'[101]TBK Deziner'!#REF!</definedName>
    <definedName name="XREF_COLUMN_18" hidden="1">'[101]TBK Deziner'!#REF!</definedName>
    <definedName name="XREF_COLUMN_19" localSheetId="7" hidden="1">'[101]TBK Deziner'!#REF!</definedName>
    <definedName name="XREF_COLUMN_19" hidden="1">'[101]TBK Deziner'!#REF!</definedName>
    <definedName name="XREF_COLUMN_2" localSheetId="7" hidden="1">'[101]TBK Deziner'!#REF!</definedName>
    <definedName name="XREF_COLUMN_2" hidden="1">'[101]TBK Deziner'!#REF!</definedName>
    <definedName name="XREF_COLUMN_20" localSheetId="7" hidden="1">'[101]TBK Deziner'!#REF!</definedName>
    <definedName name="XREF_COLUMN_20" hidden="1">'[101]TBK Deziner'!#REF!</definedName>
    <definedName name="XREF_COLUMN_21" localSheetId="7" hidden="1">'[101]TBK Deziner'!#REF!</definedName>
    <definedName name="XREF_COLUMN_21" hidden="1">'[101]TBK Deziner'!#REF!</definedName>
    <definedName name="XREF_COLUMN_22" localSheetId="7" hidden="1">'[101]TBK Deziner'!#REF!</definedName>
    <definedName name="XREF_COLUMN_22" hidden="1">'[101]TBK Deziner'!#REF!</definedName>
    <definedName name="XREF_COLUMN_23" localSheetId="7" hidden="1">'[100]Sch 11-15'!#REF!</definedName>
    <definedName name="XREF_COLUMN_23" hidden="1">'[100]Sch 11-15'!#REF!</definedName>
    <definedName name="XREF_COLUMN_3" localSheetId="7" hidden="1">'[100]SCH 1-3'!#REF!</definedName>
    <definedName name="XREF_COLUMN_3" hidden="1">'[100]SCH 1-3'!#REF!</definedName>
    <definedName name="XREF_COLUMN_4" localSheetId="7" hidden="1">[100]PL!#REF!</definedName>
    <definedName name="XREF_COLUMN_4" hidden="1">[100]PL!#REF!</definedName>
    <definedName name="XREF_COLUMN_5" localSheetId="8" hidden="1">#REF!</definedName>
    <definedName name="XREF_COLUMN_5" localSheetId="7" hidden="1">#REF!</definedName>
    <definedName name="XREF_COLUMN_5" hidden="1">#REF!</definedName>
    <definedName name="XREF_COLUMN_6" localSheetId="8" hidden="1">'[100]Sch 11-15'!#REF!</definedName>
    <definedName name="XREF_COLUMN_6" localSheetId="7" hidden="1">'[100]Sch 11-15'!#REF!</definedName>
    <definedName name="XREF_COLUMN_6" hidden="1">'[100]Sch 11-15'!#REF!</definedName>
    <definedName name="XREF_COLUMN_7" localSheetId="8" hidden="1">#REF!</definedName>
    <definedName name="XREF_COLUMN_7" localSheetId="7" hidden="1">#REF!</definedName>
    <definedName name="XREF_COLUMN_7" hidden="1">#REF!</definedName>
    <definedName name="XREF_COLUMN_8" localSheetId="7" hidden="1">#REF!</definedName>
    <definedName name="XREF_COLUMN_8" hidden="1">#REF!</definedName>
    <definedName name="XREF_COLUMN_9" localSheetId="7" hidden="1">#REF!</definedName>
    <definedName name="XREF_COLUMN_9" hidden="1">#REF!</definedName>
    <definedName name="XRefActiveRow" localSheetId="7" hidden="1">#REF!</definedName>
    <definedName name="XRefActiveRow" hidden="1">#REF!</definedName>
    <definedName name="XRefColumnsCount" hidden="1">23</definedName>
    <definedName name="XRefCopy1" localSheetId="8" hidden="1">#REF!</definedName>
    <definedName name="XRefCopy1" localSheetId="7" hidden="1">#REF!</definedName>
    <definedName name="XRefCopy1" hidden="1">#REF!</definedName>
    <definedName name="XRefCopy10" localSheetId="8" hidden="1">'[100]SCH 1-3'!#REF!</definedName>
    <definedName name="XRefCopy10" localSheetId="7" hidden="1">'[100]SCH 1-3'!#REF!</definedName>
    <definedName name="XRefCopy10" hidden="1">'[100]SCH 1-3'!#REF!</definedName>
    <definedName name="XRefCopy10Row" localSheetId="8" hidden="1">#REF!</definedName>
    <definedName name="XRefCopy10Row" localSheetId="7" hidden="1">#REF!</definedName>
    <definedName name="XRefCopy10Row" hidden="1">#REF!</definedName>
    <definedName name="XRefCopy11Row" localSheetId="7" hidden="1">#REF!</definedName>
    <definedName name="XRefCopy11Row" hidden="1">#REF!</definedName>
    <definedName name="XRefCopy12Row" localSheetId="7" hidden="1">#REF!</definedName>
    <definedName name="XRefCopy12Row" hidden="1">#REF!</definedName>
    <definedName name="XRefCopy13" localSheetId="7" hidden="1">#REF!</definedName>
    <definedName name="XRefCopy13" hidden="1">#REF!</definedName>
    <definedName name="XRefCopy13Row" localSheetId="7" hidden="1">#REF!</definedName>
    <definedName name="XRefCopy13Row" hidden="1">#REF!</definedName>
    <definedName name="XRefCopy14" localSheetId="7" hidden="1">#REF!</definedName>
    <definedName name="XRefCopy14" hidden="1">#REF!</definedName>
    <definedName name="XRefCopy14Row" localSheetId="7" hidden="1">#REF!</definedName>
    <definedName name="XRefCopy14Row" hidden="1">#REF!</definedName>
    <definedName name="XRefCopy15" localSheetId="7" hidden="1">#REF!</definedName>
    <definedName name="XRefCopy15" hidden="1">#REF!</definedName>
    <definedName name="XRefCopy15Row" localSheetId="7" hidden="1">#REF!</definedName>
    <definedName name="XRefCopy15Row" hidden="1">#REF!</definedName>
    <definedName name="XRefCopy16" localSheetId="7" hidden="1">#REF!</definedName>
    <definedName name="XRefCopy16" hidden="1">#REF!</definedName>
    <definedName name="XRefCopy16Row" localSheetId="7" hidden="1">#REF!</definedName>
    <definedName name="XRefCopy16Row" hidden="1">#REF!</definedName>
    <definedName name="XRefCopy17" localSheetId="7" hidden="1">#REF!</definedName>
    <definedName name="XRefCopy17" hidden="1">#REF!</definedName>
    <definedName name="XRefCopy17Row" localSheetId="7" hidden="1">#REF!</definedName>
    <definedName name="XRefCopy17Row" hidden="1">#REF!</definedName>
    <definedName name="XRefCopy18" localSheetId="7" hidden="1">#REF!</definedName>
    <definedName name="XRefCopy18" hidden="1">#REF!</definedName>
    <definedName name="XRefCopy18Row" localSheetId="7" hidden="1">#REF!</definedName>
    <definedName name="XRefCopy18Row" hidden="1">#REF!</definedName>
    <definedName name="XRefCopy19" localSheetId="7" hidden="1">'[100]Sch 11-15'!#REF!</definedName>
    <definedName name="XRefCopy19" hidden="1">'[100]Sch 11-15'!#REF!</definedName>
    <definedName name="XRefCopy19Row" localSheetId="8" hidden="1">#REF!</definedName>
    <definedName name="XRefCopy19Row" localSheetId="7" hidden="1">#REF!</definedName>
    <definedName name="XRefCopy19Row" hidden="1">#REF!</definedName>
    <definedName name="XRefCopy1Row" localSheetId="7" hidden="1">#REF!</definedName>
    <definedName name="XRefCopy1Row" hidden="1">#REF!</definedName>
    <definedName name="XRefCopy2" localSheetId="7" hidden="1">#REF!</definedName>
    <definedName name="XRefCopy2" hidden="1">#REF!</definedName>
    <definedName name="XRefCopy20" localSheetId="7" hidden="1">'[100]Sch 11-15'!#REF!</definedName>
    <definedName name="XRefCopy20" hidden="1">'[100]Sch 11-15'!#REF!</definedName>
    <definedName name="XRefCopy20Row" localSheetId="8" hidden="1">#REF!</definedName>
    <definedName name="XRefCopy20Row" localSheetId="7" hidden="1">#REF!</definedName>
    <definedName name="XRefCopy20Row" hidden="1">#REF!</definedName>
    <definedName name="XRefCopy21" localSheetId="7" hidden="1">#REF!</definedName>
    <definedName name="XRefCopy21" hidden="1">#REF!</definedName>
    <definedName name="XRefCopy21Row" localSheetId="7" hidden="1">#REF!</definedName>
    <definedName name="XRefCopy21Row" hidden="1">#REF!</definedName>
    <definedName name="XRefCopy22Row" localSheetId="7" hidden="1">#REF!</definedName>
    <definedName name="XRefCopy22Row" hidden="1">#REF!</definedName>
    <definedName name="XRefCopy24" localSheetId="7" hidden="1">'[100]SCH 1-3'!#REF!</definedName>
    <definedName name="XRefCopy24" hidden="1">'[100]SCH 1-3'!#REF!</definedName>
    <definedName name="XRefCopy24Row" localSheetId="8" hidden="1">#REF!</definedName>
    <definedName name="XRefCopy24Row" localSheetId="7" hidden="1">#REF!</definedName>
    <definedName name="XRefCopy24Row" hidden="1">#REF!</definedName>
    <definedName name="XRefCopy25" localSheetId="8" hidden="1">'[101]TBK Deziner'!#REF!</definedName>
    <definedName name="XRefCopy25" localSheetId="7" hidden="1">'[101]TBK Deziner'!#REF!</definedName>
    <definedName name="XRefCopy25" hidden="1">'[101]TBK Deziner'!#REF!</definedName>
    <definedName name="XRefCopy25Row" localSheetId="8" hidden="1">#REF!</definedName>
    <definedName name="XRefCopy25Row" localSheetId="7" hidden="1">#REF!</definedName>
    <definedName name="XRefCopy25Row" hidden="1">#REF!</definedName>
    <definedName name="XRefCopy2Row" localSheetId="7" hidden="1">#REF!</definedName>
    <definedName name="XRefCopy2Row" hidden="1">#REF!</definedName>
    <definedName name="XRefCopy3" localSheetId="7" hidden="1">'[101]TBK Deziner'!#REF!</definedName>
    <definedName name="XRefCopy3" hidden="1">'[101]TBK Deziner'!#REF!</definedName>
    <definedName name="XRefCopy3Row" localSheetId="8" hidden="1">#REF!</definedName>
    <definedName name="XRefCopy3Row" localSheetId="7" hidden="1">#REF!</definedName>
    <definedName name="XRefCopy3Row" hidden="1">#REF!</definedName>
    <definedName name="XRefCopy4" localSheetId="8" hidden="1">'[100]SCH 1-3'!#REF!</definedName>
    <definedName name="XRefCopy4" localSheetId="7" hidden="1">'[100]SCH 1-3'!#REF!</definedName>
    <definedName name="XRefCopy4" hidden="1">'[100]SCH 1-3'!#REF!</definedName>
    <definedName name="XRefCopy4Row" localSheetId="8" hidden="1">#REF!</definedName>
    <definedName name="XRefCopy4Row" localSheetId="7" hidden="1">#REF!</definedName>
    <definedName name="XRefCopy4Row" hidden="1">#REF!</definedName>
    <definedName name="XRefCopy5" localSheetId="7" hidden="1">#REF!</definedName>
    <definedName name="XRefCopy5" hidden="1">#REF!</definedName>
    <definedName name="XRefCopy5Row" localSheetId="7" hidden="1">#REF!</definedName>
    <definedName name="XRefCopy5Row" hidden="1">#REF!</definedName>
    <definedName name="XRefCopy6" localSheetId="7" hidden="1">#REF!</definedName>
    <definedName name="XRefCopy6" hidden="1">#REF!</definedName>
    <definedName name="XRefCopy7" localSheetId="7" hidden="1">#REF!</definedName>
    <definedName name="XRefCopy7" hidden="1">#REF!</definedName>
    <definedName name="XRefCopy7Row" localSheetId="7" hidden="1">#REF!</definedName>
    <definedName name="XRefCopy7Row" hidden="1">#REF!</definedName>
    <definedName name="XRefCopy8" localSheetId="7" hidden="1">#REF!</definedName>
    <definedName name="XRefCopy8" hidden="1">#REF!</definedName>
    <definedName name="XRefCopy8Row" localSheetId="7" hidden="1">#REF!</definedName>
    <definedName name="XRefCopy8Row" hidden="1">#REF!</definedName>
    <definedName name="XRefCopy9" localSheetId="7" hidden="1">'[100]SCH 1-3'!#REF!</definedName>
    <definedName name="XRefCopy9" hidden="1">'[100]SCH 1-3'!#REF!</definedName>
    <definedName name="XRefCopy9Row" localSheetId="8" hidden="1">#REF!</definedName>
    <definedName name="XRefCopy9Row" localSheetId="7" hidden="1">#REF!</definedName>
    <definedName name="XRefCopy9Row" hidden="1">#REF!</definedName>
    <definedName name="XRefCopyRangeCount" hidden="1">25</definedName>
    <definedName name="XRefPaste100" localSheetId="8" hidden="1">'[100]Sch 11-15'!#REF!</definedName>
    <definedName name="XRefPaste100" localSheetId="7" hidden="1">'[100]Sch 11-15'!#REF!</definedName>
    <definedName name="XRefPaste100" hidden="1">'[100]Sch 11-15'!#REF!</definedName>
    <definedName name="XRefPaste100Row" localSheetId="8" hidden="1">#REF!</definedName>
    <definedName name="XRefPaste100Row" localSheetId="7" hidden="1">#REF!</definedName>
    <definedName name="XRefPaste100Row" hidden="1">#REF!</definedName>
    <definedName name="XRefPaste101" localSheetId="8" hidden="1">'[100]Sch 11-15'!#REF!</definedName>
    <definedName name="XRefPaste101" localSheetId="7" hidden="1">'[100]Sch 11-15'!#REF!</definedName>
    <definedName name="XRefPaste101" hidden="1">'[100]Sch 11-15'!#REF!</definedName>
    <definedName name="XRefPaste101Row" localSheetId="8" hidden="1">#REF!</definedName>
    <definedName name="XRefPaste101Row" localSheetId="7" hidden="1">#REF!</definedName>
    <definedName name="XRefPaste101Row" hidden="1">#REF!</definedName>
    <definedName name="XRefPaste102" localSheetId="8" hidden="1">'[100]Sch 11-15'!#REF!</definedName>
    <definedName name="XRefPaste102" localSheetId="7" hidden="1">'[100]Sch 11-15'!#REF!</definedName>
    <definedName name="XRefPaste102" hidden="1">'[100]Sch 11-15'!#REF!</definedName>
    <definedName name="XRefPaste102Row" localSheetId="8" hidden="1">#REF!</definedName>
    <definedName name="XRefPaste102Row" localSheetId="7" hidden="1">#REF!</definedName>
    <definedName name="XRefPaste102Row" hidden="1">#REF!</definedName>
    <definedName name="XRefPaste103" localSheetId="8" hidden="1">'[100]Sch 11-15'!#REF!</definedName>
    <definedName name="XRefPaste103" localSheetId="7" hidden="1">'[100]Sch 11-15'!#REF!</definedName>
    <definedName name="XRefPaste103" hidden="1">'[100]Sch 11-15'!#REF!</definedName>
    <definedName name="XRefPaste103Row" localSheetId="8" hidden="1">#REF!</definedName>
    <definedName name="XRefPaste103Row" localSheetId="7" hidden="1">#REF!</definedName>
    <definedName name="XRefPaste103Row" hidden="1">#REF!</definedName>
    <definedName name="XRefPaste104" localSheetId="8" hidden="1">'[100]Sch 11-15'!#REF!</definedName>
    <definedName name="XRefPaste104" localSheetId="7" hidden="1">'[100]Sch 11-15'!#REF!</definedName>
    <definedName name="XRefPaste104" hidden="1">'[100]Sch 11-15'!#REF!</definedName>
    <definedName name="XRefPaste104Row" localSheetId="8" hidden="1">#REF!</definedName>
    <definedName name="XRefPaste104Row" localSheetId="7" hidden="1">#REF!</definedName>
    <definedName name="XRefPaste104Row" hidden="1">#REF!</definedName>
    <definedName name="XRefPaste105" localSheetId="8" hidden="1">'[100]Sch 11-15'!#REF!</definedName>
    <definedName name="XRefPaste105" localSheetId="7" hidden="1">'[100]Sch 11-15'!#REF!</definedName>
    <definedName name="XRefPaste105" hidden="1">'[100]Sch 11-15'!#REF!</definedName>
    <definedName name="XRefPaste105Row" localSheetId="8" hidden="1">#REF!</definedName>
    <definedName name="XRefPaste105Row" localSheetId="7" hidden="1">#REF!</definedName>
    <definedName name="XRefPaste105Row" hidden="1">#REF!</definedName>
    <definedName name="XRefPaste106" localSheetId="8" hidden="1">'[100]Sch 11-15'!#REF!</definedName>
    <definedName name="XRefPaste106" localSheetId="7" hidden="1">'[100]Sch 11-15'!#REF!</definedName>
    <definedName name="XRefPaste106" hidden="1">'[100]Sch 11-15'!#REF!</definedName>
    <definedName name="XRefPaste106Row" localSheetId="8" hidden="1">#REF!</definedName>
    <definedName name="XRefPaste106Row" localSheetId="7" hidden="1">#REF!</definedName>
    <definedName name="XRefPaste106Row" hidden="1">#REF!</definedName>
    <definedName name="XRefPaste107" localSheetId="8" hidden="1">'[100]Sch 11-15'!#REF!</definedName>
    <definedName name="XRefPaste107" localSheetId="7" hidden="1">'[100]Sch 11-15'!#REF!</definedName>
    <definedName name="XRefPaste107" hidden="1">'[100]Sch 11-15'!#REF!</definedName>
    <definedName name="XRefPaste107Row" localSheetId="8" hidden="1">#REF!</definedName>
    <definedName name="XRefPaste107Row" localSheetId="7" hidden="1">#REF!</definedName>
    <definedName name="XRefPaste107Row" hidden="1">#REF!</definedName>
    <definedName name="XRefPaste108" localSheetId="8" hidden="1">'[100]Sch 11-15'!#REF!</definedName>
    <definedName name="XRefPaste108" localSheetId="7" hidden="1">'[100]Sch 11-15'!#REF!</definedName>
    <definedName name="XRefPaste108" hidden="1">'[100]Sch 11-15'!#REF!</definedName>
    <definedName name="XRefPaste108Row" localSheetId="8" hidden="1">#REF!</definedName>
    <definedName name="XRefPaste108Row" localSheetId="7" hidden="1">#REF!</definedName>
    <definedName name="XRefPaste108Row" hidden="1">#REF!</definedName>
    <definedName name="XRefPaste109" localSheetId="8" hidden="1">'[100]Sch 11-15'!#REF!</definedName>
    <definedName name="XRefPaste109" localSheetId="7" hidden="1">'[100]Sch 11-15'!#REF!</definedName>
    <definedName name="XRefPaste109" hidden="1">'[100]Sch 11-15'!#REF!</definedName>
    <definedName name="XRefPaste109Row" localSheetId="8" hidden="1">#REF!</definedName>
    <definedName name="XRefPaste109Row" localSheetId="7" hidden="1">#REF!</definedName>
    <definedName name="XRefPaste109Row" hidden="1">#REF!</definedName>
    <definedName name="XRefPaste11" localSheetId="7" hidden="1">#REF!</definedName>
    <definedName name="XRefPaste11" hidden="1">#REF!</definedName>
    <definedName name="XRefPaste110" localSheetId="7" hidden="1">'[100]Sch 11-15'!#REF!</definedName>
    <definedName name="XRefPaste110" hidden="1">'[100]Sch 11-15'!#REF!</definedName>
    <definedName name="XRefPaste110Row" localSheetId="8" hidden="1">#REF!</definedName>
    <definedName name="XRefPaste110Row" localSheetId="7" hidden="1">#REF!</definedName>
    <definedName name="XRefPaste110Row" hidden="1">#REF!</definedName>
    <definedName name="XRefPaste111" localSheetId="8" hidden="1">'[100]Sch 11-15'!#REF!</definedName>
    <definedName name="XRefPaste111" localSheetId="7" hidden="1">'[100]Sch 11-15'!#REF!</definedName>
    <definedName name="XRefPaste111" hidden="1">'[100]Sch 11-15'!#REF!</definedName>
    <definedName name="XRefPaste111Row" localSheetId="8" hidden="1">#REF!</definedName>
    <definedName name="XRefPaste111Row" localSheetId="7" hidden="1">#REF!</definedName>
    <definedName name="XRefPaste111Row" hidden="1">#REF!</definedName>
    <definedName name="XRefPaste112" localSheetId="8" hidden="1">'[100]Sch 11-15'!#REF!</definedName>
    <definedName name="XRefPaste112" localSheetId="7" hidden="1">'[100]Sch 11-15'!#REF!</definedName>
    <definedName name="XRefPaste112" hidden="1">'[100]Sch 11-15'!#REF!</definedName>
    <definedName name="XRefPaste112Row" localSheetId="8" hidden="1">#REF!</definedName>
    <definedName name="XRefPaste112Row" localSheetId="7" hidden="1">#REF!</definedName>
    <definedName name="XRefPaste112Row" hidden="1">#REF!</definedName>
    <definedName name="XRefPaste113" localSheetId="8" hidden="1">'[100]Sch 11-15'!#REF!</definedName>
    <definedName name="XRefPaste113" localSheetId="7" hidden="1">'[100]Sch 11-15'!#REF!</definedName>
    <definedName name="XRefPaste113" hidden="1">'[100]Sch 11-15'!#REF!</definedName>
    <definedName name="XRefPaste113Row" localSheetId="8" hidden="1">#REF!</definedName>
    <definedName name="XRefPaste113Row" localSheetId="7" hidden="1">#REF!</definedName>
    <definedName name="XRefPaste113Row" hidden="1">#REF!</definedName>
    <definedName name="XRefPaste114" localSheetId="8" hidden="1">'[100]Sch 11-15'!#REF!</definedName>
    <definedName name="XRefPaste114" localSheetId="7" hidden="1">'[100]Sch 11-15'!#REF!</definedName>
    <definedName name="XRefPaste114" hidden="1">'[100]Sch 11-15'!#REF!</definedName>
    <definedName name="XRefPaste114Row" localSheetId="8" hidden="1">#REF!</definedName>
    <definedName name="XRefPaste114Row" localSheetId="7" hidden="1">#REF!</definedName>
    <definedName name="XRefPaste114Row" hidden="1">#REF!</definedName>
    <definedName name="XRefPaste115" localSheetId="8" hidden="1">'[100]Sch 11-15'!#REF!</definedName>
    <definedName name="XRefPaste115" localSheetId="7" hidden="1">'[100]Sch 11-15'!#REF!</definedName>
    <definedName name="XRefPaste115" hidden="1">'[100]Sch 11-15'!#REF!</definedName>
    <definedName name="XRefPaste115Row" localSheetId="8" hidden="1">#REF!</definedName>
    <definedName name="XRefPaste115Row" localSheetId="7" hidden="1">#REF!</definedName>
    <definedName name="XRefPaste115Row" hidden="1">#REF!</definedName>
    <definedName name="XRefPaste116" localSheetId="8" hidden="1">'[100]Sch 11-15'!#REF!</definedName>
    <definedName name="XRefPaste116" localSheetId="7" hidden="1">'[100]Sch 11-15'!#REF!</definedName>
    <definedName name="XRefPaste116" hidden="1">'[100]Sch 11-15'!#REF!</definedName>
    <definedName name="XRefPaste116Row" localSheetId="8" hidden="1">#REF!</definedName>
    <definedName name="XRefPaste116Row" localSheetId="7" hidden="1">#REF!</definedName>
    <definedName name="XRefPaste116Row" hidden="1">#REF!</definedName>
    <definedName name="XRefPaste117" localSheetId="8" hidden="1">'[100]Sch 11-15'!#REF!</definedName>
    <definedName name="XRefPaste117" localSheetId="7" hidden="1">'[100]Sch 11-15'!#REF!</definedName>
    <definedName name="XRefPaste117" hidden="1">'[100]Sch 11-15'!#REF!</definedName>
    <definedName name="XRefPaste117Row" localSheetId="8" hidden="1">#REF!</definedName>
    <definedName name="XRefPaste117Row" localSheetId="7" hidden="1">#REF!</definedName>
    <definedName name="XRefPaste117Row" hidden="1">#REF!</definedName>
    <definedName name="XRefPaste118" localSheetId="8" hidden="1">'[100]Sch 11-15'!#REF!</definedName>
    <definedName name="XRefPaste118" localSheetId="7" hidden="1">'[100]Sch 11-15'!#REF!</definedName>
    <definedName name="XRefPaste118" hidden="1">'[100]Sch 11-15'!#REF!</definedName>
    <definedName name="XRefPaste118Row" localSheetId="8" hidden="1">#REF!</definedName>
    <definedName name="XRefPaste118Row" localSheetId="7" hidden="1">#REF!</definedName>
    <definedName name="XRefPaste118Row" hidden="1">#REF!</definedName>
    <definedName name="XRefPaste11Row" localSheetId="7" hidden="1">#REF!</definedName>
    <definedName name="XRefPaste11Row" hidden="1">#REF!</definedName>
    <definedName name="XRefPaste12" localSheetId="7" hidden="1">#REF!</definedName>
    <definedName name="XRefPaste12" hidden="1">#REF!</definedName>
    <definedName name="XRefPaste12Row" localSheetId="7" hidden="1">#REF!</definedName>
    <definedName name="XRefPaste12Row" hidden="1">#REF!</definedName>
    <definedName name="XRefPaste13" localSheetId="7" hidden="1">#REF!</definedName>
    <definedName name="XRefPaste13" hidden="1">#REF!</definedName>
    <definedName name="XRefPaste13Row" localSheetId="7" hidden="1">#REF!</definedName>
    <definedName name="XRefPaste13Row" hidden="1">#REF!</definedName>
    <definedName name="XRefPaste14" localSheetId="7" hidden="1">#REF!</definedName>
    <definedName name="XRefPaste14" hidden="1">#REF!</definedName>
    <definedName name="XRefPaste14Row" localSheetId="7" hidden="1">#REF!</definedName>
    <definedName name="XRefPaste14Row" hidden="1">#REF!</definedName>
    <definedName name="XRefPaste15" localSheetId="7" hidden="1">'[100]Sch 11-15'!#REF!</definedName>
    <definedName name="XRefPaste15" hidden="1">'[100]Sch 11-15'!#REF!</definedName>
    <definedName name="XRefPaste15Row" localSheetId="8" hidden="1">#REF!</definedName>
    <definedName name="XRefPaste15Row" localSheetId="7" hidden="1">#REF!</definedName>
    <definedName name="XRefPaste15Row" hidden="1">#REF!</definedName>
    <definedName name="XRefPaste16" localSheetId="8" hidden="1">'[100]Sch 11-15'!#REF!</definedName>
    <definedName name="XRefPaste16" localSheetId="7" hidden="1">'[100]Sch 11-15'!#REF!</definedName>
    <definedName name="XRefPaste16" hidden="1">'[100]Sch 11-15'!#REF!</definedName>
    <definedName name="XRefPaste16Row" localSheetId="8" hidden="1">#REF!</definedName>
    <definedName name="XRefPaste16Row" localSheetId="7" hidden="1">#REF!</definedName>
    <definedName name="XRefPaste16Row" hidden="1">#REF!</definedName>
    <definedName name="XRefPaste17" localSheetId="7" hidden="1">#REF!</definedName>
    <definedName name="XRefPaste17" hidden="1">#REF!</definedName>
    <definedName name="XRefPaste17Row" localSheetId="7" hidden="1">#REF!</definedName>
    <definedName name="XRefPaste17Row" hidden="1">#REF!</definedName>
    <definedName name="XRefPaste18" localSheetId="7" hidden="1">#REF!</definedName>
    <definedName name="XRefPaste18" hidden="1">#REF!</definedName>
    <definedName name="XRefPaste18Row" localSheetId="7" hidden="1">#REF!</definedName>
    <definedName name="XRefPaste18Row" hidden="1">#REF!</definedName>
    <definedName name="XRefPaste19" localSheetId="7" hidden="1">#REF!</definedName>
    <definedName name="XRefPaste19" hidden="1">#REF!</definedName>
    <definedName name="XRefPaste19Row" localSheetId="7" hidden="1">#REF!</definedName>
    <definedName name="XRefPaste19Row" hidden="1">#REF!</definedName>
    <definedName name="XRefPaste2" localSheetId="7" hidden="1">'[100]SCH 1-3'!#REF!</definedName>
    <definedName name="XRefPaste2" hidden="1">'[100]SCH 1-3'!#REF!</definedName>
    <definedName name="XRefPaste20" localSheetId="8" hidden="1">#REF!</definedName>
    <definedName name="XRefPaste20" localSheetId="7" hidden="1">#REF!</definedName>
    <definedName name="XRefPaste20" hidden="1">#REF!</definedName>
    <definedName name="XRefPaste20Row" localSheetId="7" hidden="1">#REF!</definedName>
    <definedName name="XRefPaste20Row" hidden="1">#REF!</definedName>
    <definedName name="XRefPaste21" localSheetId="7" hidden="1">#REF!</definedName>
    <definedName name="XRefPaste21" hidden="1">#REF!</definedName>
    <definedName name="XRefPaste21Row" localSheetId="7" hidden="1">#REF!</definedName>
    <definedName name="XRefPaste21Row" hidden="1">#REF!</definedName>
    <definedName name="XRefPaste22" localSheetId="7" hidden="1">#REF!</definedName>
    <definedName name="XRefPaste22" hidden="1">#REF!</definedName>
    <definedName name="XRefPaste22Row" localSheetId="7" hidden="1">#REF!</definedName>
    <definedName name="XRefPaste22Row" hidden="1">#REF!</definedName>
    <definedName name="XRefPaste23" localSheetId="7" hidden="1">#REF!</definedName>
    <definedName name="XRefPaste23" hidden="1">#REF!</definedName>
    <definedName name="XRefPaste23Row" localSheetId="7" hidden="1">#REF!</definedName>
    <definedName name="XRefPaste23Row" hidden="1">#REF!</definedName>
    <definedName name="XRefPaste24" localSheetId="7" hidden="1">#REF!</definedName>
    <definedName name="XRefPaste24" hidden="1">#REF!</definedName>
    <definedName name="XRefPaste24Row" localSheetId="7" hidden="1">#REF!</definedName>
    <definedName name="XRefPaste24Row" hidden="1">#REF!</definedName>
    <definedName name="XRefPaste25" localSheetId="7" hidden="1">#REF!</definedName>
    <definedName name="XRefPaste25" hidden="1">#REF!</definedName>
    <definedName name="XRefPaste25Row" localSheetId="7" hidden="1">#REF!</definedName>
    <definedName name="XRefPaste25Row" hidden="1">#REF!</definedName>
    <definedName name="XRefPaste26" localSheetId="7" hidden="1">#REF!</definedName>
    <definedName name="XRefPaste26" hidden="1">#REF!</definedName>
    <definedName name="XRefPaste26Row" localSheetId="7" hidden="1">#REF!</definedName>
    <definedName name="XRefPaste26Row" hidden="1">#REF!</definedName>
    <definedName name="XRefPaste28" localSheetId="7" hidden="1">#REF!</definedName>
    <definedName name="XRefPaste28" hidden="1">#REF!</definedName>
    <definedName name="XRefPaste28Row" localSheetId="7" hidden="1">#REF!</definedName>
    <definedName name="XRefPaste28Row" hidden="1">#REF!</definedName>
    <definedName name="XRefPaste29" localSheetId="7" hidden="1">#REF!</definedName>
    <definedName name="XRefPaste29" hidden="1">#REF!</definedName>
    <definedName name="XRefPaste29Row" localSheetId="7" hidden="1">#REF!</definedName>
    <definedName name="XRefPaste29Row" hidden="1">#REF!</definedName>
    <definedName name="XRefPaste2Row" localSheetId="7" hidden="1">#REF!</definedName>
    <definedName name="XRefPaste2Row" hidden="1">#REF!</definedName>
    <definedName name="XRefPaste3" localSheetId="7" hidden="1">[100]PL!#REF!</definedName>
    <definedName name="XRefPaste3" hidden="1">[100]PL!#REF!</definedName>
    <definedName name="XRefPaste30" localSheetId="8" hidden="1">#REF!</definedName>
    <definedName name="XRefPaste30" localSheetId="7" hidden="1">#REF!</definedName>
    <definedName name="XRefPaste30" hidden="1">#REF!</definedName>
    <definedName name="XRefPaste30Row" localSheetId="7" hidden="1">#REF!</definedName>
    <definedName name="XRefPaste30Row" hidden="1">#REF!</definedName>
    <definedName name="XRefPaste31" localSheetId="7" hidden="1">#REF!</definedName>
    <definedName name="XRefPaste31" hidden="1">#REF!</definedName>
    <definedName name="XRefPaste31Row" localSheetId="7" hidden="1">#REF!</definedName>
    <definedName name="XRefPaste31Row" hidden="1">#REF!</definedName>
    <definedName name="XRefPaste32" localSheetId="7" hidden="1">#REF!</definedName>
    <definedName name="XRefPaste32" hidden="1">#REF!</definedName>
    <definedName name="XRefPaste32Row" localSheetId="7" hidden="1">#REF!</definedName>
    <definedName name="XRefPaste32Row" hidden="1">#REF!</definedName>
    <definedName name="XRefPaste33" localSheetId="7" hidden="1">#REF!</definedName>
    <definedName name="XRefPaste33" hidden="1">#REF!</definedName>
    <definedName name="XRefPaste33Row" localSheetId="7" hidden="1">#REF!</definedName>
    <definedName name="XRefPaste33Row" hidden="1">#REF!</definedName>
    <definedName name="XRefPaste34" localSheetId="7" hidden="1">#REF!</definedName>
    <definedName name="XRefPaste34" hidden="1">#REF!</definedName>
    <definedName name="XRefPaste34Row" localSheetId="7" hidden="1">#REF!</definedName>
    <definedName name="XRefPaste34Row" hidden="1">#REF!</definedName>
    <definedName name="XRefPaste36" localSheetId="7" hidden="1">#REF!</definedName>
    <definedName name="XRefPaste36" hidden="1">#REF!</definedName>
    <definedName name="XRefPaste36Row" localSheetId="7" hidden="1">#REF!</definedName>
    <definedName name="XRefPaste36Row" hidden="1">#REF!</definedName>
    <definedName name="XRefPaste37" localSheetId="7" hidden="1">#REF!</definedName>
    <definedName name="XRefPaste37" hidden="1">#REF!</definedName>
    <definedName name="XRefPaste37Row" localSheetId="7" hidden="1">#REF!</definedName>
    <definedName name="XRefPaste37Row" hidden="1">#REF!</definedName>
    <definedName name="XRefPaste38" localSheetId="7" hidden="1">#REF!</definedName>
    <definedName name="XRefPaste38" hidden="1">#REF!</definedName>
    <definedName name="XRefPaste38Row" localSheetId="7" hidden="1">#REF!</definedName>
    <definedName name="XRefPaste38Row" hidden="1">#REF!</definedName>
    <definedName name="XRefPaste39" localSheetId="7" hidden="1">#REF!</definedName>
    <definedName name="XRefPaste39" hidden="1">#REF!</definedName>
    <definedName name="XRefPaste39Row" localSheetId="7" hidden="1">#REF!</definedName>
    <definedName name="XRefPaste39Row" hidden="1">#REF!</definedName>
    <definedName name="XRefPaste3Row" localSheetId="7" hidden="1">#REF!</definedName>
    <definedName name="XRefPaste3Row" hidden="1">#REF!</definedName>
    <definedName name="XRefPaste4" localSheetId="7" hidden="1">#REF!</definedName>
    <definedName name="XRefPaste4" hidden="1">#REF!</definedName>
    <definedName name="XRefPaste40" localSheetId="7" hidden="1">#REF!</definedName>
    <definedName name="XRefPaste40" hidden="1">#REF!</definedName>
    <definedName name="XRefPaste40Row" localSheetId="7" hidden="1">#REF!</definedName>
    <definedName name="XRefPaste40Row" hidden="1">#REF!</definedName>
    <definedName name="XRefPaste41" localSheetId="7" hidden="1">#REF!</definedName>
    <definedName name="XRefPaste41" hidden="1">#REF!</definedName>
    <definedName name="XRefPaste41Row" localSheetId="7" hidden="1">#REF!</definedName>
    <definedName name="XRefPaste41Row" hidden="1">#REF!</definedName>
    <definedName name="XRefPaste42" localSheetId="7" hidden="1">#REF!</definedName>
    <definedName name="XRefPaste42" hidden="1">#REF!</definedName>
    <definedName name="XRefPaste42Row" localSheetId="7" hidden="1">#REF!</definedName>
    <definedName name="XRefPaste42Row" hidden="1">#REF!</definedName>
    <definedName name="XRefPaste43" localSheetId="7" hidden="1">#REF!</definedName>
    <definedName name="XRefPaste43" hidden="1">#REF!</definedName>
    <definedName name="XRefPaste43Row" localSheetId="7" hidden="1">#REF!</definedName>
    <definedName name="XRefPaste43Row" hidden="1">#REF!</definedName>
    <definedName name="XRefPaste44" localSheetId="7" hidden="1">#REF!</definedName>
    <definedName name="XRefPaste44" hidden="1">#REF!</definedName>
    <definedName name="XRefPaste44Row" localSheetId="7" hidden="1">#REF!</definedName>
    <definedName name="XRefPaste44Row" hidden="1">#REF!</definedName>
    <definedName name="XRefPaste45" localSheetId="7" hidden="1">'[100]B S'!#REF!</definedName>
    <definedName name="XRefPaste45" hidden="1">'[100]B S'!#REF!</definedName>
    <definedName name="XRefPaste45Row" localSheetId="8" hidden="1">#REF!</definedName>
    <definedName name="XRefPaste45Row" localSheetId="7" hidden="1">#REF!</definedName>
    <definedName name="XRefPaste45Row" hidden="1">#REF!</definedName>
    <definedName name="XRefPaste46" localSheetId="8" hidden="1">'[100]B S'!#REF!</definedName>
    <definedName name="XRefPaste46" localSheetId="7" hidden="1">'[100]B S'!#REF!</definedName>
    <definedName name="XRefPaste46" hidden="1">'[100]B S'!#REF!</definedName>
    <definedName name="XRefPaste46Row" localSheetId="8" hidden="1">#REF!</definedName>
    <definedName name="XRefPaste46Row" localSheetId="7" hidden="1">#REF!</definedName>
    <definedName name="XRefPaste46Row" hidden="1">#REF!</definedName>
    <definedName name="XRefPaste47" localSheetId="8" hidden="1">'[100]B S'!#REF!</definedName>
    <definedName name="XRefPaste47" localSheetId="7" hidden="1">'[100]B S'!#REF!</definedName>
    <definedName name="XRefPaste47" hidden="1">'[100]B S'!#REF!</definedName>
    <definedName name="XRefPaste47Row" localSheetId="8" hidden="1">#REF!</definedName>
    <definedName name="XRefPaste47Row" localSheetId="7" hidden="1">#REF!</definedName>
    <definedName name="XRefPaste47Row" hidden="1">#REF!</definedName>
    <definedName name="XRefPaste48" localSheetId="8" hidden="1">'[100]B S'!#REF!</definedName>
    <definedName name="XRefPaste48" localSheetId="7" hidden="1">'[100]B S'!#REF!</definedName>
    <definedName name="XRefPaste48" hidden="1">'[100]B S'!#REF!</definedName>
    <definedName name="XRefPaste48Row" localSheetId="8" hidden="1">#REF!</definedName>
    <definedName name="XRefPaste48Row" localSheetId="7" hidden="1">#REF!</definedName>
    <definedName name="XRefPaste48Row" hidden="1">#REF!</definedName>
    <definedName name="XRefPaste49" localSheetId="8" hidden="1">'[100]B S'!#REF!</definedName>
    <definedName name="XRefPaste49" localSheetId="7" hidden="1">'[100]B S'!#REF!</definedName>
    <definedName name="XRefPaste49" hidden="1">'[100]B S'!#REF!</definedName>
    <definedName name="XRefPaste49Row" localSheetId="8" hidden="1">#REF!</definedName>
    <definedName name="XRefPaste49Row" localSheetId="7" hidden="1">#REF!</definedName>
    <definedName name="XRefPaste49Row" hidden="1">#REF!</definedName>
    <definedName name="XRefPaste4Row" localSheetId="7" hidden="1">#REF!</definedName>
    <definedName name="XRefPaste4Row" hidden="1">#REF!</definedName>
    <definedName name="XRefPaste5" localSheetId="7" hidden="1">#REF!</definedName>
    <definedName name="XRefPaste5" hidden="1">#REF!</definedName>
    <definedName name="XRefPaste50" localSheetId="7" hidden="1">'[100]B S'!#REF!</definedName>
    <definedName name="XRefPaste50" hidden="1">'[100]B S'!#REF!</definedName>
    <definedName name="XRefPaste50Row" localSheetId="8" hidden="1">#REF!</definedName>
    <definedName name="XRefPaste50Row" localSheetId="7" hidden="1">#REF!</definedName>
    <definedName name="XRefPaste50Row" hidden="1">#REF!</definedName>
    <definedName name="XRefPaste51" localSheetId="8" hidden="1">'[100]B S'!#REF!</definedName>
    <definedName name="XRefPaste51" localSheetId="7" hidden="1">'[100]B S'!#REF!</definedName>
    <definedName name="XRefPaste51" hidden="1">'[100]B S'!#REF!</definedName>
    <definedName name="XRefPaste51Row" localSheetId="8" hidden="1">#REF!</definedName>
    <definedName name="XRefPaste51Row" localSheetId="7" hidden="1">#REF!</definedName>
    <definedName name="XRefPaste51Row" hidden="1">#REF!</definedName>
    <definedName name="XRefPaste52" localSheetId="8" hidden="1">'[100]B S'!#REF!</definedName>
    <definedName name="XRefPaste52" localSheetId="7" hidden="1">'[100]B S'!#REF!</definedName>
    <definedName name="XRefPaste52" hidden="1">'[100]B S'!#REF!</definedName>
    <definedName name="XRefPaste52Row" localSheetId="8" hidden="1">#REF!</definedName>
    <definedName name="XRefPaste52Row" localSheetId="7" hidden="1">#REF!</definedName>
    <definedName name="XRefPaste52Row" hidden="1">#REF!</definedName>
    <definedName name="XRefPaste53" localSheetId="8" hidden="1">'[100]B S'!#REF!</definedName>
    <definedName name="XRefPaste53" localSheetId="7" hidden="1">'[100]B S'!#REF!</definedName>
    <definedName name="XRefPaste53" hidden="1">'[100]B S'!#REF!</definedName>
    <definedName name="XRefPaste53Row" localSheetId="8" hidden="1">#REF!</definedName>
    <definedName name="XRefPaste53Row" localSheetId="7" hidden="1">#REF!</definedName>
    <definedName name="XRefPaste53Row" hidden="1">#REF!</definedName>
    <definedName name="XRefPaste54" localSheetId="8" hidden="1">'[100]B S'!#REF!</definedName>
    <definedName name="XRefPaste54" localSheetId="7" hidden="1">'[100]B S'!#REF!</definedName>
    <definedName name="XRefPaste54" hidden="1">'[100]B S'!#REF!</definedName>
    <definedName name="XRefPaste54Row" localSheetId="8" hidden="1">#REF!</definedName>
    <definedName name="XRefPaste54Row" localSheetId="7" hidden="1">#REF!</definedName>
    <definedName name="XRefPaste54Row" hidden="1">#REF!</definedName>
    <definedName name="XRefPaste55" localSheetId="8" hidden="1">[100]PL!#REF!</definedName>
    <definedName name="XRefPaste55" localSheetId="7" hidden="1">[100]PL!#REF!</definedName>
    <definedName name="XRefPaste55" hidden="1">[100]PL!#REF!</definedName>
    <definedName name="XRefPaste55Row" localSheetId="8" hidden="1">#REF!</definedName>
    <definedName name="XRefPaste55Row" localSheetId="7" hidden="1">#REF!</definedName>
    <definedName name="XRefPaste55Row" hidden="1">#REF!</definedName>
    <definedName name="XRefPaste56" localSheetId="8" hidden="1">[100]PL!#REF!</definedName>
    <definedName name="XRefPaste56" localSheetId="7" hidden="1">[100]PL!#REF!</definedName>
    <definedName name="XRefPaste56" hidden="1">[100]PL!#REF!</definedName>
    <definedName name="XRefPaste56Row" localSheetId="8" hidden="1">#REF!</definedName>
    <definedName name="XRefPaste56Row" localSheetId="7" hidden="1">#REF!</definedName>
    <definedName name="XRefPaste56Row" hidden="1">#REF!</definedName>
    <definedName name="XRefPaste57" localSheetId="8" hidden="1">[100]PL!#REF!</definedName>
    <definedName name="XRefPaste57" localSheetId="7" hidden="1">[100]PL!#REF!</definedName>
    <definedName name="XRefPaste57" hidden="1">[100]PL!#REF!</definedName>
    <definedName name="XRefPaste57Row" localSheetId="8" hidden="1">#REF!</definedName>
    <definedName name="XRefPaste57Row" localSheetId="7" hidden="1">#REF!</definedName>
    <definedName name="XRefPaste57Row" hidden="1">#REF!</definedName>
    <definedName name="XRefPaste58" localSheetId="8" hidden="1">[100]PL!#REF!</definedName>
    <definedName name="XRefPaste58" localSheetId="7" hidden="1">[100]PL!#REF!</definedName>
    <definedName name="XRefPaste58" hidden="1">[100]PL!#REF!</definedName>
    <definedName name="XRefPaste58Row" localSheetId="8" hidden="1">#REF!</definedName>
    <definedName name="XRefPaste58Row" localSheetId="7" hidden="1">#REF!</definedName>
    <definedName name="XRefPaste58Row" hidden="1">#REF!</definedName>
    <definedName name="XRefPaste5Row" localSheetId="7" hidden="1">#REF!</definedName>
    <definedName name="XRefPaste5Row" hidden="1">#REF!</definedName>
    <definedName name="XRefPaste6" localSheetId="7" hidden="1">#REF!</definedName>
    <definedName name="XRefPaste6" hidden="1">#REF!</definedName>
    <definedName name="XRefPaste62" localSheetId="7" hidden="1">'[100]B S'!#REF!</definedName>
    <definedName name="XRefPaste62" hidden="1">'[100]B S'!#REF!</definedName>
    <definedName name="XRefPaste62Row" localSheetId="8" hidden="1">#REF!</definedName>
    <definedName name="XRefPaste62Row" localSheetId="7" hidden="1">#REF!</definedName>
    <definedName name="XRefPaste62Row" hidden="1">#REF!</definedName>
    <definedName name="XRefPaste64" localSheetId="8" hidden="1">'[100]SCH 1-3'!#REF!</definedName>
    <definedName name="XRefPaste64" localSheetId="7" hidden="1">'[100]SCH 1-3'!#REF!</definedName>
    <definedName name="XRefPaste64" hidden="1">'[100]SCH 1-3'!#REF!</definedName>
    <definedName name="XRefPaste64Row" localSheetId="8" hidden="1">#REF!</definedName>
    <definedName name="XRefPaste64Row" localSheetId="7" hidden="1">#REF!</definedName>
    <definedName name="XRefPaste64Row" hidden="1">#REF!</definedName>
    <definedName name="XRefPaste65" localSheetId="8" hidden="1">'[100]SCH 1-3'!#REF!</definedName>
    <definedName name="XRefPaste65" localSheetId="7" hidden="1">'[100]SCH 1-3'!#REF!</definedName>
    <definedName name="XRefPaste65" hidden="1">'[100]SCH 1-3'!#REF!</definedName>
    <definedName name="XRefPaste65Row" localSheetId="8" hidden="1">#REF!</definedName>
    <definedName name="XRefPaste65Row" localSheetId="7" hidden="1">#REF!</definedName>
    <definedName name="XRefPaste65Row" hidden="1">#REF!</definedName>
    <definedName name="XRefPaste66" localSheetId="8" hidden="1">'[100]SCH 1-3'!#REF!</definedName>
    <definedName name="XRefPaste66" localSheetId="7" hidden="1">'[100]SCH 1-3'!#REF!</definedName>
    <definedName name="XRefPaste66" hidden="1">'[100]SCH 1-3'!#REF!</definedName>
    <definedName name="XRefPaste66Row" localSheetId="8" hidden="1">#REF!</definedName>
    <definedName name="XRefPaste66Row" localSheetId="7" hidden="1">#REF!</definedName>
    <definedName name="XRefPaste66Row" hidden="1">#REF!</definedName>
    <definedName name="XRefPaste67" localSheetId="8" hidden="1">'[100]SCH 1-3'!#REF!</definedName>
    <definedName name="XRefPaste67" localSheetId="7" hidden="1">'[100]SCH 1-3'!#REF!</definedName>
    <definedName name="XRefPaste67" hidden="1">'[100]SCH 1-3'!#REF!</definedName>
    <definedName name="XRefPaste67Row" localSheetId="8" hidden="1">#REF!</definedName>
    <definedName name="XRefPaste67Row" localSheetId="7" hidden="1">#REF!</definedName>
    <definedName name="XRefPaste67Row" hidden="1">#REF!</definedName>
    <definedName name="XRefPaste68" localSheetId="8" hidden="1">'[100]SCH 1-3'!#REF!</definedName>
    <definedName name="XRefPaste68" localSheetId="7" hidden="1">'[100]SCH 1-3'!#REF!</definedName>
    <definedName name="XRefPaste68" hidden="1">'[100]SCH 1-3'!#REF!</definedName>
    <definedName name="XRefPaste68Row" localSheetId="8" hidden="1">#REF!</definedName>
    <definedName name="XRefPaste68Row" localSheetId="7" hidden="1">#REF!</definedName>
    <definedName name="XRefPaste68Row" hidden="1">#REF!</definedName>
    <definedName name="XRefPaste69" localSheetId="8" hidden="1">'[100]SCH 1-3'!#REF!</definedName>
    <definedName name="XRefPaste69" localSheetId="7" hidden="1">'[100]SCH 1-3'!#REF!</definedName>
    <definedName name="XRefPaste69" hidden="1">'[100]SCH 1-3'!#REF!</definedName>
    <definedName name="XRefPaste69Row" localSheetId="8" hidden="1">#REF!</definedName>
    <definedName name="XRefPaste69Row" localSheetId="7" hidden="1">#REF!</definedName>
    <definedName name="XRefPaste69Row" hidden="1">#REF!</definedName>
    <definedName name="XRefPaste6Row" localSheetId="7" hidden="1">#REF!</definedName>
    <definedName name="XRefPaste6Row" hidden="1">#REF!</definedName>
    <definedName name="XRefPaste7" localSheetId="7" hidden="1">#REF!</definedName>
    <definedName name="XRefPaste7" hidden="1">#REF!</definedName>
    <definedName name="XRefPaste70" localSheetId="7" hidden="1">'[100]SCH 1-3'!#REF!</definedName>
    <definedName name="XRefPaste70" hidden="1">'[100]SCH 1-3'!#REF!</definedName>
    <definedName name="XRefPaste70Row" localSheetId="8" hidden="1">#REF!</definedName>
    <definedName name="XRefPaste70Row" localSheetId="7" hidden="1">#REF!</definedName>
    <definedName name="XRefPaste70Row" hidden="1">#REF!</definedName>
    <definedName name="XRefPaste71" localSheetId="8" hidden="1">'[100]SCH 1-3'!#REF!</definedName>
    <definedName name="XRefPaste71" localSheetId="7" hidden="1">'[100]SCH 1-3'!#REF!</definedName>
    <definedName name="XRefPaste71" hidden="1">'[100]SCH 1-3'!#REF!</definedName>
    <definedName name="XRefPaste71Row" localSheetId="8" hidden="1">#REF!</definedName>
    <definedName name="XRefPaste71Row" localSheetId="7" hidden="1">#REF!</definedName>
    <definedName name="XRefPaste71Row" hidden="1">#REF!</definedName>
    <definedName name="XRefPaste72" localSheetId="8" hidden="1">'[100]SCH 1-3'!#REF!</definedName>
    <definedName name="XRefPaste72" localSheetId="7" hidden="1">'[100]SCH 1-3'!#REF!</definedName>
    <definedName name="XRefPaste72" hidden="1">'[100]SCH 1-3'!#REF!</definedName>
    <definedName name="XRefPaste72Row" localSheetId="8" hidden="1">#REF!</definedName>
    <definedName name="XRefPaste72Row" localSheetId="7" hidden="1">#REF!</definedName>
    <definedName name="XRefPaste72Row" hidden="1">#REF!</definedName>
    <definedName name="XRefPaste73" localSheetId="8" hidden="1">'[100]SCH 1-3'!#REF!</definedName>
    <definedName name="XRefPaste73" localSheetId="7" hidden="1">'[100]SCH 1-3'!#REF!</definedName>
    <definedName name="XRefPaste73" hidden="1">'[100]SCH 1-3'!#REF!</definedName>
    <definedName name="XRefPaste73Row" localSheetId="8" hidden="1">#REF!</definedName>
    <definedName name="XRefPaste73Row" localSheetId="7" hidden="1">#REF!</definedName>
    <definedName name="XRefPaste73Row" hidden="1">#REF!</definedName>
    <definedName name="XRefPaste74" localSheetId="8" hidden="1">'[100]SCH 1-3'!#REF!</definedName>
    <definedName name="XRefPaste74" localSheetId="7" hidden="1">'[100]SCH 1-3'!#REF!</definedName>
    <definedName name="XRefPaste74" hidden="1">'[100]SCH 1-3'!#REF!</definedName>
    <definedName name="XRefPaste74Row" localSheetId="8" hidden="1">#REF!</definedName>
    <definedName name="XRefPaste74Row" localSheetId="7" hidden="1">#REF!</definedName>
    <definedName name="XRefPaste74Row" hidden="1">#REF!</definedName>
    <definedName name="XRefPaste75" localSheetId="8" hidden="1">'[100]SCH 1-3'!#REF!</definedName>
    <definedName name="XRefPaste75" localSheetId="7" hidden="1">'[100]SCH 1-3'!#REF!</definedName>
    <definedName name="XRefPaste75" hidden="1">'[100]SCH 1-3'!#REF!</definedName>
    <definedName name="XRefPaste75Row" localSheetId="8" hidden="1">#REF!</definedName>
    <definedName name="XRefPaste75Row" localSheetId="7" hidden="1">#REF!</definedName>
    <definedName name="XRefPaste75Row" hidden="1">#REF!</definedName>
    <definedName name="XRefPaste76" localSheetId="8" hidden="1">'[100]SCH 1-3'!#REF!</definedName>
    <definedName name="XRefPaste76" localSheetId="7" hidden="1">'[100]SCH 1-3'!#REF!</definedName>
    <definedName name="XRefPaste76" hidden="1">'[100]SCH 1-3'!#REF!</definedName>
    <definedName name="XRefPaste76Row" localSheetId="8" hidden="1">#REF!</definedName>
    <definedName name="XRefPaste76Row" localSheetId="7" hidden="1">#REF!</definedName>
    <definedName name="XRefPaste76Row" hidden="1">#REF!</definedName>
    <definedName name="XRefPaste7Row" localSheetId="7" hidden="1">#REF!</definedName>
    <definedName name="XRefPaste7Row" hidden="1">#REF!</definedName>
    <definedName name="XRefPaste8" localSheetId="7" hidden="1">#REF!</definedName>
    <definedName name="XRefPaste8" hidden="1">#REF!</definedName>
    <definedName name="XRefPaste81Row" localSheetId="7" hidden="1">#REF!</definedName>
    <definedName name="XRefPaste81Row" hidden="1">#REF!</definedName>
    <definedName name="XRefPaste82Row" localSheetId="7" hidden="1">#REF!</definedName>
    <definedName name="XRefPaste82Row" hidden="1">#REF!</definedName>
    <definedName name="XRefPaste83" localSheetId="7" hidden="1">'[101]TBK Deziner'!#REF!</definedName>
    <definedName name="XRefPaste83" hidden="1">'[101]TBK Deziner'!#REF!</definedName>
    <definedName name="XRefPaste83Row" localSheetId="8" hidden="1">#REF!</definedName>
    <definedName name="XRefPaste83Row" localSheetId="7" hidden="1">#REF!</definedName>
    <definedName name="XRefPaste83Row" hidden="1">#REF!</definedName>
    <definedName name="XRefPaste84Row" localSheetId="7" hidden="1">#REF!</definedName>
    <definedName name="XRefPaste84Row" hidden="1">#REF!</definedName>
    <definedName name="XRefPaste85Row" localSheetId="7" hidden="1">#REF!</definedName>
    <definedName name="XRefPaste85Row" hidden="1">#REF!</definedName>
    <definedName name="XRefPaste86Row" localSheetId="7" hidden="1">#REF!</definedName>
    <definedName name="XRefPaste86Row" hidden="1">#REF!</definedName>
    <definedName name="XRefPaste87" localSheetId="7" hidden="1">'[101]TBK Deziner'!#REF!</definedName>
    <definedName name="XRefPaste87" hidden="1">'[101]TBK Deziner'!#REF!</definedName>
    <definedName name="XRefPaste87Row" localSheetId="8" hidden="1">#REF!</definedName>
    <definedName name="XRefPaste87Row" localSheetId="7" hidden="1">#REF!</definedName>
    <definedName name="XRefPaste87Row" hidden="1">#REF!</definedName>
    <definedName name="XRefPaste88Row" localSheetId="7" hidden="1">#REF!</definedName>
    <definedName name="XRefPaste88Row" hidden="1">#REF!</definedName>
    <definedName name="XRefPaste89Row" localSheetId="7" hidden="1">#REF!</definedName>
    <definedName name="XRefPaste89Row" hidden="1">#REF!</definedName>
    <definedName name="XRefPaste8Row" localSheetId="7" hidden="1">#REF!</definedName>
    <definedName name="XRefPaste8Row" hidden="1">#REF!</definedName>
    <definedName name="XRefPaste9" localSheetId="7" hidden="1">#REF!</definedName>
    <definedName name="XRefPaste9" hidden="1">#REF!</definedName>
    <definedName name="XRefPaste90Row" localSheetId="7" hidden="1">#REF!</definedName>
    <definedName name="XRefPaste90Row" hidden="1">#REF!</definedName>
    <definedName name="XRefPaste91Row" localSheetId="7" hidden="1">#REF!</definedName>
    <definedName name="XRefPaste91Row" hidden="1">#REF!</definedName>
    <definedName name="XRefPaste92" localSheetId="7" hidden="1">'[101]TBK Deziner'!#REF!</definedName>
    <definedName name="XRefPaste92" hidden="1">'[101]TBK Deziner'!#REF!</definedName>
    <definedName name="XRefPaste92Row" localSheetId="8" hidden="1">#REF!</definedName>
    <definedName name="XRefPaste92Row" localSheetId="7" hidden="1">#REF!</definedName>
    <definedName name="XRefPaste92Row" hidden="1">#REF!</definedName>
    <definedName name="XRefPaste93" localSheetId="8" hidden="1">'[101]TBK Deziner'!#REF!</definedName>
    <definedName name="XRefPaste93" localSheetId="7" hidden="1">'[101]TBK Deziner'!#REF!</definedName>
    <definedName name="XRefPaste93" hidden="1">'[101]TBK Deziner'!#REF!</definedName>
    <definedName name="XRefPaste93Row" localSheetId="8" hidden="1">#REF!</definedName>
    <definedName name="XRefPaste93Row" localSheetId="7" hidden="1">#REF!</definedName>
    <definedName name="XRefPaste93Row" hidden="1">#REF!</definedName>
    <definedName name="XRefPaste94" localSheetId="8" hidden="1">'[101]TBK Deziner'!#REF!</definedName>
    <definedName name="XRefPaste94" localSheetId="7" hidden="1">'[101]TBK Deziner'!#REF!</definedName>
    <definedName name="XRefPaste94" hidden="1">'[101]TBK Deziner'!#REF!</definedName>
    <definedName name="XRefPaste94Row" localSheetId="8" hidden="1">#REF!</definedName>
    <definedName name="XRefPaste94Row" localSheetId="7" hidden="1">#REF!</definedName>
    <definedName name="XRefPaste94Row" hidden="1">#REF!</definedName>
    <definedName name="XRefPaste95" localSheetId="8" hidden="1">'[101]TBK Deziner'!#REF!</definedName>
    <definedName name="XRefPaste95" localSheetId="7" hidden="1">'[101]TBK Deziner'!#REF!</definedName>
    <definedName name="XRefPaste95" hidden="1">'[101]TBK Deziner'!#REF!</definedName>
    <definedName name="XRefPaste95Row" localSheetId="8" hidden="1">#REF!</definedName>
    <definedName name="XRefPaste95Row" localSheetId="7" hidden="1">#REF!</definedName>
    <definedName name="XRefPaste95Row" hidden="1">#REF!</definedName>
    <definedName name="XRefPaste96" localSheetId="8" hidden="1">'[100]Sch 11-15'!#REF!</definedName>
    <definedName name="XRefPaste96" localSheetId="7" hidden="1">'[100]Sch 11-15'!#REF!</definedName>
    <definedName name="XRefPaste96" hidden="1">'[100]Sch 11-15'!#REF!</definedName>
    <definedName name="XRefPaste96Row" localSheetId="8" hidden="1">#REF!</definedName>
    <definedName name="XRefPaste96Row" localSheetId="7" hidden="1">#REF!</definedName>
    <definedName name="XRefPaste96Row" hidden="1">#REF!</definedName>
    <definedName name="XRefPaste97" localSheetId="8" hidden="1">'[100]Sch 11-15'!#REF!</definedName>
    <definedName name="XRefPaste97" localSheetId="7" hidden="1">'[100]Sch 11-15'!#REF!</definedName>
    <definedName name="XRefPaste97" hidden="1">'[100]Sch 11-15'!#REF!</definedName>
    <definedName name="XRefPaste97Row" localSheetId="8" hidden="1">#REF!</definedName>
    <definedName name="XRefPaste97Row" localSheetId="7" hidden="1">#REF!</definedName>
    <definedName name="XRefPaste97Row" hidden="1">#REF!</definedName>
    <definedName name="XRefPaste98" localSheetId="8" hidden="1">'[100]Sch 11-15'!#REF!</definedName>
    <definedName name="XRefPaste98" localSheetId="7" hidden="1">'[100]Sch 11-15'!#REF!</definedName>
    <definedName name="XRefPaste98" hidden="1">'[100]Sch 11-15'!#REF!</definedName>
    <definedName name="XRefPaste98Row" localSheetId="8" hidden="1">#REF!</definedName>
    <definedName name="XRefPaste98Row" localSheetId="7" hidden="1">#REF!</definedName>
    <definedName name="XRefPaste98Row" hidden="1">#REF!</definedName>
    <definedName name="XRefPaste99" localSheetId="8" hidden="1">'[100]Sch 11-15'!#REF!</definedName>
    <definedName name="XRefPaste99" localSheetId="7" hidden="1">'[100]Sch 11-15'!#REF!</definedName>
    <definedName name="XRefPaste99" hidden="1">'[100]Sch 11-15'!#REF!</definedName>
    <definedName name="XRefPaste99Row" localSheetId="8" hidden="1">#REF!</definedName>
    <definedName name="XRefPaste99Row" localSheetId="7" hidden="1">#REF!</definedName>
    <definedName name="XRefPaste99Row" hidden="1">#REF!</definedName>
    <definedName name="XRefPaste9Row" localSheetId="7" hidden="1">#REF!</definedName>
    <definedName name="XRefPaste9Row" hidden="1">#REF!</definedName>
    <definedName name="XRefPasteRangeCount" hidden="1">118</definedName>
    <definedName name="xsw" localSheetId="8" hidden="1">{TRUE,TRUE,-1.25,-15.5,484.5,276.75,FALSE,FALSE,TRUE,TRUE,0,11,#N/A,641,#N/A,7.16304347826087,18.4666666666667,1,FALSE,FALSE,3,TRUE,1,FALSE,75,"Swvu.otr.","ACwvu.otr.",#N/A,FALSE,FALSE,0.54,0.5,0.53,0.25,1,"","",FALSE,FALSE,FALSE,FALSE,1,61,#N/A,#N/A,"=R280C12:R779C19",FALSE,"Rwvu.otr.","Cwvu.otr.",FALSE,FALSE,TRUE,1,180,180,FALSE,FALSE,TRUE,TRUE,TRUE}</definedName>
    <definedName name="xsw" localSheetId="6" hidden="1">{TRUE,TRUE,-1.25,-15.5,484.5,276.75,FALSE,FALSE,TRUE,TRUE,0,11,#N/A,641,#N/A,7.16304347826087,18.4666666666667,1,FALSE,FALSE,3,TRUE,1,FALSE,75,"Swvu.otr.","ACwvu.otr.",#N/A,FALSE,FALSE,0.54,0.5,0.53,0.25,1,"","",FALSE,FALSE,FALSE,FALSE,1,61,#N/A,#N/A,"=R280C12:R779C19",FALSE,"Rwvu.otr.","Cwvu.otr.",FALSE,FALSE,TRUE,1,180,180,FALSE,FALSE,TRUE,TRUE,TRUE}</definedName>
    <definedName name="xsw" localSheetId="7" hidden="1">{TRUE,TRUE,-1.25,-15.5,484.5,276.75,FALSE,FALSE,TRUE,TRUE,0,11,#N/A,641,#N/A,7.16304347826087,18.4666666666667,1,FALSE,FALSE,3,TRUE,1,FALSE,75,"Swvu.otr.","ACwvu.otr.",#N/A,FALSE,FALSE,0.54,0.5,0.53,0.25,1,"","",FALSE,FALSE,FALSE,FALSE,1,61,#N/A,#N/A,"=R280C12:R779C19",FALSE,"Rwvu.otr.","Cwvu.otr.",FALSE,FALSE,TRUE,1,180,180,FALSE,FALSE,TRUE,TRUE,TRUE}</definedName>
    <definedName name="xsw" hidden="1">{TRUE,TRUE,-1.25,-15.5,484.5,276.75,FALSE,FALSE,TRUE,TRUE,0,11,#N/A,641,#N/A,7.16304347826087,18.4666666666667,1,FALSE,FALSE,3,TRUE,1,FALSE,75,"Swvu.otr.","ACwvu.otr.",#N/A,FALSE,FALSE,0.54,0.5,0.53,0.25,1,"","",FALSE,FALSE,FALSE,FALSE,1,61,#N/A,#N/A,"=R280C12:R779C19",FALSE,"Rwvu.otr.","Cwvu.otr.",FALSE,FALSE,TRUE,1,180,180,FALSE,FALSE,TRUE,TRUE,TRUE}</definedName>
    <definedName name="xx" localSheetId="8">#REF!</definedName>
    <definedName name="xx" localSheetId="7">#REF!</definedName>
    <definedName name="xx">#REF!</definedName>
    <definedName name="XXX" localSheetId="8">[102]INTT!#REF!</definedName>
    <definedName name="XXX" localSheetId="7">[102]INTT!#REF!</definedName>
    <definedName name="XXX">[102]INTT!#REF!</definedName>
    <definedName name="YEAR">[103]COMPARISON!$B$66</definedName>
    <definedName name="YearDropDown">[73]Codes!$C$399:$C$439</definedName>
    <definedName name="YesNoType">[59]Codes!$C$60:$C$61</definedName>
    <definedName name="YGJDG">#N/A</definedName>
    <definedName name="Z_146BF779_18F9_446B_A5B0_6126083257E2_.wvu.Cols" localSheetId="8" hidden="1">#REF!,#REF!</definedName>
    <definedName name="Z_146BF779_18F9_446B_A5B0_6126083257E2_.wvu.Cols" localSheetId="7" hidden="1">#REF!,#REF!</definedName>
    <definedName name="Z_146BF779_18F9_446B_A5B0_6126083257E2_.wvu.Cols" hidden="1">#REF!,#REF!</definedName>
    <definedName name="Z_DC2E165D_F249_45D7_ACE6_ABDBF5EA0C48_.wvu.FilterData" localSheetId="8" hidden="1">#REF!</definedName>
    <definedName name="Z_DC2E165D_F249_45D7_ACE6_ABDBF5EA0C48_.wvu.FilterData" localSheetId="7" hidden="1">#REF!</definedName>
    <definedName name="Z_DC2E165D_F249_45D7_ACE6_ABDBF5EA0C48_.wvu.FilterData" hidden="1">#REF!</definedName>
    <definedName name="zaq" localSheetId="8" hidden="1">{TRUE,TRUE,-1.25,-15.5,484.5,276.75,FALSE,FALSE,TRUE,TRUE,0,11,#N/A,641,#N/A,7.16304347826087,18.4666666666667,1,FALSE,FALSE,3,TRUE,1,FALSE,75,"Swvu.otr.","ACwvu.otr.",#N/A,FALSE,FALSE,0.54,0.5,0.53,0.25,1,"","",FALSE,FALSE,FALSE,FALSE,1,61,#N/A,#N/A,"=R280C12:R779C19",FALSE,"Rwvu.otr.","Cwvu.otr.",FALSE,FALSE,TRUE,1,180,180,FALSE,FALSE,TRUE,TRUE,TRUE}</definedName>
    <definedName name="zaq" localSheetId="6" hidden="1">{TRUE,TRUE,-1.25,-15.5,484.5,276.75,FALSE,FALSE,TRUE,TRUE,0,11,#N/A,641,#N/A,7.16304347826087,18.4666666666667,1,FALSE,FALSE,3,TRUE,1,FALSE,75,"Swvu.otr.","ACwvu.otr.",#N/A,FALSE,FALSE,0.54,0.5,0.53,0.25,1,"","",FALSE,FALSE,FALSE,FALSE,1,61,#N/A,#N/A,"=R280C12:R779C19",FALSE,"Rwvu.otr.","Cwvu.otr.",FALSE,FALSE,TRUE,1,180,180,FALSE,FALSE,TRUE,TRUE,TRUE}</definedName>
    <definedName name="zaq" localSheetId="7" hidden="1">{TRUE,TRUE,-1.25,-15.5,484.5,276.75,FALSE,FALSE,TRUE,TRUE,0,11,#N/A,641,#N/A,7.16304347826087,18.4666666666667,1,FALSE,FALSE,3,TRUE,1,FALSE,75,"Swvu.otr.","ACwvu.otr.",#N/A,FALSE,FALSE,0.54,0.5,0.53,0.25,1,"","",FALSE,FALSE,FALSE,FALSE,1,61,#N/A,#N/A,"=R280C12:R779C19",FALSE,"Rwvu.otr.","Cwvu.otr.",FALSE,FALSE,TRUE,1,180,180,FALSE,FALSE,TRUE,TRUE,TRUE}</definedName>
    <definedName name="zaq" hidden="1">{TRUE,TRUE,-1.25,-15.5,484.5,276.75,FALSE,FALSE,TRUE,TRUE,0,11,#N/A,641,#N/A,7.16304347826087,18.4666666666667,1,FALSE,FALSE,3,TRUE,1,FALSE,75,"Swvu.otr.","ACwvu.otr.",#N/A,FALSE,FALSE,0.54,0.5,0.53,0.25,1,"","",FALSE,FALSE,FALSE,FALSE,1,61,#N/A,#N/A,"=R280C12:R779C19",FALSE,"Rwvu.otr.","Cwvu.otr.",FALSE,FALSE,TRUE,1,180,180,FALSE,FALSE,TRUE,TRUE,TRUE}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34" i="11" l="1"/>
  <c r="I121" i="12"/>
  <c r="FG8" i="7" l="1"/>
  <c r="FH8" i="7"/>
  <c r="FI8" i="7"/>
  <c r="FJ8" i="7"/>
  <c r="FK8" i="7"/>
  <c r="FL8" i="7"/>
  <c r="FM8" i="7"/>
  <c r="FN8" i="7"/>
  <c r="FO8" i="7"/>
  <c r="FP8" i="7"/>
  <c r="FQ8" i="7"/>
  <c r="FR8" i="7"/>
  <c r="FS8" i="7"/>
  <c r="FT8" i="7"/>
  <c r="FU8" i="7"/>
  <c r="FV8" i="7"/>
  <c r="FW8" i="7"/>
  <c r="FX8" i="7"/>
  <c r="FY8" i="7"/>
  <c r="FZ8" i="7"/>
  <c r="GA8" i="7"/>
  <c r="GB8" i="7"/>
  <c r="GC8" i="7"/>
  <c r="GD8" i="7"/>
  <c r="GE8" i="7"/>
  <c r="GF8" i="7"/>
  <c r="GG8" i="7"/>
  <c r="FG9" i="7"/>
  <c r="FH9" i="7"/>
  <c r="FI9" i="7"/>
  <c r="FJ9" i="7"/>
  <c r="FK9" i="7"/>
  <c r="FL9" i="7"/>
  <c r="FM9" i="7"/>
  <c r="FN9" i="7"/>
  <c r="FO9" i="7"/>
  <c r="FP9" i="7"/>
  <c r="FQ9" i="7"/>
  <c r="FR9" i="7"/>
  <c r="FS9" i="7"/>
  <c r="FT9" i="7"/>
  <c r="FU9" i="7"/>
  <c r="FV9" i="7"/>
  <c r="FW9" i="7"/>
  <c r="FX9" i="7"/>
  <c r="FY9" i="7"/>
  <c r="FZ9" i="7"/>
  <c r="GA9" i="7"/>
  <c r="GB9" i="7"/>
  <c r="GC9" i="7"/>
  <c r="GD9" i="7"/>
  <c r="GE9" i="7"/>
  <c r="GF9" i="7"/>
  <c r="GG9" i="7"/>
  <c r="FF9" i="7"/>
  <c r="FF8" i="7"/>
  <c r="FF10" i="7" s="1"/>
  <c r="FW34" i="6"/>
  <c r="FX34" i="6"/>
  <c r="FW35" i="6"/>
  <c r="FX35" i="6"/>
  <c r="FW36" i="6"/>
  <c r="FX36" i="6"/>
  <c r="FW37" i="6"/>
  <c r="FX37" i="6"/>
  <c r="FW38" i="6"/>
  <c r="FX38" i="6"/>
  <c r="FJ23" i="2" l="1"/>
  <c r="FJ21" i="2"/>
  <c r="FJ20" i="2"/>
  <c r="FJ19" i="2"/>
  <c r="FJ18" i="2"/>
  <c r="FJ17" i="2"/>
  <c r="FJ16" i="2"/>
  <c r="FJ15" i="2"/>
  <c r="FJ14" i="2"/>
  <c r="FJ12" i="2"/>
  <c r="FJ9" i="2"/>
  <c r="H121" i="12"/>
  <c r="H29" i="12"/>
  <c r="FH10" i="7"/>
  <c r="FI10" i="7"/>
  <c r="FJ10" i="7"/>
  <c r="FM10" i="7"/>
  <c r="FP10" i="7"/>
  <c r="FQ10" i="7"/>
  <c r="FR10" i="7"/>
  <c r="FU10" i="7"/>
  <c r="FX10" i="7"/>
  <c r="FY10" i="7"/>
  <c r="FZ10" i="7"/>
  <c r="GC10" i="7"/>
  <c r="GF10" i="7"/>
  <c r="GG10" i="7"/>
  <c r="FG10" i="7"/>
  <c r="FN10" i="7"/>
  <c r="FO10" i="7"/>
  <c r="FV10" i="7"/>
  <c r="FW10" i="7"/>
  <c r="GD10" i="7"/>
  <c r="GE10" i="7"/>
  <c r="FK10" i="7"/>
  <c r="FL10" i="7"/>
  <c r="FS10" i="7"/>
  <c r="FT10" i="7"/>
  <c r="GA10" i="7"/>
  <c r="GB10" i="7"/>
  <c r="AJ101" i="10" l="1"/>
  <c r="AJ102" i="10" s="1"/>
  <c r="AL105" i="11"/>
  <c r="AL101" i="11"/>
  <c r="AJ105" i="11"/>
  <c r="AJ106" i="11"/>
  <c r="AJ101" i="11"/>
  <c r="AJ102" i="11" s="1"/>
  <c r="G44" i="12"/>
  <c r="FC11" i="7"/>
  <c r="FB11" i="7"/>
  <c r="FA11" i="7"/>
  <c r="EZ11" i="7"/>
  <c r="EY11" i="7"/>
  <c r="EX11" i="7"/>
  <c r="EW11" i="7"/>
  <c r="EV11" i="7"/>
  <c r="EU11" i="7"/>
  <c r="ET11" i="7"/>
  <c r="ES11" i="7"/>
  <c r="ER11" i="7"/>
  <c r="EQ11" i="7"/>
  <c r="EP11" i="7"/>
  <c r="EO11" i="7"/>
  <c r="EN11" i="7"/>
  <c r="EM11" i="7"/>
  <c r="EL11" i="7"/>
  <c r="EK11" i="7"/>
  <c r="EJ11" i="7"/>
  <c r="EI11" i="7"/>
  <c r="EH11" i="7"/>
  <c r="EG11" i="7"/>
  <c r="EF11" i="7"/>
  <c r="EE11" i="7"/>
  <c r="ED11" i="7"/>
  <c r="EC11" i="7"/>
  <c r="EB11" i="7"/>
  <c r="EA11" i="7"/>
  <c r="DZ11" i="7"/>
  <c r="DY11" i="7"/>
  <c r="DX11" i="7"/>
  <c r="DW11" i="7"/>
  <c r="DV11" i="7"/>
  <c r="DU11" i="7"/>
  <c r="DT11" i="7"/>
  <c r="DS11" i="7"/>
  <c r="DR11" i="7"/>
  <c r="DQ11" i="7"/>
  <c r="DP11" i="7"/>
  <c r="DO11" i="7"/>
  <c r="DN11" i="7"/>
  <c r="DM11" i="7"/>
  <c r="DL11" i="7"/>
  <c r="DK11" i="7"/>
  <c r="DJ11" i="7"/>
  <c r="DI11" i="7"/>
  <c r="DH11" i="7"/>
  <c r="DG11" i="7"/>
  <c r="DF11" i="7"/>
  <c r="DE11" i="7"/>
  <c r="DD11" i="7"/>
  <c r="DC11" i="7"/>
  <c r="DB11" i="7"/>
  <c r="DA11" i="7"/>
  <c r="CZ11" i="7"/>
  <c r="CY11" i="7"/>
  <c r="CX11" i="7"/>
  <c r="CW11" i="7"/>
  <c r="CV11" i="7"/>
  <c r="CU11" i="7"/>
  <c r="CT11" i="7"/>
  <c r="CS11" i="7"/>
  <c r="CR11" i="7"/>
  <c r="CQ11" i="7"/>
  <c r="CP11" i="7"/>
  <c r="CO11" i="7"/>
  <c r="CN11" i="7"/>
  <c r="CM11" i="7"/>
  <c r="CL11" i="7"/>
  <c r="CK11" i="7"/>
  <c r="CJ11" i="7"/>
  <c r="CI11" i="7"/>
  <c r="CH11" i="7"/>
  <c r="CG11" i="7"/>
  <c r="CF11" i="7"/>
  <c r="CE11" i="7"/>
  <c r="CD11" i="7"/>
  <c r="CC11" i="7"/>
  <c r="CB11" i="7"/>
  <c r="CA11" i="7"/>
  <c r="BZ11" i="7"/>
  <c r="BY11" i="7"/>
  <c r="BX11" i="7"/>
  <c r="BW11" i="7"/>
  <c r="BV11" i="7"/>
  <c r="BU11" i="7"/>
  <c r="BT11" i="7"/>
  <c r="BS11" i="7"/>
  <c r="BR11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AJ77" i="12"/>
  <c r="AJ78" i="12" s="1"/>
  <c r="GH9" i="7" s="1"/>
  <c r="G49" i="12"/>
  <c r="G121" i="12"/>
  <c r="G119" i="12"/>
  <c r="FI23" i="2"/>
  <c r="FI21" i="2"/>
  <c r="FI20" i="2"/>
  <c r="FI19" i="2"/>
  <c r="FI18" i="2"/>
  <c r="FI17" i="2"/>
  <c r="FI16" i="2"/>
  <c r="FI15" i="2"/>
  <c r="FI14" i="2"/>
  <c r="FI12" i="2"/>
  <c r="FI9" i="2"/>
  <c r="D21" i="2"/>
  <c r="D20" i="2"/>
  <c r="D19" i="2"/>
  <c r="D18" i="2"/>
  <c r="D17" i="2"/>
  <c r="D16" i="2"/>
  <c r="D13" i="2"/>
  <c r="D12" i="2"/>
  <c r="D9" i="2"/>
  <c r="D8" i="2"/>
  <c r="D6" i="2"/>
  <c r="D5" i="2"/>
  <c r="D4" i="2"/>
  <c r="D3" i="2"/>
  <c r="D2" i="2"/>
  <c r="FV38" i="6"/>
  <c r="FV37" i="6"/>
  <c r="FV36" i="6"/>
  <c r="FV35" i="6"/>
  <c r="FV34" i="6"/>
  <c r="F121" i="12"/>
  <c r="F29" i="12"/>
  <c r="F119" i="12"/>
  <c r="AK77" i="12" l="1"/>
  <c r="FH23" i="2"/>
  <c r="FH21" i="2"/>
  <c r="FH20" i="2"/>
  <c r="FH19" i="2"/>
  <c r="FH18" i="2"/>
  <c r="FH17" i="2"/>
  <c r="FH16" i="2"/>
  <c r="FH15" i="2"/>
  <c r="FH14" i="2"/>
  <c r="FH12" i="2"/>
  <c r="FH9" i="2"/>
  <c r="GC30" i="6"/>
  <c r="GB30" i="6"/>
  <c r="GA30" i="6"/>
  <c r="FZ30" i="6"/>
  <c r="FY30" i="6"/>
  <c r="FX30" i="6"/>
  <c r="FJ11" i="2" s="1"/>
  <c r="FW30" i="6"/>
  <c r="FI11" i="2" s="1"/>
  <c r="FV30" i="6"/>
  <c r="FH11" i="2" s="1"/>
  <c r="GC27" i="6"/>
  <c r="GB27" i="6"/>
  <c r="GA27" i="6"/>
  <c r="FZ27" i="6"/>
  <c r="FY27" i="6"/>
  <c r="FX27" i="6"/>
  <c r="FJ8" i="2" s="1"/>
  <c r="FW27" i="6"/>
  <c r="FI8" i="2" s="1"/>
  <c r="FV27" i="6"/>
  <c r="FH8" i="2" s="1"/>
  <c r="FV21" i="6"/>
  <c r="FW21" i="6"/>
  <c r="FX21" i="6"/>
  <c r="FY21" i="6"/>
  <c r="FZ21" i="6"/>
  <c r="GA21" i="6"/>
  <c r="GB21" i="6"/>
  <c r="GC21" i="6"/>
  <c r="FV22" i="6"/>
  <c r="FW22" i="6"/>
  <c r="FX22" i="6"/>
  <c r="FY22" i="6"/>
  <c r="FZ22" i="6"/>
  <c r="GA22" i="6"/>
  <c r="GB22" i="6"/>
  <c r="GC22" i="6"/>
  <c r="FV23" i="6"/>
  <c r="FW23" i="6"/>
  <c r="FX23" i="6"/>
  <c r="FY23" i="6"/>
  <c r="FZ23" i="6"/>
  <c r="GA23" i="6"/>
  <c r="GB23" i="6"/>
  <c r="GC23" i="6"/>
  <c r="FV24" i="6"/>
  <c r="FW24" i="6"/>
  <c r="FX24" i="6"/>
  <c r="FY24" i="6"/>
  <c r="FZ24" i="6"/>
  <c r="GA24" i="6"/>
  <c r="GB24" i="6"/>
  <c r="GC24" i="6"/>
  <c r="FV25" i="6"/>
  <c r="FW25" i="6"/>
  <c r="FX25" i="6"/>
  <c r="FY25" i="6"/>
  <c r="FZ25" i="6"/>
  <c r="GA25" i="6"/>
  <c r="GB25" i="6"/>
  <c r="GC25" i="6"/>
  <c r="G49" i="11"/>
  <c r="FG23" i="2"/>
  <c r="FG21" i="2"/>
  <c r="FG20" i="2"/>
  <c r="FG19" i="2"/>
  <c r="FG18" i="2"/>
  <c r="FG17" i="2"/>
  <c r="FG16" i="2"/>
  <c r="FG15" i="2"/>
  <c r="FG14" i="2"/>
  <c r="FE3" i="7"/>
  <c r="FF3" i="7"/>
  <c r="FG3" i="7"/>
  <c r="FH3" i="7"/>
  <c r="FI3" i="7"/>
  <c r="FJ3" i="7"/>
  <c r="FK3" i="7"/>
  <c r="FL3" i="7"/>
  <c r="FM3" i="7"/>
  <c r="FN3" i="7"/>
  <c r="FO3" i="7"/>
  <c r="FP3" i="7"/>
  <c r="FP5" i="7" s="1"/>
  <c r="FQ3" i="7"/>
  <c r="FR3" i="7"/>
  <c r="FS3" i="7"/>
  <c r="FT3" i="7"/>
  <c r="FU3" i="7"/>
  <c r="FV3" i="7"/>
  <c r="FW3" i="7"/>
  <c r="FX3" i="7"/>
  <c r="FX5" i="7" s="1"/>
  <c r="FY3" i="7"/>
  <c r="FZ3" i="7"/>
  <c r="GA3" i="7"/>
  <c r="GB3" i="7"/>
  <c r="GC3" i="7"/>
  <c r="GD3" i="7"/>
  <c r="GE3" i="7"/>
  <c r="GF3" i="7"/>
  <c r="GF5" i="7" s="1"/>
  <c r="GG3" i="7"/>
  <c r="FE4" i="7"/>
  <c r="FE5" i="7" s="1"/>
  <c r="FF4" i="7"/>
  <c r="FG4" i="7"/>
  <c r="FH4" i="7"/>
  <c r="FI4" i="7"/>
  <c r="FJ4" i="7"/>
  <c r="FK4" i="7"/>
  <c r="FL4" i="7"/>
  <c r="FM4" i="7"/>
  <c r="FM5" i="7" s="1"/>
  <c r="FN4" i="7"/>
  <c r="FO4" i="7"/>
  <c r="FP4" i="7"/>
  <c r="FQ4" i="7"/>
  <c r="FR4" i="7"/>
  <c r="FS4" i="7"/>
  <c r="FT4" i="7"/>
  <c r="FT5" i="7" s="1"/>
  <c r="FT7" i="7" s="1"/>
  <c r="FT12" i="7" s="1"/>
  <c r="FU4" i="7"/>
  <c r="FU5" i="7" s="1"/>
  <c r="FV4" i="7"/>
  <c r="FW4" i="7"/>
  <c r="FX4" i="7"/>
  <c r="FY4" i="7"/>
  <c r="FZ4" i="7"/>
  <c r="GA4" i="7"/>
  <c r="GB4" i="7"/>
  <c r="GB5" i="7" s="1"/>
  <c r="GB7" i="7" s="1"/>
  <c r="GB12" i="7" s="1"/>
  <c r="GC4" i="7"/>
  <c r="GC5" i="7" s="1"/>
  <c r="GD4" i="7"/>
  <c r="GE4" i="7"/>
  <c r="GF4" i="7"/>
  <c r="GG4" i="7"/>
  <c r="FE13" i="7"/>
  <c r="FF13" i="7"/>
  <c r="FG13" i="7"/>
  <c r="FH13" i="7"/>
  <c r="FI13" i="7"/>
  <c r="FJ13" i="7"/>
  <c r="FK13" i="7"/>
  <c r="FL13" i="7"/>
  <c r="FM13" i="7"/>
  <c r="FN13" i="7"/>
  <c r="FO13" i="7"/>
  <c r="FP13" i="7"/>
  <c r="FQ13" i="7"/>
  <c r="FR13" i="7"/>
  <c r="FS13" i="7"/>
  <c r="FT13" i="7"/>
  <c r="FU13" i="7"/>
  <c r="FV13" i="7"/>
  <c r="FW13" i="7"/>
  <c r="FX13" i="7"/>
  <c r="FY13" i="7"/>
  <c r="FZ13" i="7"/>
  <c r="GA13" i="7"/>
  <c r="GB13" i="7"/>
  <c r="GC13" i="7"/>
  <c r="GD13" i="7"/>
  <c r="GE13" i="7"/>
  <c r="GF13" i="7"/>
  <c r="GG13" i="7"/>
  <c r="FE14" i="7"/>
  <c r="FF14" i="7"/>
  <c r="FG14" i="7"/>
  <c r="FG15" i="7" s="1"/>
  <c r="FH14" i="7"/>
  <c r="FI14" i="7"/>
  <c r="FJ14" i="7"/>
  <c r="FK14" i="7"/>
  <c r="FL14" i="7"/>
  <c r="FM14" i="7"/>
  <c r="FN14" i="7"/>
  <c r="FO14" i="7"/>
  <c r="FP14" i="7"/>
  <c r="FP15" i="7" s="1"/>
  <c r="FQ14" i="7"/>
  <c r="FR14" i="7"/>
  <c r="FS14" i="7"/>
  <c r="FT14" i="7"/>
  <c r="FU14" i="7"/>
  <c r="FV14" i="7"/>
  <c r="FW14" i="7"/>
  <c r="FX14" i="7"/>
  <c r="FX15" i="7" s="1"/>
  <c r="FY14" i="7"/>
  <c r="FZ14" i="7"/>
  <c r="GA14" i="7"/>
  <c r="GA15" i="7" s="1"/>
  <c r="GB14" i="7"/>
  <c r="GC14" i="7"/>
  <c r="GD14" i="7"/>
  <c r="GE14" i="7"/>
  <c r="GF14" i="7"/>
  <c r="GG14" i="7"/>
  <c r="FE20" i="7"/>
  <c r="FF20" i="7"/>
  <c r="FG20" i="7"/>
  <c r="FH20" i="7"/>
  <c r="FI20" i="7"/>
  <c r="FJ20" i="7"/>
  <c r="FK20" i="7"/>
  <c r="FL20" i="7"/>
  <c r="FM20" i="7"/>
  <c r="FN20" i="7"/>
  <c r="FO20" i="7"/>
  <c r="FP20" i="7"/>
  <c r="FQ20" i="7"/>
  <c r="FR20" i="7"/>
  <c r="FS20" i="7"/>
  <c r="FT20" i="7"/>
  <c r="FU20" i="7"/>
  <c r="FV20" i="7"/>
  <c r="FW20" i="7"/>
  <c r="FX20" i="7"/>
  <c r="FY20" i="7"/>
  <c r="FZ20" i="7"/>
  <c r="GA20" i="7"/>
  <c r="GB20" i="7"/>
  <c r="GC20" i="7"/>
  <c r="GD20" i="7"/>
  <c r="GE20" i="7"/>
  <c r="GF20" i="7"/>
  <c r="GG20" i="7"/>
  <c r="FE21" i="7"/>
  <c r="FF21" i="7"/>
  <c r="FG21" i="7"/>
  <c r="FG22" i="7" s="1"/>
  <c r="FH21" i="7"/>
  <c r="FI21" i="7"/>
  <c r="FJ21" i="7"/>
  <c r="FK21" i="7"/>
  <c r="FL21" i="7"/>
  <c r="FM21" i="7"/>
  <c r="FN21" i="7"/>
  <c r="FN22" i="7" s="1"/>
  <c r="FO21" i="7"/>
  <c r="FO22" i="7" s="1"/>
  <c r="FP21" i="7"/>
  <c r="FQ21" i="7"/>
  <c r="FR21" i="7"/>
  <c r="FS21" i="7"/>
  <c r="FT21" i="7"/>
  <c r="FU21" i="7"/>
  <c r="FV21" i="7"/>
  <c r="FW21" i="7"/>
  <c r="FX21" i="7"/>
  <c r="FY21" i="7"/>
  <c r="FZ21" i="7"/>
  <c r="GA21" i="7"/>
  <c r="GB21" i="7"/>
  <c r="GC21" i="7"/>
  <c r="GD21" i="7"/>
  <c r="GD22" i="7" s="1"/>
  <c r="GE21" i="7"/>
  <c r="GF21" i="7"/>
  <c r="GG21" i="7"/>
  <c r="FD21" i="7"/>
  <c r="FD20" i="7"/>
  <c r="FD14" i="7"/>
  <c r="FD13" i="7"/>
  <c r="FD6" i="7"/>
  <c r="FD11" i="7" s="1"/>
  <c r="FD4" i="7"/>
  <c r="FD3" i="7"/>
  <c r="FK12" i="2"/>
  <c r="FK9" i="2"/>
  <c r="FG12" i="2"/>
  <c r="FG9" i="2"/>
  <c r="FK23" i="2"/>
  <c r="FK14" i="2"/>
  <c r="E121" i="12"/>
  <c r="E29" i="12"/>
  <c r="E119" i="12"/>
  <c r="FU25" i="6"/>
  <c r="FU24" i="6"/>
  <c r="FU22" i="6"/>
  <c r="FU21" i="6"/>
  <c r="FU23" i="6"/>
  <c r="FU35" i="6"/>
  <c r="FU36" i="6"/>
  <c r="FU37" i="6"/>
  <c r="FU38" i="6"/>
  <c r="FU34" i="6"/>
  <c r="T25" i="6"/>
  <c r="T24" i="6"/>
  <c r="T30" i="6"/>
  <c r="FK11" i="2" s="1"/>
  <c r="T27" i="6"/>
  <c r="FK8" i="2" s="1"/>
  <c r="FU30" i="6"/>
  <c r="FG11" i="2" s="1"/>
  <c r="FU27" i="6"/>
  <c r="FG8" i="2" s="1"/>
  <c r="AC29" i="11"/>
  <c r="T126" i="11"/>
  <c r="FE24" i="2"/>
  <c r="FE23" i="2"/>
  <c r="FE21" i="2"/>
  <c r="FE20" i="2"/>
  <c r="FE19" i="2"/>
  <c r="FE18" i="2"/>
  <c r="FE17" i="2"/>
  <c r="FE16" i="2"/>
  <c r="FE15" i="2"/>
  <c r="FE14" i="2"/>
  <c r="FE12" i="2"/>
  <c r="FE9" i="2"/>
  <c r="AJ133" i="12"/>
  <c r="AJ132" i="12"/>
  <c r="AJ131" i="12"/>
  <c r="AJ130" i="12"/>
  <c r="AI127" i="12"/>
  <c r="AH127" i="12"/>
  <c r="AG127" i="12"/>
  <c r="AF127" i="12"/>
  <c r="AE127" i="12"/>
  <c r="AD127" i="12"/>
  <c r="AC127" i="12"/>
  <c r="AB127" i="12"/>
  <c r="AA127" i="12"/>
  <c r="Z127" i="12"/>
  <c r="Y127" i="12"/>
  <c r="X127" i="12"/>
  <c r="W127" i="12"/>
  <c r="V127" i="12"/>
  <c r="U127" i="12"/>
  <c r="T127" i="12"/>
  <c r="S127" i="12"/>
  <c r="R127" i="12"/>
  <c r="Q127" i="12"/>
  <c r="P127" i="12"/>
  <c r="O127" i="12"/>
  <c r="N127" i="12"/>
  <c r="M127" i="12"/>
  <c r="L127" i="12"/>
  <c r="K127" i="12"/>
  <c r="J127" i="12"/>
  <c r="I127" i="12"/>
  <c r="H127" i="12"/>
  <c r="G127" i="12"/>
  <c r="F127" i="12"/>
  <c r="E127" i="12"/>
  <c r="AJ126" i="12"/>
  <c r="AK127" i="12" s="1"/>
  <c r="AK125" i="12"/>
  <c r="AI125" i="12"/>
  <c r="AH125" i="12"/>
  <c r="AG125" i="12"/>
  <c r="AF125" i="12"/>
  <c r="AE125" i="12"/>
  <c r="AD125" i="12"/>
  <c r="AC125" i="12"/>
  <c r="AB125" i="12"/>
  <c r="AB37" i="12" s="1"/>
  <c r="AA125" i="12"/>
  <c r="Z125" i="12"/>
  <c r="Y125" i="12"/>
  <c r="X125" i="12"/>
  <c r="W125" i="12"/>
  <c r="W37" i="12" s="1"/>
  <c r="V125" i="12"/>
  <c r="U125" i="12"/>
  <c r="T125" i="12"/>
  <c r="T99" i="12" s="1"/>
  <c r="S125" i="12"/>
  <c r="R125" i="12"/>
  <c r="Q125" i="12"/>
  <c r="P125" i="12"/>
  <c r="O125" i="12"/>
  <c r="N125" i="12"/>
  <c r="M125" i="12"/>
  <c r="L125" i="12"/>
  <c r="L37" i="12" s="1"/>
  <c r="K125" i="12"/>
  <c r="J125" i="12"/>
  <c r="I125" i="12"/>
  <c r="H125" i="12"/>
  <c r="G125" i="12"/>
  <c r="F125" i="12"/>
  <c r="E125" i="12"/>
  <c r="AJ124" i="12"/>
  <c r="AJ122" i="12"/>
  <c r="AE32" i="12"/>
  <c r="W32" i="12"/>
  <c r="O32" i="12"/>
  <c r="G32" i="12"/>
  <c r="AJ120" i="12"/>
  <c r="AG32" i="12"/>
  <c r="AF32" i="12"/>
  <c r="Y32" i="12"/>
  <c r="Y34" i="12" s="1"/>
  <c r="X32" i="12"/>
  <c r="P32" i="12"/>
  <c r="AJ119" i="12"/>
  <c r="AJ112" i="12"/>
  <c r="T36" i="6" s="1"/>
  <c r="AJ111" i="12"/>
  <c r="T35" i="6" s="1"/>
  <c r="AJ106" i="12"/>
  <c r="AJ107" i="12" s="1"/>
  <c r="AJ105" i="12"/>
  <c r="AJ102" i="12"/>
  <c r="AL102" i="12" s="1"/>
  <c r="AJ101" i="12"/>
  <c r="AF99" i="12"/>
  <c r="AJ98" i="12"/>
  <c r="AL98" i="12" s="1"/>
  <c r="AJ97" i="12"/>
  <c r="AL97" i="12" s="1"/>
  <c r="AJ96" i="12"/>
  <c r="AL96" i="12" s="1"/>
  <c r="AJ95" i="12"/>
  <c r="AL95" i="12" s="1"/>
  <c r="AJ94" i="12"/>
  <c r="AL94" i="12" s="1"/>
  <c r="AJ93" i="12"/>
  <c r="AL93" i="12" s="1"/>
  <c r="AJ92" i="12"/>
  <c r="AL92" i="12" s="1"/>
  <c r="AJ91" i="12"/>
  <c r="AL91" i="12" s="1"/>
  <c r="AI88" i="12"/>
  <c r="AH88" i="12"/>
  <c r="AG88" i="12"/>
  <c r="AF88" i="12"/>
  <c r="AE88" i="12"/>
  <c r="AD88" i="12"/>
  <c r="AC88" i="12"/>
  <c r="AB88" i="12"/>
  <c r="AA88" i="12"/>
  <c r="Z88" i="12"/>
  <c r="Y88" i="12"/>
  <c r="X88" i="12"/>
  <c r="W88" i="12"/>
  <c r="V88" i="12"/>
  <c r="U88" i="12"/>
  <c r="T88" i="12"/>
  <c r="S88" i="12"/>
  <c r="R88" i="12"/>
  <c r="Q88" i="12"/>
  <c r="P88" i="12"/>
  <c r="O88" i="12"/>
  <c r="N88" i="12"/>
  <c r="M88" i="12"/>
  <c r="L88" i="12"/>
  <c r="K88" i="12"/>
  <c r="J88" i="12"/>
  <c r="I88" i="12"/>
  <c r="H88" i="12"/>
  <c r="G88" i="12"/>
  <c r="G100" i="12" s="1"/>
  <c r="F88" i="12"/>
  <c r="E88" i="12"/>
  <c r="AJ87" i="12"/>
  <c r="AL87" i="12" s="1"/>
  <c r="AJ86" i="12"/>
  <c r="AL86" i="12" s="1"/>
  <c r="AJ85" i="12"/>
  <c r="AL85" i="12" s="1"/>
  <c r="AJ84" i="12"/>
  <c r="AJ83" i="12"/>
  <c r="AJ82" i="12"/>
  <c r="AL82" i="12" s="1"/>
  <c r="AJ81" i="12"/>
  <c r="AJ80" i="12"/>
  <c r="AL80" i="12" s="1"/>
  <c r="AJ75" i="12"/>
  <c r="AK75" i="12" s="1"/>
  <c r="AJ73" i="12"/>
  <c r="AK73" i="12" s="1"/>
  <c r="AJ72" i="12"/>
  <c r="AK72" i="12" s="1"/>
  <c r="AI66" i="12"/>
  <c r="AH66" i="12"/>
  <c r="AG66" i="12"/>
  <c r="AF66" i="12"/>
  <c r="AE66" i="12"/>
  <c r="AD66" i="12"/>
  <c r="AC66" i="12"/>
  <c r="AB66" i="12"/>
  <c r="AA66" i="12"/>
  <c r="Z66" i="12"/>
  <c r="Y66" i="12"/>
  <c r="X66" i="12"/>
  <c r="W66" i="12"/>
  <c r="V66" i="12"/>
  <c r="U66" i="12"/>
  <c r="T66" i="12"/>
  <c r="S66" i="12"/>
  <c r="R66" i="12"/>
  <c r="Q66" i="12"/>
  <c r="P66" i="12"/>
  <c r="O66" i="12"/>
  <c r="N66" i="12"/>
  <c r="M66" i="12"/>
  <c r="L66" i="12"/>
  <c r="K66" i="12"/>
  <c r="J66" i="12"/>
  <c r="I66" i="12"/>
  <c r="H66" i="12"/>
  <c r="G66" i="12"/>
  <c r="F66" i="12"/>
  <c r="E66" i="12"/>
  <c r="AJ65" i="12"/>
  <c r="AJ64" i="12"/>
  <c r="AI62" i="12"/>
  <c r="AH62" i="12"/>
  <c r="AG62" i="12"/>
  <c r="AF62" i="12"/>
  <c r="AE62" i="12"/>
  <c r="AD62" i="12"/>
  <c r="AC62" i="12"/>
  <c r="AB62" i="12"/>
  <c r="AA62" i="12"/>
  <c r="Z62" i="12"/>
  <c r="Y62" i="12"/>
  <c r="X62" i="12"/>
  <c r="W62" i="12"/>
  <c r="V62" i="12"/>
  <c r="U62" i="12"/>
  <c r="T62" i="12"/>
  <c r="S62" i="12"/>
  <c r="R62" i="12"/>
  <c r="Q62" i="12"/>
  <c r="P62" i="12"/>
  <c r="O62" i="12"/>
  <c r="N62" i="12"/>
  <c r="M62" i="12"/>
  <c r="L62" i="12"/>
  <c r="K62" i="12"/>
  <c r="J62" i="12"/>
  <c r="I62" i="12"/>
  <c r="H62" i="12"/>
  <c r="G62" i="12"/>
  <c r="F62" i="12"/>
  <c r="E62" i="12"/>
  <c r="AJ61" i="12"/>
  <c r="AJ60" i="12"/>
  <c r="AI58" i="12"/>
  <c r="AH58" i="12"/>
  <c r="AG58" i="12"/>
  <c r="AF58" i="12"/>
  <c r="AE58" i="12"/>
  <c r="AD58" i="12"/>
  <c r="AC58" i="12"/>
  <c r="AB58" i="12"/>
  <c r="AA58" i="12"/>
  <c r="Z58" i="12"/>
  <c r="Y58" i="12"/>
  <c r="X58" i="12"/>
  <c r="W58" i="12"/>
  <c r="V58" i="12"/>
  <c r="U58" i="12"/>
  <c r="T58" i="12"/>
  <c r="S58" i="12"/>
  <c r="R58" i="12"/>
  <c r="Q58" i="12"/>
  <c r="P58" i="12"/>
  <c r="O58" i="12"/>
  <c r="N58" i="12"/>
  <c r="M58" i="12"/>
  <c r="L58" i="12"/>
  <c r="K58" i="12"/>
  <c r="J58" i="12"/>
  <c r="I58" i="12"/>
  <c r="H58" i="12"/>
  <c r="G58" i="12"/>
  <c r="F58" i="12"/>
  <c r="E58" i="12"/>
  <c r="AI57" i="12"/>
  <c r="AH57" i="12"/>
  <c r="AH67" i="12" s="1"/>
  <c r="AG57" i="12"/>
  <c r="GF23" i="7" s="1"/>
  <c r="AF57" i="12"/>
  <c r="AF63" i="12" s="1"/>
  <c r="AE57" i="12"/>
  <c r="GD23" i="7" s="1"/>
  <c r="AD57" i="12"/>
  <c r="AC57" i="12"/>
  <c r="GB23" i="7" s="1"/>
  <c r="AB57" i="12"/>
  <c r="GA23" i="7" s="1"/>
  <c r="AA57" i="12"/>
  <c r="Z57" i="12"/>
  <c r="FY23" i="7" s="1"/>
  <c r="Y57" i="12"/>
  <c r="FX23" i="7" s="1"/>
  <c r="X57" i="12"/>
  <c r="X63" i="12" s="1"/>
  <c r="W57" i="12"/>
  <c r="FV23" i="7" s="1"/>
  <c r="V57" i="12"/>
  <c r="FU23" i="7" s="1"/>
  <c r="U57" i="12"/>
  <c r="T57" i="12"/>
  <c r="FS23" i="7" s="1"/>
  <c r="S57" i="12"/>
  <c r="FR23" i="7" s="1"/>
  <c r="R57" i="12"/>
  <c r="R67" i="12" s="1"/>
  <c r="Q57" i="12"/>
  <c r="FP23" i="7" s="1"/>
  <c r="P57" i="12"/>
  <c r="P63" i="12" s="1"/>
  <c r="O57" i="12"/>
  <c r="FN23" i="7" s="1"/>
  <c r="N57" i="12"/>
  <c r="FM23" i="7" s="1"/>
  <c r="M57" i="12"/>
  <c r="L57" i="12"/>
  <c r="FK23" i="7" s="1"/>
  <c r="K57" i="12"/>
  <c r="J57" i="12"/>
  <c r="J67" i="12" s="1"/>
  <c r="FZ14" i="6" s="1"/>
  <c r="I57" i="12"/>
  <c r="FH23" i="7" s="1"/>
  <c r="H57" i="12"/>
  <c r="FG23" i="7" s="1"/>
  <c r="G57" i="12"/>
  <c r="FF23" i="7" s="1"/>
  <c r="F57" i="12"/>
  <c r="FE23" i="7" s="1"/>
  <c r="E57" i="12"/>
  <c r="FD23" i="7" s="1"/>
  <c r="AJ56" i="12"/>
  <c r="AJ55" i="12"/>
  <c r="AI53" i="12"/>
  <c r="AH53" i="12"/>
  <c r="AG53" i="12"/>
  <c r="AF53" i="12"/>
  <c r="AE53" i="12"/>
  <c r="AD53" i="12"/>
  <c r="AC53" i="12"/>
  <c r="AB53" i="12"/>
  <c r="AA53" i="12"/>
  <c r="Z53" i="12"/>
  <c r="Y53" i="12"/>
  <c r="X53" i="12"/>
  <c r="W53" i="12"/>
  <c r="V53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AJ52" i="12"/>
  <c r="AJ51" i="12"/>
  <c r="AI49" i="12"/>
  <c r="AH49" i="12"/>
  <c r="AG49" i="12"/>
  <c r="AF49" i="12"/>
  <c r="AE49" i="12"/>
  <c r="AD49" i="12"/>
  <c r="AC49" i="12"/>
  <c r="AB49" i="12"/>
  <c r="AA49" i="12"/>
  <c r="Z49" i="12"/>
  <c r="Y49" i="12"/>
  <c r="X49" i="12"/>
  <c r="W49" i="12"/>
  <c r="V49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F49" i="12"/>
  <c r="E49" i="12"/>
  <c r="AJ48" i="12"/>
  <c r="AJ47" i="12"/>
  <c r="AI45" i="12"/>
  <c r="AH45" i="12"/>
  <c r="AG45" i="12"/>
  <c r="AF45" i="12"/>
  <c r="AE45" i="12"/>
  <c r="AD45" i="12"/>
  <c r="AC45" i="12"/>
  <c r="AB45" i="12"/>
  <c r="AA45" i="12"/>
  <c r="Z45" i="12"/>
  <c r="Y45" i="12"/>
  <c r="X45" i="12"/>
  <c r="W45" i="12"/>
  <c r="V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AI44" i="12"/>
  <c r="AH44" i="12"/>
  <c r="AG44" i="12"/>
  <c r="AF44" i="12"/>
  <c r="AF46" i="12" s="1"/>
  <c r="AE44" i="12"/>
  <c r="GD6" i="7" s="1"/>
  <c r="GD11" i="7" s="1"/>
  <c r="AD44" i="12"/>
  <c r="GC6" i="7" s="1"/>
  <c r="GC11" i="7" s="1"/>
  <c r="AC44" i="12"/>
  <c r="GB6" i="7" s="1"/>
  <c r="GB11" i="7" s="1"/>
  <c r="AB44" i="12"/>
  <c r="GA6" i="7" s="1"/>
  <c r="GA11" i="7" s="1"/>
  <c r="AA44" i="12"/>
  <c r="FZ6" i="7" s="1"/>
  <c r="FZ11" i="7" s="1"/>
  <c r="Z44" i="12"/>
  <c r="Y44" i="12"/>
  <c r="FX6" i="7" s="1"/>
  <c r="FX11" i="7" s="1"/>
  <c r="X44" i="12"/>
  <c r="X46" i="12" s="1"/>
  <c r="W44" i="12"/>
  <c r="V44" i="12"/>
  <c r="FU6" i="7" s="1"/>
  <c r="FU11" i="7" s="1"/>
  <c r="U44" i="12"/>
  <c r="FT6" i="7" s="1"/>
  <c r="FT11" i="7" s="1"/>
  <c r="T44" i="12"/>
  <c r="FS6" i="7" s="1"/>
  <c r="FS11" i="7" s="1"/>
  <c r="S44" i="12"/>
  <c r="FR6" i="7" s="1"/>
  <c r="FR11" i="7" s="1"/>
  <c r="R44" i="12"/>
  <c r="FQ6" i="7" s="1"/>
  <c r="FQ11" i="7" s="1"/>
  <c r="Q44" i="12"/>
  <c r="P44" i="12"/>
  <c r="FO6" i="7" s="1"/>
  <c r="FO11" i="7" s="1"/>
  <c r="O44" i="12"/>
  <c r="FN6" i="7" s="1"/>
  <c r="FN11" i="7" s="1"/>
  <c r="N44" i="12"/>
  <c r="M44" i="12"/>
  <c r="L44" i="12"/>
  <c r="FK6" i="7" s="1"/>
  <c r="FK11" i="7" s="1"/>
  <c r="K44" i="12"/>
  <c r="FJ6" i="7" s="1"/>
  <c r="FJ11" i="7" s="1"/>
  <c r="J44" i="12"/>
  <c r="FI6" i="7" s="1"/>
  <c r="FI11" i="7" s="1"/>
  <c r="I44" i="12"/>
  <c r="H44" i="12"/>
  <c r="FF6" i="7"/>
  <c r="FF11" i="7" s="1"/>
  <c r="F44" i="12"/>
  <c r="FE6" i="7" s="1"/>
  <c r="FE11" i="7" s="1"/>
  <c r="E44" i="12"/>
  <c r="AJ43" i="12"/>
  <c r="AJ42" i="12"/>
  <c r="AI40" i="12"/>
  <c r="AH40" i="12"/>
  <c r="AG40" i="12"/>
  <c r="AF40" i="12"/>
  <c r="AE40" i="12"/>
  <c r="AD40" i="12"/>
  <c r="AC40" i="12"/>
  <c r="AB40" i="12"/>
  <c r="AA40" i="12"/>
  <c r="Z40" i="12"/>
  <c r="Y40" i="12"/>
  <c r="X40" i="12"/>
  <c r="W40" i="12"/>
  <c r="V40" i="12"/>
  <c r="U40" i="12"/>
  <c r="T40" i="12"/>
  <c r="T41" i="12" s="1"/>
  <c r="S40" i="12"/>
  <c r="R40" i="12"/>
  <c r="Q40" i="12"/>
  <c r="P40" i="12"/>
  <c r="O40" i="12"/>
  <c r="N40" i="12"/>
  <c r="M40" i="12"/>
  <c r="L40" i="12"/>
  <c r="L41" i="12" s="1"/>
  <c r="GB8" i="6" s="1"/>
  <c r="K40" i="12"/>
  <c r="J40" i="12"/>
  <c r="I40" i="12"/>
  <c r="H40" i="12"/>
  <c r="G40" i="12"/>
  <c r="F40" i="12"/>
  <c r="E40" i="12"/>
  <c r="AI39" i="12"/>
  <c r="AH39" i="12"/>
  <c r="AG39" i="12"/>
  <c r="AF39" i="12"/>
  <c r="AE39" i="12"/>
  <c r="AD39" i="12"/>
  <c r="AC39" i="12"/>
  <c r="AB39" i="12"/>
  <c r="AA39" i="12"/>
  <c r="Z39" i="12"/>
  <c r="Y39" i="12"/>
  <c r="X39" i="12"/>
  <c r="W39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AI36" i="12"/>
  <c r="AH36" i="12"/>
  <c r="AG36" i="12"/>
  <c r="AF36" i="12"/>
  <c r="AE36" i="12"/>
  <c r="AD36" i="12"/>
  <c r="AC36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AI33" i="12"/>
  <c r="AH33" i="12"/>
  <c r="AG33" i="12"/>
  <c r="AF33" i="12"/>
  <c r="AE33" i="12"/>
  <c r="AD33" i="12"/>
  <c r="AC33" i="12"/>
  <c r="AB33" i="12"/>
  <c r="AA33" i="12"/>
  <c r="Z33" i="12"/>
  <c r="Y33" i="12"/>
  <c r="X33" i="12"/>
  <c r="X34" i="12" s="1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AI32" i="12"/>
  <c r="AH32" i="12"/>
  <c r="AD32" i="12"/>
  <c r="AC32" i="12"/>
  <c r="AB32" i="12"/>
  <c r="AA32" i="12"/>
  <c r="Z32" i="12"/>
  <c r="V32" i="12"/>
  <c r="U32" i="12"/>
  <c r="T32" i="12"/>
  <c r="S32" i="12"/>
  <c r="R32" i="12"/>
  <c r="Q32" i="12"/>
  <c r="N32" i="12"/>
  <c r="M32" i="12"/>
  <c r="L32" i="12"/>
  <c r="K32" i="12"/>
  <c r="J32" i="12"/>
  <c r="I32" i="12"/>
  <c r="H32" i="12"/>
  <c r="F32" i="12"/>
  <c r="F34" i="12" s="1"/>
  <c r="AJ31" i="12"/>
  <c r="AJ30" i="12"/>
  <c r="AJ28" i="12"/>
  <c r="AJ27" i="12"/>
  <c r="T23" i="6" s="1"/>
  <c r="AI24" i="12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GC10" i="6" s="1"/>
  <c r="L24" i="12"/>
  <c r="GB10" i="6" s="1"/>
  <c r="K24" i="12"/>
  <c r="GA10" i="6" s="1"/>
  <c r="J24" i="12"/>
  <c r="FZ10" i="6" s="1"/>
  <c r="I24" i="12"/>
  <c r="FY10" i="6" s="1"/>
  <c r="H24" i="12"/>
  <c r="G24" i="12"/>
  <c r="F24" i="12"/>
  <c r="FH13" i="2" s="1"/>
  <c r="E24" i="12"/>
  <c r="FU10" i="6" s="1"/>
  <c r="AJ23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AI19" i="12"/>
  <c r="AI20" i="12" s="1"/>
  <c r="AH19" i="12"/>
  <c r="AH20" i="12" s="1"/>
  <c r="AG19" i="12"/>
  <c r="AG20" i="12" s="1"/>
  <c r="AF19" i="12"/>
  <c r="AF20" i="12" s="1"/>
  <c r="AE19" i="12"/>
  <c r="AE20" i="12" s="1"/>
  <c r="AD19" i="12"/>
  <c r="AD20" i="12" s="1"/>
  <c r="AC19" i="12"/>
  <c r="AC20" i="12" s="1"/>
  <c r="AB19" i="12"/>
  <c r="AB20" i="12" s="1"/>
  <c r="AA19" i="12"/>
  <c r="AA20" i="12" s="1"/>
  <c r="AA22" i="12" s="1"/>
  <c r="Z19" i="12"/>
  <c r="Z20" i="12" s="1"/>
  <c r="Y19" i="12"/>
  <c r="Y20" i="12" s="1"/>
  <c r="X19" i="12"/>
  <c r="X20" i="12" s="1"/>
  <c r="W19" i="12"/>
  <c r="W20" i="12" s="1"/>
  <c r="V19" i="12"/>
  <c r="V20" i="12" s="1"/>
  <c r="U19" i="12"/>
  <c r="U20" i="12" s="1"/>
  <c r="T19" i="12"/>
  <c r="T20" i="12" s="1"/>
  <c r="S19" i="12"/>
  <c r="S20" i="12" s="1"/>
  <c r="R19" i="12"/>
  <c r="R20" i="12" s="1"/>
  <c r="Q19" i="12"/>
  <c r="Q20" i="12" s="1"/>
  <c r="P19" i="12"/>
  <c r="P20" i="12" s="1"/>
  <c r="O19" i="12"/>
  <c r="O20" i="12" s="1"/>
  <c r="N19" i="12"/>
  <c r="N20" i="12" s="1"/>
  <c r="N22" i="12" s="1"/>
  <c r="M19" i="12"/>
  <c r="M20" i="12" s="1"/>
  <c r="L19" i="12"/>
  <c r="L20" i="12" s="1"/>
  <c r="K19" i="12"/>
  <c r="K20" i="12" s="1"/>
  <c r="J19" i="12"/>
  <c r="J20" i="12" s="1"/>
  <c r="I19" i="12"/>
  <c r="I20" i="12" s="1"/>
  <c r="H19" i="12"/>
  <c r="H20" i="12" s="1"/>
  <c r="G19" i="12"/>
  <c r="G20" i="12" s="1"/>
  <c r="F19" i="12"/>
  <c r="F20" i="12" s="1"/>
  <c r="E19" i="12"/>
  <c r="E20" i="12" s="1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AI7" i="12"/>
  <c r="AH7" i="12"/>
  <c r="AG7" i="12"/>
  <c r="AF7" i="12"/>
  <c r="AE7" i="12"/>
  <c r="AD7" i="12"/>
  <c r="AC7" i="12"/>
  <c r="AB7" i="12"/>
  <c r="AA7" i="12"/>
  <c r="Z7" i="12"/>
  <c r="Y7" i="12"/>
  <c r="Y8" i="12" s="1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I8" i="12" s="1"/>
  <c r="FY5" i="6" s="1"/>
  <c r="H7" i="12"/>
  <c r="G7" i="12"/>
  <c r="F7" i="12"/>
  <c r="E7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R8" i="12" s="1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O5" i="12" s="1"/>
  <c r="N4" i="12"/>
  <c r="M4" i="12"/>
  <c r="L4" i="12"/>
  <c r="K4" i="12"/>
  <c r="J4" i="12"/>
  <c r="I4" i="12"/>
  <c r="H4" i="12"/>
  <c r="G4" i="12"/>
  <c r="G5" i="12" s="1"/>
  <c r="F4" i="12"/>
  <c r="E4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AI29" i="11"/>
  <c r="AK124" i="11"/>
  <c r="AI120" i="11"/>
  <c r="AI118" i="11"/>
  <c r="AF57" i="11"/>
  <c r="AG57" i="11"/>
  <c r="AH29" i="11"/>
  <c r="AH120" i="11"/>
  <c r="AH118" i="11"/>
  <c r="AG120" i="11"/>
  <c r="AG29" i="11"/>
  <c r="AG118" i="11"/>
  <c r="FD24" i="2"/>
  <c r="FD23" i="2"/>
  <c r="FD21" i="2"/>
  <c r="FD20" i="2"/>
  <c r="FD19" i="2"/>
  <c r="FD18" i="2"/>
  <c r="FD17" i="2"/>
  <c r="FD16" i="2"/>
  <c r="FD15" i="2"/>
  <c r="FD14" i="2"/>
  <c r="FD12" i="2"/>
  <c r="FD9" i="2"/>
  <c r="FC24" i="2"/>
  <c r="FC23" i="2"/>
  <c r="FC21" i="2"/>
  <c r="FC20" i="2"/>
  <c r="FC19" i="2"/>
  <c r="FC18" i="2"/>
  <c r="FC17" i="2"/>
  <c r="FC16" i="2"/>
  <c r="FC15" i="2"/>
  <c r="FC14" i="2"/>
  <c r="FC12" i="2"/>
  <c r="FC9" i="2"/>
  <c r="FB24" i="2"/>
  <c r="FB23" i="2"/>
  <c r="FB21" i="2"/>
  <c r="FB20" i="2"/>
  <c r="FB19" i="2"/>
  <c r="FB18" i="2"/>
  <c r="FB17" i="2"/>
  <c r="FB16" i="2"/>
  <c r="FB15" i="2"/>
  <c r="FB14" i="2"/>
  <c r="FB12" i="2"/>
  <c r="FB9" i="2"/>
  <c r="AF29" i="11"/>
  <c r="AF120" i="11"/>
  <c r="AF118" i="11"/>
  <c r="J37" i="12" l="1"/>
  <c r="R99" i="12"/>
  <c r="Z37" i="12"/>
  <c r="AH99" i="12"/>
  <c r="AG37" i="12"/>
  <c r="AG38" i="12" s="1"/>
  <c r="GF7" i="7"/>
  <c r="GF12" i="7" s="1"/>
  <c r="FX7" i="7"/>
  <c r="FX12" i="7" s="1"/>
  <c r="AF32" i="11"/>
  <c r="FK22" i="2"/>
  <c r="GG22" i="7"/>
  <c r="FY22" i="7"/>
  <c r="FX10" i="6"/>
  <c r="FJ13" i="2"/>
  <c r="S8" i="12"/>
  <c r="N54" i="12"/>
  <c r="N59" i="12"/>
  <c r="FF5" i="7"/>
  <c r="FF7" i="7" s="1"/>
  <c r="FF12" i="7" s="1"/>
  <c r="FI24" i="2" s="1"/>
  <c r="AD59" i="12"/>
  <c r="P37" i="12"/>
  <c r="GC7" i="7"/>
  <c r="GC12" i="7" s="1"/>
  <c r="FU7" i="7"/>
  <c r="FU12" i="7" s="1"/>
  <c r="FE7" i="7"/>
  <c r="FE12" i="7" s="1"/>
  <c r="FH24" i="2" s="1"/>
  <c r="H46" i="12"/>
  <c r="FX13" i="6" s="1"/>
  <c r="GH10" i="7"/>
  <c r="GD5" i="7"/>
  <c r="GD7" i="7" s="1"/>
  <c r="GD12" i="7" s="1"/>
  <c r="FV5" i="7"/>
  <c r="FN5" i="7"/>
  <c r="FN7" i="7" s="1"/>
  <c r="FN12" i="7" s="1"/>
  <c r="GG5" i="7"/>
  <c r="FY5" i="7"/>
  <c r="FQ5" i="7"/>
  <c r="FQ7" i="7" s="1"/>
  <c r="FQ12" i="7" s="1"/>
  <c r="FI5" i="7"/>
  <c r="FI7" i="7" s="1"/>
  <c r="FI12" i="7" s="1"/>
  <c r="FQ22" i="7"/>
  <c r="GA22" i="7"/>
  <c r="FS22" i="7"/>
  <c r="FK22" i="7"/>
  <c r="FH5" i="7"/>
  <c r="FZ22" i="7"/>
  <c r="FR22" i="7"/>
  <c r="FR24" i="7" s="1"/>
  <c r="FJ22" i="7"/>
  <c r="FI22" i="7"/>
  <c r="GE22" i="7"/>
  <c r="FW22" i="7"/>
  <c r="GA5" i="7"/>
  <c r="GA7" i="7" s="1"/>
  <c r="GA12" i="7" s="1"/>
  <c r="FS5" i="7"/>
  <c r="FS7" i="7" s="1"/>
  <c r="FS12" i="7" s="1"/>
  <c r="FK5" i="7"/>
  <c r="FK7" i="7" s="1"/>
  <c r="FK12" i="7" s="1"/>
  <c r="FW15" i="7"/>
  <c r="FW16" i="7" s="1"/>
  <c r="FW10" i="6"/>
  <c r="FI13" i="2"/>
  <c r="G99" i="12"/>
  <c r="FW4" i="6"/>
  <c r="FI2" i="2"/>
  <c r="U22" i="12"/>
  <c r="R37" i="12"/>
  <c r="AH41" i="12"/>
  <c r="J99" i="12"/>
  <c r="GF15" i="7"/>
  <c r="FH15" i="7"/>
  <c r="AB41" i="12"/>
  <c r="FV22" i="7"/>
  <c r="FF22" i="7"/>
  <c r="GE15" i="7"/>
  <c r="FO15" i="7"/>
  <c r="FO16" i="7" s="1"/>
  <c r="S11" i="12"/>
  <c r="AA11" i="12"/>
  <c r="AI11" i="12"/>
  <c r="AH37" i="12"/>
  <c r="K59" i="12"/>
  <c r="GA12" i="6" s="1"/>
  <c r="S59" i="12"/>
  <c r="AA59" i="12"/>
  <c r="AI59" i="12"/>
  <c r="Y63" i="12"/>
  <c r="Z99" i="12"/>
  <c r="G34" i="12"/>
  <c r="G35" i="12" s="1"/>
  <c r="FW9" i="6" s="1"/>
  <c r="AD37" i="12"/>
  <c r="FS15" i="7"/>
  <c r="FK15" i="7"/>
  <c r="FK16" i="7" s="1"/>
  <c r="V46" i="12"/>
  <c r="K67" i="12"/>
  <c r="GA14" i="6" s="1"/>
  <c r="AA67" i="12"/>
  <c r="O34" i="12"/>
  <c r="FG6" i="7"/>
  <c r="FG11" i="7" s="1"/>
  <c r="N11" i="12"/>
  <c r="V11" i="12"/>
  <c r="P34" i="12"/>
  <c r="I99" i="12"/>
  <c r="Q99" i="12"/>
  <c r="Y99" i="12"/>
  <c r="AG99" i="12"/>
  <c r="FL5" i="7"/>
  <c r="Q34" i="12"/>
  <c r="FD5" i="7"/>
  <c r="FD7" i="7" s="1"/>
  <c r="FD12" i="7" s="1"/>
  <c r="FG24" i="2" s="1"/>
  <c r="Z50" i="12"/>
  <c r="AH50" i="12"/>
  <c r="FO23" i="7"/>
  <c r="FO24" i="7" s="1"/>
  <c r="FN24" i="7"/>
  <c r="H5" i="12"/>
  <c r="P5" i="12"/>
  <c r="X5" i="12"/>
  <c r="AF5" i="12"/>
  <c r="J8" i="12"/>
  <c r="FZ5" i="6" s="1"/>
  <c r="Z11" i="12"/>
  <c r="FD15" i="7"/>
  <c r="FD16" i="7" s="1"/>
  <c r="AE99" i="12"/>
  <c r="FD22" i="7"/>
  <c r="FD24" i="7" s="1"/>
  <c r="GE6" i="7"/>
  <c r="GE11" i="7" s="1"/>
  <c r="FK15" i="2"/>
  <c r="GC15" i="7"/>
  <c r="GC16" i="7" s="1"/>
  <c r="FU15" i="7"/>
  <c r="FU16" i="7" s="1"/>
  <c r="FM15" i="7"/>
  <c r="FE15" i="7"/>
  <c r="FE16" i="7" s="1"/>
  <c r="FZ15" i="7"/>
  <c r="FZ16" i="7" s="1"/>
  <c r="FR15" i="7"/>
  <c r="FR16" i="7" s="1"/>
  <c r="FJ15" i="7"/>
  <c r="FJ16" i="7" s="1"/>
  <c r="FW6" i="7"/>
  <c r="FW11" i="7" s="1"/>
  <c r="M34" i="12"/>
  <c r="AF34" i="12"/>
  <c r="GA16" i="7"/>
  <c r="AB8" i="12"/>
  <c r="E11" i="12"/>
  <c r="FU6" i="6" s="1"/>
  <c r="GE23" i="7"/>
  <c r="GE24" i="7" s="1"/>
  <c r="X16" i="12"/>
  <c r="J22" i="12"/>
  <c r="R22" i="12"/>
  <c r="Z22" i="12"/>
  <c r="AH22" i="12"/>
  <c r="J34" i="12"/>
  <c r="W50" i="12"/>
  <c r="M67" i="12"/>
  <c r="GC14" i="6" s="1"/>
  <c r="U67" i="12"/>
  <c r="GB15" i="7"/>
  <c r="GB16" i="7" s="1"/>
  <c r="FT15" i="7"/>
  <c r="FT16" i="7" s="1"/>
  <c r="FL15" i="7"/>
  <c r="FV6" i="7"/>
  <c r="FV11" i="7" s="1"/>
  <c r="FS16" i="7"/>
  <c r="FS17" i="7" s="1"/>
  <c r="AG34" i="12"/>
  <c r="AG35" i="12" s="1"/>
  <c r="W16" i="12"/>
  <c r="K22" i="12"/>
  <c r="Q37" i="12"/>
  <c r="Y50" i="12"/>
  <c r="O59" i="12"/>
  <c r="FW23" i="7"/>
  <c r="M46" i="12"/>
  <c r="GC13" i="6" s="1"/>
  <c r="I5" i="12"/>
  <c r="FY4" i="6" s="1"/>
  <c r="Q5" i="12"/>
  <c r="Y5" i="12"/>
  <c r="AG5" i="12"/>
  <c r="I11" i="12"/>
  <c r="FY6" i="6" s="1"/>
  <c r="AG11" i="12"/>
  <c r="J11" i="12"/>
  <c r="FZ6" i="6" s="1"/>
  <c r="R11" i="12"/>
  <c r="AH11" i="12"/>
  <c r="K16" i="12"/>
  <c r="S16" i="12"/>
  <c r="AA16" i="12"/>
  <c r="AI16" i="12"/>
  <c r="N46" i="12"/>
  <c r="W34" i="12"/>
  <c r="W35" i="12" s="1"/>
  <c r="X99" i="12"/>
  <c r="GC23" i="7"/>
  <c r="GD24" i="7"/>
  <c r="FG24" i="7"/>
  <c r="GA24" i="7"/>
  <c r="FS24" i="7"/>
  <c r="FK24" i="7"/>
  <c r="GF22" i="7"/>
  <c r="GF24" i="7" s="1"/>
  <c r="FX22" i="7"/>
  <c r="FX24" i="7" s="1"/>
  <c r="FP22" i="7"/>
  <c r="FP24" i="7" s="1"/>
  <c r="FH22" i="7"/>
  <c r="FH24" i="7" s="1"/>
  <c r="FM6" i="7"/>
  <c r="FM11" i="7" s="1"/>
  <c r="J16" i="12"/>
  <c r="T8" i="12"/>
  <c r="T22" i="12"/>
  <c r="AI22" i="12"/>
  <c r="Z34" i="12"/>
  <c r="Z35" i="12" s="1"/>
  <c r="AD34" i="12"/>
  <c r="AD35" i="12" s="1"/>
  <c r="I41" i="12"/>
  <c r="FY8" i="6" s="1"/>
  <c r="Q41" i="12"/>
  <c r="Y41" i="12"/>
  <c r="AG41" i="12"/>
  <c r="E32" i="12"/>
  <c r="E34" i="12" s="1"/>
  <c r="E35" i="12" s="1"/>
  <c r="FU9" i="6" s="1"/>
  <c r="FT23" i="7"/>
  <c r="FL23" i="7"/>
  <c r="FL6" i="7"/>
  <c r="FL11" i="7" s="1"/>
  <c r="Q8" i="12"/>
  <c r="AH16" i="12"/>
  <c r="L11" i="12"/>
  <c r="GB6" i="6" s="1"/>
  <c r="N67" i="12"/>
  <c r="V67" i="12"/>
  <c r="FX16" i="7"/>
  <c r="GG15" i="7"/>
  <c r="FY15" i="7"/>
  <c r="FQ15" i="7"/>
  <c r="FQ16" i="7" s="1"/>
  <c r="FI15" i="7"/>
  <c r="FI16" i="7" s="1"/>
  <c r="GD15" i="7"/>
  <c r="GD16" i="7" s="1"/>
  <c r="FV15" i="7"/>
  <c r="FN15" i="7"/>
  <c r="FN16" i="7" s="1"/>
  <c r="FF15" i="7"/>
  <c r="FF16" i="7" s="1"/>
  <c r="FZ5" i="7"/>
  <c r="FZ7" i="7" s="1"/>
  <c r="FZ12" i="7" s="1"/>
  <c r="FR5" i="7"/>
  <c r="FR7" i="7" s="1"/>
  <c r="FR12" i="7" s="1"/>
  <c r="FJ5" i="7"/>
  <c r="FJ7" i="7" s="1"/>
  <c r="FJ12" i="7" s="1"/>
  <c r="GE5" i="7"/>
  <c r="GE7" i="7" s="1"/>
  <c r="GE12" i="7" s="1"/>
  <c r="FW5" i="7"/>
  <c r="FW7" i="7" s="1"/>
  <c r="FW12" i="7" s="1"/>
  <c r="FO5" i="7"/>
  <c r="FO7" i="7" s="1"/>
  <c r="FO12" i="7" s="1"/>
  <c r="FG5" i="7"/>
  <c r="R16" i="12"/>
  <c r="FY24" i="7"/>
  <c r="K5" i="12"/>
  <c r="GA4" i="6" s="1"/>
  <c r="S5" i="12"/>
  <c r="AA5" i="12"/>
  <c r="AI5" i="12"/>
  <c r="AJ6" i="12"/>
  <c r="AC8" i="12"/>
  <c r="AD8" i="12"/>
  <c r="M11" i="12"/>
  <c r="GC6" i="6" s="1"/>
  <c r="U11" i="12"/>
  <c r="G16" i="12"/>
  <c r="AE16" i="12"/>
  <c r="H34" i="12"/>
  <c r="H35" i="12" s="1"/>
  <c r="FX9" i="6" s="1"/>
  <c r="AE37" i="12"/>
  <c r="AE38" i="12" s="1"/>
  <c r="I135" i="12"/>
  <c r="I140" i="12" s="1"/>
  <c r="Q135" i="12"/>
  <c r="Q138" i="12" s="1"/>
  <c r="AG135" i="12"/>
  <c r="AG136" i="12" s="1"/>
  <c r="AH46" i="12"/>
  <c r="W59" i="12"/>
  <c r="P59" i="12"/>
  <c r="N63" i="12"/>
  <c r="V63" i="12"/>
  <c r="AD63" i="12"/>
  <c r="FZ23" i="7"/>
  <c r="FZ24" i="7" s="1"/>
  <c r="FJ23" i="7"/>
  <c r="FV24" i="7"/>
  <c r="GC22" i="7"/>
  <c r="FU22" i="7"/>
  <c r="FU24" i="7" s="1"/>
  <c r="FM22" i="7"/>
  <c r="FM24" i="7" s="1"/>
  <c r="FE22" i="7"/>
  <c r="FE24" i="7" s="1"/>
  <c r="FG13" i="2"/>
  <c r="AI34" i="12"/>
  <c r="AI35" i="12" s="1"/>
  <c r="GG23" i="7"/>
  <c r="GG24" i="7" s="1"/>
  <c r="FQ23" i="7"/>
  <c r="FI23" i="7"/>
  <c r="GB22" i="7"/>
  <c r="GB24" i="7" s="1"/>
  <c r="FT22" i="7"/>
  <c r="FL22" i="7"/>
  <c r="GG6" i="7"/>
  <c r="GG11" i="7" s="1"/>
  <c r="FY6" i="7"/>
  <c r="FY11" i="7" s="1"/>
  <c r="FX17" i="7"/>
  <c r="Z16" i="12"/>
  <c r="G8" i="12"/>
  <c r="O8" i="12"/>
  <c r="W8" i="12"/>
  <c r="AE8" i="12"/>
  <c r="H8" i="12"/>
  <c r="P8" i="12"/>
  <c r="X8" i="12"/>
  <c r="AF8" i="12"/>
  <c r="V22" i="12"/>
  <c r="I34" i="12"/>
  <c r="I35" i="12" s="1"/>
  <c r="FY9" i="6" s="1"/>
  <c r="R34" i="12"/>
  <c r="F99" i="12"/>
  <c r="V37" i="12"/>
  <c r="V38" i="12" s="1"/>
  <c r="AD99" i="12"/>
  <c r="AJ127" i="12"/>
  <c r="U99" i="12"/>
  <c r="GF6" i="7"/>
  <c r="GF11" i="7" s="1"/>
  <c r="FP6" i="7"/>
  <c r="FH6" i="7"/>
  <c r="FH11" i="7" s="1"/>
  <c r="FF24" i="7"/>
  <c r="FK19" i="2"/>
  <c r="FK20" i="2"/>
  <c r="FK21" i="2"/>
  <c r="F5" i="12"/>
  <c r="FV4" i="6" s="1"/>
  <c r="FV10" i="6"/>
  <c r="F63" i="12"/>
  <c r="FV16" i="6" s="1"/>
  <c r="F59" i="12"/>
  <c r="FV12" i="6" s="1"/>
  <c r="AL106" i="12"/>
  <c r="E41" i="12"/>
  <c r="AJ40" i="12"/>
  <c r="I59" i="12"/>
  <c r="FY12" i="6" s="1"/>
  <c r="AE50" i="12"/>
  <c r="AJ45" i="12"/>
  <c r="Z46" i="12"/>
  <c r="I46" i="12"/>
  <c r="FY13" i="6" s="1"/>
  <c r="Q46" i="12"/>
  <c r="Y46" i="12"/>
  <c r="AG46" i="12"/>
  <c r="K50" i="12"/>
  <c r="GA17" i="6" s="1"/>
  <c r="S50" i="12"/>
  <c r="AA50" i="12"/>
  <c r="AI50" i="12"/>
  <c r="V59" i="12"/>
  <c r="N50" i="12"/>
  <c r="AE135" i="12"/>
  <c r="AE140" i="12" s="1"/>
  <c r="L63" i="12"/>
  <c r="GB16" i="6" s="1"/>
  <c r="T63" i="12"/>
  <c r="AB63" i="12"/>
  <c r="AF135" i="12"/>
  <c r="AF140" i="12" s="1"/>
  <c r="E63" i="12"/>
  <c r="FU16" i="6" s="1"/>
  <c r="M63" i="12"/>
  <c r="GC16" i="6" s="1"/>
  <c r="U63" i="12"/>
  <c r="AC63" i="12"/>
  <c r="H37" i="12"/>
  <c r="H38" i="12" s="1"/>
  <c r="P99" i="12"/>
  <c r="X37" i="12"/>
  <c r="X38" i="12" s="1"/>
  <c r="AF37" i="12"/>
  <c r="AF38" i="12" s="1"/>
  <c r="T37" i="12"/>
  <c r="T38" i="12" s="1"/>
  <c r="H99" i="12"/>
  <c r="AD38" i="12"/>
  <c r="L99" i="12"/>
  <c r="R38" i="12"/>
  <c r="AH38" i="12"/>
  <c r="AJ32" i="12"/>
  <c r="AL32" i="12" s="1"/>
  <c r="AC34" i="12"/>
  <c r="AC35" i="12" s="1"/>
  <c r="AE34" i="12"/>
  <c r="AJ33" i="12"/>
  <c r="V34" i="12"/>
  <c r="J38" i="12"/>
  <c r="FZ7" i="6" s="1"/>
  <c r="Z38" i="12"/>
  <c r="L5" i="12"/>
  <c r="GB4" i="6" s="1"/>
  <c r="T5" i="12"/>
  <c r="AB5" i="12"/>
  <c r="M5" i="12"/>
  <c r="GC4" i="6" s="1"/>
  <c r="U5" i="12"/>
  <c r="AC5" i="12"/>
  <c r="AJ9" i="12"/>
  <c r="F37" i="12"/>
  <c r="F38" i="12" s="1"/>
  <c r="N5" i="12"/>
  <c r="V5" i="12"/>
  <c r="G37" i="12"/>
  <c r="G38" i="12" s="1"/>
  <c r="H41" i="12"/>
  <c r="P41" i="12"/>
  <c r="X41" i="12"/>
  <c r="AF41" i="12"/>
  <c r="K11" i="12"/>
  <c r="GA6" i="6" s="1"/>
  <c r="I37" i="12"/>
  <c r="I38" i="12" s="1"/>
  <c r="FY7" i="6" s="1"/>
  <c r="Y37" i="12"/>
  <c r="Y38" i="12" s="1"/>
  <c r="J41" i="12"/>
  <c r="FZ8" i="6" s="1"/>
  <c r="R41" i="12"/>
  <c r="Z41" i="12"/>
  <c r="E8" i="12"/>
  <c r="S41" i="12"/>
  <c r="AA41" i="12"/>
  <c r="V99" i="12"/>
  <c r="J5" i="12"/>
  <c r="FZ4" i="6" s="1"/>
  <c r="U8" i="12"/>
  <c r="Q11" i="12"/>
  <c r="Y11" i="12"/>
  <c r="W99" i="12"/>
  <c r="M99" i="12"/>
  <c r="AB99" i="12"/>
  <c r="AJ20" i="12"/>
  <c r="G50" i="12"/>
  <c r="FW17" i="6" s="1"/>
  <c r="G135" i="12"/>
  <c r="G140" i="12" s="1"/>
  <c r="O135" i="12"/>
  <c r="O137" i="12" s="1"/>
  <c r="O54" i="12"/>
  <c r="O50" i="12"/>
  <c r="E16" i="12"/>
  <c r="U16" i="12"/>
  <c r="P46" i="12"/>
  <c r="P50" i="12"/>
  <c r="AG8" i="12"/>
  <c r="T11" i="12"/>
  <c r="AB11" i="12"/>
  <c r="AJ10" i="12"/>
  <c r="J50" i="12"/>
  <c r="FZ17" i="6" s="1"/>
  <c r="J46" i="12"/>
  <c r="FZ13" i="6" s="1"/>
  <c r="R50" i="12"/>
  <c r="R46" i="12"/>
  <c r="X50" i="12"/>
  <c r="H54" i="12"/>
  <c r="FX15" i="6" s="1"/>
  <c r="P54" i="12"/>
  <c r="AF54" i="12"/>
  <c r="G59" i="12"/>
  <c r="FW12" i="6" s="1"/>
  <c r="AE59" i="12"/>
  <c r="J89" i="12"/>
  <c r="T16" i="12"/>
  <c r="AC16" i="12"/>
  <c r="I54" i="12"/>
  <c r="FY15" i="6" s="1"/>
  <c r="AB89" i="12"/>
  <c r="H22" i="12"/>
  <c r="P22" i="12"/>
  <c r="X22" i="12"/>
  <c r="X135" i="12"/>
  <c r="X138" i="12" s="1"/>
  <c r="X59" i="12"/>
  <c r="F67" i="12"/>
  <c r="FV14" i="6" s="1"/>
  <c r="AD67" i="12"/>
  <c r="L16" i="12"/>
  <c r="AB16" i="12"/>
  <c r="M16" i="12"/>
  <c r="AG54" i="12"/>
  <c r="I22" i="12"/>
  <c r="Q22" i="12"/>
  <c r="Y22" i="12"/>
  <c r="AG22" i="12"/>
  <c r="K41" i="12"/>
  <c r="GA8" i="6" s="1"/>
  <c r="AI41" i="12"/>
  <c r="G67" i="12"/>
  <c r="FW14" i="6" s="1"/>
  <c r="O67" i="12"/>
  <c r="W67" i="12"/>
  <c r="AE67" i="12"/>
  <c r="W135" i="12"/>
  <c r="K8" i="12"/>
  <c r="GA5" i="6" s="1"/>
  <c r="W11" i="12"/>
  <c r="F16" i="12"/>
  <c r="V16" i="12"/>
  <c r="Y135" i="12"/>
  <c r="Y136" i="12" s="1"/>
  <c r="W89" i="12"/>
  <c r="L8" i="12"/>
  <c r="GB5" i="6" s="1"/>
  <c r="AF11" i="12"/>
  <c r="X89" i="12"/>
  <c r="H16" i="12"/>
  <c r="P16" i="12"/>
  <c r="AF16" i="12"/>
  <c r="AF22" i="12"/>
  <c r="AJ21" i="12"/>
  <c r="Q63" i="12"/>
  <c r="L67" i="12"/>
  <c r="GB14" i="6" s="1"/>
  <c r="T67" i="12"/>
  <c r="AB67" i="12"/>
  <c r="AD89" i="12"/>
  <c r="AD5" i="12"/>
  <c r="AA8" i="12"/>
  <c r="AI8" i="12"/>
  <c r="G11" i="12"/>
  <c r="O11" i="12"/>
  <c r="AE11" i="12"/>
  <c r="N16" i="12"/>
  <c r="AD16" i="12"/>
  <c r="G63" i="12"/>
  <c r="FW16" i="6" s="1"/>
  <c r="O63" i="12"/>
  <c r="W63" i="12"/>
  <c r="AE63" i="12"/>
  <c r="O89" i="12"/>
  <c r="AE89" i="12"/>
  <c r="AJ7" i="12"/>
  <c r="AC89" i="12"/>
  <c r="H11" i="12"/>
  <c r="P11" i="12"/>
  <c r="X11" i="12"/>
  <c r="O16" i="12"/>
  <c r="AJ15" i="12"/>
  <c r="F22" i="12"/>
  <c r="AD22" i="12"/>
  <c r="AJ44" i="12"/>
  <c r="Z135" i="12"/>
  <c r="Z137" i="12" s="1"/>
  <c r="Y59" i="12"/>
  <c r="P89" i="12"/>
  <c r="AF89" i="12"/>
  <c r="M8" i="12"/>
  <c r="GC5" i="6" s="1"/>
  <c r="I89" i="12"/>
  <c r="Q89" i="12"/>
  <c r="Y89" i="12"/>
  <c r="AG89" i="12"/>
  <c r="I16" i="12"/>
  <c r="Q16" i="12"/>
  <c r="Y16" i="12"/>
  <c r="AG16" i="12"/>
  <c r="G22" i="12"/>
  <c r="O22" i="12"/>
  <c r="W22" i="12"/>
  <c r="AE22" i="12"/>
  <c r="N135" i="12"/>
  <c r="N140" i="12" s="1"/>
  <c r="V135" i="12"/>
  <c r="V139" i="12" s="1"/>
  <c r="G54" i="12"/>
  <c r="FW15" i="6" s="1"/>
  <c r="W137" i="12"/>
  <c r="AE54" i="12"/>
  <c r="E59" i="12"/>
  <c r="FU12" i="6" s="1"/>
  <c r="M59" i="12"/>
  <c r="GC12" i="6" s="1"/>
  <c r="U59" i="12"/>
  <c r="AC59" i="12"/>
  <c r="J63" i="12"/>
  <c r="FZ16" i="6" s="1"/>
  <c r="E67" i="12"/>
  <c r="FU14" i="6" s="1"/>
  <c r="AB22" i="12"/>
  <c r="Q54" i="12"/>
  <c r="Q137" i="12"/>
  <c r="G41" i="12"/>
  <c r="AE41" i="12"/>
  <c r="Z54" i="12"/>
  <c r="S22" i="12"/>
  <c r="Q35" i="12"/>
  <c r="AH135" i="12"/>
  <c r="AH138" i="12" s="1"/>
  <c r="Z89" i="12"/>
  <c r="Z5" i="12"/>
  <c r="AJ36" i="12"/>
  <c r="S135" i="12"/>
  <c r="S138" i="12" s="1"/>
  <c r="L22" i="12"/>
  <c r="T135" i="12"/>
  <c r="T137" i="12" s="1"/>
  <c r="T50" i="12"/>
  <c r="K46" i="12"/>
  <c r="GA13" i="6" s="1"/>
  <c r="AA46" i="12"/>
  <c r="AI46" i="12"/>
  <c r="K63" i="12"/>
  <c r="GA16" i="6" s="1"/>
  <c r="S63" i="12"/>
  <c r="AI63" i="12"/>
  <c r="L89" i="12"/>
  <c r="AJ4" i="12"/>
  <c r="E5" i="12"/>
  <c r="K89" i="12"/>
  <c r="AC11" i="12"/>
  <c r="M22" i="12"/>
  <c r="AJ29" i="12"/>
  <c r="U34" i="12"/>
  <c r="U35" i="12" s="1"/>
  <c r="AH34" i="12"/>
  <c r="AH35" i="12" s="1"/>
  <c r="E135" i="12"/>
  <c r="E138" i="12" s="1"/>
  <c r="E54" i="12"/>
  <c r="FU15" i="6" s="1"/>
  <c r="E50" i="12"/>
  <c r="FU17" i="6" s="1"/>
  <c r="M135" i="12"/>
  <c r="M137" i="12" s="1"/>
  <c r="M54" i="12"/>
  <c r="GC15" i="6" s="1"/>
  <c r="M50" i="12"/>
  <c r="GC17" i="6" s="1"/>
  <c r="U135" i="12"/>
  <c r="U54" i="12"/>
  <c r="AC135" i="12"/>
  <c r="AC138" i="12" s="1"/>
  <c r="AC54" i="12"/>
  <c r="AC50" i="12"/>
  <c r="L46" i="12"/>
  <c r="GB13" i="6" s="1"/>
  <c r="T46" i="12"/>
  <c r="AB46" i="12"/>
  <c r="V54" i="12"/>
  <c r="AJ62" i="12"/>
  <c r="S67" i="12"/>
  <c r="AI67" i="12"/>
  <c r="Z67" i="12"/>
  <c r="N37" i="12"/>
  <c r="N38" i="12" s="1"/>
  <c r="N99" i="12"/>
  <c r="R135" i="12"/>
  <c r="R136" i="12" s="1"/>
  <c r="N41" i="12"/>
  <c r="AD41" i="12"/>
  <c r="Y54" i="12"/>
  <c r="O41" i="12"/>
  <c r="F41" i="12"/>
  <c r="J54" i="12"/>
  <c r="FZ15" i="6" s="1"/>
  <c r="Z63" i="12"/>
  <c r="R89" i="12"/>
  <c r="R5" i="12"/>
  <c r="AA135" i="12"/>
  <c r="AA136" i="12" s="1"/>
  <c r="R63" i="12"/>
  <c r="AH63" i="12"/>
  <c r="AA63" i="12"/>
  <c r="J135" i="12"/>
  <c r="J136" i="12" s="1"/>
  <c r="X35" i="12"/>
  <c r="N34" i="12"/>
  <c r="N35" i="12" s="1"/>
  <c r="L135" i="12"/>
  <c r="L136" i="12" s="1"/>
  <c r="L50" i="12"/>
  <c r="GB17" i="6" s="1"/>
  <c r="AB135" i="12"/>
  <c r="AB50" i="12"/>
  <c r="S46" i="12"/>
  <c r="AJ3" i="12"/>
  <c r="M89" i="12"/>
  <c r="F11" i="12"/>
  <c r="AD11" i="12"/>
  <c r="AC22" i="12"/>
  <c r="J35" i="12"/>
  <c r="FZ9" i="6" s="1"/>
  <c r="V35" i="12"/>
  <c r="P38" i="12"/>
  <c r="F54" i="12"/>
  <c r="FV15" i="6" s="1"/>
  <c r="F50" i="12"/>
  <c r="FV17" i="6" s="1"/>
  <c r="F135" i="12"/>
  <c r="F136" i="12" s="1"/>
  <c r="AD135" i="12"/>
  <c r="AD54" i="12"/>
  <c r="AD50" i="12"/>
  <c r="E46" i="12"/>
  <c r="FU13" i="6" s="1"/>
  <c r="U46" i="12"/>
  <c r="AC46" i="12"/>
  <c r="I50" i="12"/>
  <c r="FY17" i="6" s="1"/>
  <c r="Q50" i="12"/>
  <c r="Q136" i="12"/>
  <c r="AG50" i="12"/>
  <c r="W54" i="12"/>
  <c r="AJ66" i="12"/>
  <c r="AJ88" i="12"/>
  <c r="AN82" i="12" s="1"/>
  <c r="O37" i="12"/>
  <c r="O38" i="12" s="1"/>
  <c r="O99" i="12"/>
  <c r="AF35" i="12"/>
  <c r="V41" i="12"/>
  <c r="AE5" i="12"/>
  <c r="W41" i="12"/>
  <c r="R54" i="12"/>
  <c r="AH54" i="12"/>
  <c r="AH89" i="12"/>
  <c r="AH5" i="12"/>
  <c r="W5" i="12"/>
  <c r="R35" i="12"/>
  <c r="K135" i="12"/>
  <c r="K138" i="12" s="1"/>
  <c r="AI135" i="12"/>
  <c r="AI138" i="12" s="1"/>
  <c r="N89" i="12"/>
  <c r="V89" i="12"/>
  <c r="F8" i="12"/>
  <c r="N8" i="12"/>
  <c r="V8" i="12"/>
  <c r="AJ14" i="12"/>
  <c r="AL30" i="12"/>
  <c r="F35" i="12"/>
  <c r="FV9" i="6" s="1"/>
  <c r="Q38" i="12"/>
  <c r="AJ39" i="12"/>
  <c r="M41" i="12"/>
  <c r="GC8" i="6" s="1"/>
  <c r="U41" i="12"/>
  <c r="AC41" i="12"/>
  <c r="X54" i="12"/>
  <c r="J59" i="12"/>
  <c r="FZ12" i="6" s="1"/>
  <c r="R59" i="12"/>
  <c r="Z59" i="12"/>
  <c r="AH59" i="12"/>
  <c r="AG137" i="12"/>
  <c r="E89" i="12"/>
  <c r="AA89" i="12"/>
  <c r="AI89" i="12"/>
  <c r="E22" i="12"/>
  <c r="K34" i="12"/>
  <c r="K35" i="12" s="1"/>
  <c r="GA9" i="6" s="1"/>
  <c r="S34" i="12"/>
  <c r="S35" i="12" s="1"/>
  <c r="AA34" i="12"/>
  <c r="AA35" i="12" s="1"/>
  <c r="O35" i="12"/>
  <c r="AE35" i="12"/>
  <c r="F46" i="12"/>
  <c r="FV13" i="6" s="1"/>
  <c r="AD46" i="12"/>
  <c r="U136" i="12"/>
  <c r="U50" i="12"/>
  <c r="H67" i="12"/>
  <c r="FX14" i="6" s="1"/>
  <c r="P67" i="12"/>
  <c r="X67" i="12"/>
  <c r="AF67" i="12"/>
  <c r="AL83" i="12"/>
  <c r="L34" i="12"/>
  <c r="T34" i="12"/>
  <c r="T35" i="12" s="1"/>
  <c r="AB34" i="12"/>
  <c r="AB35" i="12" s="1"/>
  <c r="P35" i="12"/>
  <c r="W38" i="12"/>
  <c r="H59" i="12"/>
  <c r="FX12" i="6" s="1"/>
  <c r="AF59" i="12"/>
  <c r="I67" i="12"/>
  <c r="FY14" i="6" s="1"/>
  <c r="Q67" i="12"/>
  <c r="Y67" i="12"/>
  <c r="AG67" i="12"/>
  <c r="AL84" i="12"/>
  <c r="G89" i="12"/>
  <c r="AJ121" i="12"/>
  <c r="K99" i="12"/>
  <c r="K37" i="12"/>
  <c r="K38" i="12" s="1"/>
  <c r="GA7" i="6" s="1"/>
  <c r="S99" i="12"/>
  <c r="S37" i="12"/>
  <c r="S38" i="12" s="1"/>
  <c r="AA99" i="12"/>
  <c r="AA37" i="12"/>
  <c r="AA38" i="12" s="1"/>
  <c r="AI99" i="12"/>
  <c r="AI37" i="12"/>
  <c r="AI38" i="12" s="1"/>
  <c r="Z8" i="12"/>
  <c r="AH8" i="12"/>
  <c r="Y35" i="12"/>
  <c r="H63" i="12"/>
  <c r="FX16" i="6" s="1"/>
  <c r="AJ57" i="12"/>
  <c r="Q59" i="12"/>
  <c r="AG59" i="12"/>
  <c r="I63" i="12"/>
  <c r="FY16" i="6" s="1"/>
  <c r="AG63" i="12"/>
  <c r="H89" i="12"/>
  <c r="AJ125" i="12"/>
  <c r="E37" i="12"/>
  <c r="E99" i="12"/>
  <c r="M37" i="12"/>
  <c r="M38" i="12" s="1"/>
  <c r="GC7" i="6" s="1"/>
  <c r="U37" i="12"/>
  <c r="U38" i="12" s="1"/>
  <c r="AC37" i="12"/>
  <c r="AC38" i="12" s="1"/>
  <c r="AC99" i="12"/>
  <c r="H135" i="12"/>
  <c r="H138" i="12" s="1"/>
  <c r="AJ49" i="12"/>
  <c r="L59" i="12"/>
  <c r="GB12" i="6" s="1"/>
  <c r="T59" i="12"/>
  <c r="AB59" i="12"/>
  <c r="AC67" i="12"/>
  <c r="G46" i="12"/>
  <c r="FW13" i="6" s="1"/>
  <c r="O46" i="12"/>
  <c r="W46" i="12"/>
  <c r="AE46" i="12"/>
  <c r="AF50" i="12"/>
  <c r="AJ53" i="12"/>
  <c r="AL81" i="12"/>
  <c r="M35" i="12"/>
  <c r="GC9" i="6" s="1"/>
  <c r="L38" i="12"/>
  <c r="GB7" i="6" s="1"/>
  <c r="AB38" i="12"/>
  <c r="H50" i="12"/>
  <c r="FX17" i="6" s="1"/>
  <c r="V50" i="12"/>
  <c r="F89" i="12"/>
  <c r="AJ103" i="12"/>
  <c r="P135" i="12"/>
  <c r="AJ58" i="12"/>
  <c r="K54" i="12"/>
  <c r="GA15" i="6" s="1"/>
  <c r="S54" i="12"/>
  <c r="AA54" i="12"/>
  <c r="AI54" i="12"/>
  <c r="AI136" i="12"/>
  <c r="L54" i="12"/>
  <c r="GB15" i="6" s="1"/>
  <c r="T54" i="12"/>
  <c r="AB54" i="12"/>
  <c r="AJ76" i="12"/>
  <c r="AE29" i="11"/>
  <c r="AE120" i="11"/>
  <c r="AE118" i="11"/>
  <c r="FA24" i="2"/>
  <c r="FA23" i="2"/>
  <c r="FA21" i="2"/>
  <c r="FA20" i="2"/>
  <c r="FA19" i="2"/>
  <c r="FA18" i="2"/>
  <c r="FA17" i="2"/>
  <c r="FA16" i="2"/>
  <c r="FA15" i="2"/>
  <c r="FA14" i="2"/>
  <c r="FA12" i="2"/>
  <c r="FA9" i="2"/>
  <c r="FT38" i="6"/>
  <c r="FT37" i="6"/>
  <c r="FT36" i="6"/>
  <c r="FT35" i="6"/>
  <c r="FT34" i="6"/>
  <c r="FT30" i="6"/>
  <c r="FE11" i="2" s="1"/>
  <c r="FT27" i="6"/>
  <c r="FE8" i="2" s="1"/>
  <c r="FT25" i="6"/>
  <c r="FT24" i="6"/>
  <c r="FT23" i="6"/>
  <c r="FT22" i="6"/>
  <c r="FT21" i="6"/>
  <c r="EY3" i="7"/>
  <c r="EZ3" i="7"/>
  <c r="FA3" i="7"/>
  <c r="FB3" i="7"/>
  <c r="EY4" i="7"/>
  <c r="EZ4" i="7"/>
  <c r="FA4" i="7"/>
  <c r="FB4" i="7"/>
  <c r="EY13" i="7"/>
  <c r="EZ13" i="7"/>
  <c r="FA13" i="7"/>
  <c r="FB13" i="7"/>
  <c r="EY14" i="7"/>
  <c r="EZ14" i="7"/>
  <c r="FA14" i="7"/>
  <c r="FB14" i="7"/>
  <c r="EY20" i="7"/>
  <c r="EZ20" i="7"/>
  <c r="FA20" i="7"/>
  <c r="FB20" i="7"/>
  <c r="EY21" i="7"/>
  <c r="EZ21" i="7"/>
  <c r="FA21" i="7"/>
  <c r="FB21" i="7"/>
  <c r="AD29" i="11"/>
  <c r="AD120" i="11"/>
  <c r="AD118" i="11"/>
  <c r="EZ24" i="2"/>
  <c r="EZ23" i="2"/>
  <c r="EZ21" i="2"/>
  <c r="EZ20" i="2"/>
  <c r="EZ19" i="2"/>
  <c r="EZ18" i="2"/>
  <c r="EZ17" i="2"/>
  <c r="EZ16" i="2"/>
  <c r="EZ15" i="2"/>
  <c r="EZ14" i="2"/>
  <c r="EZ12" i="2"/>
  <c r="EZ9" i="2"/>
  <c r="AB29" i="11"/>
  <c r="AC120" i="11"/>
  <c r="AC118" i="11"/>
  <c r="AB120" i="11"/>
  <c r="AB118" i="11"/>
  <c r="Q139" i="12" l="1"/>
  <c r="FL24" i="7"/>
  <c r="FH7" i="7"/>
  <c r="FH12" i="7" s="1"/>
  <c r="GG7" i="7"/>
  <c r="GG12" i="7" s="1"/>
  <c r="FM7" i="7"/>
  <c r="FM12" i="7" s="1"/>
  <c r="AG138" i="12"/>
  <c r="FX6" i="6"/>
  <c r="FJ4" i="2"/>
  <c r="AG139" i="12"/>
  <c r="FX8" i="6"/>
  <c r="FJ6" i="2"/>
  <c r="FP16" i="7"/>
  <c r="FP11" i="7"/>
  <c r="FV7" i="7"/>
  <c r="FV12" i="7" s="1"/>
  <c r="FX5" i="6"/>
  <c r="FJ3" i="2"/>
  <c r="AG140" i="12"/>
  <c r="FL7" i="7"/>
  <c r="FL12" i="7" s="1"/>
  <c r="FP7" i="7"/>
  <c r="FP12" i="7" s="1"/>
  <c r="Y137" i="12"/>
  <c r="FX7" i="6"/>
  <c r="FJ5" i="2"/>
  <c r="FY7" i="7"/>
  <c r="FY12" i="7" s="1"/>
  <c r="Z139" i="12"/>
  <c r="FX4" i="6"/>
  <c r="FJ2" i="2"/>
  <c r="I137" i="12"/>
  <c r="FG16" i="7"/>
  <c r="GH6" i="7"/>
  <c r="GH11" i="7"/>
  <c r="GH5" i="7"/>
  <c r="GH12" i="7" s="1"/>
  <c r="FG7" i="7"/>
  <c r="FG12" i="7" s="1"/>
  <c r="FJ24" i="2" s="1"/>
  <c r="FF17" i="7"/>
  <c r="GB17" i="7"/>
  <c r="FI24" i="7"/>
  <c r="FQ24" i="7"/>
  <c r="FO17" i="7"/>
  <c r="FR25" i="7"/>
  <c r="FA5" i="7"/>
  <c r="FZ17" i="7"/>
  <c r="FN17" i="7"/>
  <c r="FJ24" i="7"/>
  <c r="GA25" i="7"/>
  <c r="FK25" i="7"/>
  <c r="FO25" i="7"/>
  <c r="FH16" i="7"/>
  <c r="FH25" i="7" s="1"/>
  <c r="FW24" i="7"/>
  <c r="FW25" i="7" s="1"/>
  <c r="FN25" i="7"/>
  <c r="FS25" i="7"/>
  <c r="FB22" i="7"/>
  <c r="FB15" i="7"/>
  <c r="FB5" i="7"/>
  <c r="FL16" i="7"/>
  <c r="FL25" i="7" s="1"/>
  <c r="GF16" i="7"/>
  <c r="GF25" i="7" s="1"/>
  <c r="GD25" i="7"/>
  <c r="GE16" i="7"/>
  <c r="GE17" i="7" s="1"/>
  <c r="FK17" i="7"/>
  <c r="FG25" i="7"/>
  <c r="G138" i="12"/>
  <c r="FF25" i="7"/>
  <c r="FW7" i="6"/>
  <c r="FI5" i="2"/>
  <c r="FW8" i="6"/>
  <c r="FI6" i="2"/>
  <c r="FW6" i="6"/>
  <c r="FI4" i="2"/>
  <c r="FW5" i="6"/>
  <c r="FI3" i="2"/>
  <c r="GH23" i="7"/>
  <c r="FD25" i="7"/>
  <c r="GA17" i="7"/>
  <c r="AE136" i="12"/>
  <c r="O136" i="12"/>
  <c r="AE138" i="12"/>
  <c r="FQ17" i="7"/>
  <c r="FV16" i="7"/>
  <c r="FV17" i="7" s="1"/>
  <c r="AE137" i="12"/>
  <c r="GC17" i="7"/>
  <c r="FJ17" i="7"/>
  <c r="Q140" i="12"/>
  <c r="GD17" i="7"/>
  <c r="FR17" i="7"/>
  <c r="FI25" i="7"/>
  <c r="FT17" i="7"/>
  <c r="I138" i="12"/>
  <c r="I136" i="12"/>
  <c r="AF138" i="12"/>
  <c r="X140" i="12"/>
  <c r="V140" i="12"/>
  <c r="FP25" i="7"/>
  <c r="FG4" i="2"/>
  <c r="GC24" i="7"/>
  <c r="GC25" i="7" s="1"/>
  <c r="FM16" i="7"/>
  <c r="R138" i="12"/>
  <c r="AJ99" i="12"/>
  <c r="I139" i="12"/>
  <c r="AH137" i="12"/>
  <c r="M138" i="12"/>
  <c r="FW17" i="7"/>
  <c r="FD17" i="7"/>
  <c r="FT24" i="7"/>
  <c r="FT25" i="7" s="1"/>
  <c r="FX25" i="7"/>
  <c r="X139" i="12"/>
  <c r="FU25" i="7"/>
  <c r="V136" i="12"/>
  <c r="X137" i="12"/>
  <c r="X136" i="12"/>
  <c r="GB25" i="7"/>
  <c r="FU4" i="6"/>
  <c r="FG2" i="2"/>
  <c r="FI17" i="7"/>
  <c r="FE17" i="7"/>
  <c r="FQ25" i="7"/>
  <c r="Y140" i="12"/>
  <c r="FJ25" i="7"/>
  <c r="FY16" i="7"/>
  <c r="FY25" i="7" s="1"/>
  <c r="GH22" i="7"/>
  <c r="N137" i="12"/>
  <c r="Y138" i="12"/>
  <c r="AJ11" i="12"/>
  <c r="FK4" i="2" s="1"/>
  <c r="GG16" i="7"/>
  <c r="GG25" i="7" s="1"/>
  <c r="Y139" i="12"/>
  <c r="FU5" i="6"/>
  <c r="FG3" i="2"/>
  <c r="FZ25" i="7"/>
  <c r="N136" i="12"/>
  <c r="FP17" i="7"/>
  <c r="N138" i="12"/>
  <c r="FU8" i="6"/>
  <c r="FG6" i="2"/>
  <c r="GH15" i="7"/>
  <c r="L137" i="12"/>
  <c r="N139" i="12"/>
  <c r="FU17" i="7"/>
  <c r="F138" i="12"/>
  <c r="FE25" i="7"/>
  <c r="FH2" i="2"/>
  <c r="FV7" i="6"/>
  <c r="FH5" i="2"/>
  <c r="FH6" i="2"/>
  <c r="FV8" i="6"/>
  <c r="FH4" i="2"/>
  <c r="FV6" i="6"/>
  <c r="FV5" i="6"/>
  <c r="FH3" i="2"/>
  <c r="AJ16" i="12"/>
  <c r="AJ68" i="12"/>
  <c r="FK16" i="2" s="1"/>
  <c r="EZ5" i="7"/>
  <c r="EY22" i="7"/>
  <c r="AH136" i="12"/>
  <c r="M136" i="12"/>
  <c r="AF136" i="12"/>
  <c r="AJ69" i="12"/>
  <c r="AF137" i="12"/>
  <c r="AE139" i="12"/>
  <c r="G136" i="12"/>
  <c r="AF139" i="12"/>
  <c r="Z136" i="12"/>
  <c r="AJ135" i="12"/>
  <c r="AJ136" i="12" s="1"/>
  <c r="H136" i="12"/>
  <c r="AJ8" i="12"/>
  <c r="AA137" i="12"/>
  <c r="V137" i="12"/>
  <c r="W138" i="12"/>
  <c r="W136" i="12"/>
  <c r="W140" i="12"/>
  <c r="W139" i="12"/>
  <c r="O139" i="12"/>
  <c r="O140" i="12"/>
  <c r="O138" i="12"/>
  <c r="Z140" i="12"/>
  <c r="Z138" i="12"/>
  <c r="AM83" i="12"/>
  <c r="V138" i="12"/>
  <c r="AC137" i="12"/>
  <c r="AJ46" i="12"/>
  <c r="T13" i="6" s="1"/>
  <c r="G137" i="12"/>
  <c r="G139" i="12"/>
  <c r="AL42" i="12"/>
  <c r="AJ24" i="12"/>
  <c r="AJ22" i="12"/>
  <c r="AJ34" i="12"/>
  <c r="AM81" i="12"/>
  <c r="AL47" i="12"/>
  <c r="AJ50" i="12"/>
  <c r="T17" i="6" s="1"/>
  <c r="AN85" i="12"/>
  <c r="K140" i="12"/>
  <c r="K139" i="12"/>
  <c r="E139" i="12"/>
  <c r="E137" i="12"/>
  <c r="E140" i="12"/>
  <c r="E136" i="12"/>
  <c r="S140" i="12"/>
  <c r="S139" i="12"/>
  <c r="S136" i="12"/>
  <c r="AB140" i="12"/>
  <c r="AB139" i="12"/>
  <c r="AB138" i="12"/>
  <c r="T140" i="12"/>
  <c r="T139" i="12"/>
  <c r="K136" i="12"/>
  <c r="AJ54" i="12"/>
  <c r="T15" i="6" s="1"/>
  <c r="AL51" i="12"/>
  <c r="H140" i="12"/>
  <c r="H139" i="12"/>
  <c r="H137" i="12"/>
  <c r="S137" i="12"/>
  <c r="R137" i="12"/>
  <c r="F140" i="12"/>
  <c r="F137" i="12"/>
  <c r="F139" i="12"/>
  <c r="U140" i="12"/>
  <c r="U139" i="12"/>
  <c r="U137" i="12"/>
  <c r="AN83" i="12"/>
  <c r="AD140" i="12"/>
  <c r="AD138" i="12"/>
  <c r="AD136" i="12"/>
  <c r="AD139" i="12"/>
  <c r="AD137" i="12"/>
  <c r="L140" i="12"/>
  <c r="L139" i="12"/>
  <c r="J138" i="12"/>
  <c r="J137" i="12"/>
  <c r="T138" i="12"/>
  <c r="AJ5" i="12"/>
  <c r="AL28" i="12"/>
  <c r="L35" i="12"/>
  <c r="GB9" i="6" s="1"/>
  <c r="AM84" i="12"/>
  <c r="AM80" i="12"/>
  <c r="AN86" i="12"/>
  <c r="R140" i="12"/>
  <c r="R139" i="12"/>
  <c r="AI140" i="12"/>
  <c r="AI139" i="12"/>
  <c r="AJ67" i="12"/>
  <c r="T14" i="6" s="1"/>
  <c r="AJ59" i="12"/>
  <c r="T12" i="6" s="1"/>
  <c r="AJ37" i="12"/>
  <c r="AC139" i="12"/>
  <c r="AC140" i="12"/>
  <c r="AC136" i="12"/>
  <c r="P139" i="12"/>
  <c r="P137" i="12"/>
  <c r="P138" i="12"/>
  <c r="P140" i="12"/>
  <c r="P136" i="12"/>
  <c r="AN81" i="12"/>
  <c r="AL68" i="12"/>
  <c r="K137" i="12"/>
  <c r="AI137" i="12"/>
  <c r="E38" i="12"/>
  <c r="AN80" i="12"/>
  <c r="U138" i="12"/>
  <c r="AA140" i="12"/>
  <c r="AA139" i="12"/>
  <c r="T136" i="12"/>
  <c r="AJ63" i="12"/>
  <c r="T16" i="6" s="1"/>
  <c r="AH140" i="12"/>
  <c r="AH139" i="12"/>
  <c r="AB137" i="12"/>
  <c r="AJ89" i="12"/>
  <c r="AN84" i="12" s="1"/>
  <c r="L138" i="12"/>
  <c r="M139" i="12"/>
  <c r="M140" i="12"/>
  <c r="AA138" i="12"/>
  <c r="AB136" i="12"/>
  <c r="AJ41" i="12"/>
  <c r="J140" i="12"/>
  <c r="J139" i="12"/>
  <c r="AL29" i="12"/>
  <c r="AM82" i="12"/>
  <c r="FA22" i="7"/>
  <c r="FA15" i="7"/>
  <c r="EZ15" i="7"/>
  <c r="EZ22" i="7"/>
  <c r="EY15" i="7"/>
  <c r="EY5" i="7"/>
  <c r="EU3" i="7"/>
  <c r="EV3" i="7"/>
  <c r="EW3" i="7"/>
  <c r="EX3" i="7"/>
  <c r="EU4" i="7"/>
  <c r="EV4" i="7"/>
  <c r="EW4" i="7"/>
  <c r="EX4" i="7"/>
  <c r="EU13" i="7"/>
  <c r="EV13" i="7"/>
  <c r="EW13" i="7"/>
  <c r="EX13" i="7"/>
  <c r="EU14" i="7"/>
  <c r="EV14" i="7"/>
  <c r="EW14" i="7"/>
  <c r="EX14" i="7"/>
  <c r="EU20" i="7"/>
  <c r="EV20" i="7"/>
  <c r="EW20" i="7"/>
  <c r="EX20" i="7"/>
  <c r="EU21" i="7"/>
  <c r="EV21" i="7"/>
  <c r="EW21" i="7"/>
  <c r="EX21" i="7"/>
  <c r="EY24" i="2"/>
  <c r="EY23" i="2"/>
  <c r="EY21" i="2"/>
  <c r="EY20" i="2"/>
  <c r="EY19" i="2"/>
  <c r="EY18" i="2"/>
  <c r="EY17" i="2"/>
  <c r="EY16" i="2"/>
  <c r="EY15" i="2"/>
  <c r="EY14" i="2"/>
  <c r="EY12" i="2"/>
  <c r="EY9" i="2"/>
  <c r="FF9" i="2"/>
  <c r="FF12" i="2"/>
  <c r="FF23" i="2"/>
  <c r="EX24" i="2"/>
  <c r="EX23" i="2"/>
  <c r="EX21" i="2"/>
  <c r="EX20" i="2"/>
  <c r="EX19" i="2"/>
  <c r="EX18" i="2"/>
  <c r="EX17" i="2"/>
  <c r="EX16" i="2"/>
  <c r="EX15" i="2"/>
  <c r="EX14" i="2"/>
  <c r="EX12" i="2"/>
  <c r="EX9" i="2"/>
  <c r="FO21" i="6"/>
  <c r="FP21" i="6"/>
  <c r="FQ21" i="6"/>
  <c r="FR21" i="6"/>
  <c r="FS21" i="6"/>
  <c r="FO22" i="6"/>
  <c r="FP22" i="6"/>
  <c r="FQ22" i="6"/>
  <c r="FR22" i="6"/>
  <c r="FS22" i="6"/>
  <c r="FO23" i="6"/>
  <c r="FP23" i="6"/>
  <c r="FQ23" i="6"/>
  <c r="FR23" i="6"/>
  <c r="FS23" i="6"/>
  <c r="FO24" i="6"/>
  <c r="FP24" i="6"/>
  <c r="FQ24" i="6"/>
  <c r="FR24" i="6"/>
  <c r="FS24" i="6"/>
  <c r="FO25" i="6"/>
  <c r="FP25" i="6"/>
  <c r="FQ25" i="6"/>
  <c r="FR25" i="6"/>
  <c r="FS25" i="6"/>
  <c r="FO27" i="6"/>
  <c r="EZ8" i="2" s="1"/>
  <c r="FP27" i="6"/>
  <c r="FA8" i="2" s="1"/>
  <c r="FQ27" i="6"/>
  <c r="FB8" i="2" s="1"/>
  <c r="FR27" i="6"/>
  <c r="FC8" i="2" s="1"/>
  <c r="FS27" i="6"/>
  <c r="FD8" i="2" s="1"/>
  <c r="FO30" i="6"/>
  <c r="EZ11" i="2" s="1"/>
  <c r="FP30" i="6"/>
  <c r="FA11" i="2" s="1"/>
  <c r="FQ30" i="6"/>
  <c r="FB11" i="2" s="1"/>
  <c r="FR30" i="6"/>
  <c r="FC11" i="2" s="1"/>
  <c r="FS30" i="6"/>
  <c r="FD11" i="2" s="1"/>
  <c r="FO34" i="6"/>
  <c r="FP34" i="6"/>
  <c r="FQ34" i="6"/>
  <c r="FR34" i="6"/>
  <c r="FS34" i="6"/>
  <c r="FO35" i="6"/>
  <c r="FP35" i="6"/>
  <c r="FQ35" i="6"/>
  <c r="FR35" i="6"/>
  <c r="FS35" i="6"/>
  <c r="FO36" i="6"/>
  <c r="FP36" i="6"/>
  <c r="FQ36" i="6"/>
  <c r="FR36" i="6"/>
  <c r="FS36" i="6"/>
  <c r="FO37" i="6"/>
  <c r="FP37" i="6"/>
  <c r="FQ37" i="6"/>
  <c r="FR37" i="6"/>
  <c r="FS37" i="6"/>
  <c r="FO38" i="6"/>
  <c r="FP38" i="6"/>
  <c r="FQ38" i="6"/>
  <c r="FR38" i="6"/>
  <c r="FS38" i="6"/>
  <c r="AA120" i="11"/>
  <c r="AA118" i="11"/>
  <c r="AA30" i="11"/>
  <c r="AJ30" i="11" s="1"/>
  <c r="AA29" i="11"/>
  <c r="EW24" i="2"/>
  <c r="EW23" i="2"/>
  <c r="EW21" i="2"/>
  <c r="EW20" i="2"/>
  <c r="EW19" i="2"/>
  <c r="EW18" i="2"/>
  <c r="EW17" i="2"/>
  <c r="EW16" i="2"/>
  <c r="EW15" i="2"/>
  <c r="EW14" i="2"/>
  <c r="EW12" i="2"/>
  <c r="EW9" i="2"/>
  <c r="EV24" i="2"/>
  <c r="EV23" i="2"/>
  <c r="EV21" i="2"/>
  <c r="EV20" i="2"/>
  <c r="EV19" i="2"/>
  <c r="EV18" i="2"/>
  <c r="EV17" i="2"/>
  <c r="EV16" i="2"/>
  <c r="EV15" i="2"/>
  <c r="EV14" i="2"/>
  <c r="EV12" i="2"/>
  <c r="EV9" i="2"/>
  <c r="Z120" i="11"/>
  <c r="Z118" i="11"/>
  <c r="Z29" i="11"/>
  <c r="FK34" i="6"/>
  <c r="FL34" i="6"/>
  <c r="FM34" i="6"/>
  <c r="FN34" i="6"/>
  <c r="FK35" i="6"/>
  <c r="FL35" i="6"/>
  <c r="FM35" i="6"/>
  <c r="FN35" i="6"/>
  <c r="FK36" i="6"/>
  <c r="FL36" i="6"/>
  <c r="FM36" i="6"/>
  <c r="FN36" i="6"/>
  <c r="FK37" i="6"/>
  <c r="FL37" i="6"/>
  <c r="FM37" i="6"/>
  <c r="FN37" i="6"/>
  <c r="FK38" i="6"/>
  <c r="FL38" i="6"/>
  <c r="FM38" i="6"/>
  <c r="FN38" i="6"/>
  <c r="FK30" i="6"/>
  <c r="EV11" i="2" s="1"/>
  <c r="FL30" i="6"/>
  <c r="EW11" i="2" s="1"/>
  <c r="FM30" i="6"/>
  <c r="EX11" i="2" s="1"/>
  <c r="FN30" i="6"/>
  <c r="EY11" i="2" s="1"/>
  <c r="FK27" i="6"/>
  <c r="EV8" i="2" s="1"/>
  <c r="FL27" i="6"/>
  <c r="EW8" i="2" s="1"/>
  <c r="FM27" i="6"/>
  <c r="EX8" i="2" s="1"/>
  <c r="FN27" i="6"/>
  <c r="EY8" i="2" s="1"/>
  <c r="FN25" i="6"/>
  <c r="FN24" i="6"/>
  <c r="FN23" i="6"/>
  <c r="FN22" i="6"/>
  <c r="FN21" i="6"/>
  <c r="FM25" i="6"/>
  <c r="FM24" i="6"/>
  <c r="FM23" i="6"/>
  <c r="FM22" i="6"/>
  <c r="FM21" i="6"/>
  <c r="FL25" i="6"/>
  <c r="FL24" i="6"/>
  <c r="FL23" i="6"/>
  <c r="FL22" i="6"/>
  <c r="FL21" i="6"/>
  <c r="FK25" i="6"/>
  <c r="FK24" i="6"/>
  <c r="FK23" i="6"/>
  <c r="FK22" i="6"/>
  <c r="FK21" i="6"/>
  <c r="GF17" i="7" l="1"/>
  <c r="FM17" i="7"/>
  <c r="GE25" i="7"/>
  <c r="FG17" i="7"/>
  <c r="FL17" i="7"/>
  <c r="FV25" i="7"/>
  <c r="FH17" i="7"/>
  <c r="EV22" i="7"/>
  <c r="FM25" i="7"/>
  <c r="GH24" i="7"/>
  <c r="FU7" i="6"/>
  <c r="FG5" i="2"/>
  <c r="GG17" i="7"/>
  <c r="GH7" i="7"/>
  <c r="FK24" i="2" s="1"/>
  <c r="GH17" i="7"/>
  <c r="GH16" i="7"/>
  <c r="FY17" i="7"/>
  <c r="T21" i="6"/>
  <c r="T22" i="6"/>
  <c r="FK17" i="2"/>
  <c r="T8" i="6"/>
  <c r="FK6" i="2"/>
  <c r="T6" i="6"/>
  <c r="T5" i="6"/>
  <c r="FK3" i="2"/>
  <c r="T4" i="6"/>
  <c r="FK2" i="2"/>
  <c r="T10" i="6"/>
  <c r="FK13" i="2"/>
  <c r="AJ138" i="12"/>
  <c r="AJ140" i="12"/>
  <c r="AK135" i="12"/>
  <c r="AJ137" i="12"/>
  <c r="AJ139" i="12"/>
  <c r="EV15" i="7"/>
  <c r="EU15" i="7"/>
  <c r="EX22" i="7"/>
  <c r="EX15" i="7"/>
  <c r="EX5" i="7"/>
  <c r="EW15" i="7"/>
  <c r="EW5" i="7"/>
  <c r="EV5" i="7"/>
  <c r="EU5" i="7"/>
  <c r="AJ35" i="12"/>
  <c r="T9" i="6" s="1"/>
  <c r="AJ38" i="12"/>
  <c r="EW22" i="7"/>
  <c r="EU22" i="7"/>
  <c r="EU24" i="2"/>
  <c r="EU23" i="2"/>
  <c r="EU21" i="2"/>
  <c r="EU20" i="2"/>
  <c r="EU19" i="2"/>
  <c r="EU18" i="2"/>
  <c r="EU17" i="2"/>
  <c r="EU16" i="2"/>
  <c r="EU15" i="2"/>
  <c r="EU14" i="2"/>
  <c r="EU12" i="2"/>
  <c r="EU9" i="2"/>
  <c r="Y120" i="11"/>
  <c r="Y29" i="11"/>
  <c r="Y118" i="11"/>
  <c r="X120" i="11"/>
  <c r="X118" i="11"/>
  <c r="W29" i="11"/>
  <c r="W120" i="11"/>
  <c r="W118" i="11"/>
  <c r="V120" i="11"/>
  <c r="V29" i="11"/>
  <c r="V118" i="11"/>
  <c r="U29" i="11"/>
  <c r="U120" i="11"/>
  <c r="U118" i="11"/>
  <c r="FJ38" i="6"/>
  <c r="FJ37" i="6"/>
  <c r="FJ36" i="6"/>
  <c r="FJ35" i="6"/>
  <c r="FJ34" i="6"/>
  <c r="FI38" i="6"/>
  <c r="FI37" i="6"/>
  <c r="FI36" i="6"/>
  <c r="FI35" i="6"/>
  <c r="FI34" i="6"/>
  <c r="FH38" i="6"/>
  <c r="FH37" i="6"/>
  <c r="FH36" i="6"/>
  <c r="FH35" i="6"/>
  <c r="FH34" i="6"/>
  <c r="ET24" i="2"/>
  <c r="ET23" i="2"/>
  <c r="ET21" i="2"/>
  <c r="ET20" i="2"/>
  <c r="ET19" i="2"/>
  <c r="ET18" i="2"/>
  <c r="ET17" i="2"/>
  <c r="ET16" i="2"/>
  <c r="ET15" i="2"/>
  <c r="ET14" i="2"/>
  <c r="ET12" i="2"/>
  <c r="ET9" i="2"/>
  <c r="ES24" i="2"/>
  <c r="ES23" i="2"/>
  <c r="ES21" i="2"/>
  <c r="ES20" i="2"/>
  <c r="ES19" i="2"/>
  <c r="ES18" i="2"/>
  <c r="ES17" i="2"/>
  <c r="ES16" i="2"/>
  <c r="ES15" i="2"/>
  <c r="ES14" i="2"/>
  <c r="ES12" i="2"/>
  <c r="ES9" i="2"/>
  <c r="ER24" i="2"/>
  <c r="ER23" i="2"/>
  <c r="ER21" i="2"/>
  <c r="ER20" i="2"/>
  <c r="ER19" i="2"/>
  <c r="ER18" i="2"/>
  <c r="ER17" i="2"/>
  <c r="ER16" i="2"/>
  <c r="ER15" i="2"/>
  <c r="ER14" i="2"/>
  <c r="ER12" i="2"/>
  <c r="ER9" i="2"/>
  <c r="EQ24" i="2"/>
  <c r="EQ23" i="2"/>
  <c r="EQ21" i="2"/>
  <c r="EQ20" i="2"/>
  <c r="EQ19" i="2"/>
  <c r="EQ18" i="2"/>
  <c r="EQ17" i="2"/>
  <c r="EQ16" i="2"/>
  <c r="EQ15" i="2"/>
  <c r="EQ14" i="2"/>
  <c r="EQ12" i="2"/>
  <c r="EQ9" i="2"/>
  <c r="EP24" i="2"/>
  <c r="EP23" i="2"/>
  <c r="EP21" i="2"/>
  <c r="EP20" i="2"/>
  <c r="EP19" i="2"/>
  <c r="EP18" i="2"/>
  <c r="EP17" i="2"/>
  <c r="EP16" i="2"/>
  <c r="EP15" i="2"/>
  <c r="EP14" i="2"/>
  <c r="EP12" i="2"/>
  <c r="EP9" i="2"/>
  <c r="T29" i="11"/>
  <c r="T120" i="11"/>
  <c r="T118" i="11"/>
  <c r="EP3" i="7"/>
  <c r="EQ3" i="7"/>
  <c r="ER3" i="7"/>
  <c r="ES3" i="7"/>
  <c r="ET3" i="7"/>
  <c r="EP4" i="7"/>
  <c r="EQ4" i="7"/>
  <c r="ER4" i="7"/>
  <c r="ES4" i="7"/>
  <c r="ET4" i="7"/>
  <c r="EP13" i="7"/>
  <c r="EQ13" i="7"/>
  <c r="ER13" i="7"/>
  <c r="ES13" i="7"/>
  <c r="ET13" i="7"/>
  <c r="EP14" i="7"/>
  <c r="EQ14" i="7"/>
  <c r="ER14" i="7"/>
  <c r="ER15" i="7" s="1"/>
  <c r="ES14" i="7"/>
  <c r="ET14" i="7"/>
  <c r="EP20" i="7"/>
  <c r="EQ20" i="7"/>
  <c r="ER20" i="7"/>
  <c r="ES20" i="7"/>
  <c r="ET20" i="7"/>
  <c r="EP21" i="7"/>
  <c r="EQ21" i="7"/>
  <c r="ER21" i="7"/>
  <c r="ES21" i="7"/>
  <c r="ET21" i="7"/>
  <c r="FJ30" i="6"/>
  <c r="EU11" i="2" s="1"/>
  <c r="FI30" i="6"/>
  <c r="ET11" i="2" s="1"/>
  <c r="FJ27" i="6"/>
  <c r="EU8" i="2" s="1"/>
  <c r="FI27" i="6"/>
  <c r="ET8" i="2" s="1"/>
  <c r="FJ25" i="6"/>
  <c r="FI25" i="6"/>
  <c r="FJ24" i="6"/>
  <c r="FI24" i="6"/>
  <c r="FJ23" i="6"/>
  <c r="FI23" i="6"/>
  <c r="FJ22" i="6"/>
  <c r="FI22" i="6"/>
  <c r="FJ21" i="6"/>
  <c r="FI21" i="6"/>
  <c r="FH30" i="6"/>
  <c r="ES11" i="2" s="1"/>
  <c r="FG30" i="6"/>
  <c r="ER11" i="2" s="1"/>
  <c r="FH27" i="6"/>
  <c r="ES8" i="2" s="1"/>
  <c r="FG27" i="6"/>
  <c r="ER8" i="2" s="1"/>
  <c r="FH25" i="6"/>
  <c r="FG25" i="6"/>
  <c r="FH24" i="6"/>
  <c r="FG24" i="6"/>
  <c r="FH23" i="6"/>
  <c r="FG23" i="6"/>
  <c r="FH22" i="6"/>
  <c r="FG22" i="6"/>
  <c r="FH21" i="6"/>
  <c r="FG21" i="6"/>
  <c r="FG38" i="6"/>
  <c r="FG37" i="6"/>
  <c r="FG36" i="6"/>
  <c r="FG35" i="6"/>
  <c r="FG34" i="6"/>
  <c r="FF38" i="6"/>
  <c r="FF37" i="6"/>
  <c r="FF36" i="6"/>
  <c r="FF35" i="6"/>
  <c r="FF34" i="6"/>
  <c r="FE38" i="6"/>
  <c r="FE37" i="6"/>
  <c r="FE36" i="6"/>
  <c r="FE35" i="6"/>
  <c r="FE34" i="6"/>
  <c r="FF30" i="6"/>
  <c r="EQ11" i="2" s="1"/>
  <c r="FE30" i="6"/>
  <c r="EP11" i="2" s="1"/>
  <c r="FD30" i="6"/>
  <c r="FF27" i="6"/>
  <c r="EQ8" i="2" s="1"/>
  <c r="FE27" i="6"/>
  <c r="EP8" i="2" s="1"/>
  <c r="FE21" i="6"/>
  <c r="FF21" i="6"/>
  <c r="FE22" i="6"/>
  <c r="FF22" i="6"/>
  <c r="FE23" i="6"/>
  <c r="FF23" i="6"/>
  <c r="FE24" i="6"/>
  <c r="FF24" i="6"/>
  <c r="FE25" i="6"/>
  <c r="FF25" i="6"/>
  <c r="EK3" i="7"/>
  <c r="EL3" i="7"/>
  <c r="EM3" i="7"/>
  <c r="EN3" i="7"/>
  <c r="EO3" i="7"/>
  <c r="EK4" i="7"/>
  <c r="EL4" i="7"/>
  <c r="EM4" i="7"/>
  <c r="EN4" i="7"/>
  <c r="EO4" i="7"/>
  <c r="EK13" i="7"/>
  <c r="EL13" i="7"/>
  <c r="EM13" i="7"/>
  <c r="EN13" i="7"/>
  <c r="EN15" i="7" s="1"/>
  <c r="EO13" i="7"/>
  <c r="EK14" i="7"/>
  <c r="EL14" i="7"/>
  <c r="EM14" i="7"/>
  <c r="EN14" i="7"/>
  <c r="EO14" i="7"/>
  <c r="EK20" i="7"/>
  <c r="EL20" i="7"/>
  <c r="EM20" i="7"/>
  <c r="EN20" i="7"/>
  <c r="EO20" i="7"/>
  <c r="EK21" i="7"/>
  <c r="EL21" i="7"/>
  <c r="EM21" i="7"/>
  <c r="EN21" i="7"/>
  <c r="EO21" i="7"/>
  <c r="EO24" i="2"/>
  <c r="EO23" i="2"/>
  <c r="EO21" i="2"/>
  <c r="EO20" i="2"/>
  <c r="EO19" i="2"/>
  <c r="EO18" i="2"/>
  <c r="EO17" i="2"/>
  <c r="EO16" i="2"/>
  <c r="EO15" i="2"/>
  <c r="EO14" i="2"/>
  <c r="EO12" i="2"/>
  <c r="EO9" i="2"/>
  <c r="EN24" i="2"/>
  <c r="EN23" i="2"/>
  <c r="EN21" i="2"/>
  <c r="EN20" i="2"/>
  <c r="EN19" i="2"/>
  <c r="EN18" i="2"/>
  <c r="EN17" i="2"/>
  <c r="EN16" i="2"/>
  <c r="EN15" i="2"/>
  <c r="EN14" i="2"/>
  <c r="EN12" i="2"/>
  <c r="EN9" i="2"/>
  <c r="S120" i="11"/>
  <c r="S29" i="11"/>
  <c r="S118" i="11"/>
  <c r="R29" i="11"/>
  <c r="R118" i="11"/>
  <c r="ES22" i="7" l="1"/>
  <c r="EP15" i="7"/>
  <c r="ER5" i="7"/>
  <c r="Y32" i="11"/>
  <c r="EN5" i="7"/>
  <c r="EQ15" i="7"/>
  <c r="EL5" i="7"/>
  <c r="ET22" i="7"/>
  <c r="EP5" i="7"/>
  <c r="EK22" i="7"/>
  <c r="GH25" i="7"/>
  <c r="T7" i="6"/>
  <c r="FK5" i="2"/>
  <c r="EL22" i="7"/>
  <c r="EO15" i="7"/>
  <c r="EM22" i="7"/>
  <c r="EK5" i="7"/>
  <c r="EO22" i="7"/>
  <c r="ES15" i="7"/>
  <c r="EN22" i="7"/>
  <c r="EQ22" i="7"/>
  <c r="EL15" i="7"/>
  <c r="ET15" i="7"/>
  <c r="EK15" i="7"/>
  <c r="ET5" i="7"/>
  <c r="ER22" i="7"/>
  <c r="ES5" i="7"/>
  <c r="EO5" i="7"/>
  <c r="EP22" i="7"/>
  <c r="EM15" i="7"/>
  <c r="EQ5" i="7"/>
  <c r="EM5" i="7"/>
  <c r="R120" i="11"/>
  <c r="EM24" i="2"/>
  <c r="EM23" i="2"/>
  <c r="EM21" i="2"/>
  <c r="EM20" i="2"/>
  <c r="EM19" i="2"/>
  <c r="EM18" i="2"/>
  <c r="EM17" i="2"/>
  <c r="EM16" i="2"/>
  <c r="EM15" i="2"/>
  <c r="EM14" i="2"/>
  <c r="EM12" i="2"/>
  <c r="EM9" i="2"/>
  <c r="Q29" i="11"/>
  <c r="Q120" i="11"/>
  <c r="Q118" i="11"/>
  <c r="P120" i="11"/>
  <c r="P29" i="11"/>
  <c r="P118" i="11"/>
  <c r="EL24" i="2" l="1"/>
  <c r="EL23" i="2"/>
  <c r="EL21" i="2"/>
  <c r="EL20" i="2"/>
  <c r="EL19" i="2"/>
  <c r="EL18" i="2"/>
  <c r="EL17" i="2"/>
  <c r="EL16" i="2"/>
  <c r="EL15" i="2"/>
  <c r="EL14" i="2"/>
  <c r="EL12" i="2"/>
  <c r="EL9" i="2"/>
  <c r="N29" i="11"/>
  <c r="N120" i="11"/>
  <c r="N118" i="11"/>
  <c r="O120" i="11"/>
  <c r="O29" i="11"/>
  <c r="O118" i="11"/>
  <c r="EK24" i="2" l="1"/>
  <c r="EK23" i="2"/>
  <c r="EK21" i="2"/>
  <c r="EK20" i="2"/>
  <c r="EK19" i="2"/>
  <c r="EK18" i="2"/>
  <c r="EK17" i="2"/>
  <c r="EK16" i="2"/>
  <c r="EK15" i="2"/>
  <c r="EK14" i="2"/>
  <c r="EK12" i="2"/>
  <c r="EK9" i="2"/>
  <c r="EJ24" i="2"/>
  <c r="EJ23" i="2"/>
  <c r="EJ21" i="2"/>
  <c r="EJ20" i="2"/>
  <c r="EJ19" i="2"/>
  <c r="EJ18" i="2"/>
  <c r="EJ17" i="2"/>
  <c r="EJ16" i="2"/>
  <c r="EJ15" i="2"/>
  <c r="EJ14" i="2"/>
  <c r="EJ12" i="2"/>
  <c r="EJ9" i="2"/>
  <c r="M87" i="11"/>
  <c r="M29" i="11"/>
  <c r="M120" i="11"/>
  <c r="M118" i="11"/>
  <c r="EB9" i="2"/>
  <c r="EC9" i="2"/>
  <c r="ED9" i="2"/>
  <c r="EE9" i="2"/>
  <c r="EF9" i="2"/>
  <c r="EG9" i="2"/>
  <c r="EH9" i="2"/>
  <c r="EI9" i="2"/>
  <c r="EA9" i="2"/>
  <c r="EB12" i="2"/>
  <c r="EC12" i="2"/>
  <c r="ED12" i="2"/>
  <c r="EE12" i="2"/>
  <c r="EF12" i="2"/>
  <c r="EG12" i="2"/>
  <c r="EH12" i="2"/>
  <c r="EI12" i="2"/>
  <c r="EA12" i="2"/>
  <c r="EI24" i="2"/>
  <c r="EI23" i="2"/>
  <c r="EI21" i="2"/>
  <c r="EI20" i="2"/>
  <c r="EI19" i="2"/>
  <c r="EI18" i="2"/>
  <c r="EI17" i="2"/>
  <c r="EI16" i="2"/>
  <c r="EI15" i="2"/>
  <c r="EI14" i="2"/>
  <c r="EF3" i="7"/>
  <c r="EG3" i="7"/>
  <c r="EH3" i="7"/>
  <c r="EI3" i="7"/>
  <c r="EJ3" i="7"/>
  <c r="EF4" i="7"/>
  <c r="EG4" i="7"/>
  <c r="EH4" i="7"/>
  <c r="EI4" i="7"/>
  <c r="EJ4" i="7"/>
  <c r="EF13" i="7"/>
  <c r="EG13" i="7"/>
  <c r="EH13" i="7"/>
  <c r="EH15" i="7" s="1"/>
  <c r="EI13" i="7"/>
  <c r="EJ13" i="7"/>
  <c r="EF14" i="7"/>
  <c r="EG14" i="7"/>
  <c r="EH14" i="7"/>
  <c r="EI14" i="7"/>
  <c r="EJ14" i="7"/>
  <c r="EF20" i="7"/>
  <c r="EG20" i="7"/>
  <c r="EH20" i="7"/>
  <c r="EI20" i="7"/>
  <c r="EJ20" i="7"/>
  <c r="EF21" i="7"/>
  <c r="EG21" i="7"/>
  <c r="EH21" i="7"/>
  <c r="EI21" i="7"/>
  <c r="EJ21" i="7"/>
  <c r="L29" i="11"/>
  <c r="EJ5" i="7" l="1"/>
  <c r="EJ15" i="7"/>
  <c r="EH22" i="7"/>
  <c r="EH5" i="7"/>
  <c r="EG5" i="7"/>
  <c r="EI22" i="7"/>
  <c r="EI5" i="7"/>
  <c r="EJ22" i="7"/>
  <c r="EI15" i="7"/>
  <c r="EG15" i="7"/>
  <c r="EG22" i="7"/>
  <c r="EF15" i="7"/>
  <c r="EF22" i="7"/>
  <c r="EF5" i="7"/>
  <c r="L120" i="11"/>
  <c r="L118" i="11"/>
  <c r="EH24" i="2" l="1"/>
  <c r="EH23" i="2"/>
  <c r="EH21" i="2"/>
  <c r="EH20" i="2"/>
  <c r="EH19" i="2"/>
  <c r="EH18" i="2"/>
  <c r="EH17" i="2"/>
  <c r="EH16" i="2"/>
  <c r="EH15" i="2"/>
  <c r="EH14" i="2"/>
  <c r="EG24" i="2"/>
  <c r="EG23" i="2"/>
  <c r="EG21" i="2"/>
  <c r="EG20" i="2"/>
  <c r="EG19" i="2"/>
  <c r="EG18" i="2"/>
  <c r="EG17" i="2"/>
  <c r="EG16" i="2"/>
  <c r="EG15" i="2"/>
  <c r="EG14" i="2"/>
  <c r="K120" i="11"/>
  <c r="K29" i="11"/>
  <c r="K118" i="11"/>
  <c r="E124" i="10" l="1"/>
  <c r="F124" i="10"/>
  <c r="G124" i="10"/>
  <c r="H124" i="10"/>
  <c r="I124" i="10"/>
  <c r="J124" i="10"/>
  <c r="K124" i="10"/>
  <c r="L124" i="10"/>
  <c r="M124" i="10"/>
  <c r="N124" i="10"/>
  <c r="O124" i="10"/>
  <c r="P124" i="10"/>
  <c r="Q124" i="10"/>
  <c r="R124" i="10"/>
  <c r="S124" i="10"/>
  <c r="T124" i="10"/>
  <c r="U124" i="10"/>
  <c r="V124" i="10"/>
  <c r="W124" i="10"/>
  <c r="X124" i="10"/>
  <c r="Y124" i="10"/>
  <c r="Z124" i="10"/>
  <c r="AA124" i="10"/>
  <c r="AB124" i="10"/>
  <c r="AC124" i="10"/>
  <c r="AD124" i="10"/>
  <c r="AE124" i="10"/>
  <c r="AF124" i="10"/>
  <c r="AG124" i="10"/>
  <c r="AH124" i="10"/>
  <c r="AL124" i="10"/>
  <c r="AK124" i="10"/>
  <c r="AK126" i="9"/>
  <c r="AK126" i="10"/>
  <c r="AL126" i="10" s="1"/>
  <c r="EW21" i="6"/>
  <c r="EX21" i="6"/>
  <c r="EY21" i="6"/>
  <c r="EZ21" i="6"/>
  <c r="FA21" i="6"/>
  <c r="FB21" i="6"/>
  <c r="FC21" i="6"/>
  <c r="FD21" i="6"/>
  <c r="EW22" i="6"/>
  <c r="EX22" i="6"/>
  <c r="EY22" i="6"/>
  <c r="EZ22" i="6"/>
  <c r="FA22" i="6"/>
  <c r="FB22" i="6"/>
  <c r="FC22" i="6"/>
  <c r="FD22" i="6"/>
  <c r="EW23" i="6"/>
  <c r="EX23" i="6"/>
  <c r="EY23" i="6"/>
  <c r="EZ23" i="6"/>
  <c r="FA23" i="6"/>
  <c r="FB23" i="6"/>
  <c r="FC23" i="6"/>
  <c r="FD23" i="6"/>
  <c r="EW24" i="6"/>
  <c r="EX24" i="6"/>
  <c r="EY24" i="6"/>
  <c r="EZ24" i="6"/>
  <c r="FA24" i="6"/>
  <c r="FB24" i="6"/>
  <c r="FC24" i="6"/>
  <c r="FD24" i="6"/>
  <c r="EW25" i="6"/>
  <c r="EX25" i="6"/>
  <c r="EY25" i="6"/>
  <c r="EZ25" i="6"/>
  <c r="FA25" i="6"/>
  <c r="FB25" i="6"/>
  <c r="FC25" i="6"/>
  <c r="FD25" i="6"/>
  <c r="EW27" i="6"/>
  <c r="EH8" i="2" s="1"/>
  <c r="EX27" i="6"/>
  <c r="EI8" i="2" s="1"/>
  <c r="EY27" i="6"/>
  <c r="EJ8" i="2" s="1"/>
  <c r="EZ27" i="6"/>
  <c r="EK8" i="2" s="1"/>
  <c r="FA27" i="6"/>
  <c r="EL8" i="2" s="1"/>
  <c r="FB27" i="6"/>
  <c r="EM8" i="2" s="1"/>
  <c r="FC27" i="6"/>
  <c r="EN8" i="2" s="1"/>
  <c r="FD27" i="6"/>
  <c r="EO8" i="2" s="1"/>
  <c r="EW30" i="6"/>
  <c r="EH11" i="2" s="1"/>
  <c r="EX30" i="6"/>
  <c r="EI11" i="2" s="1"/>
  <c r="EY30" i="6"/>
  <c r="EJ11" i="2" s="1"/>
  <c r="EZ30" i="6"/>
  <c r="EK11" i="2" s="1"/>
  <c r="FA30" i="6"/>
  <c r="EL11" i="2" s="1"/>
  <c r="FB30" i="6"/>
  <c r="EM11" i="2" s="1"/>
  <c r="FC30" i="6"/>
  <c r="EN11" i="2" s="1"/>
  <c r="EO11" i="2"/>
  <c r="EW34" i="6"/>
  <c r="EX34" i="6"/>
  <c r="EY34" i="6"/>
  <c r="EZ34" i="6"/>
  <c r="FA34" i="6"/>
  <c r="FB34" i="6"/>
  <c r="FC34" i="6"/>
  <c r="FD34" i="6"/>
  <c r="EW35" i="6"/>
  <c r="EX35" i="6"/>
  <c r="EY35" i="6"/>
  <c r="EZ35" i="6"/>
  <c r="FA35" i="6"/>
  <c r="FB35" i="6"/>
  <c r="FC35" i="6"/>
  <c r="FD35" i="6"/>
  <c r="EW36" i="6"/>
  <c r="EX36" i="6"/>
  <c r="EY36" i="6"/>
  <c r="EZ36" i="6"/>
  <c r="FA36" i="6"/>
  <c r="FB36" i="6"/>
  <c r="FC36" i="6"/>
  <c r="FD36" i="6"/>
  <c r="EW37" i="6"/>
  <c r="EX37" i="6"/>
  <c r="EY37" i="6"/>
  <c r="EZ37" i="6"/>
  <c r="FA37" i="6"/>
  <c r="FB37" i="6"/>
  <c r="FC37" i="6"/>
  <c r="FD37" i="6"/>
  <c r="EW38" i="6"/>
  <c r="EX38" i="6"/>
  <c r="EY38" i="6"/>
  <c r="EZ38" i="6"/>
  <c r="FA38" i="6"/>
  <c r="FB38" i="6"/>
  <c r="FC38" i="6"/>
  <c r="FD38" i="6"/>
  <c r="DY3" i="7"/>
  <c r="DZ3" i="7"/>
  <c r="EA3" i="7"/>
  <c r="EB3" i="7"/>
  <c r="EC3" i="7"/>
  <c r="ED3" i="7"/>
  <c r="EE3" i="7"/>
  <c r="DY4" i="7"/>
  <c r="DZ4" i="7"/>
  <c r="EA4" i="7"/>
  <c r="EB4" i="7"/>
  <c r="EC4" i="7"/>
  <c r="ED4" i="7"/>
  <c r="EE4" i="7"/>
  <c r="DY13" i="7"/>
  <c r="DZ13" i="7"/>
  <c r="EA13" i="7"/>
  <c r="EB13" i="7"/>
  <c r="EC13" i="7"/>
  <c r="ED13" i="7"/>
  <c r="EE13" i="7"/>
  <c r="DY14" i="7"/>
  <c r="DZ14" i="7"/>
  <c r="EA14" i="7"/>
  <c r="EB14" i="7"/>
  <c r="EC14" i="7"/>
  <c r="ED14" i="7"/>
  <c r="EE14" i="7"/>
  <c r="DY20" i="7"/>
  <c r="DY22" i="7" s="1"/>
  <c r="DZ20" i="7"/>
  <c r="EA20" i="7"/>
  <c r="EB20" i="7"/>
  <c r="EC20" i="7"/>
  <c r="ED20" i="7"/>
  <c r="EE20" i="7"/>
  <c r="DY21" i="7"/>
  <c r="DZ21" i="7"/>
  <c r="EA21" i="7"/>
  <c r="EB21" i="7"/>
  <c r="EC21" i="7"/>
  <c r="ED21" i="7"/>
  <c r="EE21" i="7"/>
  <c r="EQ21" i="6"/>
  <c r="ER21" i="6"/>
  <c r="ES21" i="6"/>
  <c r="ET21" i="6"/>
  <c r="EU21" i="6"/>
  <c r="EV21" i="6"/>
  <c r="EQ22" i="6"/>
  <c r="ER22" i="6"/>
  <c r="ES22" i="6"/>
  <c r="ET22" i="6"/>
  <c r="EU22" i="6"/>
  <c r="EV22" i="6"/>
  <c r="EQ23" i="6"/>
  <c r="ER23" i="6"/>
  <c r="ES23" i="6"/>
  <c r="ET23" i="6"/>
  <c r="EU23" i="6"/>
  <c r="EV23" i="6"/>
  <c r="EQ24" i="6"/>
  <c r="ER24" i="6"/>
  <c r="ES24" i="6"/>
  <c r="ET24" i="6"/>
  <c r="EU24" i="6"/>
  <c r="EV24" i="6"/>
  <c r="EQ25" i="6"/>
  <c r="ER25" i="6"/>
  <c r="ES25" i="6"/>
  <c r="ET25" i="6"/>
  <c r="EU25" i="6"/>
  <c r="EV25" i="6"/>
  <c r="EQ27" i="6"/>
  <c r="EB8" i="2" s="1"/>
  <c r="ER27" i="6"/>
  <c r="EC8" i="2" s="1"/>
  <c r="ES27" i="6"/>
  <c r="ED8" i="2" s="1"/>
  <c r="ET27" i="6"/>
  <c r="EE8" i="2" s="1"/>
  <c r="EU27" i="6"/>
  <c r="EF8" i="2" s="1"/>
  <c r="EV27" i="6"/>
  <c r="EG8" i="2" s="1"/>
  <c r="EQ30" i="6"/>
  <c r="EB11" i="2" s="1"/>
  <c r="ER30" i="6"/>
  <c r="EC11" i="2" s="1"/>
  <c r="ES30" i="6"/>
  <c r="ED11" i="2" s="1"/>
  <c r="ET30" i="6"/>
  <c r="EE11" i="2" s="1"/>
  <c r="EU30" i="6"/>
  <c r="EF11" i="2" s="1"/>
  <c r="EV30" i="6"/>
  <c r="EG11" i="2" s="1"/>
  <c r="EQ34" i="6"/>
  <c r="ER34" i="6"/>
  <c r="ES34" i="6"/>
  <c r="ET34" i="6"/>
  <c r="EU34" i="6"/>
  <c r="EV34" i="6"/>
  <c r="EQ35" i="6"/>
  <c r="ER35" i="6"/>
  <c r="ES35" i="6"/>
  <c r="ET35" i="6"/>
  <c r="EU35" i="6"/>
  <c r="EV35" i="6"/>
  <c r="EQ36" i="6"/>
  <c r="ER36" i="6"/>
  <c r="ES36" i="6"/>
  <c r="ET36" i="6"/>
  <c r="EU36" i="6"/>
  <c r="EV36" i="6"/>
  <c r="EQ37" i="6"/>
  <c r="ER37" i="6"/>
  <c r="ES37" i="6"/>
  <c r="ET37" i="6"/>
  <c r="EU37" i="6"/>
  <c r="EV37" i="6"/>
  <c r="EQ38" i="6"/>
  <c r="ER38" i="6"/>
  <c r="ES38" i="6"/>
  <c r="ET38" i="6"/>
  <c r="EU38" i="6"/>
  <c r="EV38" i="6"/>
  <c r="EF14" i="2"/>
  <c r="EF15" i="2"/>
  <c r="EF16" i="2"/>
  <c r="EF17" i="2"/>
  <c r="EF18" i="2"/>
  <c r="EF19" i="2"/>
  <c r="EF20" i="2"/>
  <c r="EF21" i="2"/>
  <c r="EF23" i="2"/>
  <c r="EF24" i="2"/>
  <c r="J29" i="11"/>
  <c r="J120" i="11"/>
  <c r="J118" i="11"/>
  <c r="I29" i="11"/>
  <c r="I120" i="11"/>
  <c r="I118" i="11"/>
  <c r="H29" i="11"/>
  <c r="H120" i="11"/>
  <c r="H118" i="11"/>
  <c r="G29" i="11"/>
  <c r="G120" i="11"/>
  <c r="G118" i="11"/>
  <c r="F33" i="11"/>
  <c r="F36" i="11"/>
  <c r="F39" i="11"/>
  <c r="F40" i="11"/>
  <c r="F41" i="11" s="1"/>
  <c r="EQ8" i="6" s="1"/>
  <c r="F44" i="11"/>
  <c r="DY6" i="7" s="1"/>
  <c r="F45" i="11"/>
  <c r="F49" i="11"/>
  <c r="F53" i="11"/>
  <c r="F57" i="11"/>
  <c r="DY23" i="7" s="1"/>
  <c r="F58" i="11"/>
  <c r="F62" i="11"/>
  <c r="EB22" i="7" l="1"/>
  <c r="ED22" i="7"/>
  <c r="EC22" i="7"/>
  <c r="F63" i="11"/>
  <c r="EQ16" i="6" s="1"/>
  <c r="EC5" i="7"/>
  <c r="EA5" i="7"/>
  <c r="DZ5" i="7"/>
  <c r="EA15" i="7"/>
  <c r="EB5" i="7"/>
  <c r="EA22" i="7"/>
  <c r="DZ22" i="7"/>
  <c r="DY5" i="7"/>
  <c r="DY7" i="7" s="1"/>
  <c r="DY24" i="7"/>
  <c r="EE15" i="7"/>
  <c r="EE22" i="7"/>
  <c r="EE5" i="7"/>
  <c r="EC15" i="7"/>
  <c r="EB15" i="7"/>
  <c r="DY15" i="7"/>
  <c r="DY16" i="7" s="1"/>
  <c r="ED15" i="7"/>
  <c r="DZ15" i="7"/>
  <c r="ED5" i="7"/>
  <c r="F50" i="11"/>
  <c r="EQ17" i="6" s="1"/>
  <c r="F54" i="11"/>
  <c r="EQ15" i="6" s="1"/>
  <c r="F46" i="11"/>
  <c r="EQ13" i="6" s="1"/>
  <c r="F59" i="11"/>
  <c r="EQ12" i="6" s="1"/>
  <c r="DY17" i="7" l="1"/>
  <c r="DY25" i="7"/>
  <c r="EP38" i="6"/>
  <c r="EP37" i="6"/>
  <c r="EP36" i="6"/>
  <c r="EP35" i="6"/>
  <c r="EP34" i="6"/>
  <c r="EP25" i="6"/>
  <c r="EP24" i="6"/>
  <c r="EP23" i="6"/>
  <c r="EP22" i="6"/>
  <c r="EP21" i="6"/>
  <c r="EP30" i="6"/>
  <c r="EA11" i="2" s="1"/>
  <c r="EP27" i="6"/>
  <c r="EA8" i="2" s="1"/>
  <c r="EB6" i="2"/>
  <c r="EB14" i="2"/>
  <c r="EC14" i="2"/>
  <c r="ED14" i="2"/>
  <c r="EE14" i="2"/>
  <c r="EB15" i="2"/>
  <c r="EC15" i="2"/>
  <c r="ED15" i="2"/>
  <c r="EE15" i="2"/>
  <c r="EB16" i="2"/>
  <c r="EC16" i="2"/>
  <c r="ED16" i="2"/>
  <c r="EE16" i="2"/>
  <c r="EB17" i="2"/>
  <c r="EC17" i="2"/>
  <c r="ED17" i="2"/>
  <c r="EE17" i="2"/>
  <c r="EB18" i="2"/>
  <c r="EC18" i="2"/>
  <c r="ED18" i="2"/>
  <c r="EE18" i="2"/>
  <c r="EB19" i="2"/>
  <c r="EC19" i="2"/>
  <c r="ED19" i="2"/>
  <c r="EE19" i="2"/>
  <c r="EB20" i="2"/>
  <c r="EC20" i="2"/>
  <c r="ED20" i="2"/>
  <c r="EE20" i="2"/>
  <c r="EB21" i="2"/>
  <c r="EC21" i="2"/>
  <c r="ED21" i="2"/>
  <c r="EE21" i="2"/>
  <c r="EB23" i="2"/>
  <c r="EC23" i="2"/>
  <c r="ED23" i="2"/>
  <c r="EE23" i="2"/>
  <c r="EB24" i="2"/>
  <c r="EC24" i="2"/>
  <c r="ED24" i="2"/>
  <c r="EE24" i="2"/>
  <c r="F29" i="11"/>
  <c r="F120" i="11"/>
  <c r="F118" i="11"/>
  <c r="E120" i="11"/>
  <c r="E29" i="11"/>
  <c r="S30" i="6"/>
  <c r="FF11" i="2" s="1"/>
  <c r="S27" i="6"/>
  <c r="FF8" i="2" s="1"/>
  <c r="E118" i="11"/>
  <c r="F32" i="11" l="1"/>
  <c r="F34" i="11" s="1"/>
  <c r="F35" i="11" s="1"/>
  <c r="EQ9" i="6" s="1"/>
  <c r="DX21" i="7"/>
  <c r="DX20" i="7"/>
  <c r="DX14" i="7"/>
  <c r="DX13" i="7"/>
  <c r="DX4" i="7"/>
  <c r="DX3" i="7"/>
  <c r="EA24" i="2"/>
  <c r="EA23" i="2"/>
  <c r="EA21" i="2"/>
  <c r="EA20" i="2"/>
  <c r="EA19" i="2"/>
  <c r="EA18" i="2"/>
  <c r="EA17" i="2"/>
  <c r="EA16" i="2"/>
  <c r="EA15" i="2"/>
  <c r="EA14" i="2"/>
  <c r="AJ132" i="11"/>
  <c r="AJ131" i="11"/>
  <c r="AJ130" i="11"/>
  <c r="AJ129" i="11"/>
  <c r="AI126" i="11"/>
  <c r="AH126" i="11"/>
  <c r="AG126" i="11"/>
  <c r="AF126" i="11"/>
  <c r="AE126" i="11"/>
  <c r="AD126" i="11"/>
  <c r="AC126" i="11"/>
  <c r="AB126" i="11"/>
  <c r="AA126" i="11"/>
  <c r="Z126" i="11"/>
  <c r="Y126" i="11"/>
  <c r="X126" i="11"/>
  <c r="W126" i="11"/>
  <c r="V126" i="11"/>
  <c r="U126" i="11"/>
  <c r="S126" i="11"/>
  <c r="R126" i="11"/>
  <c r="Q126" i="11"/>
  <c r="P126" i="11"/>
  <c r="O126" i="11"/>
  <c r="N126" i="11"/>
  <c r="M126" i="11"/>
  <c r="L126" i="11"/>
  <c r="K126" i="11"/>
  <c r="J126" i="11"/>
  <c r="I126" i="11"/>
  <c r="H126" i="11"/>
  <c r="G126" i="11"/>
  <c r="F126" i="11"/>
  <c r="E126" i="11"/>
  <c r="AJ125" i="11"/>
  <c r="AK126" i="11" s="1"/>
  <c r="AI124" i="11"/>
  <c r="AH124" i="11"/>
  <c r="AG124" i="11"/>
  <c r="AG37" i="11" s="1"/>
  <c r="AF124" i="11"/>
  <c r="AE124" i="11"/>
  <c r="AD124" i="11"/>
  <c r="AD37" i="11" s="1"/>
  <c r="AC124" i="11"/>
  <c r="AB124" i="11"/>
  <c r="AA124" i="11"/>
  <c r="Z124" i="11"/>
  <c r="Y124" i="11"/>
  <c r="X124" i="11"/>
  <c r="W124" i="11"/>
  <c r="V124" i="11"/>
  <c r="V98" i="11" s="1"/>
  <c r="U124" i="11"/>
  <c r="T124" i="11"/>
  <c r="S124" i="11"/>
  <c r="R124" i="11"/>
  <c r="Q124" i="11"/>
  <c r="P124" i="11"/>
  <c r="O124" i="11"/>
  <c r="N124" i="11"/>
  <c r="N37" i="11" s="1"/>
  <c r="M124" i="11"/>
  <c r="M37" i="11" s="1"/>
  <c r="L124" i="11"/>
  <c r="K124" i="11"/>
  <c r="J124" i="11"/>
  <c r="I124" i="11"/>
  <c r="I98" i="11" s="1"/>
  <c r="H124" i="11"/>
  <c r="G124" i="11"/>
  <c r="G98" i="11" s="1"/>
  <c r="F124" i="11"/>
  <c r="F37" i="11" s="1"/>
  <c r="F38" i="11" s="1"/>
  <c r="E124" i="11"/>
  <c r="E37" i="11" s="1"/>
  <c r="AJ123" i="11"/>
  <c r="AJ121" i="11"/>
  <c r="AE32" i="11"/>
  <c r="W32" i="11"/>
  <c r="AJ119" i="11"/>
  <c r="AL119" i="11" s="1"/>
  <c r="AD32" i="11"/>
  <c r="AC32" i="11"/>
  <c r="V32" i="11"/>
  <c r="U32" i="11"/>
  <c r="AJ118" i="11"/>
  <c r="AJ111" i="11"/>
  <c r="FF20" i="2" s="1"/>
  <c r="AJ110" i="11"/>
  <c r="FF19" i="2" s="1"/>
  <c r="AJ109" i="11"/>
  <c r="AJ104" i="11"/>
  <c r="AJ100" i="11"/>
  <c r="AJ97" i="11"/>
  <c r="AL97" i="11" s="1"/>
  <c r="AJ96" i="11"/>
  <c r="AL96" i="11" s="1"/>
  <c r="AJ95" i="11"/>
  <c r="AL95" i="11" s="1"/>
  <c r="AJ94" i="11"/>
  <c r="AL94" i="11" s="1"/>
  <c r="AJ93" i="11"/>
  <c r="AL93" i="11" s="1"/>
  <c r="AJ92" i="11"/>
  <c r="AL92" i="11" s="1"/>
  <c r="AJ91" i="11"/>
  <c r="AL91" i="11" s="1"/>
  <c r="AJ90" i="11"/>
  <c r="AL90" i="11" s="1"/>
  <c r="AI87" i="11"/>
  <c r="AH87" i="11"/>
  <c r="AG87" i="11"/>
  <c r="AF87" i="11"/>
  <c r="AE87" i="11"/>
  <c r="AD87" i="11"/>
  <c r="AC87" i="11"/>
  <c r="AB87" i="11"/>
  <c r="AA87" i="11"/>
  <c r="Z87" i="11"/>
  <c r="Y87" i="11"/>
  <c r="X87" i="11"/>
  <c r="W87" i="11"/>
  <c r="V87" i="11"/>
  <c r="U87" i="11"/>
  <c r="T87" i="11"/>
  <c r="S87" i="11"/>
  <c r="R87" i="11"/>
  <c r="Q87" i="11"/>
  <c r="P87" i="11"/>
  <c r="O87" i="11"/>
  <c r="N87" i="11"/>
  <c r="L87" i="11"/>
  <c r="K87" i="11"/>
  <c r="J87" i="11"/>
  <c r="I87" i="11"/>
  <c r="H87" i="11"/>
  <c r="G87" i="11"/>
  <c r="G99" i="11" s="1"/>
  <c r="F87" i="11"/>
  <c r="E87" i="11"/>
  <c r="AJ86" i="11"/>
  <c r="AL86" i="11" s="1"/>
  <c r="AJ85" i="11"/>
  <c r="AL85" i="11" s="1"/>
  <c r="AJ84" i="11"/>
  <c r="AL84" i="11" s="1"/>
  <c r="AJ83" i="11"/>
  <c r="AL83" i="11" s="1"/>
  <c r="AJ82" i="11"/>
  <c r="AL82" i="11" s="1"/>
  <c r="AJ81" i="11"/>
  <c r="AJ80" i="11"/>
  <c r="AL80" i="11" s="1"/>
  <c r="AJ79" i="11"/>
  <c r="AJ75" i="11"/>
  <c r="AJ77" i="11" s="1"/>
  <c r="AJ73" i="11"/>
  <c r="AJ72" i="11"/>
  <c r="AI66" i="11"/>
  <c r="AH66" i="11"/>
  <c r="AG66" i="11"/>
  <c r="AF66" i="11"/>
  <c r="AE66" i="11"/>
  <c r="AD66" i="11"/>
  <c r="AC66" i="11"/>
  <c r="AB66" i="11"/>
  <c r="AA66" i="11"/>
  <c r="Z66" i="11"/>
  <c r="Y66" i="11"/>
  <c r="X66" i="11"/>
  <c r="W66" i="11"/>
  <c r="V66" i="11"/>
  <c r="U66" i="11"/>
  <c r="T66" i="11"/>
  <c r="S66" i="11"/>
  <c r="R66" i="11"/>
  <c r="Q66" i="11"/>
  <c r="P66" i="11"/>
  <c r="O66" i="11"/>
  <c r="N66" i="11"/>
  <c r="M66" i="11"/>
  <c r="L66" i="11"/>
  <c r="K66" i="11"/>
  <c r="J66" i="11"/>
  <c r="I66" i="11"/>
  <c r="H66" i="11"/>
  <c r="G66" i="11"/>
  <c r="F66" i="11"/>
  <c r="E66" i="11"/>
  <c r="AJ65" i="11"/>
  <c r="AJ64" i="11"/>
  <c r="AI62" i="11"/>
  <c r="AH62" i="11"/>
  <c r="AG62" i="11"/>
  <c r="AF62" i="11"/>
  <c r="AE62" i="11"/>
  <c r="AD62" i="11"/>
  <c r="AC62" i="11"/>
  <c r="AB62" i="11"/>
  <c r="AA62" i="11"/>
  <c r="AA63" i="11" s="1"/>
  <c r="FL16" i="6" s="1"/>
  <c r="Z62" i="11"/>
  <c r="Y62" i="11"/>
  <c r="X62" i="11"/>
  <c r="W62" i="11"/>
  <c r="V62" i="11"/>
  <c r="U62" i="11"/>
  <c r="T62" i="11"/>
  <c r="S62" i="11"/>
  <c r="R62" i="11"/>
  <c r="Q62" i="11"/>
  <c r="P62" i="11"/>
  <c r="O62" i="11"/>
  <c r="N62" i="11"/>
  <c r="M62" i="11"/>
  <c r="L62" i="11"/>
  <c r="K62" i="11"/>
  <c r="J62" i="11"/>
  <c r="I62" i="11"/>
  <c r="H62" i="11"/>
  <c r="G62" i="11"/>
  <c r="E62" i="11"/>
  <c r="AJ61" i="11"/>
  <c r="AJ60" i="11"/>
  <c r="AI58" i="11"/>
  <c r="AH58" i="11"/>
  <c r="AG58" i="11"/>
  <c r="AF58" i="11"/>
  <c r="AE58" i="11"/>
  <c r="AD58" i="11"/>
  <c r="AC58" i="11"/>
  <c r="AB58" i="11"/>
  <c r="AA58" i="11"/>
  <c r="AA59" i="11" s="1"/>
  <c r="FL12" i="6" s="1"/>
  <c r="Z58" i="11"/>
  <c r="Y58" i="11"/>
  <c r="X58" i="11"/>
  <c r="W58" i="11"/>
  <c r="V58" i="11"/>
  <c r="U58" i="11"/>
  <c r="T58" i="11"/>
  <c r="S58" i="11"/>
  <c r="R58" i="11"/>
  <c r="Q58" i="11"/>
  <c r="P58" i="11"/>
  <c r="O58" i="11"/>
  <c r="N58" i="11"/>
  <c r="M58" i="11"/>
  <c r="L58" i="11"/>
  <c r="K58" i="11"/>
  <c r="J58" i="11"/>
  <c r="I58" i="11"/>
  <c r="H58" i="11"/>
  <c r="G58" i="11"/>
  <c r="E58" i="11"/>
  <c r="AI57" i="11"/>
  <c r="FB23" i="7" s="1"/>
  <c r="FB24" i="7" s="1"/>
  <c r="AH57" i="11"/>
  <c r="FA23" i="7" s="1"/>
  <c r="FA24" i="7" s="1"/>
  <c r="EZ23" i="7"/>
  <c r="EZ24" i="7" s="1"/>
  <c r="AE57" i="11"/>
  <c r="EX23" i="7" s="1"/>
  <c r="EX24" i="7" s="1"/>
  <c r="AD57" i="11"/>
  <c r="EW23" i="7" s="1"/>
  <c r="EW24" i="7" s="1"/>
  <c r="AC57" i="11"/>
  <c r="EV23" i="7" s="1"/>
  <c r="EV24" i="7" s="1"/>
  <c r="AB57" i="11"/>
  <c r="AA57" i="11"/>
  <c r="ET23" i="7" s="1"/>
  <c r="ET24" i="7" s="1"/>
  <c r="Z57" i="11"/>
  <c r="ES23" i="7" s="1"/>
  <c r="ES24" i="7" s="1"/>
  <c r="Y57" i="11"/>
  <c r="ER23" i="7" s="1"/>
  <c r="ER24" i="7" s="1"/>
  <c r="X57" i="11"/>
  <c r="W57" i="11"/>
  <c r="EP23" i="7" s="1"/>
  <c r="EP24" i="7" s="1"/>
  <c r="V57" i="11"/>
  <c r="U57" i="11"/>
  <c r="EN23" i="7" s="1"/>
  <c r="EN24" i="7" s="1"/>
  <c r="T57" i="11"/>
  <c r="S57" i="11"/>
  <c r="R57" i="11"/>
  <c r="EK23" i="7" s="1"/>
  <c r="EK24" i="7" s="1"/>
  <c r="Q57" i="11"/>
  <c r="EJ23" i="7" s="1"/>
  <c r="EJ24" i="7" s="1"/>
  <c r="P57" i="11"/>
  <c r="EI23" i="7" s="1"/>
  <c r="EI24" i="7" s="1"/>
  <c r="O57" i="11"/>
  <c r="EH23" i="7" s="1"/>
  <c r="EH24" i="7" s="1"/>
  <c r="N57" i="11"/>
  <c r="EG23" i="7" s="1"/>
  <c r="EG24" i="7" s="1"/>
  <c r="M57" i="11"/>
  <c r="EF23" i="7" s="1"/>
  <c r="EF24" i="7" s="1"/>
  <c r="L57" i="11"/>
  <c r="EE23" i="7" s="1"/>
  <c r="EE24" i="7" s="1"/>
  <c r="K57" i="11"/>
  <c r="ED23" i="7" s="1"/>
  <c r="J57" i="11"/>
  <c r="EC23" i="7" s="1"/>
  <c r="EC24" i="7" s="1"/>
  <c r="I57" i="11"/>
  <c r="EB23" i="7" s="1"/>
  <c r="EB24" i="7" s="1"/>
  <c r="H57" i="11"/>
  <c r="EA23" i="7" s="1"/>
  <c r="EA24" i="7" s="1"/>
  <c r="G57" i="11"/>
  <c r="DZ23" i="7" s="1"/>
  <c r="DZ24" i="7" s="1"/>
  <c r="E57" i="11"/>
  <c r="DX23" i="7" s="1"/>
  <c r="AJ56" i="11"/>
  <c r="AJ55" i="11"/>
  <c r="AI53" i="11"/>
  <c r="AH53" i="11"/>
  <c r="AG53" i="11"/>
  <c r="AF53" i="11"/>
  <c r="AE53" i="11"/>
  <c r="AD53" i="11"/>
  <c r="AC53" i="11"/>
  <c r="AB53" i="11"/>
  <c r="AA53" i="11"/>
  <c r="Z53" i="11"/>
  <c r="Y53" i="11"/>
  <c r="X53" i="11"/>
  <c r="W53" i="11"/>
  <c r="V53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E53" i="11"/>
  <c r="AJ52" i="11"/>
  <c r="AJ51" i="11"/>
  <c r="AI49" i="11"/>
  <c r="AH49" i="11"/>
  <c r="AG49" i="11"/>
  <c r="AF49" i="11"/>
  <c r="AE49" i="11"/>
  <c r="AD49" i="11"/>
  <c r="AC49" i="11"/>
  <c r="AB49" i="11"/>
  <c r="AA49" i="11"/>
  <c r="Z49" i="11"/>
  <c r="Y49" i="11"/>
  <c r="X49" i="11"/>
  <c r="W49" i="11"/>
  <c r="V49" i="11"/>
  <c r="V50" i="11" s="1"/>
  <c r="FG17" i="6" s="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E49" i="11"/>
  <c r="AJ48" i="11"/>
  <c r="AJ47" i="11"/>
  <c r="AI45" i="11"/>
  <c r="AH45" i="11"/>
  <c r="AG45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E45" i="11"/>
  <c r="AI44" i="11"/>
  <c r="AH44" i="11"/>
  <c r="AG44" i="11"/>
  <c r="AF44" i="11"/>
  <c r="AE44" i="11"/>
  <c r="EX6" i="7" s="1"/>
  <c r="AD44" i="11"/>
  <c r="AC44" i="11"/>
  <c r="AB44" i="11"/>
  <c r="EU6" i="7" s="1"/>
  <c r="AA44" i="11"/>
  <c r="Z44" i="11"/>
  <c r="ES6" i="7" s="1"/>
  <c r="Y44" i="11"/>
  <c r="ER6" i="7" s="1"/>
  <c r="X44" i="11"/>
  <c r="EQ6" i="7" s="1"/>
  <c r="W44" i="11"/>
  <c r="EP6" i="7" s="1"/>
  <c r="V44" i="11"/>
  <c r="EO6" i="7" s="1"/>
  <c r="U44" i="11"/>
  <c r="T44" i="11"/>
  <c r="EM6" i="7" s="1"/>
  <c r="S44" i="11"/>
  <c r="EL6" i="7" s="1"/>
  <c r="R44" i="11"/>
  <c r="Q44" i="11"/>
  <c r="P44" i="11"/>
  <c r="EI6" i="7" s="1"/>
  <c r="O44" i="11"/>
  <c r="EH6" i="7" s="1"/>
  <c r="N44" i="11"/>
  <c r="M44" i="11"/>
  <c r="EF6" i="7" s="1"/>
  <c r="L44" i="11"/>
  <c r="EE6" i="7" s="1"/>
  <c r="K44" i="11"/>
  <c r="ED6" i="7" s="1"/>
  <c r="J44" i="11"/>
  <c r="EC6" i="7" s="1"/>
  <c r="I44" i="11"/>
  <c r="EB6" i="7" s="1"/>
  <c r="H44" i="11"/>
  <c r="EA6" i="7" s="1"/>
  <c r="G44" i="11"/>
  <c r="DZ6" i="7" s="1"/>
  <c r="E44" i="11"/>
  <c r="AJ43" i="11"/>
  <c r="AJ42" i="11"/>
  <c r="AI40" i="11"/>
  <c r="AH40" i="11"/>
  <c r="AG40" i="11"/>
  <c r="AF40" i="11"/>
  <c r="AE40" i="11"/>
  <c r="AD40" i="11"/>
  <c r="AC40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G41" i="11" s="1"/>
  <c r="E40" i="11"/>
  <c r="AI39" i="11"/>
  <c r="AH39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E39" i="11"/>
  <c r="AI36" i="11"/>
  <c r="AH36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E36" i="11"/>
  <c r="AI33" i="11"/>
  <c r="AH33" i="11"/>
  <c r="AG33" i="11"/>
  <c r="AG34" i="11" s="1"/>
  <c r="AG35" i="11" s="1"/>
  <c r="FR9" i="6" s="1"/>
  <c r="AF33" i="11"/>
  <c r="AF34" i="11" s="1"/>
  <c r="AF35" i="11" s="1"/>
  <c r="FQ9" i="6" s="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E33" i="11"/>
  <c r="AI32" i="11"/>
  <c r="AI34" i="11" s="1"/>
  <c r="AH32" i="11"/>
  <c r="AG32" i="11"/>
  <c r="AB32" i="11"/>
  <c r="AB34" i="11" s="1"/>
  <c r="AA32" i="11"/>
  <c r="Z32" i="11"/>
  <c r="X32" i="11"/>
  <c r="T32" i="11"/>
  <c r="S32" i="11"/>
  <c r="S34" i="11" s="1"/>
  <c r="R32" i="11"/>
  <c r="Q32" i="11"/>
  <c r="P32" i="11"/>
  <c r="O32" i="11"/>
  <c r="N32" i="11"/>
  <c r="M32" i="11"/>
  <c r="L32" i="11"/>
  <c r="J32" i="11"/>
  <c r="I32" i="11"/>
  <c r="H32" i="11"/>
  <c r="G32" i="11"/>
  <c r="E32" i="11"/>
  <c r="AJ31" i="11"/>
  <c r="AJ29" i="11"/>
  <c r="AJ28" i="11"/>
  <c r="AJ27" i="11"/>
  <c r="S23" i="6" s="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AJ23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AA20" i="11"/>
  <c r="AI19" i="11"/>
  <c r="AI20" i="11" s="1"/>
  <c r="AH19" i="11"/>
  <c r="AH20" i="11" s="1"/>
  <c r="AG19" i="11"/>
  <c r="AG20" i="11" s="1"/>
  <c r="AF19" i="11"/>
  <c r="AF20" i="11" s="1"/>
  <c r="AE19" i="11"/>
  <c r="AE20" i="11" s="1"/>
  <c r="AD19" i="11"/>
  <c r="AD20" i="11" s="1"/>
  <c r="AC19" i="11"/>
  <c r="AC20" i="11" s="1"/>
  <c r="AB19" i="11"/>
  <c r="AB20" i="11" s="1"/>
  <c r="AA19" i="11"/>
  <c r="Z19" i="11"/>
  <c r="Z20" i="11" s="1"/>
  <c r="Y19" i="11"/>
  <c r="Y20" i="11" s="1"/>
  <c r="X19" i="11"/>
  <c r="X20" i="11" s="1"/>
  <c r="W19" i="11"/>
  <c r="W20" i="11" s="1"/>
  <c r="V19" i="11"/>
  <c r="V20" i="11" s="1"/>
  <c r="U19" i="11"/>
  <c r="U20" i="11" s="1"/>
  <c r="T19" i="11"/>
  <c r="T20" i="11" s="1"/>
  <c r="S19" i="11"/>
  <c r="S20" i="11" s="1"/>
  <c r="R19" i="11"/>
  <c r="R20" i="11" s="1"/>
  <c r="Q19" i="11"/>
  <c r="Q20" i="11" s="1"/>
  <c r="P19" i="11"/>
  <c r="P20" i="11" s="1"/>
  <c r="O19" i="11"/>
  <c r="O20" i="11" s="1"/>
  <c r="N19" i="11"/>
  <c r="N20" i="11" s="1"/>
  <c r="M19" i="11"/>
  <c r="M20" i="11" s="1"/>
  <c r="L19" i="11"/>
  <c r="L20" i="11" s="1"/>
  <c r="K19" i="11"/>
  <c r="K20" i="11" s="1"/>
  <c r="J19" i="11"/>
  <c r="J20" i="11" s="1"/>
  <c r="I19" i="11"/>
  <c r="I20" i="11" s="1"/>
  <c r="H19" i="11"/>
  <c r="H20" i="11" s="1"/>
  <c r="G19" i="11"/>
  <c r="G20" i="11" s="1"/>
  <c r="F19" i="11"/>
  <c r="F20" i="11" s="1"/>
  <c r="E19" i="11"/>
  <c r="E20" i="11" s="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AI10" i="11"/>
  <c r="AH10" i="11"/>
  <c r="AG10" i="11"/>
  <c r="AF10" i="11"/>
  <c r="AE10" i="11"/>
  <c r="AD10" i="11"/>
  <c r="AC10" i="11"/>
  <c r="AB10" i="11"/>
  <c r="AA10" i="11"/>
  <c r="AA11" i="11" s="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K11" i="11" s="1"/>
  <c r="J10" i="11"/>
  <c r="I10" i="11"/>
  <c r="H10" i="11"/>
  <c r="G10" i="11"/>
  <c r="F10" i="11"/>
  <c r="E10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AI7" i="11"/>
  <c r="AI8" i="11" s="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W8" i="11" s="1"/>
  <c r="V6" i="11"/>
  <c r="V8" i="11" s="1"/>
  <c r="U6" i="11"/>
  <c r="T6" i="11"/>
  <c r="S6" i="11"/>
  <c r="R6" i="11"/>
  <c r="Q6" i="11"/>
  <c r="P6" i="11"/>
  <c r="O6" i="11"/>
  <c r="N6" i="11"/>
  <c r="N8" i="11" s="1"/>
  <c r="M6" i="11"/>
  <c r="L6" i="11"/>
  <c r="K6" i="11"/>
  <c r="J6" i="11"/>
  <c r="I6" i="11"/>
  <c r="H6" i="11"/>
  <c r="G6" i="11"/>
  <c r="F6" i="11"/>
  <c r="E6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F5" i="11" s="1"/>
  <c r="E3" i="11"/>
  <c r="DY24" i="2"/>
  <c r="DY21" i="2"/>
  <c r="DY20" i="2"/>
  <c r="DY19" i="2"/>
  <c r="DY18" i="2"/>
  <c r="DY17" i="2"/>
  <c r="DY16" i="2"/>
  <c r="DY15" i="2"/>
  <c r="DY14" i="2"/>
  <c r="DY12" i="2"/>
  <c r="DY9" i="2"/>
  <c r="AI120" i="10"/>
  <c r="AI29" i="10"/>
  <c r="AI118" i="10"/>
  <c r="AJ49" i="11" l="1"/>
  <c r="N34" i="11"/>
  <c r="R50" i="11"/>
  <c r="FC17" i="6" s="1"/>
  <c r="AB41" i="11"/>
  <c r="AH34" i="11"/>
  <c r="DX22" i="7"/>
  <c r="FC22" i="7" s="1"/>
  <c r="H41" i="11"/>
  <c r="ES8" i="6" s="1"/>
  <c r="P41" i="11"/>
  <c r="N59" i="11"/>
  <c r="EY12" i="6" s="1"/>
  <c r="AD59" i="11"/>
  <c r="FO12" i="6" s="1"/>
  <c r="AC67" i="11"/>
  <c r="FN14" i="6" s="1"/>
  <c r="J11" i="11"/>
  <c r="EF4" i="2" s="1"/>
  <c r="AH11" i="11"/>
  <c r="FD4" i="2" s="1"/>
  <c r="M22" i="11"/>
  <c r="U22" i="11"/>
  <c r="AC22" i="11"/>
  <c r="AA22" i="11"/>
  <c r="P5" i="11"/>
  <c r="S8" i="11"/>
  <c r="FD5" i="6"/>
  <c r="EO3" i="2"/>
  <c r="EQ4" i="6"/>
  <c r="EB2" i="2"/>
  <c r="AH98" i="11"/>
  <c r="K8" i="11"/>
  <c r="AA8" i="11"/>
  <c r="M59" i="11"/>
  <c r="EX12" i="6" s="1"/>
  <c r="U59" i="11"/>
  <c r="FF12" i="6" s="1"/>
  <c r="M63" i="11"/>
  <c r="EX16" i="6" s="1"/>
  <c r="U63" i="11"/>
  <c r="FF16" i="6" s="1"/>
  <c r="K37" i="11"/>
  <c r="K38" i="11" s="1"/>
  <c r="FF22" i="2"/>
  <c r="AG8" i="11"/>
  <c r="EV10" i="6"/>
  <c r="EG13" i="2"/>
  <c r="FT10" i="6"/>
  <c r="FE13" i="2"/>
  <c r="E16" i="11"/>
  <c r="ED6" i="2"/>
  <c r="R134" i="11"/>
  <c r="EK6" i="7"/>
  <c r="O54" i="11"/>
  <c r="EZ15" i="6" s="1"/>
  <c r="S67" i="11"/>
  <c r="FD14" i="6" s="1"/>
  <c r="EL23" i="7"/>
  <c r="EL24" i="7" s="1"/>
  <c r="U8" i="11"/>
  <c r="Z22" i="11"/>
  <c r="EC13" i="2"/>
  <c r="ER10" i="6"/>
  <c r="L34" i="11"/>
  <c r="L35" i="11" s="1"/>
  <c r="EW9" i="6" s="1"/>
  <c r="T34" i="11"/>
  <c r="T35" i="11" s="1"/>
  <c r="FE9" i="6" s="1"/>
  <c r="EL7" i="7"/>
  <c r="EL16" i="7"/>
  <c r="AB59" i="11"/>
  <c r="FM12" i="6" s="1"/>
  <c r="U98" i="11"/>
  <c r="DX15" i="7"/>
  <c r="FC15" i="7" s="1"/>
  <c r="EB13" i="2"/>
  <c r="EQ10" i="6"/>
  <c r="AD5" i="11"/>
  <c r="EZ2" i="2" s="1"/>
  <c r="O8" i="11"/>
  <c r="EZ5" i="6" s="1"/>
  <c r="P11" i="11"/>
  <c r="EL4" i="2" s="1"/>
  <c r="X11" i="11"/>
  <c r="ED13" i="2"/>
  <c r="ES10" i="6"/>
  <c r="FQ10" i="6"/>
  <c r="FB13" i="2"/>
  <c r="AD46" i="11"/>
  <c r="FO13" i="6" s="1"/>
  <c r="AD54" i="11"/>
  <c r="FO15" i="6" s="1"/>
  <c r="EQ7" i="6"/>
  <c r="EB5" i="2"/>
  <c r="AD38" i="11"/>
  <c r="FO7" i="6" s="1"/>
  <c r="EV6" i="6"/>
  <c r="EG4" i="2"/>
  <c r="FD10" i="6"/>
  <c r="EO13" i="2"/>
  <c r="EC6" i="2"/>
  <c r="ER8" i="6"/>
  <c r="FT5" i="6"/>
  <c r="FE3" i="2"/>
  <c r="AC16" i="11"/>
  <c r="FE10" i="6"/>
  <c r="EP13" i="2"/>
  <c r="AE5" i="11"/>
  <c r="FA2" i="2" s="1"/>
  <c r="AB22" i="11"/>
  <c r="EE13" i="2"/>
  <c r="ET10" i="6"/>
  <c r="FB10" i="6"/>
  <c r="EM13" i="2"/>
  <c r="FJ10" i="6"/>
  <c r="EU13" i="2"/>
  <c r="U41" i="11"/>
  <c r="FF8" i="6" s="1"/>
  <c r="AE54" i="11"/>
  <c r="FP15" i="6" s="1"/>
  <c r="AF98" i="11"/>
  <c r="K22" i="11"/>
  <c r="EU10" i="6"/>
  <c r="EF13" i="2"/>
  <c r="FC10" i="6"/>
  <c r="EN13" i="2"/>
  <c r="FK10" i="6"/>
  <c r="EV13" i="2"/>
  <c r="N41" i="11"/>
  <c r="EJ6" i="2" s="1"/>
  <c r="V41" i="11"/>
  <c r="AD41" i="11"/>
  <c r="Z63" i="11"/>
  <c r="FK16" i="6" s="1"/>
  <c r="AH63" i="11"/>
  <c r="FS16" i="6" s="1"/>
  <c r="K98" i="11"/>
  <c r="AI98" i="11"/>
  <c r="AI134" i="11"/>
  <c r="AI135" i="11" s="1"/>
  <c r="FB6" i="7"/>
  <c r="AI37" i="11"/>
  <c r="AI38" i="11" s="1"/>
  <c r="AI11" i="11"/>
  <c r="AI88" i="11"/>
  <c r="AI59" i="11"/>
  <c r="FT12" i="6" s="1"/>
  <c r="AI63" i="11"/>
  <c r="FT16" i="6" s="1"/>
  <c r="AI67" i="11"/>
  <c r="FT14" i="6" s="1"/>
  <c r="AH134" i="11"/>
  <c r="AH136" i="11" s="1"/>
  <c r="FA6" i="7"/>
  <c r="AH67" i="11"/>
  <c r="FS14" i="6" s="1"/>
  <c r="AH8" i="11"/>
  <c r="AH88" i="11"/>
  <c r="AG5" i="11"/>
  <c r="FR4" i="6" s="1"/>
  <c r="AG46" i="11"/>
  <c r="FR13" i="6" s="1"/>
  <c r="EZ6" i="7"/>
  <c r="AG11" i="11"/>
  <c r="FC4" i="2" s="1"/>
  <c r="FC3" i="2"/>
  <c r="FR5" i="6"/>
  <c r="AG67" i="11"/>
  <c r="FR14" i="6" s="1"/>
  <c r="FD13" i="2"/>
  <c r="FS10" i="6"/>
  <c r="FC13" i="2"/>
  <c r="FR10" i="6"/>
  <c r="AF11" i="11"/>
  <c r="AF41" i="11"/>
  <c r="AF8" i="11"/>
  <c r="AF67" i="11"/>
  <c r="FQ14" i="6" s="1"/>
  <c r="EY23" i="7"/>
  <c r="EY24" i="7" s="1"/>
  <c r="AF134" i="11"/>
  <c r="AF139" i="11" s="1"/>
  <c r="EY6" i="7"/>
  <c r="EX16" i="7"/>
  <c r="EX25" i="7" s="1"/>
  <c r="EX7" i="7"/>
  <c r="AE46" i="11"/>
  <c r="FP13" i="6" s="1"/>
  <c r="AE37" i="11"/>
  <c r="AE11" i="11"/>
  <c r="AE8" i="11"/>
  <c r="FA13" i="2"/>
  <c r="FP10" i="6"/>
  <c r="AB46" i="11"/>
  <c r="FM13" i="6" s="1"/>
  <c r="AC46" i="11"/>
  <c r="FN13" i="6" s="1"/>
  <c r="AD50" i="11"/>
  <c r="FO17" i="6" s="1"/>
  <c r="EW6" i="7"/>
  <c r="EZ6" i="2"/>
  <c r="FO8" i="6"/>
  <c r="AD8" i="11"/>
  <c r="FO4" i="6"/>
  <c r="EZ5" i="2"/>
  <c r="EZ13" i="2"/>
  <c r="FO10" i="6"/>
  <c r="S34" i="6"/>
  <c r="FF18" i="2"/>
  <c r="AC50" i="11"/>
  <c r="FN17" i="6" s="1"/>
  <c r="AC63" i="11"/>
  <c r="FN16" i="6" s="1"/>
  <c r="FN10" i="6"/>
  <c r="EY13" i="2"/>
  <c r="AC134" i="11"/>
  <c r="EV6" i="7"/>
  <c r="AC37" i="11"/>
  <c r="AC38" i="11" s="1"/>
  <c r="EY5" i="2" s="1"/>
  <c r="AC41" i="11"/>
  <c r="AC8" i="11"/>
  <c r="EU16" i="7"/>
  <c r="EU7" i="7"/>
  <c r="EX6" i="2"/>
  <c r="FM8" i="6"/>
  <c r="AB63" i="11"/>
  <c r="FM16" i="6" s="1"/>
  <c r="EU23" i="7"/>
  <c r="EU24" i="7" s="1"/>
  <c r="AB67" i="11"/>
  <c r="FM14" i="6" s="1"/>
  <c r="FM10" i="6"/>
  <c r="EX13" i="2"/>
  <c r="AA134" i="11"/>
  <c r="AA139" i="11" s="1"/>
  <c r="ET6" i="7"/>
  <c r="AA34" i="11"/>
  <c r="AA35" i="11" s="1"/>
  <c r="FL9" i="6" s="1"/>
  <c r="AA41" i="11"/>
  <c r="EW6" i="2"/>
  <c r="FL8" i="6"/>
  <c r="EW4" i="2"/>
  <c r="FL6" i="6"/>
  <c r="FL5" i="6"/>
  <c r="EW3" i="2"/>
  <c r="AA67" i="11"/>
  <c r="FL14" i="6" s="1"/>
  <c r="FL10" i="6"/>
  <c r="EW13" i="2"/>
  <c r="Z34" i="11"/>
  <c r="Z35" i="11" s="1"/>
  <c r="FK9" i="6" s="1"/>
  <c r="Z8" i="11"/>
  <c r="Z88" i="11"/>
  <c r="ES16" i="7"/>
  <c r="ES25" i="7" s="1"/>
  <c r="ES7" i="7"/>
  <c r="Z50" i="11"/>
  <c r="FK17" i="6" s="1"/>
  <c r="Z67" i="11"/>
  <c r="FK14" i="6" s="1"/>
  <c r="Z16" i="11"/>
  <c r="Y98" i="11"/>
  <c r="Y5" i="11"/>
  <c r="ER16" i="7"/>
  <c r="ER25" i="7" s="1"/>
  <c r="ER7" i="7"/>
  <c r="Y50" i="11"/>
  <c r="FJ17" i="6" s="1"/>
  <c r="Y67" i="11"/>
  <c r="FJ14" i="6" s="1"/>
  <c r="Y34" i="11"/>
  <c r="Y35" i="11" s="1"/>
  <c r="FJ9" i="6" s="1"/>
  <c r="Y11" i="11"/>
  <c r="Y37" i="11"/>
  <c r="Y8" i="11"/>
  <c r="Y16" i="11"/>
  <c r="X37" i="11"/>
  <c r="X38" i="11" s="1"/>
  <c r="X41" i="11"/>
  <c r="ET4" i="2"/>
  <c r="FI6" i="6"/>
  <c r="X8" i="11"/>
  <c r="W5" i="11"/>
  <c r="ES2" i="2" s="1"/>
  <c r="W98" i="11"/>
  <c r="W11" i="11"/>
  <c r="ES3" i="2"/>
  <c r="FH5" i="6"/>
  <c r="V34" i="11"/>
  <c r="V35" i="11" s="1"/>
  <c r="FG9" i="6" s="1"/>
  <c r="ER6" i="2"/>
  <c r="FG8" i="6"/>
  <c r="ER3" i="2"/>
  <c r="FG5" i="6"/>
  <c r="V88" i="11"/>
  <c r="EQ3" i="2"/>
  <c r="FF5" i="6"/>
  <c r="EQ16" i="7"/>
  <c r="EQ7" i="7"/>
  <c r="EP16" i="7"/>
  <c r="EP25" i="7" s="1"/>
  <c r="EP7" i="7"/>
  <c r="EO7" i="7"/>
  <c r="EO16" i="7"/>
  <c r="V54" i="11"/>
  <c r="FG15" i="6" s="1"/>
  <c r="U134" i="11"/>
  <c r="EN6" i="7"/>
  <c r="U46" i="11"/>
  <c r="FF13" i="6" s="1"/>
  <c r="U135" i="11"/>
  <c r="FI10" i="6"/>
  <c r="ET13" i="2"/>
  <c r="X67" i="11"/>
  <c r="FI14" i="6" s="1"/>
  <c r="EQ23" i="7"/>
  <c r="EQ24" i="7" s="1"/>
  <c r="FH10" i="6"/>
  <c r="ES13" i="2"/>
  <c r="V67" i="11"/>
  <c r="FG14" i="6" s="1"/>
  <c r="EO23" i="7"/>
  <c r="EO24" i="7" s="1"/>
  <c r="FG10" i="6"/>
  <c r="ER13" i="2"/>
  <c r="U67" i="11"/>
  <c r="FF14" i="6" s="1"/>
  <c r="U16" i="11"/>
  <c r="FF10" i="6"/>
  <c r="EQ13" i="2"/>
  <c r="U50" i="11"/>
  <c r="FF17" i="6" s="1"/>
  <c r="T63" i="11"/>
  <c r="FE16" i="6" s="1"/>
  <c r="EM16" i="7"/>
  <c r="EM7" i="7"/>
  <c r="EM17" i="7" s="1"/>
  <c r="T46" i="11"/>
  <c r="FE13" i="6" s="1"/>
  <c r="T41" i="11"/>
  <c r="T11" i="11"/>
  <c r="T59" i="11"/>
  <c r="FE12" i="6" s="1"/>
  <c r="EM23" i="7"/>
  <c r="EM24" i="7" s="1"/>
  <c r="W16" i="11"/>
  <c r="S46" i="11"/>
  <c r="FD13" i="6" s="1"/>
  <c r="R67" i="11"/>
  <c r="FC14" i="6" s="1"/>
  <c r="S98" i="11"/>
  <c r="S41" i="11"/>
  <c r="S37" i="11"/>
  <c r="S11" i="11"/>
  <c r="R41" i="11"/>
  <c r="S59" i="11"/>
  <c r="FD12" i="6" s="1"/>
  <c r="S63" i="11"/>
  <c r="FD16" i="6" s="1"/>
  <c r="R63" i="11"/>
  <c r="FC16" i="6" s="1"/>
  <c r="Q134" i="11"/>
  <c r="Q139" i="11" s="1"/>
  <c r="EJ6" i="7"/>
  <c r="Q5" i="11"/>
  <c r="Q37" i="11"/>
  <c r="Q34" i="11"/>
  <c r="Q11" i="11"/>
  <c r="Q98" i="11"/>
  <c r="Q8" i="11"/>
  <c r="Q88" i="11"/>
  <c r="Q67" i="11"/>
  <c r="FB14" i="6" s="1"/>
  <c r="EI7" i="7"/>
  <c r="EI16" i="7"/>
  <c r="EI25" i="7" s="1"/>
  <c r="P59" i="11"/>
  <c r="FA12" i="6" s="1"/>
  <c r="P37" i="11"/>
  <c r="P38" i="11" s="1"/>
  <c r="P98" i="11"/>
  <c r="EL6" i="2"/>
  <c r="FA8" i="6"/>
  <c r="P8" i="11"/>
  <c r="EL2" i="2"/>
  <c r="FA4" i="6"/>
  <c r="P34" i="11"/>
  <c r="P35" i="11" s="1"/>
  <c r="FA9" i="6" s="1"/>
  <c r="EL13" i="2"/>
  <c r="FA10" i="6"/>
  <c r="N5" i="11"/>
  <c r="EJ2" i="2" s="1"/>
  <c r="EY8" i="6"/>
  <c r="EJ3" i="2"/>
  <c r="EY5" i="6"/>
  <c r="O98" i="11"/>
  <c r="O5" i="11"/>
  <c r="EK2" i="2" s="1"/>
  <c r="O11" i="11"/>
  <c r="EK3" i="2"/>
  <c r="O37" i="11"/>
  <c r="O38" i="11" s="1"/>
  <c r="O16" i="11"/>
  <c r="EH16" i="7"/>
  <c r="EH25" i="7" s="1"/>
  <c r="EH7" i="7"/>
  <c r="N54" i="11"/>
  <c r="EY15" i="6" s="1"/>
  <c r="EG6" i="7"/>
  <c r="N50" i="11"/>
  <c r="EY17" i="6" s="1"/>
  <c r="N46" i="11"/>
  <c r="EY13" i="6" s="1"/>
  <c r="EK13" i="2"/>
  <c r="EZ10" i="6"/>
  <c r="EY10" i="6"/>
  <c r="EJ13" i="2"/>
  <c r="N16" i="11"/>
  <c r="S25" i="6"/>
  <c r="M38" i="11"/>
  <c r="EX7" i="6" s="1"/>
  <c r="M41" i="11"/>
  <c r="M8" i="11"/>
  <c r="AL79" i="11"/>
  <c r="AL30" i="11"/>
  <c r="M50" i="11"/>
  <c r="EX17" i="6" s="1"/>
  <c r="AK73" i="11"/>
  <c r="FF15" i="2" s="1"/>
  <c r="EF16" i="7"/>
  <c r="EF25" i="7" s="1"/>
  <c r="EF7" i="7"/>
  <c r="M16" i="11"/>
  <c r="AK72" i="11"/>
  <c r="EX10" i="6"/>
  <c r="EI13" i="2"/>
  <c r="M67" i="11"/>
  <c r="EX14" i="6" s="1"/>
  <c r="M134" i="11"/>
  <c r="M138" i="11" s="1"/>
  <c r="AK75" i="11"/>
  <c r="S24" i="6" s="1"/>
  <c r="R88" i="11"/>
  <c r="DZ7" i="7"/>
  <c r="DZ16" i="7"/>
  <c r="EC7" i="7"/>
  <c r="EC16" i="7"/>
  <c r="EC25" i="7" s="1"/>
  <c r="EA7" i="7"/>
  <c r="EA16" i="7"/>
  <c r="EA25" i="7" s="1"/>
  <c r="I50" i="11"/>
  <c r="ET17" i="6" s="1"/>
  <c r="EB7" i="7"/>
  <c r="EB16" i="7"/>
  <c r="R8" i="11"/>
  <c r="R11" i="11"/>
  <c r="L46" i="11"/>
  <c r="EW13" i="6" s="1"/>
  <c r="L50" i="11"/>
  <c r="EW17" i="6" s="1"/>
  <c r="L22" i="11"/>
  <c r="EE7" i="7"/>
  <c r="EE16" i="7"/>
  <c r="EE25" i="7" s="1"/>
  <c r="L41" i="11"/>
  <c r="EH6" i="2" s="1"/>
  <c r="EH13" i="2"/>
  <c r="EW10" i="6"/>
  <c r="L59" i="11"/>
  <c r="EW12" i="6" s="1"/>
  <c r="K59" i="11"/>
  <c r="EV12" i="6" s="1"/>
  <c r="K63" i="11"/>
  <c r="EV16" i="6" s="1"/>
  <c r="ED7" i="7"/>
  <c r="ED16" i="7"/>
  <c r="K67" i="11"/>
  <c r="EV14" i="6" s="1"/>
  <c r="K134" i="11"/>
  <c r="K137" i="11" s="1"/>
  <c r="ED24" i="7"/>
  <c r="J41" i="11"/>
  <c r="J8" i="11"/>
  <c r="I41" i="11"/>
  <c r="I34" i="11"/>
  <c r="I35" i="11" s="1"/>
  <c r="ET9" i="6" s="1"/>
  <c r="AJ40" i="11"/>
  <c r="I11" i="11"/>
  <c r="I37" i="11"/>
  <c r="I88" i="11"/>
  <c r="I8" i="11"/>
  <c r="I5" i="11"/>
  <c r="S36" i="6"/>
  <c r="S35" i="6"/>
  <c r="H34" i="11"/>
  <c r="H35" i="11" s="1"/>
  <c r="ES9" i="6" s="1"/>
  <c r="H37" i="11"/>
  <c r="H38" i="11" s="1"/>
  <c r="H11" i="11"/>
  <c r="H8" i="11"/>
  <c r="G5" i="11"/>
  <c r="G11" i="11"/>
  <c r="G8" i="11"/>
  <c r="AJ58" i="11"/>
  <c r="G46" i="11"/>
  <c r="ER13" i="6" s="1"/>
  <c r="E22" i="11"/>
  <c r="J134" i="11"/>
  <c r="J138" i="11" s="1"/>
  <c r="J50" i="11"/>
  <c r="EU17" i="6" s="1"/>
  <c r="J46" i="11"/>
  <c r="EU13" i="6" s="1"/>
  <c r="I46" i="11"/>
  <c r="ET13" i="6" s="1"/>
  <c r="E46" i="11"/>
  <c r="EP13" i="6" s="1"/>
  <c r="DX6" i="7"/>
  <c r="E50" i="11"/>
  <c r="EP17" i="6" s="1"/>
  <c r="J63" i="11"/>
  <c r="EU16" i="6" s="1"/>
  <c r="H67" i="11"/>
  <c r="ES14" i="6" s="1"/>
  <c r="EA13" i="2"/>
  <c r="EP10" i="6"/>
  <c r="J59" i="11"/>
  <c r="EU12" i="6" s="1"/>
  <c r="I67" i="11"/>
  <c r="ET14" i="6" s="1"/>
  <c r="H59" i="11"/>
  <c r="ES12" i="6" s="1"/>
  <c r="E134" i="11"/>
  <c r="E136" i="11" s="1"/>
  <c r="E67" i="11"/>
  <c r="EP14" i="6" s="1"/>
  <c r="DX24" i="7"/>
  <c r="J67" i="11"/>
  <c r="EU14" i="6" s="1"/>
  <c r="F8" i="11"/>
  <c r="DX5" i="7"/>
  <c r="FC5" i="7" s="1"/>
  <c r="AE38" i="11"/>
  <c r="N98" i="11"/>
  <c r="Q38" i="11"/>
  <c r="X98" i="11"/>
  <c r="W37" i="11"/>
  <c r="W38" i="11" s="1"/>
  <c r="S38" i="11"/>
  <c r="AJ33" i="11"/>
  <c r="L8" i="11"/>
  <c r="AB8" i="11"/>
  <c r="X5" i="11"/>
  <c r="AJ6" i="11"/>
  <c r="W41" i="11"/>
  <c r="AF37" i="11"/>
  <c r="AF38" i="11" s="1"/>
  <c r="Q41" i="11"/>
  <c r="AG41" i="11"/>
  <c r="G37" i="11"/>
  <c r="G38" i="11" s="1"/>
  <c r="U37" i="11"/>
  <c r="U38" i="11" s="1"/>
  <c r="Z41" i="11"/>
  <c r="AG98" i="11"/>
  <c r="T8" i="11"/>
  <c r="AE98" i="11"/>
  <c r="J5" i="11"/>
  <c r="Y38" i="11"/>
  <c r="O41" i="11"/>
  <c r="AE41" i="11"/>
  <c r="H98" i="11"/>
  <c r="Y41" i="11"/>
  <c r="AH37" i="11"/>
  <c r="AH38" i="11" s="1"/>
  <c r="V5" i="11"/>
  <c r="V37" i="11"/>
  <c r="V38" i="11" s="1"/>
  <c r="M98" i="11"/>
  <c r="L98" i="11"/>
  <c r="T98" i="11"/>
  <c r="AJ39" i="11"/>
  <c r="AH41" i="11"/>
  <c r="K88" i="11"/>
  <c r="AA88" i="11"/>
  <c r="Z11" i="11"/>
  <c r="L11" i="11"/>
  <c r="AB11" i="11"/>
  <c r="AJ10" i="11"/>
  <c r="H88" i="11"/>
  <c r="Y88" i="11"/>
  <c r="AG88" i="11"/>
  <c r="R5" i="11"/>
  <c r="Z5" i="11"/>
  <c r="F11" i="11"/>
  <c r="N11" i="11"/>
  <c r="V11" i="11"/>
  <c r="AD11" i="11"/>
  <c r="K41" i="11"/>
  <c r="AI41" i="11"/>
  <c r="F88" i="11"/>
  <c r="P16" i="11"/>
  <c r="AF16" i="11"/>
  <c r="P22" i="11"/>
  <c r="I16" i="11"/>
  <c r="AG16" i="11"/>
  <c r="Q22" i="11"/>
  <c r="AG22" i="11"/>
  <c r="S22" i="11"/>
  <c r="AI22" i="11"/>
  <c r="AG54" i="11"/>
  <c r="FR15" i="6" s="1"/>
  <c r="X59" i="11"/>
  <c r="FI12" i="6" s="1"/>
  <c r="AG134" i="11"/>
  <c r="AG139" i="11" s="1"/>
  <c r="F16" i="11"/>
  <c r="V16" i="11"/>
  <c r="AD16" i="11"/>
  <c r="N22" i="11"/>
  <c r="V22" i="11"/>
  <c r="AD22" i="11"/>
  <c r="H134" i="11"/>
  <c r="H136" i="11" s="1"/>
  <c r="P134" i="11"/>
  <c r="P136" i="11" s="1"/>
  <c r="I134" i="11"/>
  <c r="I139" i="11" s="1"/>
  <c r="G16" i="11"/>
  <c r="AE16" i="11"/>
  <c r="G22" i="11"/>
  <c r="O22" i="11"/>
  <c r="W22" i="11"/>
  <c r="AE22" i="11"/>
  <c r="H16" i="11"/>
  <c r="X16" i="11"/>
  <c r="H22" i="11"/>
  <c r="X22" i="11"/>
  <c r="AF22" i="11"/>
  <c r="Z134" i="11"/>
  <c r="Z137" i="11" s="1"/>
  <c r="Q16" i="11"/>
  <c r="I22" i="11"/>
  <c r="Y22" i="11"/>
  <c r="R59" i="11"/>
  <c r="FC12" i="6" s="1"/>
  <c r="J16" i="11"/>
  <c r="R16" i="11"/>
  <c r="AH16" i="11"/>
  <c r="J22" i="11"/>
  <c r="R22" i="11"/>
  <c r="AH22" i="11"/>
  <c r="H54" i="11"/>
  <c r="ES15" i="6" s="1"/>
  <c r="P54" i="11"/>
  <c r="FA15" i="6" s="1"/>
  <c r="X54" i="11"/>
  <c r="FI15" i="6" s="1"/>
  <c r="AF54" i="11"/>
  <c r="FQ15" i="6" s="1"/>
  <c r="O63" i="11"/>
  <c r="EZ16" i="6" s="1"/>
  <c r="L16" i="11"/>
  <c r="T16" i="11"/>
  <c r="AB16" i="11"/>
  <c r="T22" i="11"/>
  <c r="AJ21" i="11"/>
  <c r="G134" i="11"/>
  <c r="G138" i="11" s="1"/>
  <c r="AE134" i="11"/>
  <c r="AE139" i="11" s="1"/>
  <c r="P46" i="11"/>
  <c r="FA13" i="6" s="1"/>
  <c r="X46" i="11"/>
  <c r="FI13" i="6" s="1"/>
  <c r="H50" i="11"/>
  <c r="ES17" i="6" s="1"/>
  <c r="X50" i="11"/>
  <c r="FI17" i="6" s="1"/>
  <c r="AF50" i="11"/>
  <c r="FQ17" i="6" s="1"/>
  <c r="AH50" i="11"/>
  <c r="FS17" i="6" s="1"/>
  <c r="G59" i="11"/>
  <c r="ER12" i="6" s="1"/>
  <c r="O59" i="11"/>
  <c r="EZ12" i="6" s="1"/>
  <c r="Z59" i="11"/>
  <c r="FK12" i="6" s="1"/>
  <c r="I63" i="11"/>
  <c r="ET16" i="6" s="1"/>
  <c r="Q63" i="11"/>
  <c r="FB16" i="6" s="1"/>
  <c r="Y63" i="11"/>
  <c r="FJ16" i="6" s="1"/>
  <c r="AG63" i="11"/>
  <c r="FR16" i="6" s="1"/>
  <c r="G67" i="11"/>
  <c r="ER14" i="6" s="1"/>
  <c r="O67" i="11"/>
  <c r="EZ14" i="6" s="1"/>
  <c r="W67" i="11"/>
  <c r="FH14" i="6" s="1"/>
  <c r="AE67" i="11"/>
  <c r="FP14" i="6" s="1"/>
  <c r="AC139" i="11"/>
  <c r="N63" i="11"/>
  <c r="EY16" i="6" s="1"/>
  <c r="AD63" i="11"/>
  <c r="FO16" i="6" s="1"/>
  <c r="G63" i="11"/>
  <c r="ER16" i="6" s="1"/>
  <c r="W63" i="11"/>
  <c r="FH16" i="6" s="1"/>
  <c r="AE63" i="11"/>
  <c r="FP16" i="6" s="1"/>
  <c r="AH59" i="11"/>
  <c r="FS12" i="6" s="1"/>
  <c r="U54" i="11"/>
  <c r="FF15" i="6" s="1"/>
  <c r="I54" i="11"/>
  <c r="ET15" i="6" s="1"/>
  <c r="Q54" i="11"/>
  <c r="FB15" i="6" s="1"/>
  <c r="Y54" i="11"/>
  <c r="FJ15" i="6" s="1"/>
  <c r="M54" i="11"/>
  <c r="EX15" i="6" s="1"/>
  <c r="P50" i="11"/>
  <c r="FA17" i="6" s="1"/>
  <c r="W46" i="11"/>
  <c r="FH13" i="6" s="1"/>
  <c r="AC137" i="11"/>
  <c r="AI35" i="11"/>
  <c r="FT9" i="6" s="1"/>
  <c r="AM83" i="11"/>
  <c r="AJ7" i="11"/>
  <c r="E41" i="11"/>
  <c r="E59" i="11"/>
  <c r="EP12" i="6" s="1"/>
  <c r="E38" i="11"/>
  <c r="AG50" i="11"/>
  <c r="FR17" i="6" s="1"/>
  <c r="J54" i="11"/>
  <c r="EU15" i="6" s="1"/>
  <c r="AH54" i="11"/>
  <c r="FS15" i="6" s="1"/>
  <c r="V59" i="11"/>
  <c r="FG12" i="6" s="1"/>
  <c r="AJ120" i="11"/>
  <c r="L88" i="11"/>
  <c r="AJ3" i="11"/>
  <c r="AA5" i="11"/>
  <c r="R135" i="11"/>
  <c r="AD98" i="11"/>
  <c r="AF136" i="11"/>
  <c r="AB5" i="11"/>
  <c r="K16" i="11"/>
  <c r="AA16" i="11"/>
  <c r="AA46" i="11"/>
  <c r="FL13" i="6" s="1"/>
  <c r="AJ53" i="11"/>
  <c r="AF59" i="11"/>
  <c r="FQ12" i="6" s="1"/>
  <c r="R139" i="11"/>
  <c r="R138" i="11"/>
  <c r="AD88" i="11"/>
  <c r="AC5" i="11"/>
  <c r="S35" i="11"/>
  <c r="FD9" i="6" s="1"/>
  <c r="N134" i="11"/>
  <c r="N137" i="11" s="1"/>
  <c r="AD134" i="11"/>
  <c r="AD137" i="11" s="1"/>
  <c r="AB50" i="11"/>
  <c r="FM17" i="6" s="1"/>
  <c r="AC136" i="11"/>
  <c r="AC54" i="11"/>
  <c r="FN15" i="6" s="1"/>
  <c r="X63" i="11"/>
  <c r="FI16" i="6" s="1"/>
  <c r="P67" i="11"/>
  <c r="FA14" i="6" s="1"/>
  <c r="AD67" i="11"/>
  <c r="FO14" i="6" s="1"/>
  <c r="V134" i="11"/>
  <c r="V135" i="11" s="1"/>
  <c r="Q136" i="11"/>
  <c r="O88" i="11"/>
  <c r="AB35" i="11"/>
  <c r="FM9" i="6" s="1"/>
  <c r="AJ36" i="11"/>
  <c r="O46" i="11"/>
  <c r="EZ13" i="6" s="1"/>
  <c r="O134" i="11"/>
  <c r="O136" i="11" s="1"/>
  <c r="H46" i="11"/>
  <c r="ES13" i="6" s="1"/>
  <c r="AF46" i="11"/>
  <c r="FQ13" i="6" s="1"/>
  <c r="K46" i="11"/>
  <c r="EV13" i="6" s="1"/>
  <c r="S50" i="11"/>
  <c r="FD17" i="6" s="1"/>
  <c r="E54" i="11"/>
  <c r="EP15" i="6" s="1"/>
  <c r="W54" i="11"/>
  <c r="FH15" i="6" s="1"/>
  <c r="AC59" i="11"/>
  <c r="FN12" i="6" s="1"/>
  <c r="L67" i="11"/>
  <c r="EW14" i="6" s="1"/>
  <c r="T67" i="11"/>
  <c r="FE14" i="6" s="1"/>
  <c r="AJ66" i="11"/>
  <c r="AL81" i="11"/>
  <c r="F134" i="11"/>
  <c r="F135" i="11" s="1"/>
  <c r="W134" i="11"/>
  <c r="W137" i="11" s="1"/>
  <c r="AJ20" i="11"/>
  <c r="F22" i="11"/>
  <c r="AI139" i="11"/>
  <c r="AI138" i="11"/>
  <c r="Q50" i="11"/>
  <c r="FB17" i="6" s="1"/>
  <c r="Z54" i="11"/>
  <c r="FK15" i="6" s="1"/>
  <c r="J88" i="11"/>
  <c r="AC98" i="11"/>
  <c r="J139" i="11"/>
  <c r="AB88" i="11"/>
  <c r="S5" i="11"/>
  <c r="I38" i="11"/>
  <c r="AH135" i="11"/>
  <c r="AA136" i="11"/>
  <c r="W59" i="11"/>
  <c r="FH12" i="6" s="1"/>
  <c r="E98" i="11"/>
  <c r="AH139" i="11"/>
  <c r="M88" i="11"/>
  <c r="L5" i="11"/>
  <c r="AJ4" i="11"/>
  <c r="S16" i="11"/>
  <c r="K32" i="11"/>
  <c r="AJ32" i="11" s="1"/>
  <c r="AH35" i="11"/>
  <c r="FS9" i="6" s="1"/>
  <c r="AA50" i="11"/>
  <c r="FL17" i="6" s="1"/>
  <c r="AB54" i="11"/>
  <c r="FM15" i="6" s="1"/>
  <c r="F98" i="11"/>
  <c r="E5" i="11"/>
  <c r="U5" i="11"/>
  <c r="AF88" i="11"/>
  <c r="H5" i="11"/>
  <c r="AJ9" i="11"/>
  <c r="AJ15" i="11"/>
  <c r="AJ14" i="11"/>
  <c r="Q35" i="11"/>
  <c r="FB9" i="6" s="1"/>
  <c r="X34" i="11"/>
  <c r="X35" i="11" s="1"/>
  <c r="FI9" i="6" s="1"/>
  <c r="Q46" i="11"/>
  <c r="FB13" i="6" s="1"/>
  <c r="T50" i="11"/>
  <c r="FE17" i="6" s="1"/>
  <c r="G54" i="11"/>
  <c r="ER15" i="6" s="1"/>
  <c r="K54" i="11"/>
  <c r="EV15" i="6" s="1"/>
  <c r="L63" i="11"/>
  <c r="EW16" i="6" s="1"/>
  <c r="AM82" i="11"/>
  <c r="G88" i="11"/>
  <c r="AA98" i="11"/>
  <c r="AA37" i="11"/>
  <c r="AA38" i="11" s="1"/>
  <c r="J37" i="11"/>
  <c r="J98" i="11"/>
  <c r="R37" i="11"/>
  <c r="R38" i="11" s="1"/>
  <c r="R98" i="11"/>
  <c r="Z37" i="11"/>
  <c r="Z38" i="11" s="1"/>
  <c r="Z98" i="11"/>
  <c r="X134" i="11"/>
  <c r="AH5" i="11"/>
  <c r="AJ126" i="11"/>
  <c r="K5" i="11"/>
  <c r="S134" i="11"/>
  <c r="S136" i="11" s="1"/>
  <c r="S54" i="11"/>
  <c r="FD15" i="6" s="1"/>
  <c r="R54" i="11"/>
  <c r="FC15" i="6" s="1"/>
  <c r="R136" i="11"/>
  <c r="AI5" i="11"/>
  <c r="E8" i="11"/>
  <c r="AG38" i="11"/>
  <c r="AI136" i="11"/>
  <c r="AI54" i="11"/>
  <c r="FT15" i="6" s="1"/>
  <c r="AE59" i="11"/>
  <c r="FP12" i="6" s="1"/>
  <c r="V63" i="11"/>
  <c r="FG16" i="6" s="1"/>
  <c r="AC88" i="11"/>
  <c r="T5" i="11"/>
  <c r="AI16" i="11"/>
  <c r="AD34" i="11"/>
  <c r="AD35" i="11" s="1"/>
  <c r="FO9" i="6" s="1"/>
  <c r="AJ45" i="11"/>
  <c r="V46" i="11"/>
  <c r="FG13" i="6" s="1"/>
  <c r="T54" i="11"/>
  <c r="FE15" i="6" s="1"/>
  <c r="N67" i="11"/>
  <c r="EY14" i="6" s="1"/>
  <c r="M5" i="11"/>
  <c r="P88" i="11"/>
  <c r="X88" i="11"/>
  <c r="AF5" i="11"/>
  <c r="E11" i="11"/>
  <c r="M11" i="11"/>
  <c r="U11" i="11"/>
  <c r="AC11" i="11"/>
  <c r="J34" i="11"/>
  <c r="J35" i="11" s="1"/>
  <c r="EU9" i="6" s="1"/>
  <c r="R34" i="11"/>
  <c r="R35" i="11" s="1"/>
  <c r="FC9" i="6" s="1"/>
  <c r="N35" i="11"/>
  <c r="EY9" i="6" s="1"/>
  <c r="N38" i="11"/>
  <c r="Y46" i="11"/>
  <c r="FJ13" i="6" s="1"/>
  <c r="Y134" i="11"/>
  <c r="J137" i="11"/>
  <c r="R137" i="11"/>
  <c r="Z46" i="11"/>
  <c r="FK13" i="6" s="1"/>
  <c r="AH137" i="11"/>
  <c r="AH46" i="11"/>
  <c r="FS13" i="6" s="1"/>
  <c r="R46" i="11"/>
  <c r="FC13" i="6" s="1"/>
  <c r="K50" i="11"/>
  <c r="EV17" i="6" s="1"/>
  <c r="AI50" i="11"/>
  <c r="FT17" i="6" s="1"/>
  <c r="L54" i="11"/>
  <c r="EW15" i="6" s="1"/>
  <c r="AA54" i="11"/>
  <c r="FL15" i="6" s="1"/>
  <c r="AJ57" i="11"/>
  <c r="H63" i="11"/>
  <c r="ES16" i="6" s="1"/>
  <c r="P63" i="11"/>
  <c r="FA16" i="6" s="1"/>
  <c r="AF63" i="11"/>
  <c r="FQ16" i="6" s="1"/>
  <c r="F67" i="11"/>
  <c r="EQ14" i="6" s="1"/>
  <c r="E88" i="11"/>
  <c r="L37" i="11"/>
  <c r="L38" i="11" s="1"/>
  <c r="T37" i="11"/>
  <c r="T38" i="11" s="1"/>
  <c r="AB37" i="11"/>
  <c r="AB38" i="11" s="1"/>
  <c r="AB98" i="11"/>
  <c r="AJ124" i="11"/>
  <c r="E34" i="11"/>
  <c r="E35" i="11" s="1"/>
  <c r="EP9" i="6" s="1"/>
  <c r="M34" i="11"/>
  <c r="M35" i="11" s="1"/>
  <c r="EX9" i="6" s="1"/>
  <c r="U34" i="11"/>
  <c r="U35" i="11" s="1"/>
  <c r="FF9" i="6" s="1"/>
  <c r="AC34" i="11"/>
  <c r="AC35" i="11" s="1"/>
  <c r="FN9" i="6" s="1"/>
  <c r="L134" i="11"/>
  <c r="T134" i="11"/>
  <c r="AB134" i="11"/>
  <c r="AB137" i="11" s="1"/>
  <c r="AJ44" i="11"/>
  <c r="AA137" i="11"/>
  <c r="AI137" i="11"/>
  <c r="I59" i="11"/>
  <c r="ET12" i="6" s="1"/>
  <c r="Q59" i="11"/>
  <c r="FB12" i="6" s="1"/>
  <c r="Y59" i="11"/>
  <c r="FJ12" i="6" s="1"/>
  <c r="AG59" i="11"/>
  <c r="FR12" i="6" s="1"/>
  <c r="E63" i="11"/>
  <c r="EP16" i="6" s="1"/>
  <c r="AJ62" i="11"/>
  <c r="X136" i="11"/>
  <c r="N88" i="11"/>
  <c r="M46" i="11"/>
  <c r="EX13" i="6" s="1"/>
  <c r="AI46" i="11"/>
  <c r="FT13" i="6" s="1"/>
  <c r="W88" i="11"/>
  <c r="AE88" i="11"/>
  <c r="G34" i="11"/>
  <c r="G35" i="11" s="1"/>
  <c r="ER9" i="6" s="1"/>
  <c r="O34" i="11"/>
  <c r="O35" i="11" s="1"/>
  <c r="EZ9" i="6" s="1"/>
  <c r="W34" i="11"/>
  <c r="W35" i="11" s="1"/>
  <c r="FH9" i="6" s="1"/>
  <c r="AE34" i="11"/>
  <c r="AE35" i="11" s="1"/>
  <c r="FP9" i="6" s="1"/>
  <c r="G50" i="11"/>
  <c r="ER17" i="6" s="1"/>
  <c r="O50" i="11"/>
  <c r="EZ17" i="6" s="1"/>
  <c r="W50" i="11"/>
  <c r="FH17" i="6" s="1"/>
  <c r="AE50" i="11"/>
  <c r="FP17" i="6" s="1"/>
  <c r="AJ87" i="11"/>
  <c r="AL29" i="11" s="1"/>
  <c r="AI126" i="10"/>
  <c r="DX24" i="2"/>
  <c r="DX21" i="2"/>
  <c r="DX20" i="2"/>
  <c r="DX19" i="2"/>
  <c r="DX18" i="2"/>
  <c r="DX17" i="2"/>
  <c r="DX16" i="2"/>
  <c r="DX15" i="2"/>
  <c r="DX14" i="2"/>
  <c r="DX12" i="2"/>
  <c r="DX9" i="2"/>
  <c r="AH120" i="10"/>
  <c r="AH29" i="10"/>
  <c r="AH118" i="10"/>
  <c r="AJ123" i="10"/>
  <c r="DW24" i="2"/>
  <c r="DW21" i="2"/>
  <c r="DW20" i="2"/>
  <c r="DW19" i="2"/>
  <c r="DW18" i="2"/>
  <c r="DW17" i="2"/>
  <c r="DW16" i="2"/>
  <c r="DW15" i="2"/>
  <c r="DW14" i="2"/>
  <c r="DW12" i="2"/>
  <c r="DW9" i="2"/>
  <c r="AG29" i="10"/>
  <c r="AG120" i="10"/>
  <c r="AG118" i="10"/>
  <c r="AF29" i="10"/>
  <c r="AF120" i="10"/>
  <c r="AF118" i="10"/>
  <c r="AE29" i="10"/>
  <c r="AE120" i="10"/>
  <c r="AE118" i="10"/>
  <c r="DV24" i="2"/>
  <c r="DV21" i="2"/>
  <c r="DV20" i="2"/>
  <c r="DV19" i="2"/>
  <c r="DV18" i="2"/>
  <c r="DV17" i="2"/>
  <c r="DV16" i="2"/>
  <c r="DV15" i="2"/>
  <c r="DV14" i="2"/>
  <c r="DV12" i="2"/>
  <c r="DV9" i="2"/>
  <c r="DU24" i="2"/>
  <c r="DU21" i="2"/>
  <c r="DU20" i="2"/>
  <c r="DU19" i="2"/>
  <c r="DU18" i="2"/>
  <c r="DU17" i="2"/>
  <c r="DU16" i="2"/>
  <c r="DU15" i="2"/>
  <c r="DU14" i="2"/>
  <c r="DU12" i="2"/>
  <c r="DU9" i="2"/>
  <c r="AF135" i="11" l="1"/>
  <c r="AA135" i="11"/>
  <c r="AF137" i="11"/>
  <c r="AF138" i="11"/>
  <c r="AA138" i="11"/>
  <c r="FS6" i="6"/>
  <c r="FF14" i="2"/>
  <c r="AL72" i="11"/>
  <c r="EU6" i="6"/>
  <c r="EP17" i="7"/>
  <c r="EB17" i="7"/>
  <c r="DX16" i="7"/>
  <c r="DX25" i="7" s="1"/>
  <c r="Q137" i="11"/>
  <c r="EL25" i="7"/>
  <c r="Q138" i="11"/>
  <c r="J135" i="11"/>
  <c r="J136" i="11"/>
  <c r="EQ17" i="7"/>
  <c r="FC2" i="2"/>
  <c r="EI5" i="2"/>
  <c r="DZ17" i="7"/>
  <c r="FA6" i="6"/>
  <c r="FB4" i="6"/>
  <c r="EM2" i="2"/>
  <c r="FE6" i="6"/>
  <c r="EP4" i="2"/>
  <c r="FJ5" i="6"/>
  <c r="EU3" i="2"/>
  <c r="FJ4" i="6"/>
  <c r="EU2" i="2"/>
  <c r="FK5" i="6"/>
  <c r="EV3" i="2"/>
  <c r="FQ6" i="6"/>
  <c r="FB4" i="2"/>
  <c r="EK7" i="7"/>
  <c r="EK16" i="7"/>
  <c r="EK25" i="7" s="1"/>
  <c r="FD6" i="6"/>
  <c r="EO4" i="2"/>
  <c r="EQ6" i="6"/>
  <c r="EB4" i="2"/>
  <c r="FJ7" i="6"/>
  <c r="EU5" i="2"/>
  <c r="EC5" i="2"/>
  <c r="ER7" i="6"/>
  <c r="FD8" i="6"/>
  <c r="EO6" i="2"/>
  <c r="FT6" i="6"/>
  <c r="FE4" i="2"/>
  <c r="EV5" i="6"/>
  <c r="EG3" i="2"/>
  <c r="FB7" i="6"/>
  <c r="EM5" i="2"/>
  <c r="FK4" i="6"/>
  <c r="EV2" i="2"/>
  <c r="FK6" i="6"/>
  <c r="EV4" i="2"/>
  <c r="EC3" i="2"/>
  <c r="ER5" i="6"/>
  <c r="EE6" i="2"/>
  <c r="ET8" i="6"/>
  <c r="FJ6" i="6"/>
  <c r="EU4" i="2"/>
  <c r="FP4" i="6"/>
  <c r="FT7" i="6"/>
  <c r="FE5" i="2"/>
  <c r="FQ4" i="6"/>
  <c r="FB2" i="2"/>
  <c r="FD4" i="6"/>
  <c r="EO2" i="2"/>
  <c r="AJ68" i="11"/>
  <c r="FF16" i="2" s="1"/>
  <c r="EA3" i="2"/>
  <c r="EP5" i="6"/>
  <c r="FC4" i="6"/>
  <c r="EN2" i="2"/>
  <c r="FB8" i="6"/>
  <c r="EM6" i="2"/>
  <c r="EC4" i="2"/>
  <c r="ER6" i="6"/>
  <c r="EE2" i="2"/>
  <c r="ET4" i="6"/>
  <c r="EU5" i="6"/>
  <c r="EF3" i="2"/>
  <c r="EY4" i="6"/>
  <c r="FB5" i="6"/>
  <c r="EM3" i="2"/>
  <c r="EQ6" i="2"/>
  <c r="FH4" i="6"/>
  <c r="FK8" i="6"/>
  <c r="EV6" i="2"/>
  <c r="EE4" i="2"/>
  <c r="ET6" i="6"/>
  <c r="FQ8" i="6"/>
  <c r="FB6" i="2"/>
  <c r="FT4" i="6"/>
  <c r="FE2" i="2"/>
  <c r="FT8" i="6"/>
  <c r="FE6" i="2"/>
  <c r="FQ7" i="6"/>
  <c r="FB5" i="2"/>
  <c r="FD7" i="6"/>
  <c r="EO5" i="2"/>
  <c r="EQ5" i="6"/>
  <c r="EB3" i="2"/>
  <c r="EC2" i="2"/>
  <c r="ER4" i="6"/>
  <c r="EE3" i="2"/>
  <c r="ET5" i="6"/>
  <c r="EU8" i="6"/>
  <c r="EF6" i="2"/>
  <c r="EA5" i="2"/>
  <c r="EP7" i="6"/>
  <c r="ED3" i="2"/>
  <c r="ES5" i="6"/>
  <c r="FC6" i="6"/>
  <c r="EN4" i="2"/>
  <c r="FB6" i="6"/>
  <c r="EM4" i="2"/>
  <c r="EA4" i="2"/>
  <c r="EP6" i="6"/>
  <c r="EE5" i="2"/>
  <c r="ET7" i="6"/>
  <c r="EV8" i="6"/>
  <c r="EG6" i="2"/>
  <c r="FJ8" i="6"/>
  <c r="EU6" i="2"/>
  <c r="FE5" i="6"/>
  <c r="EP3" i="2"/>
  <c r="EB25" i="7"/>
  <c r="FK7" i="6"/>
  <c r="EV5" i="2"/>
  <c r="ED4" i="2"/>
  <c r="ES6" i="6"/>
  <c r="FC5" i="6"/>
  <c r="EN3" i="2"/>
  <c r="FC8" i="6"/>
  <c r="EN6" i="2"/>
  <c r="FQ5" i="6"/>
  <c r="FB3" i="2"/>
  <c r="EL17" i="7"/>
  <c r="FE7" i="6"/>
  <c r="EP5" i="2"/>
  <c r="FC7" i="6"/>
  <c r="EN5" i="2"/>
  <c r="EV4" i="6"/>
  <c r="EG2" i="2"/>
  <c r="EV7" i="6"/>
  <c r="EG5" i="2"/>
  <c r="EU4" i="6"/>
  <c r="EF2" i="2"/>
  <c r="ED5" i="2"/>
  <c r="ES7" i="6"/>
  <c r="ED2" i="2"/>
  <c r="ES4" i="6"/>
  <c r="FE8" i="6"/>
  <c r="EP6" i="2"/>
  <c r="FE4" i="6"/>
  <c r="EP2" i="2"/>
  <c r="FB16" i="7"/>
  <c r="FB25" i="7" s="1"/>
  <c r="FB7" i="7"/>
  <c r="AH138" i="11"/>
  <c r="FA16" i="7"/>
  <c r="FA25" i="7" s="1"/>
  <c r="FA7" i="7"/>
  <c r="FD5" i="2"/>
  <c r="FS7" i="6"/>
  <c r="FD6" i="2"/>
  <c r="FS8" i="6"/>
  <c r="FD3" i="2"/>
  <c r="FS5" i="6"/>
  <c r="FD2" i="2"/>
  <c r="FS4" i="6"/>
  <c r="EZ7" i="7"/>
  <c r="EZ16" i="7"/>
  <c r="EZ25" i="7" s="1"/>
  <c r="FR6" i="6"/>
  <c r="FC5" i="2"/>
  <c r="FR7" i="6"/>
  <c r="FC6" i="2"/>
  <c r="FR8" i="6"/>
  <c r="AG138" i="11"/>
  <c r="AG136" i="11"/>
  <c r="EY16" i="7"/>
  <c r="EY25" i="7" s="1"/>
  <c r="EY7" i="7"/>
  <c r="EX17" i="7"/>
  <c r="FA5" i="2"/>
  <c r="FP7" i="6"/>
  <c r="FA6" i="2"/>
  <c r="FP8" i="6"/>
  <c r="FA4" i="2"/>
  <c r="FP6" i="6"/>
  <c r="FA3" i="2"/>
  <c r="FP5" i="6"/>
  <c r="AE137" i="11"/>
  <c r="AE136" i="11"/>
  <c r="AE135" i="11"/>
  <c r="AE138" i="11"/>
  <c r="EU25" i="7"/>
  <c r="EU17" i="7"/>
  <c r="FF21" i="2"/>
  <c r="EW7" i="7"/>
  <c r="EW16" i="7"/>
  <c r="EW25" i="7" s="1"/>
  <c r="EZ4" i="2"/>
  <c r="FO6" i="6"/>
  <c r="EZ3" i="2"/>
  <c r="FO5" i="6"/>
  <c r="EV7" i="7"/>
  <c r="EV16" i="7"/>
  <c r="EV25" i="7" s="1"/>
  <c r="AC138" i="11"/>
  <c r="AC135" i="11"/>
  <c r="FN7" i="6"/>
  <c r="EY6" i="2"/>
  <c r="FN8" i="6"/>
  <c r="FN6" i="6"/>
  <c r="EY4" i="2"/>
  <c r="EY3" i="2"/>
  <c r="FN5" i="6"/>
  <c r="EY2" i="2"/>
  <c r="FN4" i="6"/>
  <c r="FF24" i="2"/>
  <c r="FM7" i="6"/>
  <c r="EX5" i="2"/>
  <c r="EX4" i="2"/>
  <c r="FM6" i="6"/>
  <c r="EX3" i="2"/>
  <c r="FM5" i="6"/>
  <c r="FM4" i="6"/>
  <c r="EX2" i="2"/>
  <c r="ET7" i="7"/>
  <c r="ET16" i="7"/>
  <c r="ET25" i="7" s="1"/>
  <c r="EW5" i="2"/>
  <c r="FL7" i="6"/>
  <c r="EW2" i="2"/>
  <c r="FL4" i="6"/>
  <c r="ES17" i="7"/>
  <c r="Z138" i="11"/>
  <c r="Z136" i="11"/>
  <c r="Z135" i="11"/>
  <c r="Z139" i="11"/>
  <c r="ER17" i="7"/>
  <c r="FI7" i="6"/>
  <c r="ET5" i="2"/>
  <c r="ET6" i="2"/>
  <c r="FI8" i="6"/>
  <c r="ET3" i="2"/>
  <c r="FI5" i="6"/>
  <c r="FI4" i="6"/>
  <c r="ET2" i="2"/>
  <c r="ES5" i="2"/>
  <c r="FH7" i="6"/>
  <c r="ES6" i="2"/>
  <c r="FH8" i="6"/>
  <c r="ES4" i="2"/>
  <c r="FH6" i="6"/>
  <c r="ER5" i="2"/>
  <c r="FG7" i="6"/>
  <c r="FG6" i="6"/>
  <c r="ER4" i="2"/>
  <c r="FG4" i="6"/>
  <c r="ER2" i="2"/>
  <c r="FF7" i="6"/>
  <c r="EQ5" i="2"/>
  <c r="EQ4" i="2"/>
  <c r="FF6" i="6"/>
  <c r="FF4" i="6"/>
  <c r="EQ2" i="2"/>
  <c r="EQ25" i="7"/>
  <c r="V137" i="11"/>
  <c r="EO17" i="7"/>
  <c r="EO25" i="7"/>
  <c r="EN7" i="7"/>
  <c r="EN16" i="7"/>
  <c r="EN25" i="7" s="1"/>
  <c r="U139" i="11"/>
  <c r="U138" i="11"/>
  <c r="U137" i="11"/>
  <c r="U136" i="11"/>
  <c r="W136" i="11"/>
  <c r="EM25" i="7"/>
  <c r="FC23" i="7"/>
  <c r="FC24" i="7" s="1"/>
  <c r="Q135" i="11"/>
  <c r="EJ16" i="7"/>
  <c r="EJ25" i="7" s="1"/>
  <c r="EJ7" i="7"/>
  <c r="EI17" i="7"/>
  <c r="P138" i="11"/>
  <c r="EL5" i="2"/>
  <c r="FA7" i="6"/>
  <c r="EL3" i="2"/>
  <c r="FA5" i="6"/>
  <c r="EJ5" i="2"/>
  <c r="EY7" i="6"/>
  <c r="EJ4" i="2"/>
  <c r="EY6" i="6"/>
  <c r="AL32" i="11"/>
  <c r="EZ4" i="6"/>
  <c r="EK4" i="2"/>
  <c r="EZ6" i="6"/>
  <c r="EK6" i="2"/>
  <c r="EZ8" i="6"/>
  <c r="EK5" i="2"/>
  <c r="EZ7" i="6"/>
  <c r="EH17" i="7"/>
  <c r="EG7" i="7"/>
  <c r="EG16" i="7"/>
  <c r="EF17" i="7"/>
  <c r="EI6" i="2"/>
  <c r="EX8" i="6"/>
  <c r="EI4" i="2"/>
  <c r="EX6" i="6"/>
  <c r="EI3" i="2"/>
  <c r="EX5" i="6"/>
  <c r="AN85" i="11"/>
  <c r="AL28" i="11"/>
  <c r="EI2" i="2"/>
  <c r="EX4" i="6"/>
  <c r="M139" i="11"/>
  <c r="M137" i="11"/>
  <c r="M135" i="11"/>
  <c r="M136" i="11"/>
  <c r="DZ25" i="7"/>
  <c r="FC6" i="7"/>
  <c r="FC17" i="7" s="1"/>
  <c r="EC17" i="7"/>
  <c r="EA17" i="7"/>
  <c r="EW8" i="6"/>
  <c r="EE17" i="7"/>
  <c r="EH4" i="2"/>
  <c r="EW6" i="6"/>
  <c r="EH3" i="2"/>
  <c r="EW5" i="6"/>
  <c r="EH2" i="2"/>
  <c r="EW4" i="6"/>
  <c r="EH5" i="2"/>
  <c r="EW7" i="6"/>
  <c r="ED25" i="7"/>
  <c r="K136" i="11"/>
  <c r="K135" i="11"/>
  <c r="K139" i="11"/>
  <c r="K138" i="11"/>
  <c r="ED17" i="7"/>
  <c r="AJ98" i="11"/>
  <c r="EA6" i="2"/>
  <c r="EP8" i="6"/>
  <c r="AJ41" i="11"/>
  <c r="FF6" i="2" s="1"/>
  <c r="EA2" i="2"/>
  <c r="EP4" i="6"/>
  <c r="I137" i="11"/>
  <c r="DX7" i="7"/>
  <c r="E135" i="11"/>
  <c r="G139" i="11"/>
  <c r="E137" i="11"/>
  <c r="AJ16" i="11"/>
  <c r="H139" i="11"/>
  <c r="H137" i="11"/>
  <c r="H138" i="11"/>
  <c r="E138" i="11"/>
  <c r="E139" i="11"/>
  <c r="AJ59" i="11"/>
  <c r="S12" i="6" s="1"/>
  <c r="F136" i="11"/>
  <c r="AM80" i="11"/>
  <c r="AN81" i="11"/>
  <c r="AN79" i="11"/>
  <c r="K34" i="11"/>
  <c r="K35" i="11" s="1"/>
  <c r="EV9" i="6" s="1"/>
  <c r="AJ37" i="11"/>
  <c r="G137" i="11"/>
  <c r="G136" i="11"/>
  <c r="P137" i="11"/>
  <c r="P139" i="11"/>
  <c r="AG137" i="11"/>
  <c r="N136" i="11"/>
  <c r="P135" i="11"/>
  <c r="H135" i="11"/>
  <c r="G135" i="11"/>
  <c r="I136" i="11"/>
  <c r="AJ22" i="11"/>
  <c r="I135" i="11"/>
  <c r="AG135" i="11"/>
  <c r="I138" i="11"/>
  <c r="Y138" i="11"/>
  <c r="Y139" i="11"/>
  <c r="Y137" i="11"/>
  <c r="AL51" i="11"/>
  <c r="AJ54" i="11"/>
  <c r="S15" i="6" s="1"/>
  <c r="V136" i="11"/>
  <c r="Y136" i="11"/>
  <c r="O138" i="11"/>
  <c r="O135" i="11"/>
  <c r="O139" i="11"/>
  <c r="O137" i="11"/>
  <c r="J38" i="11"/>
  <c r="AJ63" i="11"/>
  <c r="S16" i="6" s="1"/>
  <c r="S137" i="11"/>
  <c r="X138" i="11"/>
  <c r="X139" i="11"/>
  <c r="X135" i="11"/>
  <c r="AJ11" i="11"/>
  <c r="FF4" i="2" s="1"/>
  <c r="AJ5" i="11"/>
  <c r="FF2" i="2" s="1"/>
  <c r="AJ67" i="11"/>
  <c r="S14" i="6" s="1"/>
  <c r="AD139" i="11"/>
  <c r="AD138" i="11"/>
  <c r="AD135" i="11"/>
  <c r="AD136" i="11"/>
  <c r="AB139" i="11"/>
  <c r="AB138" i="11"/>
  <c r="AJ88" i="11"/>
  <c r="AN83" i="11" s="1"/>
  <c r="T139" i="11"/>
  <c r="T138" i="11"/>
  <c r="W139" i="11"/>
  <c r="W135" i="11"/>
  <c r="W138" i="11"/>
  <c r="V139" i="11"/>
  <c r="V138" i="11"/>
  <c r="L139" i="11"/>
  <c r="L138" i="11"/>
  <c r="AL68" i="11"/>
  <c r="F139" i="11"/>
  <c r="F138" i="11"/>
  <c r="T135" i="11"/>
  <c r="AL42" i="11"/>
  <c r="AJ46" i="11"/>
  <c r="S13" i="6" s="1"/>
  <c r="AJ24" i="11"/>
  <c r="FF13" i="2" s="1"/>
  <c r="T137" i="11"/>
  <c r="T136" i="11"/>
  <c r="AB136" i="11"/>
  <c r="N138" i="11"/>
  <c r="N139" i="11"/>
  <c r="N135" i="11"/>
  <c r="Y135" i="11"/>
  <c r="X137" i="11"/>
  <c r="AL47" i="11"/>
  <c r="AJ50" i="11"/>
  <c r="S17" i="6" s="1"/>
  <c r="AB135" i="11"/>
  <c r="F137" i="11"/>
  <c r="S139" i="11"/>
  <c r="S138" i="11"/>
  <c r="AM81" i="11"/>
  <c r="L136" i="11"/>
  <c r="AM79" i="11"/>
  <c r="L135" i="11"/>
  <c r="S135" i="11"/>
  <c r="AN82" i="11"/>
  <c r="AN80" i="11"/>
  <c r="L137" i="11"/>
  <c r="AJ135" i="11"/>
  <c r="AJ69" i="11"/>
  <c r="FF17" i="2" s="1"/>
  <c r="AN84" i="11"/>
  <c r="AJ8" i="11"/>
  <c r="FF3" i="2" s="1"/>
  <c r="DX17" i="7" l="1"/>
  <c r="EK17" i="7"/>
  <c r="FB17" i="7"/>
  <c r="FA17" i="7"/>
  <c r="AK134" i="11"/>
  <c r="EF5" i="2"/>
  <c r="EU7" i="6"/>
  <c r="EZ17" i="7"/>
  <c r="EY17" i="7"/>
  <c r="EW17" i="7"/>
  <c r="EV17" i="7"/>
  <c r="ET17" i="7"/>
  <c r="EN17" i="7"/>
  <c r="EJ17" i="7"/>
  <c r="S8" i="6"/>
  <c r="EG17" i="7"/>
  <c r="EG25" i="7"/>
  <c r="FC16" i="7"/>
  <c r="FC25" i="7" s="1"/>
  <c r="FC7" i="7"/>
  <c r="S10" i="6"/>
  <c r="S21" i="6"/>
  <c r="S22" i="6"/>
  <c r="S6" i="6"/>
  <c r="S5" i="6"/>
  <c r="S4" i="6"/>
  <c r="AJ38" i="11"/>
  <c r="FF5" i="2" s="1"/>
  <c r="AJ34" i="11"/>
  <c r="AJ136" i="11"/>
  <c r="AJ139" i="11"/>
  <c r="AJ137" i="11"/>
  <c r="AJ138" i="11"/>
  <c r="AD29" i="10"/>
  <c r="AD120" i="10"/>
  <c r="AD118" i="10"/>
  <c r="AB29" i="10"/>
  <c r="AB118" i="10"/>
  <c r="AB120" i="10"/>
  <c r="DP3" i="7"/>
  <c r="DQ3" i="7"/>
  <c r="DR3" i="7"/>
  <c r="DS3" i="7"/>
  <c r="DT3" i="7"/>
  <c r="DU3" i="7"/>
  <c r="DV3" i="7"/>
  <c r="DP4" i="7"/>
  <c r="DQ4" i="7"/>
  <c r="DR4" i="7"/>
  <c r="DS4" i="7"/>
  <c r="DT4" i="7"/>
  <c r="DU4" i="7"/>
  <c r="DV4" i="7"/>
  <c r="DP13" i="7"/>
  <c r="DQ13" i="7"/>
  <c r="DR13" i="7"/>
  <c r="DS13" i="7"/>
  <c r="DT13" i="7"/>
  <c r="DU13" i="7"/>
  <c r="DV13" i="7"/>
  <c r="DP14" i="7"/>
  <c r="DQ14" i="7"/>
  <c r="DR14" i="7"/>
  <c r="DS14" i="7"/>
  <c r="DT14" i="7"/>
  <c r="DU14" i="7"/>
  <c r="DV14" i="7"/>
  <c r="DP20" i="7"/>
  <c r="DQ20" i="7"/>
  <c r="DR20" i="7"/>
  <c r="DS20" i="7"/>
  <c r="DT20" i="7"/>
  <c r="DU20" i="7"/>
  <c r="DV20" i="7"/>
  <c r="DP21" i="7"/>
  <c r="DQ21" i="7"/>
  <c r="DR21" i="7"/>
  <c r="DS21" i="7"/>
  <c r="DT21" i="7"/>
  <c r="DU21" i="7"/>
  <c r="DV21" i="7"/>
  <c r="EO30" i="6"/>
  <c r="DY11" i="2" s="1"/>
  <c r="EN30" i="6"/>
  <c r="DX11" i="2" s="1"/>
  <c r="EM30" i="6"/>
  <c r="DW11" i="2" s="1"/>
  <c r="EL30" i="6"/>
  <c r="DV11" i="2" s="1"/>
  <c r="EK30" i="6"/>
  <c r="DU11" i="2" s="1"/>
  <c r="EJ30" i="6"/>
  <c r="DT11" i="2" s="1"/>
  <c r="EI30" i="6"/>
  <c r="DS11" i="2" s="1"/>
  <c r="EH30" i="6"/>
  <c r="DR11" i="2" s="1"/>
  <c r="DT24" i="2"/>
  <c r="DT21" i="2"/>
  <c r="DT20" i="2"/>
  <c r="DT19" i="2"/>
  <c r="DT18" i="2"/>
  <c r="DT17" i="2"/>
  <c r="DT16" i="2"/>
  <c r="DT15" i="2"/>
  <c r="DT14" i="2"/>
  <c r="DT12" i="2"/>
  <c r="DT9" i="2"/>
  <c r="DS24" i="2"/>
  <c r="DS21" i="2"/>
  <c r="DS20" i="2"/>
  <c r="DS19" i="2"/>
  <c r="DS18" i="2"/>
  <c r="DS17" i="2"/>
  <c r="DS16" i="2"/>
  <c r="DS15" i="2"/>
  <c r="DS14" i="2"/>
  <c r="DS12" i="2"/>
  <c r="DS9" i="2"/>
  <c r="DR24" i="2"/>
  <c r="DR21" i="2"/>
  <c r="DR20" i="2"/>
  <c r="DR19" i="2"/>
  <c r="DR18" i="2"/>
  <c r="DR17" i="2"/>
  <c r="DR16" i="2"/>
  <c r="DR15" i="2"/>
  <c r="DR14" i="2"/>
  <c r="DR12" i="2"/>
  <c r="DR9" i="2"/>
  <c r="AC29" i="10"/>
  <c r="AC120" i="10"/>
  <c r="AC118" i="10"/>
  <c r="DP22" i="7" l="1"/>
  <c r="DQ5" i="7"/>
  <c r="DP15" i="7"/>
  <c r="DP5" i="7"/>
  <c r="DQ15" i="7"/>
  <c r="DR15" i="7"/>
  <c r="DQ22" i="7"/>
  <c r="AJ35" i="11"/>
  <c r="S9" i="6" s="1"/>
  <c r="S7" i="6"/>
  <c r="DV15" i="7"/>
  <c r="DV22" i="7"/>
  <c r="DV5" i="7"/>
  <c r="DU15" i="7"/>
  <c r="DU22" i="7"/>
  <c r="DU5" i="7"/>
  <c r="DT15" i="7"/>
  <c r="DT22" i="7"/>
  <c r="DT5" i="7"/>
  <c r="DS15" i="7"/>
  <c r="DS22" i="7"/>
  <c r="DS5" i="7"/>
  <c r="DR22" i="7"/>
  <c r="DR5" i="7"/>
  <c r="AC24" i="10"/>
  <c r="DS13" i="2" s="1"/>
  <c r="EG30" i="6" l="1"/>
  <c r="DQ11" i="2" s="1"/>
  <c r="DQ24" i="2"/>
  <c r="DQ21" i="2"/>
  <c r="DQ20" i="2"/>
  <c r="DQ19" i="2"/>
  <c r="DQ18" i="2"/>
  <c r="DQ17" i="2"/>
  <c r="DQ16" i="2"/>
  <c r="DQ15" i="2"/>
  <c r="DQ14" i="2"/>
  <c r="DQ12" i="2"/>
  <c r="DQ9" i="2"/>
  <c r="AJ29" i="8"/>
  <c r="AA29" i="10" l="1"/>
  <c r="AA120" i="10"/>
  <c r="AA118" i="10"/>
  <c r="Z120" i="10"/>
  <c r="Z29" i="10"/>
  <c r="Z118" i="10" l="1"/>
  <c r="EO38" i="6"/>
  <c r="EO37" i="6"/>
  <c r="EO36" i="6"/>
  <c r="EO35" i="6"/>
  <c r="EO34" i="6"/>
  <c r="EN38" i="6"/>
  <c r="EN37" i="6"/>
  <c r="EN36" i="6"/>
  <c r="EN35" i="6"/>
  <c r="EN34" i="6"/>
  <c r="EM38" i="6"/>
  <c r="EM37" i="6"/>
  <c r="EM36" i="6"/>
  <c r="EM35" i="6"/>
  <c r="EM34" i="6"/>
  <c r="EL38" i="6"/>
  <c r="EL37" i="6"/>
  <c r="EL36" i="6"/>
  <c r="EL35" i="6"/>
  <c r="EL34" i="6"/>
  <c r="EK38" i="6"/>
  <c r="EK37" i="6"/>
  <c r="EK36" i="6"/>
  <c r="EK35" i="6"/>
  <c r="EK34" i="6"/>
  <c r="EJ38" i="6"/>
  <c r="EJ37" i="6"/>
  <c r="EJ36" i="6"/>
  <c r="EJ35" i="6"/>
  <c r="EJ34" i="6"/>
  <c r="EI38" i="6"/>
  <c r="EI37" i="6"/>
  <c r="EI36" i="6"/>
  <c r="EI35" i="6"/>
  <c r="EI34" i="6"/>
  <c r="EO27" i="6"/>
  <c r="DY8" i="2" s="1"/>
  <c r="EO25" i="6"/>
  <c r="EO24" i="6"/>
  <c r="EO23" i="6"/>
  <c r="EO22" i="6"/>
  <c r="EO21" i="6"/>
  <c r="EN27" i="6"/>
  <c r="DX8" i="2" s="1"/>
  <c r="EN25" i="6"/>
  <c r="EN24" i="6"/>
  <c r="EN23" i="6"/>
  <c r="EN22" i="6"/>
  <c r="EN21" i="6"/>
  <c r="EM27" i="6"/>
  <c r="DW8" i="2" s="1"/>
  <c r="EM25" i="6"/>
  <c r="EM24" i="6"/>
  <c r="EM23" i="6"/>
  <c r="EM22" i="6"/>
  <c r="EM21" i="6"/>
  <c r="EL27" i="6"/>
  <c r="DV8" i="2" s="1"/>
  <c r="EL25" i="6"/>
  <c r="EL24" i="6"/>
  <c r="EL23" i="6"/>
  <c r="EL22" i="6"/>
  <c r="EL21" i="6"/>
  <c r="EK27" i="6"/>
  <c r="DU8" i="2" s="1"/>
  <c r="EK25" i="6"/>
  <c r="EK24" i="6"/>
  <c r="EK23" i="6"/>
  <c r="EK22" i="6"/>
  <c r="EK21" i="6"/>
  <c r="EJ27" i="6"/>
  <c r="DT8" i="2" s="1"/>
  <c r="EJ25" i="6"/>
  <c r="EJ24" i="6"/>
  <c r="EJ23" i="6"/>
  <c r="EJ22" i="6"/>
  <c r="EJ21" i="6"/>
  <c r="EI27" i="6"/>
  <c r="DS8" i="2" s="1"/>
  <c r="EI25" i="6"/>
  <c r="EI24" i="6"/>
  <c r="EI23" i="6"/>
  <c r="EI22" i="6"/>
  <c r="EI21" i="6"/>
  <c r="EI10" i="6"/>
  <c r="DP24" i="2"/>
  <c r="DP21" i="2"/>
  <c r="DP20" i="2"/>
  <c r="DP19" i="2"/>
  <c r="DP18" i="2"/>
  <c r="DP17" i="2"/>
  <c r="DP16" i="2"/>
  <c r="DP15" i="2"/>
  <c r="DP14" i="2"/>
  <c r="DP12" i="2"/>
  <c r="DP9" i="2"/>
  <c r="DL3" i="7"/>
  <c r="DM3" i="7"/>
  <c r="DN3" i="7"/>
  <c r="DO3" i="7"/>
  <c r="DL4" i="7"/>
  <c r="DM4" i="7"/>
  <c r="DN4" i="7"/>
  <c r="DO4" i="7"/>
  <c r="DL13" i="7"/>
  <c r="DL15" i="7" s="1"/>
  <c r="DM13" i="7"/>
  <c r="DM15" i="7" s="1"/>
  <c r="DN13" i="7"/>
  <c r="DO13" i="7"/>
  <c r="DL14" i="7"/>
  <c r="DM14" i="7"/>
  <c r="DN14" i="7"/>
  <c r="DO14" i="7"/>
  <c r="DL20" i="7"/>
  <c r="DM20" i="7"/>
  <c r="DN20" i="7"/>
  <c r="DO20" i="7"/>
  <c r="DL21" i="7"/>
  <c r="DM21" i="7"/>
  <c r="DN21" i="7"/>
  <c r="DO21" i="7"/>
  <c r="EF30" i="6"/>
  <c r="DP11" i="2" s="1"/>
  <c r="EE30" i="6"/>
  <c r="EH27" i="6"/>
  <c r="DR8" i="2" s="1"/>
  <c r="EG27" i="6"/>
  <c r="DQ8" i="2" s="1"/>
  <c r="EF27" i="6"/>
  <c r="DP8" i="2" s="1"/>
  <c r="EH38" i="6"/>
  <c r="EH37" i="6"/>
  <c r="EH36" i="6"/>
  <c r="EH35" i="6"/>
  <c r="EH34" i="6"/>
  <c r="EG38" i="6"/>
  <c r="EG37" i="6"/>
  <c r="EG36" i="6"/>
  <c r="EG35" i="6"/>
  <c r="EG34" i="6"/>
  <c r="EF38" i="6"/>
  <c r="EF37" i="6"/>
  <c r="EF36" i="6"/>
  <c r="EF35" i="6"/>
  <c r="EF34" i="6"/>
  <c r="EH25" i="6"/>
  <c r="EH24" i="6"/>
  <c r="EH23" i="6"/>
  <c r="EH22" i="6"/>
  <c r="EH21" i="6"/>
  <c r="EG25" i="6"/>
  <c r="EG24" i="6"/>
  <c r="EG23" i="6"/>
  <c r="EG22" i="6"/>
  <c r="EG21" i="6"/>
  <c r="EF25" i="6"/>
  <c r="EF24" i="6"/>
  <c r="EF23" i="6"/>
  <c r="EF22" i="6"/>
  <c r="EF21" i="6"/>
  <c r="EE25" i="6"/>
  <c r="EE24" i="6"/>
  <c r="EE23" i="6"/>
  <c r="EE22" i="6"/>
  <c r="EE21" i="6"/>
  <c r="EE27" i="6"/>
  <c r="DO8" i="2" s="1"/>
  <c r="EE34" i="6"/>
  <c r="EE35" i="6"/>
  <c r="EE36" i="6"/>
  <c r="EE37" i="6"/>
  <c r="EE38" i="6"/>
  <c r="DO12" i="2"/>
  <c r="DO11" i="2"/>
  <c r="DO9" i="2"/>
  <c r="Y120" i="10"/>
  <c r="Y29" i="10"/>
  <c r="Y118" i="10"/>
  <c r="X29" i="10"/>
  <c r="X120" i="10"/>
  <c r="X118" i="10"/>
  <c r="DO24" i="2"/>
  <c r="DO21" i="2"/>
  <c r="DO20" i="2"/>
  <c r="DO19" i="2"/>
  <c r="DO18" i="2"/>
  <c r="DO17" i="2"/>
  <c r="DO16" i="2"/>
  <c r="DO15" i="2"/>
  <c r="DO14" i="2"/>
  <c r="DN24" i="2"/>
  <c r="DN21" i="2"/>
  <c r="DN20" i="2"/>
  <c r="DN19" i="2"/>
  <c r="DN18" i="2"/>
  <c r="DN17" i="2"/>
  <c r="DN16" i="2"/>
  <c r="DN15" i="2"/>
  <c r="DN14" i="2"/>
  <c r="DN12" i="2"/>
  <c r="DN9" i="2"/>
  <c r="W29" i="10"/>
  <c r="W120" i="10"/>
  <c r="V120" i="10"/>
  <c r="V29" i="10"/>
  <c r="W118" i="10"/>
  <c r="DM24" i="2"/>
  <c r="DM21" i="2"/>
  <c r="DM20" i="2"/>
  <c r="DM19" i="2"/>
  <c r="DM18" i="2"/>
  <c r="DM17" i="2"/>
  <c r="DM16" i="2"/>
  <c r="DM15" i="2"/>
  <c r="DM14" i="2"/>
  <c r="DM12" i="2"/>
  <c r="DM9" i="2"/>
  <c r="R30" i="6"/>
  <c r="U30" i="6"/>
  <c r="ED30" i="6"/>
  <c r="DN11" i="2" s="1"/>
  <c r="EC30" i="6"/>
  <c r="DM11" i="2" s="1"/>
  <c r="EB30" i="6"/>
  <c r="DL11" i="2" s="1"/>
  <c r="ED27" i="6"/>
  <c r="DN8" i="2" s="1"/>
  <c r="EC27" i="6"/>
  <c r="DM8" i="2" s="1"/>
  <c r="EB27" i="6"/>
  <c r="DL8" i="2" s="1"/>
  <c r="DL24" i="2"/>
  <c r="DL23" i="2"/>
  <c r="DL21" i="2"/>
  <c r="DL20" i="2"/>
  <c r="DL19" i="2"/>
  <c r="DL18" i="2"/>
  <c r="DL17" i="2"/>
  <c r="DL16" i="2"/>
  <c r="DL15" i="2"/>
  <c r="DL14" i="2"/>
  <c r="DL12" i="2"/>
  <c r="DL9" i="2"/>
  <c r="V118" i="10"/>
  <c r="AJ73" i="10"/>
  <c r="DN22" i="7" l="1"/>
  <c r="DL22" i="7"/>
  <c r="DO22" i="7"/>
  <c r="DM5" i="7"/>
  <c r="DO15" i="7"/>
  <c r="DL5" i="7"/>
  <c r="DN15" i="7"/>
  <c r="DO5" i="7"/>
  <c r="DN5" i="7"/>
  <c r="DM22" i="7"/>
  <c r="EA30" i="6"/>
  <c r="DZ30" i="6"/>
  <c r="DJ11" i="2" s="1"/>
  <c r="DY34" i="6"/>
  <c r="DZ34" i="6"/>
  <c r="EA34" i="6"/>
  <c r="EB34" i="6"/>
  <c r="EC34" i="6"/>
  <c r="ED34" i="6"/>
  <c r="DY35" i="6"/>
  <c r="DZ35" i="6"/>
  <c r="EA35" i="6"/>
  <c r="EB35" i="6"/>
  <c r="EC35" i="6"/>
  <c r="ED35" i="6"/>
  <c r="DY36" i="6"/>
  <c r="DZ36" i="6"/>
  <c r="EA36" i="6"/>
  <c r="EB36" i="6"/>
  <c r="EC36" i="6"/>
  <c r="ED36" i="6"/>
  <c r="DY37" i="6"/>
  <c r="DZ37" i="6"/>
  <c r="EA37" i="6"/>
  <c r="EB37" i="6"/>
  <c r="EC37" i="6"/>
  <c r="ED37" i="6"/>
  <c r="DY38" i="6"/>
  <c r="DZ38" i="6"/>
  <c r="EA38" i="6"/>
  <c r="EB38" i="6"/>
  <c r="EC38" i="6"/>
  <c r="ED38" i="6"/>
  <c r="ED25" i="6"/>
  <c r="ED24" i="6"/>
  <c r="ED23" i="6"/>
  <c r="ED22" i="6"/>
  <c r="ED21" i="6"/>
  <c r="EC25" i="6"/>
  <c r="EC24" i="6"/>
  <c r="EC23" i="6"/>
  <c r="EC22" i="6"/>
  <c r="EC21" i="6"/>
  <c r="EB25" i="6"/>
  <c r="EB24" i="6"/>
  <c r="EB23" i="6"/>
  <c r="EB22" i="6"/>
  <c r="EB21" i="6"/>
  <c r="EA25" i="6"/>
  <c r="EA24" i="6"/>
  <c r="EA23" i="6"/>
  <c r="EA22" i="6"/>
  <c r="EA21" i="6"/>
  <c r="DZ25" i="6"/>
  <c r="DZ24" i="6"/>
  <c r="DZ23" i="6"/>
  <c r="DZ22" i="6"/>
  <c r="DZ21" i="6"/>
  <c r="EA27" i="6"/>
  <c r="DK8" i="2" s="1"/>
  <c r="DZ27" i="6"/>
  <c r="DJ8" i="2" s="1"/>
  <c r="DK24" i="2"/>
  <c r="DK23" i="2"/>
  <c r="DK21" i="2"/>
  <c r="DK20" i="2"/>
  <c r="DK19" i="2"/>
  <c r="DK18" i="2"/>
  <c r="DK17" i="2"/>
  <c r="DK16" i="2"/>
  <c r="DK15" i="2"/>
  <c r="DK14" i="2"/>
  <c r="DK12" i="2"/>
  <c r="DK11" i="2"/>
  <c r="DK9" i="2"/>
  <c r="DJ24" i="2"/>
  <c r="DJ23" i="2"/>
  <c r="DJ21" i="2"/>
  <c r="DJ20" i="2"/>
  <c r="DJ19" i="2"/>
  <c r="DJ18" i="2"/>
  <c r="DJ17" i="2"/>
  <c r="DJ16" i="2"/>
  <c r="DJ15" i="2"/>
  <c r="DJ14" i="2"/>
  <c r="DJ12" i="2"/>
  <c r="DJ9" i="2"/>
  <c r="DI24" i="2"/>
  <c r="DI23" i="2"/>
  <c r="DI21" i="2"/>
  <c r="DI20" i="2"/>
  <c r="DI19" i="2"/>
  <c r="DI18" i="2"/>
  <c r="DI17" i="2"/>
  <c r="DI16" i="2"/>
  <c r="DI15" i="2"/>
  <c r="DI14" i="2"/>
  <c r="DI12" i="2"/>
  <c r="DI9" i="2"/>
  <c r="U29" i="10"/>
  <c r="U120" i="10"/>
  <c r="U118" i="10"/>
  <c r="T120" i="10"/>
  <c r="T29" i="10"/>
  <c r="S120" i="10"/>
  <c r="S29" i="10"/>
  <c r="AJ75" i="9"/>
  <c r="AK75" i="9" s="1"/>
  <c r="D11" i="2" l="1"/>
  <c r="D23" i="2"/>
  <c r="R120" i="10"/>
  <c r="Q120" i="10"/>
  <c r="Q29" i="10"/>
  <c r="R29" i="10"/>
  <c r="DF3" i="7"/>
  <c r="DG3" i="7"/>
  <c r="DH3" i="7"/>
  <c r="DI3" i="7"/>
  <c r="DJ3" i="7"/>
  <c r="DK3" i="7"/>
  <c r="DF4" i="7"/>
  <c r="DG4" i="7"/>
  <c r="DH4" i="7"/>
  <c r="DI4" i="7"/>
  <c r="DJ4" i="7"/>
  <c r="DK4" i="7"/>
  <c r="DF13" i="7"/>
  <c r="DG13" i="7"/>
  <c r="DH13" i="7"/>
  <c r="DI13" i="7"/>
  <c r="DJ13" i="7"/>
  <c r="DK13" i="7"/>
  <c r="DF14" i="7"/>
  <c r="DG14" i="7"/>
  <c r="DH14" i="7"/>
  <c r="DI14" i="7"/>
  <c r="DJ14" i="7"/>
  <c r="DJ15" i="7" s="1"/>
  <c r="DK14" i="7"/>
  <c r="DK15" i="7" s="1"/>
  <c r="DF20" i="7"/>
  <c r="DG20" i="7"/>
  <c r="DH20" i="7"/>
  <c r="DI20" i="7"/>
  <c r="DJ20" i="7"/>
  <c r="DK20" i="7"/>
  <c r="DF21" i="7"/>
  <c r="DG21" i="7"/>
  <c r="DH21" i="7"/>
  <c r="DI21" i="7"/>
  <c r="DJ21" i="7"/>
  <c r="DK21" i="7"/>
  <c r="DD3" i="7"/>
  <c r="DE3" i="7"/>
  <c r="DD4" i="7"/>
  <c r="DD5" i="7" s="1"/>
  <c r="DE4" i="7"/>
  <c r="DD13" i="7"/>
  <c r="DE13" i="7"/>
  <c r="DD14" i="7"/>
  <c r="DD15" i="7" s="1"/>
  <c r="DE14" i="7"/>
  <c r="DD20" i="7"/>
  <c r="DE20" i="7"/>
  <c r="DD21" i="7"/>
  <c r="DE21" i="7"/>
  <c r="DH24" i="2"/>
  <c r="DH23" i="2"/>
  <c r="DH21" i="2"/>
  <c r="DH20" i="2"/>
  <c r="DH19" i="2"/>
  <c r="DH18" i="2"/>
  <c r="DH17" i="2"/>
  <c r="DH16" i="2"/>
  <c r="DH15" i="2"/>
  <c r="DH14" i="2"/>
  <c r="DH12" i="2"/>
  <c r="DH9" i="2"/>
  <c r="DG24" i="2"/>
  <c r="DG23" i="2"/>
  <c r="DG21" i="2"/>
  <c r="DG20" i="2"/>
  <c r="DG19" i="2"/>
  <c r="DG18" i="2"/>
  <c r="DG17" i="2"/>
  <c r="DG16" i="2"/>
  <c r="DG15" i="2"/>
  <c r="DG14" i="2"/>
  <c r="DG12" i="2"/>
  <c r="DG9" i="2"/>
  <c r="DJ5" i="7" l="1"/>
  <c r="DE5" i="7"/>
  <c r="DG22" i="7"/>
  <c r="DE15" i="7"/>
  <c r="DI22" i="7"/>
  <c r="DD22" i="7"/>
  <c r="DE22" i="7"/>
  <c r="DF22" i="7"/>
  <c r="DH5" i="7"/>
  <c r="DK22" i="7"/>
  <c r="DI15" i="7"/>
  <c r="DK5" i="7"/>
  <c r="DJ22" i="7"/>
  <c r="DI5" i="7"/>
  <c r="DH15" i="7"/>
  <c r="DG15" i="7"/>
  <c r="DF15" i="7"/>
  <c r="DH22" i="7"/>
  <c r="DG5" i="7"/>
  <c r="DF5" i="7"/>
  <c r="P87" i="10"/>
  <c r="P29" i="10"/>
  <c r="DY30" i="6"/>
  <c r="DI11" i="2" s="1"/>
  <c r="DX30" i="6"/>
  <c r="DH11" i="2" s="1"/>
  <c r="DW30" i="6"/>
  <c r="DG11" i="2" s="1"/>
  <c r="DV30" i="6"/>
  <c r="DF11" i="2" s="1"/>
  <c r="DY27" i="6"/>
  <c r="DI8" i="2" s="1"/>
  <c r="DX27" i="6"/>
  <c r="DH8" i="2" s="1"/>
  <c r="DW27" i="6"/>
  <c r="DG8" i="2" s="1"/>
  <c r="DV27" i="6"/>
  <c r="DF8" i="2" s="1"/>
  <c r="DF24" i="2"/>
  <c r="DF23" i="2"/>
  <c r="DF21" i="2"/>
  <c r="DF20" i="2"/>
  <c r="DF19" i="2"/>
  <c r="DF18" i="2"/>
  <c r="DF17" i="2"/>
  <c r="DF16" i="2"/>
  <c r="DF15" i="2"/>
  <c r="DF14" i="2"/>
  <c r="DF12" i="2"/>
  <c r="DF9" i="2"/>
  <c r="DE24" i="2"/>
  <c r="DE23" i="2"/>
  <c r="DE21" i="2"/>
  <c r="DE20" i="2"/>
  <c r="DE19" i="2"/>
  <c r="DE18" i="2"/>
  <c r="DE17" i="2"/>
  <c r="DE16" i="2"/>
  <c r="DE15" i="2"/>
  <c r="DE14" i="2"/>
  <c r="DE12" i="2"/>
  <c r="DE9" i="2"/>
  <c r="DD24" i="2"/>
  <c r="DD23" i="2"/>
  <c r="DD21" i="2"/>
  <c r="DD20" i="2"/>
  <c r="DD19" i="2"/>
  <c r="DD18" i="2"/>
  <c r="DD17" i="2"/>
  <c r="DD16" i="2"/>
  <c r="DD15" i="2"/>
  <c r="DD14" i="2"/>
  <c r="DD12" i="2"/>
  <c r="DD9" i="2"/>
  <c r="O29" i="10" l="1"/>
  <c r="N29" i="10"/>
  <c r="AJ43" i="9"/>
  <c r="AJ42" i="9"/>
  <c r="M120" i="10"/>
  <c r="M118" i="10"/>
  <c r="M29" i="10"/>
  <c r="DC24" i="2"/>
  <c r="DC23" i="2"/>
  <c r="DC21" i="2"/>
  <c r="DC20" i="2"/>
  <c r="DC19" i="2"/>
  <c r="DC18" i="2"/>
  <c r="DC17" i="2"/>
  <c r="DC16" i="2"/>
  <c r="DC15" i="2"/>
  <c r="DC14" i="2"/>
  <c r="DC12" i="2"/>
  <c r="DC9" i="2"/>
  <c r="CZ3" i="7"/>
  <c r="DA3" i="7"/>
  <c r="DB3" i="7"/>
  <c r="DC3" i="7"/>
  <c r="CZ4" i="7"/>
  <c r="CZ5" i="7" s="1"/>
  <c r="DA4" i="7"/>
  <c r="DB4" i="7"/>
  <c r="DB5" i="7" s="1"/>
  <c r="DC4" i="7"/>
  <c r="CZ13" i="7"/>
  <c r="DA13" i="7"/>
  <c r="DB13" i="7"/>
  <c r="DC13" i="7"/>
  <c r="CZ14" i="7"/>
  <c r="DA14" i="7"/>
  <c r="DB14" i="7"/>
  <c r="DC14" i="7"/>
  <c r="CZ20" i="7"/>
  <c r="DA20" i="7"/>
  <c r="DB20" i="7"/>
  <c r="DC20" i="7"/>
  <c r="CZ21" i="7"/>
  <c r="CZ22" i="7" s="1"/>
  <c r="DA21" i="7"/>
  <c r="DB21" i="7"/>
  <c r="DC21" i="7"/>
  <c r="CR23" i="7"/>
  <c r="CV20" i="7"/>
  <c r="CW20" i="7"/>
  <c r="CX20" i="7"/>
  <c r="CY20" i="7"/>
  <c r="CU13" i="7"/>
  <c r="CV13" i="7"/>
  <c r="CW13" i="7"/>
  <c r="CX13" i="7"/>
  <c r="CY13" i="7"/>
  <c r="K62" i="10"/>
  <c r="E57" i="10"/>
  <c r="L29" i="10"/>
  <c r="DU30" i="6"/>
  <c r="DE11" i="2" s="1"/>
  <c r="DT30" i="6"/>
  <c r="DD11" i="2" s="1"/>
  <c r="DS30" i="6"/>
  <c r="DC11" i="2" s="1"/>
  <c r="DR30" i="6"/>
  <c r="DB11" i="2" s="1"/>
  <c r="DU27" i="6"/>
  <c r="DE8" i="2" s="1"/>
  <c r="DT27" i="6"/>
  <c r="DD8" i="2" s="1"/>
  <c r="DS27" i="6"/>
  <c r="DC8" i="2" s="1"/>
  <c r="DR27" i="6"/>
  <c r="DB24" i="2"/>
  <c r="DB23" i="2"/>
  <c r="DB21" i="2"/>
  <c r="DB20" i="2"/>
  <c r="DB19" i="2"/>
  <c r="DB18" i="2"/>
  <c r="DB17" i="2"/>
  <c r="DB16" i="2"/>
  <c r="DB15" i="2"/>
  <c r="DB14" i="2"/>
  <c r="DB12" i="2"/>
  <c r="DB9" i="2"/>
  <c r="DB8" i="2"/>
  <c r="AJ83" i="9"/>
  <c r="DR34" i="6"/>
  <c r="DS34" i="6"/>
  <c r="DT34" i="6"/>
  <c r="DU34" i="6"/>
  <c r="DV34" i="6"/>
  <c r="DW34" i="6"/>
  <c r="DX34" i="6"/>
  <c r="DR35" i="6"/>
  <c r="DS35" i="6"/>
  <c r="DT35" i="6"/>
  <c r="DU35" i="6"/>
  <c r="DV35" i="6"/>
  <c r="DW35" i="6"/>
  <c r="DX35" i="6"/>
  <c r="DR36" i="6"/>
  <c r="DS36" i="6"/>
  <c r="DT36" i="6"/>
  <c r="DU36" i="6"/>
  <c r="DV36" i="6"/>
  <c r="DW36" i="6"/>
  <c r="DX36" i="6"/>
  <c r="DR37" i="6"/>
  <c r="DS37" i="6"/>
  <c r="DT37" i="6"/>
  <c r="DU37" i="6"/>
  <c r="DV37" i="6"/>
  <c r="DW37" i="6"/>
  <c r="DX37" i="6"/>
  <c r="DR38" i="6"/>
  <c r="DS38" i="6"/>
  <c r="DT38" i="6"/>
  <c r="DU38" i="6"/>
  <c r="DV38" i="6"/>
  <c r="DW38" i="6"/>
  <c r="DX38" i="6"/>
  <c r="DQ21" i="6"/>
  <c r="DR21" i="6"/>
  <c r="DS21" i="6"/>
  <c r="DT21" i="6"/>
  <c r="DU21" i="6"/>
  <c r="DV21" i="6"/>
  <c r="DW21" i="6"/>
  <c r="DX21" i="6"/>
  <c r="DY21" i="6"/>
  <c r="DQ22" i="6"/>
  <c r="DR22" i="6"/>
  <c r="DS22" i="6"/>
  <c r="DT22" i="6"/>
  <c r="DU22" i="6"/>
  <c r="DV22" i="6"/>
  <c r="DW22" i="6"/>
  <c r="DX22" i="6"/>
  <c r="DY22" i="6"/>
  <c r="DQ23" i="6"/>
  <c r="DR23" i="6"/>
  <c r="DS23" i="6"/>
  <c r="DT23" i="6"/>
  <c r="DU23" i="6"/>
  <c r="DV23" i="6"/>
  <c r="DW23" i="6"/>
  <c r="DX23" i="6"/>
  <c r="DY23" i="6"/>
  <c r="DQ24" i="6"/>
  <c r="DR24" i="6"/>
  <c r="DS24" i="6"/>
  <c r="DT24" i="6"/>
  <c r="DU24" i="6"/>
  <c r="DV24" i="6"/>
  <c r="DW24" i="6"/>
  <c r="DX24" i="6"/>
  <c r="DY24" i="6"/>
  <c r="DQ25" i="6"/>
  <c r="DR25" i="6"/>
  <c r="DS25" i="6"/>
  <c r="DT25" i="6"/>
  <c r="DU25" i="6"/>
  <c r="DV25" i="6"/>
  <c r="DW25" i="6"/>
  <c r="DX25" i="6"/>
  <c r="DY25" i="6"/>
  <c r="DQ30" i="6"/>
  <c r="DA11" i="2" s="1"/>
  <c r="DP30" i="6"/>
  <c r="CZ11" i="2" s="1"/>
  <c r="DA24" i="2"/>
  <c r="DA23" i="2"/>
  <c r="DA21" i="2"/>
  <c r="DA20" i="2"/>
  <c r="DA19" i="2"/>
  <c r="DA18" i="2"/>
  <c r="DA17" i="2"/>
  <c r="DA16" i="2"/>
  <c r="DA15" i="2"/>
  <c r="DA14" i="2"/>
  <c r="DA12" i="2"/>
  <c r="DA9" i="2"/>
  <c r="CZ24" i="2"/>
  <c r="CZ23" i="2"/>
  <c r="CZ21" i="2"/>
  <c r="CZ20" i="2"/>
  <c r="CZ19" i="2"/>
  <c r="CZ18" i="2"/>
  <c r="CZ17" i="2"/>
  <c r="CZ16" i="2"/>
  <c r="CZ15" i="2"/>
  <c r="CZ14" i="2"/>
  <c r="CZ12" i="2"/>
  <c r="CZ9" i="2"/>
  <c r="CY24" i="2"/>
  <c r="CY23" i="2"/>
  <c r="CY21" i="2"/>
  <c r="CY20" i="2"/>
  <c r="CY19" i="2"/>
  <c r="CY18" i="2"/>
  <c r="CY17" i="2"/>
  <c r="CY16" i="2"/>
  <c r="CY15" i="2"/>
  <c r="CY14" i="2"/>
  <c r="CY12" i="2"/>
  <c r="CY9" i="2"/>
  <c r="J118" i="10"/>
  <c r="K120" i="10"/>
  <c r="I29" i="10"/>
  <c r="K29" i="10"/>
  <c r="J29" i="10"/>
  <c r="AJ28" i="9"/>
  <c r="CS20" i="7"/>
  <c r="CT20" i="7"/>
  <c r="CU20" i="7"/>
  <c r="CR20" i="7"/>
  <c r="CS13" i="7"/>
  <c r="CT13" i="7"/>
  <c r="AA31" i="9"/>
  <c r="AA29" i="9"/>
  <c r="X29" i="9"/>
  <c r="H29" i="10"/>
  <c r="G29" i="10"/>
  <c r="F29" i="10"/>
  <c r="E29" i="10"/>
  <c r="CR13" i="7"/>
  <c r="AJ30" i="9"/>
  <c r="AK128" i="9"/>
  <c r="DM34" i="6"/>
  <c r="DN34" i="6"/>
  <c r="DO34" i="6"/>
  <c r="DP34" i="6"/>
  <c r="DQ34" i="6"/>
  <c r="DM35" i="6"/>
  <c r="DN35" i="6"/>
  <c r="DO35" i="6"/>
  <c r="DP35" i="6"/>
  <c r="DQ35" i="6"/>
  <c r="DM36" i="6"/>
  <c r="DN36" i="6"/>
  <c r="DO36" i="6"/>
  <c r="DP36" i="6"/>
  <c r="DQ36" i="6"/>
  <c r="DM37" i="6"/>
  <c r="DN37" i="6"/>
  <c r="DO37" i="6"/>
  <c r="DP37" i="6"/>
  <c r="DQ37" i="6"/>
  <c r="DM38" i="6"/>
  <c r="DN38" i="6"/>
  <c r="DO38" i="6"/>
  <c r="DP38" i="6"/>
  <c r="DQ38" i="6"/>
  <c r="DQ27" i="6"/>
  <c r="DA8" i="2" s="1"/>
  <c r="DP27" i="6"/>
  <c r="CZ8" i="2" s="1"/>
  <c r="DO27" i="6"/>
  <c r="CY8" i="2" s="1"/>
  <c r="DO30" i="6"/>
  <c r="CY11" i="2" s="1"/>
  <c r="DN30" i="6"/>
  <c r="CX11" i="2" s="1"/>
  <c r="DM30" i="6"/>
  <c r="CW11" i="2" s="1"/>
  <c r="DM21" i="6"/>
  <c r="DN21" i="6"/>
  <c r="DO21" i="6"/>
  <c r="DP21" i="6"/>
  <c r="DM22" i="6"/>
  <c r="DN22" i="6"/>
  <c r="DO22" i="6"/>
  <c r="DP22" i="6"/>
  <c r="DM23" i="6"/>
  <c r="DN23" i="6"/>
  <c r="DO23" i="6"/>
  <c r="DP23" i="6"/>
  <c r="DM24" i="6"/>
  <c r="DN24" i="6"/>
  <c r="DO24" i="6"/>
  <c r="DP24" i="6"/>
  <c r="DM25" i="6"/>
  <c r="DN25" i="6"/>
  <c r="DO25" i="6"/>
  <c r="DP25" i="6"/>
  <c r="DN27" i="6"/>
  <c r="CX8" i="2" s="1"/>
  <c r="DM27" i="6"/>
  <c r="CW8" i="2" s="1"/>
  <c r="CX24" i="2"/>
  <c r="CX23" i="2"/>
  <c r="CX21" i="2"/>
  <c r="CX20" i="2"/>
  <c r="CX19" i="2"/>
  <c r="CX18" i="2"/>
  <c r="CX17" i="2"/>
  <c r="CX16" i="2"/>
  <c r="CX15" i="2"/>
  <c r="CX14" i="2"/>
  <c r="CX12" i="2"/>
  <c r="CX9" i="2"/>
  <c r="CW24" i="2"/>
  <c r="CW23" i="2"/>
  <c r="CW21" i="2"/>
  <c r="CW20" i="2"/>
  <c r="CW19" i="2"/>
  <c r="CW18" i="2"/>
  <c r="CW17" i="2"/>
  <c r="CW16" i="2"/>
  <c r="CW15" i="2"/>
  <c r="CW14" i="2"/>
  <c r="CW12" i="2"/>
  <c r="CW9" i="2"/>
  <c r="CV24" i="2"/>
  <c r="CV23" i="2"/>
  <c r="CV21" i="2"/>
  <c r="CV20" i="2"/>
  <c r="CV19" i="2"/>
  <c r="CV18" i="2"/>
  <c r="CV17" i="2"/>
  <c r="CV16" i="2"/>
  <c r="CV15" i="2"/>
  <c r="CV14" i="2"/>
  <c r="CV12" i="2"/>
  <c r="CV9" i="2"/>
  <c r="AJ125" i="9"/>
  <c r="E126" i="9"/>
  <c r="AJ126" i="9" s="1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CV3" i="7"/>
  <c r="CW3" i="7"/>
  <c r="CX3" i="7"/>
  <c r="CY3" i="7"/>
  <c r="CV4" i="7"/>
  <c r="CW4" i="7"/>
  <c r="CX4" i="7"/>
  <c r="CY4" i="7"/>
  <c r="CV14" i="7"/>
  <c r="CW14" i="7"/>
  <c r="CW15" i="7" s="1"/>
  <c r="CX14" i="7"/>
  <c r="CY14" i="7"/>
  <c r="CY15" i="7" s="1"/>
  <c r="CV21" i="7"/>
  <c r="CV22" i="7" s="1"/>
  <c r="CW21" i="7"/>
  <c r="CX21" i="7"/>
  <c r="CY21" i="7"/>
  <c r="CS3" i="7"/>
  <c r="CT3" i="7"/>
  <c r="CU3" i="7"/>
  <c r="CS4" i="7"/>
  <c r="CT4" i="7"/>
  <c r="CU4" i="7"/>
  <c r="CS5" i="7"/>
  <c r="CS14" i="7"/>
  <c r="CS15" i="7" s="1"/>
  <c r="CT14" i="7"/>
  <c r="CU14" i="7"/>
  <c r="CS21" i="7"/>
  <c r="CT21" i="7"/>
  <c r="CU21" i="7"/>
  <c r="CU22" i="7" s="1"/>
  <c r="CU15" i="7" l="1"/>
  <c r="CV15" i="7"/>
  <c r="CX22" i="7"/>
  <c r="CX5" i="7"/>
  <c r="DB22" i="7"/>
  <c r="CU5" i="7"/>
  <c r="CT15" i="7"/>
  <c r="CY5" i="7"/>
  <c r="CW22" i="7"/>
  <c r="DA22" i="7"/>
  <c r="DA5" i="7"/>
  <c r="CV5" i="7"/>
  <c r="CS22" i="7"/>
  <c r="DC22" i="7"/>
  <c r="DC15" i="7"/>
  <c r="CT5" i="7"/>
  <c r="DB15" i="7"/>
  <c r="DA15" i="7"/>
  <c r="DC5" i="7"/>
  <c r="CZ15" i="7"/>
  <c r="CY22" i="7"/>
  <c r="CX15" i="7"/>
  <c r="CW5" i="7"/>
  <c r="CT22" i="7"/>
  <c r="DZ12" i="2" l="1"/>
  <c r="DZ9" i="2"/>
  <c r="DZ23" i="2"/>
  <c r="AI3" i="10" l="1"/>
  <c r="AI4" i="10"/>
  <c r="AI6" i="10"/>
  <c r="AI7" i="10"/>
  <c r="AI9" i="10"/>
  <c r="AI10" i="10"/>
  <c r="AI14" i="10"/>
  <c r="AI15" i="10"/>
  <c r="AI19" i="10"/>
  <c r="AI20" i="10" s="1"/>
  <c r="AI21" i="10"/>
  <c r="AI24" i="10"/>
  <c r="AI32" i="10"/>
  <c r="AI33" i="10"/>
  <c r="AI36" i="10"/>
  <c r="AI39" i="10"/>
  <c r="AI40" i="10"/>
  <c r="AI41" i="10" s="1"/>
  <c r="AI44" i="10"/>
  <c r="DV6" i="7" s="1"/>
  <c r="AI45" i="10"/>
  <c r="AI49" i="10"/>
  <c r="AI50" i="10" s="1"/>
  <c r="EO17" i="6" s="1"/>
  <c r="AI53" i="10"/>
  <c r="AI54" i="10"/>
  <c r="EO15" i="6" s="1"/>
  <c r="AI57" i="10"/>
  <c r="DV23" i="7" s="1"/>
  <c r="DV24" i="7" s="1"/>
  <c r="AI58" i="10"/>
  <c r="AI62" i="10"/>
  <c r="AI66" i="10"/>
  <c r="AI87" i="10"/>
  <c r="AI124" i="10"/>
  <c r="AJ124" i="10" s="1"/>
  <c r="CT9" i="2"/>
  <c r="CU9" i="2"/>
  <c r="CU24" i="2"/>
  <c r="CU23" i="2"/>
  <c r="CU21" i="2"/>
  <c r="CU20" i="2"/>
  <c r="CU19" i="2"/>
  <c r="CU18" i="2"/>
  <c r="CU17" i="2"/>
  <c r="CU16" i="2"/>
  <c r="CU15" i="2"/>
  <c r="CU14" i="2"/>
  <c r="CU12" i="2"/>
  <c r="CR21" i="7"/>
  <c r="CR22" i="7" s="1"/>
  <c r="Q24" i="6"/>
  <c r="DL38" i="6"/>
  <c r="DL37" i="6"/>
  <c r="DL36" i="6"/>
  <c r="DL35" i="6"/>
  <c r="DL34" i="6"/>
  <c r="DL30" i="6"/>
  <c r="CV11" i="2" s="1"/>
  <c r="DL27" i="6"/>
  <c r="CV8" i="2" s="1"/>
  <c r="DL25" i="6"/>
  <c r="DL24" i="6"/>
  <c r="DL23" i="6"/>
  <c r="DL22" i="6"/>
  <c r="DL21" i="6"/>
  <c r="DK38" i="6"/>
  <c r="DK37" i="6"/>
  <c r="DK36" i="6"/>
  <c r="DK35" i="6"/>
  <c r="DK34" i="6"/>
  <c r="DK25" i="6"/>
  <c r="DK24" i="6"/>
  <c r="DK22" i="6"/>
  <c r="DK21" i="6"/>
  <c r="DK23" i="6"/>
  <c r="DK30" i="6"/>
  <c r="CU11" i="2" s="1"/>
  <c r="DK27" i="6"/>
  <c r="CU8" i="2" s="1"/>
  <c r="R25" i="6"/>
  <c r="DZ11" i="2"/>
  <c r="R27" i="6"/>
  <c r="DZ8" i="2" s="1"/>
  <c r="CR14" i="7"/>
  <c r="CR15" i="7" s="1"/>
  <c r="DW15" i="7" s="1"/>
  <c r="CR4" i="7"/>
  <c r="CR3" i="7"/>
  <c r="CS24" i="2"/>
  <c r="CS23" i="2"/>
  <c r="CS21" i="2"/>
  <c r="CS20" i="2"/>
  <c r="CS19" i="2"/>
  <c r="CS18" i="2"/>
  <c r="CS17" i="2"/>
  <c r="CS16" i="2"/>
  <c r="CS15" i="2"/>
  <c r="CS14" i="2"/>
  <c r="CS12" i="2"/>
  <c r="CS9" i="2"/>
  <c r="CR24" i="2"/>
  <c r="CR23" i="2"/>
  <c r="CR21" i="2"/>
  <c r="CR20" i="2"/>
  <c r="CR19" i="2"/>
  <c r="CR18" i="2"/>
  <c r="CR17" i="2"/>
  <c r="CR16" i="2"/>
  <c r="CR15" i="2"/>
  <c r="CR14" i="2"/>
  <c r="CR12" i="2"/>
  <c r="CR9" i="2"/>
  <c r="AH126" i="10"/>
  <c r="AJ132" i="10"/>
  <c r="AJ131" i="10"/>
  <c r="AJ130" i="10"/>
  <c r="AJ129" i="10"/>
  <c r="DZ22" i="2" s="1"/>
  <c r="AG126" i="10"/>
  <c r="AF126" i="10"/>
  <c r="AE126" i="10"/>
  <c r="AE37" i="10" s="1"/>
  <c r="AD126" i="10"/>
  <c r="AD37" i="10" s="1"/>
  <c r="AC126" i="10"/>
  <c r="AB126" i="10"/>
  <c r="AA126" i="10"/>
  <c r="AA98" i="10" s="1"/>
  <c r="Z126" i="10"/>
  <c r="Y126" i="10"/>
  <c r="Y37" i="10" s="1"/>
  <c r="X126" i="10"/>
  <c r="X98" i="10" s="1"/>
  <c r="W126" i="10"/>
  <c r="V126" i="10"/>
  <c r="U126" i="10"/>
  <c r="T126" i="10"/>
  <c r="S126" i="10"/>
  <c r="R126" i="10"/>
  <c r="Q126" i="10"/>
  <c r="P126" i="10"/>
  <c r="O126" i="10"/>
  <c r="N126" i="10"/>
  <c r="M126" i="10"/>
  <c r="L126" i="10"/>
  <c r="K126" i="10"/>
  <c r="J126" i="10"/>
  <c r="I126" i="10"/>
  <c r="H126" i="10"/>
  <c r="G126" i="10"/>
  <c r="F126" i="10"/>
  <c r="E126" i="10"/>
  <c r="AJ125" i="10"/>
  <c r="AJ121" i="10"/>
  <c r="AJ120" i="10"/>
  <c r="AJ119" i="10"/>
  <c r="AJ118" i="10"/>
  <c r="AJ111" i="10"/>
  <c r="DZ20" i="2" s="1"/>
  <c r="AJ110" i="10"/>
  <c r="DZ19" i="2" s="1"/>
  <c r="AJ109" i="10"/>
  <c r="DZ18" i="2" s="1"/>
  <c r="AJ105" i="10"/>
  <c r="AJ106" i="10" s="1"/>
  <c r="AJ104" i="10"/>
  <c r="AL101" i="10"/>
  <c r="AJ100" i="10"/>
  <c r="AF98" i="10"/>
  <c r="AJ97" i="10"/>
  <c r="AL97" i="10" s="1"/>
  <c r="AJ96" i="10"/>
  <c r="AL96" i="10" s="1"/>
  <c r="AJ95" i="10"/>
  <c r="AL95" i="10" s="1"/>
  <c r="AJ94" i="10"/>
  <c r="AL94" i="10" s="1"/>
  <c r="AJ93" i="10"/>
  <c r="AL93" i="10" s="1"/>
  <c r="AJ92" i="10"/>
  <c r="AL92" i="10" s="1"/>
  <c r="AJ91" i="10"/>
  <c r="AL91" i="10" s="1"/>
  <c r="AJ90" i="10"/>
  <c r="AL90" i="10" s="1"/>
  <c r="AH87" i="10"/>
  <c r="AG87" i="10"/>
  <c r="AF87" i="10"/>
  <c r="AE87" i="10"/>
  <c r="AD87" i="10"/>
  <c r="AC87" i="10"/>
  <c r="AB87" i="10"/>
  <c r="AA87" i="10"/>
  <c r="Z87" i="10"/>
  <c r="Y87" i="10"/>
  <c r="X87" i="10"/>
  <c r="W87" i="10"/>
  <c r="V87" i="10"/>
  <c r="U87" i="10"/>
  <c r="T87" i="10"/>
  <c r="S87" i="10"/>
  <c r="R87" i="10"/>
  <c r="Q87" i="10"/>
  <c r="O87" i="10"/>
  <c r="N87" i="10"/>
  <c r="M87" i="10"/>
  <c r="L87" i="10"/>
  <c r="K87" i="10"/>
  <c r="J87" i="10"/>
  <c r="I87" i="10"/>
  <c r="H87" i="10"/>
  <c r="G87" i="10"/>
  <c r="G99" i="10" s="1"/>
  <c r="F87" i="10"/>
  <c r="E87" i="10"/>
  <c r="AJ86" i="10"/>
  <c r="AL86" i="10" s="1"/>
  <c r="AJ85" i="10"/>
  <c r="AL85" i="10" s="1"/>
  <c r="AJ84" i="10"/>
  <c r="AL84" i="10" s="1"/>
  <c r="AJ83" i="10"/>
  <c r="AJ82" i="10"/>
  <c r="AL82" i="10" s="1"/>
  <c r="AJ81" i="10"/>
  <c r="AL81" i="10" s="1"/>
  <c r="AJ80" i="10"/>
  <c r="AL80" i="10" s="1"/>
  <c r="AJ79" i="10"/>
  <c r="AL79" i="10" s="1"/>
  <c r="AJ75" i="10"/>
  <c r="AJ77" i="10" s="1"/>
  <c r="AK73" i="10"/>
  <c r="AJ72" i="10"/>
  <c r="AK72" i="10" s="1"/>
  <c r="DZ14" i="2" s="1"/>
  <c r="AH66" i="10"/>
  <c r="AG66" i="10"/>
  <c r="AF66" i="10"/>
  <c r="AE66" i="10"/>
  <c r="AD66" i="10"/>
  <c r="AC66" i="10"/>
  <c r="AB66" i="10"/>
  <c r="AA66" i="10"/>
  <c r="Z66" i="10"/>
  <c r="Y66" i="10"/>
  <c r="X66" i="10"/>
  <c r="W66" i="10"/>
  <c r="V66" i="10"/>
  <c r="U66" i="10"/>
  <c r="T66" i="10"/>
  <c r="S66" i="10"/>
  <c r="R66" i="10"/>
  <c r="Q66" i="10"/>
  <c r="P66" i="10"/>
  <c r="O66" i="10"/>
  <c r="N66" i="10"/>
  <c r="M66" i="10"/>
  <c r="L66" i="10"/>
  <c r="K66" i="10"/>
  <c r="J66" i="10"/>
  <c r="I66" i="10"/>
  <c r="H66" i="10"/>
  <c r="G66" i="10"/>
  <c r="F66" i="10"/>
  <c r="E66" i="10"/>
  <c r="AJ65" i="10"/>
  <c r="AJ64" i="10"/>
  <c r="AH62" i="10"/>
  <c r="AG62" i="10"/>
  <c r="AF62" i="10"/>
  <c r="AE62" i="10"/>
  <c r="AD62" i="10"/>
  <c r="AC62" i="10"/>
  <c r="AB62" i="10"/>
  <c r="AA62" i="10"/>
  <c r="Z62" i="10"/>
  <c r="Y62" i="10"/>
  <c r="X62" i="10"/>
  <c r="W62" i="10"/>
  <c r="V62" i="10"/>
  <c r="U62" i="10"/>
  <c r="T62" i="10"/>
  <c r="S62" i="10"/>
  <c r="R62" i="10"/>
  <c r="Q62" i="10"/>
  <c r="P62" i="10"/>
  <c r="O62" i="10"/>
  <c r="N62" i="10"/>
  <c r="M62" i="10"/>
  <c r="L62" i="10"/>
  <c r="J62" i="10"/>
  <c r="I62" i="10"/>
  <c r="H62" i="10"/>
  <c r="G62" i="10"/>
  <c r="F62" i="10"/>
  <c r="E62" i="10"/>
  <c r="AJ61" i="10"/>
  <c r="AJ60" i="10"/>
  <c r="AH58" i="10"/>
  <c r="AG58" i="10"/>
  <c r="AF58" i="10"/>
  <c r="AE58" i="10"/>
  <c r="AD58" i="10"/>
  <c r="AC58" i="10"/>
  <c r="AB58" i="10"/>
  <c r="AA58" i="10"/>
  <c r="Z58" i="10"/>
  <c r="Y58" i="10"/>
  <c r="X58" i="10"/>
  <c r="W58" i="10"/>
  <c r="V58" i="10"/>
  <c r="U58" i="10"/>
  <c r="T58" i="10"/>
  <c r="S58" i="10"/>
  <c r="R58" i="10"/>
  <c r="Q58" i="10"/>
  <c r="P58" i="10"/>
  <c r="O58" i="10"/>
  <c r="N58" i="10"/>
  <c r="M58" i="10"/>
  <c r="L58" i="10"/>
  <c r="K58" i="10"/>
  <c r="J58" i="10"/>
  <c r="I58" i="10"/>
  <c r="H58" i="10"/>
  <c r="G58" i="10"/>
  <c r="F58" i="10"/>
  <c r="E58" i="10"/>
  <c r="AH57" i="10"/>
  <c r="DU23" i="7" s="1"/>
  <c r="DU24" i="7" s="1"/>
  <c r="AG57" i="10"/>
  <c r="DT23" i="7" s="1"/>
  <c r="DT24" i="7" s="1"/>
  <c r="AF57" i="10"/>
  <c r="AE57" i="10"/>
  <c r="DR23" i="7" s="1"/>
  <c r="DR24" i="7" s="1"/>
  <c r="AD57" i="10"/>
  <c r="DQ23" i="7" s="1"/>
  <c r="DQ24" i="7" s="1"/>
  <c r="AC57" i="10"/>
  <c r="DP23" i="7" s="1"/>
  <c r="DP24" i="7" s="1"/>
  <c r="AB57" i="10"/>
  <c r="DO23" i="7" s="1"/>
  <c r="DO24" i="7" s="1"/>
  <c r="AA57" i="10"/>
  <c r="DN23" i="7" s="1"/>
  <c r="DN24" i="7" s="1"/>
  <c r="Z57" i="10"/>
  <c r="DM23" i="7" s="1"/>
  <c r="DM24" i="7" s="1"/>
  <c r="Y57" i="10"/>
  <c r="DL23" i="7" s="1"/>
  <c r="DL24" i="7" s="1"/>
  <c r="X57" i="10"/>
  <c r="DK23" i="7" s="1"/>
  <c r="DK24" i="7" s="1"/>
  <c r="W57" i="10"/>
  <c r="DJ23" i="7" s="1"/>
  <c r="DJ24" i="7" s="1"/>
  <c r="V57" i="10"/>
  <c r="U57" i="10"/>
  <c r="DH23" i="7" s="1"/>
  <c r="DH24" i="7" s="1"/>
  <c r="T57" i="10"/>
  <c r="S57" i="10"/>
  <c r="DF23" i="7" s="1"/>
  <c r="DF24" i="7" s="1"/>
  <c r="R57" i="10"/>
  <c r="DE23" i="7" s="1"/>
  <c r="DE24" i="7" s="1"/>
  <c r="Q57" i="10"/>
  <c r="DD23" i="7" s="1"/>
  <c r="DD24" i="7" s="1"/>
  <c r="P57" i="10"/>
  <c r="O57" i="10"/>
  <c r="N57" i="10"/>
  <c r="DA23" i="7" s="1"/>
  <c r="DA24" i="7" s="1"/>
  <c r="M57" i="10"/>
  <c r="CZ23" i="7" s="1"/>
  <c r="CZ24" i="7" s="1"/>
  <c r="L57" i="10"/>
  <c r="CY23" i="7" s="1"/>
  <c r="CY24" i="7" s="1"/>
  <c r="K57" i="10"/>
  <c r="CX23" i="7" s="1"/>
  <c r="CX24" i="7" s="1"/>
  <c r="J57" i="10"/>
  <c r="CW23" i="7" s="1"/>
  <c r="CW24" i="7" s="1"/>
  <c r="I57" i="10"/>
  <c r="CV23" i="7" s="1"/>
  <c r="CV24" i="7" s="1"/>
  <c r="H57" i="10"/>
  <c r="CU23" i="7" s="1"/>
  <c r="G57" i="10"/>
  <c r="CT23" i="7" s="1"/>
  <c r="F57" i="10"/>
  <c r="CS23" i="7" s="1"/>
  <c r="CS24" i="7" s="1"/>
  <c r="AJ56" i="10"/>
  <c r="AJ55" i="10"/>
  <c r="AH53" i="10"/>
  <c r="AG53" i="10"/>
  <c r="AF53" i="10"/>
  <c r="AE53" i="10"/>
  <c r="AD53" i="10"/>
  <c r="AC53" i="10"/>
  <c r="AB53" i="10"/>
  <c r="AA53" i="10"/>
  <c r="Z53" i="10"/>
  <c r="Y53" i="10"/>
  <c r="X53" i="10"/>
  <c r="W53" i="10"/>
  <c r="V53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AJ52" i="10"/>
  <c r="AJ51" i="10"/>
  <c r="AH49" i="10"/>
  <c r="AG49" i="10"/>
  <c r="AF49" i="10"/>
  <c r="AE49" i="10"/>
  <c r="AD49" i="10"/>
  <c r="AC49" i="10"/>
  <c r="AB49" i="10"/>
  <c r="AA49" i="10"/>
  <c r="Z49" i="10"/>
  <c r="Y49" i="10"/>
  <c r="X49" i="10"/>
  <c r="W49" i="10"/>
  <c r="V49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AJ48" i="10"/>
  <c r="AJ47" i="10"/>
  <c r="AH45" i="10"/>
  <c r="AG45" i="10"/>
  <c r="AF45" i="10"/>
  <c r="AE45" i="10"/>
  <c r="AD45" i="10"/>
  <c r="AC45" i="10"/>
  <c r="AB45" i="10"/>
  <c r="AA45" i="10"/>
  <c r="Z45" i="10"/>
  <c r="Y45" i="10"/>
  <c r="X45" i="10"/>
  <c r="W45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AH44" i="10"/>
  <c r="DU6" i="7" s="1"/>
  <c r="AG44" i="10"/>
  <c r="DT6" i="7" s="1"/>
  <c r="AF44" i="10"/>
  <c r="DS6" i="7" s="1"/>
  <c r="AE44" i="10"/>
  <c r="AD44" i="10"/>
  <c r="DQ6" i="7" s="1"/>
  <c r="AC44" i="10"/>
  <c r="DP6" i="7" s="1"/>
  <c r="AB44" i="10"/>
  <c r="DO6" i="7" s="1"/>
  <c r="AA44" i="10"/>
  <c r="DN6" i="7" s="1"/>
  <c r="Z44" i="10"/>
  <c r="Y44" i="10"/>
  <c r="DL6" i="7" s="1"/>
  <c r="X44" i="10"/>
  <c r="W44" i="10"/>
  <c r="DJ6" i="7" s="1"/>
  <c r="V44" i="10"/>
  <c r="DI6" i="7" s="1"/>
  <c r="U44" i="10"/>
  <c r="DH6" i="7" s="1"/>
  <c r="T44" i="10"/>
  <c r="S44" i="10"/>
  <c r="DF6" i="7" s="1"/>
  <c r="R44" i="10"/>
  <c r="DE6" i="7" s="1"/>
  <c r="Q44" i="10"/>
  <c r="P44" i="10"/>
  <c r="O44" i="10"/>
  <c r="N44" i="10"/>
  <c r="DA6" i="7" s="1"/>
  <c r="M44" i="10"/>
  <c r="CZ6" i="7" s="1"/>
  <c r="L44" i="10"/>
  <c r="CY6" i="7" s="1"/>
  <c r="K44" i="10"/>
  <c r="CX6" i="7" s="1"/>
  <c r="J44" i="10"/>
  <c r="CW6" i="7" s="1"/>
  <c r="I44" i="10"/>
  <c r="CV6" i="7" s="1"/>
  <c r="H44" i="10"/>
  <c r="CU6" i="7" s="1"/>
  <c r="G44" i="10"/>
  <c r="CT6" i="7" s="1"/>
  <c r="F44" i="10"/>
  <c r="E44" i="10"/>
  <c r="E54" i="10" s="1"/>
  <c r="DK15" i="6" s="1"/>
  <c r="AJ43" i="10"/>
  <c r="AJ42" i="10"/>
  <c r="M41" i="10"/>
  <c r="AH40" i="10"/>
  <c r="AG40" i="10"/>
  <c r="AF40" i="10"/>
  <c r="AE40" i="10"/>
  <c r="AD40" i="10"/>
  <c r="AC40" i="10"/>
  <c r="AB40" i="10"/>
  <c r="AA40" i="10"/>
  <c r="Z40" i="10"/>
  <c r="Y40" i="10"/>
  <c r="X40" i="10"/>
  <c r="W40" i="10"/>
  <c r="V40" i="10"/>
  <c r="U40" i="10"/>
  <c r="T40" i="10"/>
  <c r="S40" i="10"/>
  <c r="R40" i="10"/>
  <c r="R41" i="10" s="1"/>
  <c r="Q40" i="10"/>
  <c r="P40" i="10"/>
  <c r="O40" i="10"/>
  <c r="O41" i="10" s="1"/>
  <c r="N40" i="10"/>
  <c r="M40" i="10"/>
  <c r="L40" i="10"/>
  <c r="K40" i="10"/>
  <c r="J40" i="10"/>
  <c r="J41" i="10" s="1"/>
  <c r="I40" i="10"/>
  <c r="H40" i="10"/>
  <c r="G40" i="10"/>
  <c r="F40" i="10"/>
  <c r="E40" i="10"/>
  <c r="AH39" i="10"/>
  <c r="AG39" i="10"/>
  <c r="AF39" i="10"/>
  <c r="AE39" i="10"/>
  <c r="AD39" i="10"/>
  <c r="AD41" i="10" s="1"/>
  <c r="DT6" i="2" s="1"/>
  <c r="AC39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AH33" i="10"/>
  <c r="AG33" i="10"/>
  <c r="AF33" i="10"/>
  <c r="AE33" i="10"/>
  <c r="AD33" i="10"/>
  <c r="AC33" i="10"/>
  <c r="AB33" i="10"/>
  <c r="AA33" i="10"/>
  <c r="AA34" i="10" s="1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M34" i="10" s="1"/>
  <c r="L33" i="10"/>
  <c r="K33" i="10"/>
  <c r="J33" i="10"/>
  <c r="I33" i="10"/>
  <c r="H33" i="10"/>
  <c r="G33" i="10"/>
  <c r="F33" i="10"/>
  <c r="E33" i="10"/>
  <c r="AH32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AJ31" i="10"/>
  <c r="AJ30" i="10"/>
  <c r="AJ28" i="10"/>
  <c r="AJ27" i="10"/>
  <c r="R23" i="6" s="1"/>
  <c r="AH24" i="10"/>
  <c r="AG24" i="10"/>
  <c r="AF24" i="10"/>
  <c r="AE24" i="10"/>
  <c r="AD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CV13" i="2" s="1"/>
  <c r="E24" i="10"/>
  <c r="CU13" i="2" s="1"/>
  <c r="AJ23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AH19" i="10"/>
  <c r="AH20" i="10" s="1"/>
  <c r="AG19" i="10"/>
  <c r="AG20" i="10" s="1"/>
  <c r="AF19" i="10"/>
  <c r="AF20" i="10" s="1"/>
  <c r="AE19" i="10"/>
  <c r="AE20" i="10" s="1"/>
  <c r="AE22" i="10" s="1"/>
  <c r="AD19" i="10"/>
  <c r="AD20" i="10" s="1"/>
  <c r="AC19" i="10"/>
  <c r="AC20" i="10" s="1"/>
  <c r="AC22" i="10" s="1"/>
  <c r="AB19" i="10"/>
  <c r="AB20" i="10" s="1"/>
  <c r="AB22" i="10" s="1"/>
  <c r="AA19" i="10"/>
  <c r="AA20" i="10" s="1"/>
  <c r="Z19" i="10"/>
  <c r="Z20" i="10" s="1"/>
  <c r="Y19" i="10"/>
  <c r="Y20" i="10" s="1"/>
  <c r="X19" i="10"/>
  <c r="X20" i="10" s="1"/>
  <c r="W19" i="10"/>
  <c r="W20" i="10" s="1"/>
  <c r="V19" i="10"/>
  <c r="V20" i="10" s="1"/>
  <c r="V22" i="10" s="1"/>
  <c r="U19" i="10"/>
  <c r="U20" i="10" s="1"/>
  <c r="U22" i="10" s="1"/>
  <c r="T19" i="10"/>
  <c r="T20" i="10" s="1"/>
  <c r="S19" i="10"/>
  <c r="S20" i="10" s="1"/>
  <c r="R19" i="10"/>
  <c r="R20" i="10" s="1"/>
  <c r="Q19" i="10"/>
  <c r="Q20" i="10" s="1"/>
  <c r="P19" i="10"/>
  <c r="P20" i="10" s="1"/>
  <c r="O19" i="10"/>
  <c r="O20" i="10" s="1"/>
  <c r="O22" i="10" s="1"/>
  <c r="N19" i="10"/>
  <c r="N20" i="10" s="1"/>
  <c r="M19" i="10"/>
  <c r="M20" i="10" s="1"/>
  <c r="L19" i="10"/>
  <c r="L20" i="10" s="1"/>
  <c r="K19" i="10"/>
  <c r="K20" i="10" s="1"/>
  <c r="J19" i="10"/>
  <c r="J20" i="10" s="1"/>
  <c r="I19" i="10"/>
  <c r="I20" i="10" s="1"/>
  <c r="H19" i="10"/>
  <c r="H20" i="10" s="1"/>
  <c r="G19" i="10"/>
  <c r="G20" i="10" s="1"/>
  <c r="G22" i="10" s="1"/>
  <c r="F19" i="10"/>
  <c r="F20" i="10" s="1"/>
  <c r="F22" i="10" s="1"/>
  <c r="E19" i="10"/>
  <c r="E20" i="10" s="1"/>
  <c r="E22" i="10" s="1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AH14" i="10"/>
  <c r="AG14" i="10"/>
  <c r="AF14" i="10"/>
  <c r="AE14" i="10"/>
  <c r="AD14" i="10"/>
  <c r="AC14" i="10"/>
  <c r="AC16" i="10" s="1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T11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V11" i="10" s="1"/>
  <c r="U10" i="10"/>
  <c r="U11" i="10" s="1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E11" i="10" s="1"/>
  <c r="CU4" i="2" s="1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AH6" i="10"/>
  <c r="AG6" i="10"/>
  <c r="AF6" i="10"/>
  <c r="AE6" i="10"/>
  <c r="AD6" i="10"/>
  <c r="AC6" i="10"/>
  <c r="AC8" i="10" s="1"/>
  <c r="AB6" i="10"/>
  <c r="AB8" i="10" s="1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M8" i="10" s="1"/>
  <c r="L6" i="10"/>
  <c r="L8" i="10" s="1"/>
  <c r="K6" i="10"/>
  <c r="J6" i="10"/>
  <c r="I6" i="10"/>
  <c r="H6" i="10"/>
  <c r="G6" i="10"/>
  <c r="F6" i="10"/>
  <c r="E6" i="10"/>
  <c r="AH4" i="10"/>
  <c r="AG4" i="10"/>
  <c r="AF4" i="10"/>
  <c r="AE4" i="10"/>
  <c r="AD4" i="10"/>
  <c r="AD5" i="10" s="1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AH29" i="9"/>
  <c r="AG29" i="9"/>
  <c r="CQ24" i="2"/>
  <c r="CQ23" i="2"/>
  <c r="CQ21" i="2"/>
  <c r="CQ20" i="2"/>
  <c r="CQ19" i="2"/>
  <c r="CQ18" i="2"/>
  <c r="CQ17" i="2"/>
  <c r="CQ16" i="2"/>
  <c r="CQ15" i="2"/>
  <c r="CQ14" i="2"/>
  <c r="CQ12" i="2"/>
  <c r="CQ9" i="2"/>
  <c r="CP24" i="2"/>
  <c r="CP23" i="2"/>
  <c r="CP21" i="2"/>
  <c r="CP20" i="2"/>
  <c r="CP19" i="2"/>
  <c r="CP18" i="2"/>
  <c r="CP17" i="2"/>
  <c r="CP16" i="2"/>
  <c r="CP15" i="2"/>
  <c r="CP14" i="2"/>
  <c r="CP12" i="2"/>
  <c r="CP9" i="2"/>
  <c r="CO24" i="2"/>
  <c r="CO23" i="2"/>
  <c r="CO21" i="2"/>
  <c r="CO20" i="2"/>
  <c r="CO19" i="2"/>
  <c r="CO18" i="2"/>
  <c r="CO17" i="2"/>
  <c r="CO16" i="2"/>
  <c r="CO15" i="2"/>
  <c r="CO14" i="2"/>
  <c r="CO12" i="2"/>
  <c r="CO9" i="2"/>
  <c r="AH124" i="9"/>
  <c r="AG124" i="9"/>
  <c r="AF124" i="9"/>
  <c r="AF29" i="9"/>
  <c r="AE29" i="9"/>
  <c r="AD29" i="9"/>
  <c r="AD118" i="9"/>
  <c r="AE124" i="9"/>
  <c r="AD124" i="9"/>
  <c r="DF34" i="6"/>
  <c r="DG34" i="6"/>
  <c r="DH34" i="6"/>
  <c r="DI34" i="6"/>
  <c r="DJ34" i="6"/>
  <c r="DF35" i="6"/>
  <c r="DG35" i="6"/>
  <c r="DH35" i="6"/>
  <c r="DI35" i="6"/>
  <c r="DJ35" i="6"/>
  <c r="DF36" i="6"/>
  <c r="DG36" i="6"/>
  <c r="DH36" i="6"/>
  <c r="DI36" i="6"/>
  <c r="DJ36" i="6"/>
  <c r="DF37" i="6"/>
  <c r="DG37" i="6"/>
  <c r="DH37" i="6"/>
  <c r="DI37" i="6"/>
  <c r="DJ37" i="6"/>
  <c r="DF38" i="6"/>
  <c r="DG38" i="6"/>
  <c r="DH38" i="6"/>
  <c r="DI38" i="6"/>
  <c r="DJ38" i="6"/>
  <c r="DF30" i="6"/>
  <c r="CO11" i="2" s="1"/>
  <c r="DG30" i="6"/>
  <c r="CP11" i="2" s="1"/>
  <c r="DH30" i="6"/>
  <c r="CQ11" i="2" s="1"/>
  <c r="DI30" i="6"/>
  <c r="CR11" i="2" s="1"/>
  <c r="DJ30" i="6"/>
  <c r="CS11" i="2" s="1"/>
  <c r="DF27" i="6"/>
  <c r="CO8" i="2" s="1"/>
  <c r="DG27" i="6"/>
  <c r="CP8" i="2" s="1"/>
  <c r="DH27" i="6"/>
  <c r="CQ8" i="2" s="1"/>
  <c r="DI27" i="6"/>
  <c r="CR8" i="2" s="1"/>
  <c r="DJ27" i="6"/>
  <c r="CS8" i="2" s="1"/>
  <c r="DF21" i="6"/>
  <c r="DG21" i="6"/>
  <c r="DH21" i="6"/>
  <c r="DI21" i="6"/>
  <c r="DJ21" i="6"/>
  <c r="DF22" i="6"/>
  <c r="DG22" i="6"/>
  <c r="DH22" i="6"/>
  <c r="DI22" i="6"/>
  <c r="DJ22" i="6"/>
  <c r="DF23" i="6"/>
  <c r="DG23" i="6"/>
  <c r="DH23" i="6"/>
  <c r="DI23" i="6"/>
  <c r="DJ23" i="6"/>
  <c r="DF24" i="6"/>
  <c r="DG24" i="6"/>
  <c r="DH24" i="6"/>
  <c r="DI24" i="6"/>
  <c r="DJ24" i="6"/>
  <c r="DF25" i="6"/>
  <c r="DG25" i="6"/>
  <c r="DH25" i="6"/>
  <c r="DI25" i="6"/>
  <c r="DJ25" i="6"/>
  <c r="CN24" i="2"/>
  <c r="CN23" i="2"/>
  <c r="CN21" i="2"/>
  <c r="CN20" i="2"/>
  <c r="CN19" i="2"/>
  <c r="CN18" i="2"/>
  <c r="CN17" i="2"/>
  <c r="CN16" i="2"/>
  <c r="CN15" i="2"/>
  <c r="CN14" i="2"/>
  <c r="CN12" i="2"/>
  <c r="CN9" i="2"/>
  <c r="CM24" i="2"/>
  <c r="CM23" i="2"/>
  <c r="CM21" i="2"/>
  <c r="CM20" i="2"/>
  <c r="CM19" i="2"/>
  <c r="CM18" i="2"/>
  <c r="CM17" i="2"/>
  <c r="CM16" i="2"/>
  <c r="CM15" i="2"/>
  <c r="CM14" i="2"/>
  <c r="CM12" i="2"/>
  <c r="CM9" i="2"/>
  <c r="AB29" i="9"/>
  <c r="AB120" i="9"/>
  <c r="AB118" i="9"/>
  <c r="DZ6" i="6" l="1"/>
  <c r="DJ4" i="2"/>
  <c r="J22" i="10"/>
  <c r="DJ13" i="2"/>
  <c r="DZ10" i="6"/>
  <c r="Y41" i="10"/>
  <c r="EB6" i="6"/>
  <c r="DL4" i="2"/>
  <c r="S22" i="10"/>
  <c r="DK13" i="2"/>
  <c r="EA10" i="6"/>
  <c r="EJ10" i="6"/>
  <c r="DT13" i="2"/>
  <c r="DE16" i="7"/>
  <c r="DE25" i="7" s="1"/>
  <c r="DE7" i="7"/>
  <c r="AJ9" i="10"/>
  <c r="DP10" i="6"/>
  <c r="CZ13" i="2"/>
  <c r="EO8" i="6"/>
  <c r="DY6" i="2"/>
  <c r="AI16" i="10"/>
  <c r="EA6" i="6"/>
  <c r="DK4" i="2"/>
  <c r="N16" i="10"/>
  <c r="Z22" i="10"/>
  <c r="EH10" i="6"/>
  <c r="DR13" i="2"/>
  <c r="G5" i="10"/>
  <c r="W5" i="10"/>
  <c r="G11" i="10"/>
  <c r="O11" i="10"/>
  <c r="W11" i="10"/>
  <c r="E34" i="10"/>
  <c r="AC34" i="10"/>
  <c r="AC35" i="10" s="1"/>
  <c r="EI9" i="6" s="1"/>
  <c r="DQ25" i="7"/>
  <c r="DK10" i="6"/>
  <c r="AI8" i="10"/>
  <c r="EG10" i="6"/>
  <c r="DQ13" i="2"/>
  <c r="S11" i="10"/>
  <c r="Q134" i="10"/>
  <c r="Q135" i="10" s="1"/>
  <c r="DD6" i="7"/>
  <c r="X5" i="10"/>
  <c r="CW13" i="2"/>
  <c r="DM10" i="6"/>
  <c r="X34" i="10"/>
  <c r="X35" i="10" s="1"/>
  <c r="ED9" i="6" s="1"/>
  <c r="N41" i="10"/>
  <c r="N54" i="10"/>
  <c r="DT15" i="6" s="1"/>
  <c r="AH63" i="10"/>
  <c r="EN16" i="6" s="1"/>
  <c r="EO10" i="6"/>
  <c r="DY13" i="2"/>
  <c r="EI5" i="6"/>
  <c r="DS3" i="2"/>
  <c r="K11" i="10"/>
  <c r="AH22" i="10"/>
  <c r="Q5" i="10"/>
  <c r="AB16" i="10"/>
  <c r="DN10" i="6"/>
  <c r="CX13" i="2"/>
  <c r="EM10" i="6"/>
  <c r="DW13" i="2"/>
  <c r="Y34" i="10"/>
  <c r="Y35" i="10" s="1"/>
  <c r="EE9" i="6" s="1"/>
  <c r="W41" i="10"/>
  <c r="DP16" i="7"/>
  <c r="DP25" i="7" s="1"/>
  <c r="DP7" i="7"/>
  <c r="AH59" i="10"/>
  <c r="EN12" i="6" s="1"/>
  <c r="AA63" i="10"/>
  <c r="EG16" i="6" s="1"/>
  <c r="DL10" i="6"/>
  <c r="DP8" i="6"/>
  <c r="CZ6" i="2"/>
  <c r="V16" i="10"/>
  <c r="R22" i="10"/>
  <c r="DL16" i="7"/>
  <c r="DL7" i="7"/>
  <c r="DL17" i="7" s="1"/>
  <c r="R5" i="10"/>
  <c r="DH2" i="2" s="1"/>
  <c r="E16" i="10"/>
  <c r="DO10" i="6"/>
  <c r="CY13" i="2"/>
  <c r="DO13" i="2"/>
  <c r="EE10" i="6"/>
  <c r="EN10" i="6"/>
  <c r="DX13" i="2"/>
  <c r="AF41" i="10"/>
  <c r="EL8" i="6" s="1"/>
  <c r="F54" i="10"/>
  <c r="DL15" i="6" s="1"/>
  <c r="CS6" i="7"/>
  <c r="DQ7" i="7"/>
  <c r="DQ17" i="7" s="1"/>
  <c r="DQ16" i="7"/>
  <c r="DL25" i="7"/>
  <c r="S59" i="10"/>
  <c r="DY12" i="6" s="1"/>
  <c r="AA59" i="10"/>
  <c r="EG12" i="6" s="1"/>
  <c r="DZ15" i="2"/>
  <c r="AL73" i="10"/>
  <c r="CR5" i="7"/>
  <c r="DW5" i="7" s="1"/>
  <c r="CR24" i="7"/>
  <c r="DW22" i="7"/>
  <c r="AI22" i="10"/>
  <c r="AI46" i="10"/>
  <c r="EO13" i="6" s="1"/>
  <c r="DV7" i="7"/>
  <c r="DV16" i="7"/>
  <c r="DV25" i="7" s="1"/>
  <c r="AI34" i="10"/>
  <c r="AI35" i="10" s="1"/>
  <c r="EO9" i="6" s="1"/>
  <c r="AI11" i="10"/>
  <c r="AJ10" i="10"/>
  <c r="AJ11" i="10" s="1"/>
  <c r="AI5" i="10"/>
  <c r="AI88" i="10"/>
  <c r="AI134" i="10"/>
  <c r="AI67" i="10"/>
  <c r="EO14" i="6" s="1"/>
  <c r="AI63" i="10"/>
  <c r="EO16" i="6" s="1"/>
  <c r="AI59" i="10"/>
  <c r="EO12" i="6" s="1"/>
  <c r="AI98" i="10"/>
  <c r="AH37" i="10"/>
  <c r="AH38" i="10" s="1"/>
  <c r="AH5" i="10"/>
  <c r="AH34" i="10"/>
  <c r="AH35" i="10" s="1"/>
  <c r="EN9" i="6" s="1"/>
  <c r="AH98" i="10"/>
  <c r="AH41" i="10"/>
  <c r="AH88" i="10"/>
  <c r="DU16" i="7"/>
  <c r="DU25" i="7" s="1"/>
  <c r="DU7" i="7"/>
  <c r="AH16" i="10"/>
  <c r="AG5" i="10"/>
  <c r="AG98" i="10"/>
  <c r="AG34" i="10"/>
  <c r="AG35" i="10" s="1"/>
  <c r="EM9" i="6" s="1"/>
  <c r="AG41" i="10"/>
  <c r="AG37" i="10"/>
  <c r="AG38" i="10" s="1"/>
  <c r="DT16" i="7"/>
  <c r="DT25" i="7" s="1"/>
  <c r="DT7" i="7"/>
  <c r="AG134" i="10"/>
  <c r="AG137" i="10" s="1"/>
  <c r="AG59" i="10"/>
  <c r="EM12" i="6" s="1"/>
  <c r="AF11" i="10"/>
  <c r="DV4" i="2" s="1"/>
  <c r="AF37" i="10"/>
  <c r="AF38" i="10" s="1"/>
  <c r="AF8" i="10"/>
  <c r="AF5" i="10"/>
  <c r="AF22" i="10"/>
  <c r="AF59" i="10"/>
  <c r="EL12" i="6" s="1"/>
  <c r="AE34" i="10"/>
  <c r="AE35" i="10" s="1"/>
  <c r="EK9" i="6" s="1"/>
  <c r="AE5" i="10"/>
  <c r="EK4" i="6" s="1"/>
  <c r="DS16" i="7"/>
  <c r="DS7" i="7"/>
  <c r="DV13" i="2"/>
  <c r="EL10" i="6"/>
  <c r="AF67" i="10"/>
  <c r="EL14" i="6" s="1"/>
  <c r="DS23" i="7"/>
  <c r="DS24" i="7" s="1"/>
  <c r="AE11" i="10"/>
  <c r="AE41" i="10"/>
  <c r="DU4" i="2"/>
  <c r="EK6" i="6"/>
  <c r="AE8" i="10"/>
  <c r="DU2" i="2"/>
  <c r="AE134" i="10"/>
  <c r="AE139" i="10" s="1"/>
  <c r="DR6" i="7"/>
  <c r="DU13" i="2"/>
  <c r="EK10" i="6"/>
  <c r="AD34" i="10"/>
  <c r="DT2" i="2"/>
  <c r="EJ4" i="6"/>
  <c r="EH5" i="6"/>
  <c r="DR3" i="2"/>
  <c r="AB34" i="10"/>
  <c r="AB35" i="10" s="1"/>
  <c r="EH9" i="6" s="1"/>
  <c r="AC46" i="10"/>
  <c r="EI13" i="6" s="1"/>
  <c r="AD16" i="10"/>
  <c r="AC54" i="10"/>
  <c r="EI15" i="6" s="1"/>
  <c r="AC63" i="10"/>
  <c r="EI16" i="6" s="1"/>
  <c r="AB5" i="10"/>
  <c r="AB54" i="10"/>
  <c r="EH15" i="6" s="1"/>
  <c r="DO16" i="7"/>
  <c r="DO25" i="7" s="1"/>
  <c r="DO7" i="7"/>
  <c r="DO17" i="7" s="1"/>
  <c r="AB63" i="10"/>
  <c r="EH16" i="6" s="1"/>
  <c r="AB134" i="10"/>
  <c r="AB136" i="10" s="1"/>
  <c r="AC98" i="10"/>
  <c r="AA5" i="10"/>
  <c r="AA11" i="10"/>
  <c r="AA22" i="10"/>
  <c r="DN16" i="7"/>
  <c r="DN25" i="7" s="1"/>
  <c r="DN7" i="7"/>
  <c r="AA134" i="10"/>
  <c r="AA138" i="10" s="1"/>
  <c r="Z41" i="10"/>
  <c r="Z34" i="10"/>
  <c r="Z88" i="10"/>
  <c r="EF8" i="6"/>
  <c r="DP6" i="2"/>
  <c r="Z5" i="10"/>
  <c r="Z37" i="10"/>
  <c r="Z38" i="10" s="1"/>
  <c r="Z50" i="10"/>
  <c r="EF17" i="6" s="1"/>
  <c r="DM6" i="7"/>
  <c r="Z46" i="10"/>
  <c r="EF13" i="6" s="1"/>
  <c r="DP13" i="2"/>
  <c r="EF10" i="6"/>
  <c r="Z16" i="10"/>
  <c r="Y5" i="10"/>
  <c r="X41" i="10"/>
  <c r="DN6" i="2" s="1"/>
  <c r="DN2" i="2"/>
  <c r="ED4" i="6"/>
  <c r="Y134" i="10"/>
  <c r="Y136" i="10" s="1"/>
  <c r="X134" i="10"/>
  <c r="X138" i="10" s="1"/>
  <c r="DK6" i="7"/>
  <c r="X137" i="10"/>
  <c r="DN13" i="2"/>
  <c r="ED10" i="6"/>
  <c r="DJ16" i="7"/>
  <c r="DJ25" i="7" s="1"/>
  <c r="DJ7" i="7"/>
  <c r="W22" i="10"/>
  <c r="W34" i="10"/>
  <c r="W35" i="10" s="1"/>
  <c r="EC9" i="6" s="1"/>
  <c r="DM6" i="2"/>
  <c r="EC8" i="6"/>
  <c r="DM4" i="2"/>
  <c r="EC6" i="6"/>
  <c r="DM2" i="2"/>
  <c r="EC4" i="6"/>
  <c r="W134" i="10"/>
  <c r="W138" i="10" s="1"/>
  <c r="EB10" i="6"/>
  <c r="DL13" i="2"/>
  <c r="DM13" i="2"/>
  <c r="EC10" i="6"/>
  <c r="V67" i="10"/>
  <c r="EB14" i="6" s="1"/>
  <c r="DI23" i="7"/>
  <c r="DI24" i="7" s="1"/>
  <c r="DI16" i="7"/>
  <c r="DI7" i="7"/>
  <c r="V34" i="10"/>
  <c r="V35" i="10" s="1"/>
  <c r="EB9" i="6" s="1"/>
  <c r="DT10" i="6"/>
  <c r="DD13" i="2"/>
  <c r="S34" i="10"/>
  <c r="S35" i="10" s="1"/>
  <c r="DY9" i="6" s="1"/>
  <c r="DY10" i="6"/>
  <c r="DI13" i="2"/>
  <c r="DH16" i="7"/>
  <c r="DH25" i="7" s="1"/>
  <c r="DH7" i="7"/>
  <c r="U46" i="10"/>
  <c r="EA13" i="6" s="1"/>
  <c r="U34" i="10"/>
  <c r="U35" i="10" s="1"/>
  <c r="EA9" i="6" s="1"/>
  <c r="U8" i="10"/>
  <c r="U16" i="10"/>
  <c r="U63" i="10"/>
  <c r="EA16" i="6" s="1"/>
  <c r="T59" i="10"/>
  <c r="DZ12" i="6" s="1"/>
  <c r="T22" i="10"/>
  <c r="T134" i="10"/>
  <c r="DG6" i="7"/>
  <c r="T54" i="10"/>
  <c r="DZ15" i="6" s="1"/>
  <c r="T67" i="10"/>
  <c r="DZ14" i="6" s="1"/>
  <c r="DG23" i="7"/>
  <c r="DG24" i="7" s="1"/>
  <c r="T63" i="10"/>
  <c r="DZ16" i="6" s="1"/>
  <c r="T34" i="10"/>
  <c r="T35" i="10" s="1"/>
  <c r="DZ9" i="6" s="1"/>
  <c r="T5" i="10"/>
  <c r="T8" i="10"/>
  <c r="S37" i="10"/>
  <c r="S38" i="10" s="1"/>
  <c r="DF16" i="7"/>
  <c r="DF25" i="7" s="1"/>
  <c r="DF7" i="7"/>
  <c r="S5" i="10"/>
  <c r="S63" i="10"/>
  <c r="DY16" i="6" s="1"/>
  <c r="S134" i="10"/>
  <c r="S139" i="10" s="1"/>
  <c r="DW10" i="6"/>
  <c r="DG13" i="2"/>
  <c r="DX10" i="6"/>
  <c r="DH13" i="2"/>
  <c r="Q34" i="10"/>
  <c r="Q35" i="10" s="1"/>
  <c r="DW9" i="6" s="1"/>
  <c r="Q37" i="10"/>
  <c r="Q41" i="10"/>
  <c r="DW8" i="6" s="1"/>
  <c r="DG6" i="2"/>
  <c r="DG2" i="2"/>
  <c r="DW4" i="6"/>
  <c r="R37" i="10"/>
  <c r="R38" i="10" s="1"/>
  <c r="DH6" i="2"/>
  <c r="DX8" i="6"/>
  <c r="R59" i="10"/>
  <c r="DX12" i="6" s="1"/>
  <c r="Q59" i="10"/>
  <c r="DW12" i="6" s="1"/>
  <c r="N34" i="10"/>
  <c r="P41" i="10"/>
  <c r="DF6" i="2" s="1"/>
  <c r="P5" i="10"/>
  <c r="DV4" i="6" s="1"/>
  <c r="P34" i="10"/>
  <c r="DU8" i="6"/>
  <c r="DE6" i="2"/>
  <c r="DU10" i="6"/>
  <c r="DE13" i="2"/>
  <c r="P134" i="10"/>
  <c r="P138" i="10" s="1"/>
  <c r="DC6" i="7"/>
  <c r="P59" i="10"/>
  <c r="DV12" i="6" s="1"/>
  <c r="DC23" i="7"/>
  <c r="DC24" i="7" s="1"/>
  <c r="DF13" i="2"/>
  <c r="DV10" i="6"/>
  <c r="O134" i="10"/>
  <c r="O139" i="10" s="1"/>
  <c r="DB6" i="7"/>
  <c r="O63" i="10"/>
  <c r="DU16" i="6" s="1"/>
  <c r="DB23" i="7"/>
  <c r="DB24" i="7" s="1"/>
  <c r="DA7" i="7"/>
  <c r="DA16" i="7"/>
  <c r="DA25" i="7" s="1"/>
  <c r="N50" i="10"/>
  <c r="DT17" i="6" s="1"/>
  <c r="CZ7" i="7"/>
  <c r="CZ16" i="7"/>
  <c r="CZ25" i="7" s="1"/>
  <c r="M22" i="10"/>
  <c r="DC6" i="2"/>
  <c r="DS8" i="6"/>
  <c r="DS5" i="6"/>
  <c r="DC3" i="2"/>
  <c r="M63" i="10"/>
  <c r="DS16" i="6" s="1"/>
  <c r="DS10" i="6"/>
  <c r="DC13" i="2"/>
  <c r="M16" i="10"/>
  <c r="O5" i="10"/>
  <c r="J63" i="10"/>
  <c r="DP16" i="6" s="1"/>
  <c r="L34" i="10"/>
  <c r="L5" i="10"/>
  <c r="DB2" i="2" s="1"/>
  <c r="L11" i="10"/>
  <c r="DR5" i="6"/>
  <c r="DB3" i="2"/>
  <c r="CY16" i="7"/>
  <c r="CY25" i="7" s="1"/>
  <c r="CY7" i="7"/>
  <c r="L134" i="10"/>
  <c r="L139" i="10" s="1"/>
  <c r="L54" i="10"/>
  <c r="DR15" i="6" s="1"/>
  <c r="DR10" i="6"/>
  <c r="DB13" i="2"/>
  <c r="L63" i="10"/>
  <c r="DR16" i="6" s="1"/>
  <c r="DQ10" i="6"/>
  <c r="DA13" i="2"/>
  <c r="L16" i="10"/>
  <c r="K34" i="10"/>
  <c r="I34" i="10"/>
  <c r="I35" i="10" s="1"/>
  <c r="DO9" i="6" s="1"/>
  <c r="J59" i="10"/>
  <c r="DP12" i="6" s="1"/>
  <c r="K134" i="10"/>
  <c r="K139" i="10" s="1"/>
  <c r="CX7" i="7"/>
  <c r="CX16" i="7"/>
  <c r="CX25" i="7" s="1"/>
  <c r="K22" i="10"/>
  <c r="K63" i="10"/>
  <c r="DQ16" i="6" s="1"/>
  <c r="K59" i="10"/>
  <c r="DQ12" i="6" s="1"/>
  <c r="K5" i="10"/>
  <c r="J16" i="10"/>
  <c r="J37" i="10"/>
  <c r="J38" i="10" s="1"/>
  <c r="J5" i="10"/>
  <c r="CW16" i="7"/>
  <c r="CW25" i="7" s="1"/>
  <c r="CW7" i="7"/>
  <c r="J88" i="10"/>
  <c r="I41" i="10"/>
  <c r="I98" i="10"/>
  <c r="I88" i="10"/>
  <c r="I5" i="10"/>
  <c r="R34" i="6"/>
  <c r="I134" i="10"/>
  <c r="I137" i="10" s="1"/>
  <c r="CU16" i="7"/>
  <c r="CU7" i="7"/>
  <c r="G134" i="10"/>
  <c r="E35" i="10"/>
  <c r="DK9" i="6" s="1"/>
  <c r="G41" i="10"/>
  <c r="F5" i="10"/>
  <c r="F11" i="10"/>
  <c r="H41" i="10"/>
  <c r="R36" i="6"/>
  <c r="R35" i="6"/>
  <c r="E37" i="10"/>
  <c r="DK6" i="6"/>
  <c r="E46" i="10"/>
  <c r="DK13" i="6" s="1"/>
  <c r="CR6" i="7"/>
  <c r="CR7" i="7" s="1"/>
  <c r="F67" i="10"/>
  <c r="DL14" i="6" s="1"/>
  <c r="AI37" i="10"/>
  <c r="AI38" i="10" s="1"/>
  <c r="AI139" i="10"/>
  <c r="AI136" i="10"/>
  <c r="E50" i="10"/>
  <c r="DK17" i="6" s="1"/>
  <c r="G98" i="10"/>
  <c r="H98" i="10"/>
  <c r="F37" i="10"/>
  <c r="F38" i="10" s="1"/>
  <c r="N37" i="10"/>
  <c r="N38" i="10" s="1"/>
  <c r="W37" i="10"/>
  <c r="W38" i="10" s="1"/>
  <c r="Q38" i="10"/>
  <c r="P37" i="10"/>
  <c r="P38" i="10" s="1"/>
  <c r="X37" i="10"/>
  <c r="X38" i="10" s="1"/>
  <c r="I37" i="10"/>
  <c r="I38" i="10" s="1"/>
  <c r="Q98" i="10"/>
  <c r="J98" i="10"/>
  <c r="R98" i="10"/>
  <c r="Z98" i="10"/>
  <c r="F34" i="10"/>
  <c r="F35" i="10" s="1"/>
  <c r="DL9" i="6" s="1"/>
  <c r="G34" i="10"/>
  <c r="G35" i="10" s="1"/>
  <c r="DM9" i="6" s="1"/>
  <c r="G37" i="10"/>
  <c r="G38" i="10" s="1"/>
  <c r="H37" i="10"/>
  <c r="H38" i="10" s="1"/>
  <c r="P98" i="10"/>
  <c r="J34" i="10"/>
  <c r="J35" i="10" s="1"/>
  <c r="DP9" i="6" s="1"/>
  <c r="R34" i="10"/>
  <c r="R35" i="10" s="1"/>
  <c r="DX9" i="6" s="1"/>
  <c r="AJ36" i="10"/>
  <c r="H34" i="10"/>
  <c r="H35" i="10" s="1"/>
  <c r="DN9" i="6" s="1"/>
  <c r="AC37" i="10"/>
  <c r="AC38" i="10" s="1"/>
  <c r="AL105" i="10"/>
  <c r="DZ21" i="2" s="1"/>
  <c r="U98" i="10"/>
  <c r="M5" i="10"/>
  <c r="AA41" i="10"/>
  <c r="F98" i="10"/>
  <c r="AD98" i="10"/>
  <c r="AD38" i="10"/>
  <c r="AE98" i="10"/>
  <c r="AE38" i="10"/>
  <c r="U37" i="10"/>
  <c r="U38" i="10" s="1"/>
  <c r="E41" i="10"/>
  <c r="H5" i="10"/>
  <c r="F8" i="10"/>
  <c r="F41" i="10"/>
  <c r="AC5" i="10"/>
  <c r="G8" i="10"/>
  <c r="AG11" i="10"/>
  <c r="Y38" i="10"/>
  <c r="AJ126" i="10"/>
  <c r="E98" i="10"/>
  <c r="U5" i="10"/>
  <c r="N98" i="10"/>
  <c r="O98" i="10"/>
  <c r="W98" i="10"/>
  <c r="AC41" i="10"/>
  <c r="Y98" i="10"/>
  <c r="H8" i="10"/>
  <c r="P8" i="10"/>
  <c r="O37" i="10"/>
  <c r="O38" i="10" s="1"/>
  <c r="S98" i="10"/>
  <c r="AA37" i="10"/>
  <c r="AA38" i="10" s="1"/>
  <c r="N88" i="10"/>
  <c r="AD88" i="10"/>
  <c r="N8" i="10"/>
  <c r="V8" i="10"/>
  <c r="AD8" i="10"/>
  <c r="O88" i="10"/>
  <c r="AE88" i="10"/>
  <c r="W8" i="10"/>
  <c r="N11" i="10"/>
  <c r="AD11" i="10"/>
  <c r="P88" i="10"/>
  <c r="X88" i="10"/>
  <c r="X8" i="10"/>
  <c r="Q8" i="10"/>
  <c r="AG8" i="10"/>
  <c r="H11" i="10"/>
  <c r="X11" i="10"/>
  <c r="R88" i="10"/>
  <c r="J8" i="10"/>
  <c r="R8" i="10"/>
  <c r="Z8" i="10"/>
  <c r="AH8" i="10"/>
  <c r="I11" i="10"/>
  <c r="Q11" i="10"/>
  <c r="Y11" i="10"/>
  <c r="L41" i="10"/>
  <c r="T41" i="10"/>
  <c r="AB41" i="10"/>
  <c r="V88" i="10"/>
  <c r="M11" i="10"/>
  <c r="AC11" i="10"/>
  <c r="G88" i="10"/>
  <c r="W88" i="10"/>
  <c r="O8" i="10"/>
  <c r="AF88" i="10"/>
  <c r="I8" i="10"/>
  <c r="Y8" i="10"/>
  <c r="P11" i="10"/>
  <c r="E5" i="10"/>
  <c r="K8" i="10"/>
  <c r="S8" i="10"/>
  <c r="AA8" i="10"/>
  <c r="AJ7" i="10"/>
  <c r="J11" i="10"/>
  <c r="R11" i="10"/>
  <c r="Z11" i="10"/>
  <c r="AH11" i="10"/>
  <c r="K88" i="10"/>
  <c r="U41" i="10"/>
  <c r="AD67" i="10"/>
  <c r="EJ14" i="6" s="1"/>
  <c r="O67" i="10"/>
  <c r="DU14" i="6" s="1"/>
  <c r="H67" i="10"/>
  <c r="DN14" i="6" s="1"/>
  <c r="P67" i="10"/>
  <c r="DV14" i="6" s="1"/>
  <c r="X67" i="10"/>
  <c r="ED14" i="6" s="1"/>
  <c r="AH134" i="10"/>
  <c r="AH138" i="10" s="1"/>
  <c r="K46" i="10"/>
  <c r="DQ13" i="6" s="1"/>
  <c r="P50" i="10"/>
  <c r="DV17" i="6" s="1"/>
  <c r="Y54" i="10"/>
  <c r="EE15" i="6" s="1"/>
  <c r="P63" i="10"/>
  <c r="DV16" i="6" s="1"/>
  <c r="I67" i="10"/>
  <c r="DO14" i="6" s="1"/>
  <c r="Q67" i="10"/>
  <c r="DW14" i="6" s="1"/>
  <c r="Y67" i="10"/>
  <c r="EE14" i="6" s="1"/>
  <c r="AG67" i="10"/>
  <c r="EM14" i="6" s="1"/>
  <c r="G67" i="10"/>
  <c r="DM14" i="6" s="1"/>
  <c r="AE67" i="10"/>
  <c r="EK14" i="6" s="1"/>
  <c r="W54" i="10"/>
  <c r="EC15" i="6" s="1"/>
  <c r="R16" i="10"/>
  <c r="AH50" i="10"/>
  <c r="EN17" i="6" s="1"/>
  <c r="X54" i="10"/>
  <c r="ED15" i="6" s="1"/>
  <c r="E59" i="10"/>
  <c r="DK12" i="6" s="1"/>
  <c r="M59" i="10"/>
  <c r="DS12" i="6" s="1"/>
  <c r="U59" i="10"/>
  <c r="EA12" i="6" s="1"/>
  <c r="AC59" i="10"/>
  <c r="EI12" i="6" s="1"/>
  <c r="F63" i="10"/>
  <c r="DL16" i="6" s="1"/>
  <c r="V63" i="10"/>
  <c r="EB16" i="6" s="1"/>
  <c r="AD63" i="10"/>
  <c r="EJ16" i="6" s="1"/>
  <c r="K67" i="10"/>
  <c r="DQ14" i="6" s="1"/>
  <c r="S67" i="10"/>
  <c r="DY14" i="6" s="1"/>
  <c r="AA67" i="10"/>
  <c r="EG14" i="6" s="1"/>
  <c r="H22" i="10"/>
  <c r="I50" i="10"/>
  <c r="DO17" i="6" s="1"/>
  <c r="Y50" i="10"/>
  <c r="EE17" i="6" s="1"/>
  <c r="G54" i="10"/>
  <c r="DM15" i="6" s="1"/>
  <c r="K16" i="10"/>
  <c r="S16" i="10"/>
  <c r="AA16" i="10"/>
  <c r="P22" i="10"/>
  <c r="X22" i="10"/>
  <c r="E134" i="10"/>
  <c r="E135" i="10" s="1"/>
  <c r="M134" i="10"/>
  <c r="M136" i="10" s="1"/>
  <c r="U134" i="10"/>
  <c r="U139" i="10" s="1"/>
  <c r="AC134" i="10"/>
  <c r="AC137" i="10" s="1"/>
  <c r="M50" i="10"/>
  <c r="DS17" i="6" s="1"/>
  <c r="F59" i="10"/>
  <c r="DL12" i="6" s="1"/>
  <c r="V59" i="10"/>
  <c r="EB12" i="6" s="1"/>
  <c r="AD59" i="10"/>
  <c r="EJ12" i="6" s="1"/>
  <c r="G63" i="10"/>
  <c r="DM16" i="6" s="1"/>
  <c r="W63" i="10"/>
  <c r="EC16" i="6" s="1"/>
  <c r="AE63" i="10"/>
  <c r="EK16" i="6" s="1"/>
  <c r="L67" i="10"/>
  <c r="DR14" i="6" s="1"/>
  <c r="AB67" i="10"/>
  <c r="EH14" i="6" s="1"/>
  <c r="W67" i="10"/>
  <c r="EC14" i="6" s="1"/>
  <c r="Q16" i="10"/>
  <c r="Q50" i="10"/>
  <c r="DW17" i="6" s="1"/>
  <c r="AG50" i="10"/>
  <c r="EM17" i="6" s="1"/>
  <c r="O54" i="10"/>
  <c r="DU15" i="6" s="1"/>
  <c r="AE54" i="10"/>
  <c r="EK15" i="6" s="1"/>
  <c r="Z67" i="10"/>
  <c r="EF14" i="6" s="1"/>
  <c r="T16" i="10"/>
  <c r="I22" i="10"/>
  <c r="Q22" i="10"/>
  <c r="Y22" i="10"/>
  <c r="AG22" i="10"/>
  <c r="F134" i="10"/>
  <c r="F139" i="10" s="1"/>
  <c r="N134" i="10"/>
  <c r="N137" i="10" s="1"/>
  <c r="V134" i="10"/>
  <c r="V135" i="10" s="1"/>
  <c r="AD134" i="10"/>
  <c r="AD139" i="10" s="1"/>
  <c r="O46" i="10"/>
  <c r="DU13" i="6" s="1"/>
  <c r="AE46" i="10"/>
  <c r="EK13" i="6" s="1"/>
  <c r="G59" i="10"/>
  <c r="DM12" i="6" s="1"/>
  <c r="O59" i="10"/>
  <c r="DU12" i="6" s="1"/>
  <c r="W59" i="10"/>
  <c r="EC12" i="6" s="1"/>
  <c r="AE59" i="10"/>
  <c r="EK12" i="6" s="1"/>
  <c r="X63" i="10"/>
  <c r="ED16" i="6" s="1"/>
  <c r="AF63" i="10"/>
  <c r="EL16" i="6" s="1"/>
  <c r="E67" i="10"/>
  <c r="DK14" i="6" s="1"/>
  <c r="M67" i="10"/>
  <c r="DS14" i="6" s="1"/>
  <c r="U67" i="10"/>
  <c r="EA14" i="6" s="1"/>
  <c r="AC67" i="10"/>
  <c r="EI14" i="6" s="1"/>
  <c r="AA136" i="10"/>
  <c r="N63" i="10"/>
  <c r="DT16" i="6" s="1"/>
  <c r="G135" i="10"/>
  <c r="W135" i="10"/>
  <c r="X135" i="10"/>
  <c r="AJ62" i="10"/>
  <c r="H59" i="10"/>
  <c r="DN12" i="6" s="1"/>
  <c r="AA54" i="10"/>
  <c r="EG15" i="6" s="1"/>
  <c r="P54" i="10"/>
  <c r="DV15" i="6" s="1"/>
  <c r="M54" i="10"/>
  <c r="DS15" i="6" s="1"/>
  <c r="X50" i="10"/>
  <c r="ED17" i="6" s="1"/>
  <c r="AJ45" i="10"/>
  <c r="M46" i="10"/>
  <c r="DS13" i="6" s="1"/>
  <c r="AA35" i="10"/>
  <c r="EG9" i="6" s="1"/>
  <c r="H16" i="10"/>
  <c r="AJ20" i="10"/>
  <c r="I16" i="10"/>
  <c r="N22" i="10"/>
  <c r="V5" i="10"/>
  <c r="AJ39" i="10"/>
  <c r="AJ6" i="10"/>
  <c r="J67" i="10"/>
  <c r="DP14" i="6" s="1"/>
  <c r="L138" i="10"/>
  <c r="L136" i="10"/>
  <c r="T137" i="10"/>
  <c r="AB11" i="10"/>
  <c r="AF46" i="10"/>
  <c r="EL13" i="6" s="1"/>
  <c r="Z35" i="10"/>
  <c r="EF9" i="6" s="1"/>
  <c r="H134" i="10"/>
  <c r="H137" i="10" s="1"/>
  <c r="H50" i="10"/>
  <c r="DN17" i="6" s="1"/>
  <c r="AJ44" i="10"/>
  <c r="I46" i="10"/>
  <c r="DO13" i="6" s="1"/>
  <c r="Q46" i="10"/>
  <c r="DW13" i="6" s="1"/>
  <c r="AG46" i="10"/>
  <c r="EM13" i="6" s="1"/>
  <c r="K135" i="10"/>
  <c r="AA50" i="10"/>
  <c r="EG17" i="6" s="1"/>
  <c r="K98" i="10"/>
  <c r="K37" i="10"/>
  <c r="K38" i="10" s="1"/>
  <c r="Q139" i="10"/>
  <c r="O16" i="10"/>
  <c r="AE16" i="10"/>
  <c r="AJ32" i="10"/>
  <c r="Y139" i="10"/>
  <c r="Y135" i="10"/>
  <c r="J46" i="10"/>
  <c r="DP13" i="6" s="1"/>
  <c r="R46" i="10"/>
  <c r="DX13" i="6" s="1"/>
  <c r="AH46" i="10"/>
  <c r="EN13" i="6" s="1"/>
  <c r="X46" i="10"/>
  <c r="ED13" i="6" s="1"/>
  <c r="L50" i="10"/>
  <c r="DR17" i="6" s="1"/>
  <c r="T135" i="10"/>
  <c r="T50" i="10"/>
  <c r="DZ17" i="6" s="1"/>
  <c r="AB50" i="10"/>
  <c r="EH17" i="6" s="1"/>
  <c r="P16" i="10"/>
  <c r="X16" i="10"/>
  <c r="AF16" i="10"/>
  <c r="L22" i="10"/>
  <c r="L35" i="10"/>
  <c r="DR9" i="6" s="1"/>
  <c r="J134" i="10"/>
  <c r="J137" i="10" s="1"/>
  <c r="J50" i="10"/>
  <c r="DP17" i="6" s="1"/>
  <c r="R134" i="10"/>
  <c r="R50" i="10"/>
  <c r="DX17" i="6" s="1"/>
  <c r="Z134" i="10"/>
  <c r="Z136" i="10" s="1"/>
  <c r="S46" i="10"/>
  <c r="DY13" i="6" s="1"/>
  <c r="AA46" i="10"/>
  <c r="EG13" i="6" s="1"/>
  <c r="Y46" i="10"/>
  <c r="EE13" i="6" s="1"/>
  <c r="K50" i="10"/>
  <c r="DQ17" i="6" s="1"/>
  <c r="I54" i="10"/>
  <c r="DO15" i="6" s="1"/>
  <c r="Q54" i="10"/>
  <c r="DW15" i="6" s="1"/>
  <c r="AG136" i="10"/>
  <c r="AG54" i="10"/>
  <c r="EM15" i="6" s="1"/>
  <c r="I59" i="10"/>
  <c r="DO12" i="6" s="1"/>
  <c r="Y59" i="10"/>
  <c r="EE12" i="6" s="1"/>
  <c r="E63" i="10"/>
  <c r="DK16" i="6" s="1"/>
  <c r="AH67" i="10"/>
  <c r="EN14" i="6" s="1"/>
  <c r="H46" i="10"/>
  <c r="DN13" i="6" s="1"/>
  <c r="P46" i="10"/>
  <c r="DV13" i="6" s="1"/>
  <c r="F16" i="10"/>
  <c r="AJ14" i="10"/>
  <c r="AF134" i="10"/>
  <c r="AF137" i="10" s="1"/>
  <c r="AF50" i="10"/>
  <c r="EL17" i="6" s="1"/>
  <c r="AF54" i="10"/>
  <c r="EL15" i="6" s="1"/>
  <c r="S50" i="10"/>
  <c r="DY17" i="6" s="1"/>
  <c r="AJ49" i="10"/>
  <c r="G16" i="10"/>
  <c r="W16" i="10"/>
  <c r="AD22" i="10"/>
  <c r="K35" i="10"/>
  <c r="DQ9" i="6" s="1"/>
  <c r="AJ33" i="10"/>
  <c r="AG138" i="10"/>
  <c r="AG139" i="10"/>
  <c r="L88" i="10"/>
  <c r="AB88" i="10"/>
  <c r="AJ4" i="10"/>
  <c r="Y16" i="10"/>
  <c r="AG16" i="10"/>
  <c r="M35" i="10"/>
  <c r="DS9" i="6" s="1"/>
  <c r="E38" i="10"/>
  <c r="J54" i="10"/>
  <c r="DP15" i="6" s="1"/>
  <c r="R54" i="10"/>
  <c r="DX15" i="6" s="1"/>
  <c r="Z54" i="10"/>
  <c r="EF15" i="6" s="1"/>
  <c r="AH54" i="10"/>
  <c r="EN15" i="6" s="1"/>
  <c r="R67" i="10"/>
  <c r="DX14" i="6" s="1"/>
  <c r="L59" i="10"/>
  <c r="DR12" i="6" s="1"/>
  <c r="N5" i="10"/>
  <c r="E88" i="10"/>
  <c r="AJ3" i="10"/>
  <c r="M88" i="10"/>
  <c r="AC88" i="10"/>
  <c r="E8" i="10"/>
  <c r="AJ21" i="10"/>
  <c r="AJ29" i="10"/>
  <c r="O34" i="10"/>
  <c r="O35" i="10" s="1"/>
  <c r="DU9" i="6" s="1"/>
  <c r="AF34" i="10"/>
  <c r="AF35" i="10" s="1"/>
  <c r="EL9" i="6" s="1"/>
  <c r="N35" i="10"/>
  <c r="DT9" i="6" s="1"/>
  <c r="AD35" i="10"/>
  <c r="EJ9" i="6" s="1"/>
  <c r="K41" i="10"/>
  <c r="S41" i="10"/>
  <c r="AJ40" i="10"/>
  <c r="K54" i="10"/>
  <c r="DQ15" i="6" s="1"/>
  <c r="S54" i="10"/>
  <c r="DY15" i="6" s="1"/>
  <c r="AJ53" i="10"/>
  <c r="Z59" i="10"/>
  <c r="EF12" i="6" s="1"/>
  <c r="Z63" i="10"/>
  <c r="EF16" i="6" s="1"/>
  <c r="AB59" i="10"/>
  <c r="EH12" i="6" s="1"/>
  <c r="L46" i="10"/>
  <c r="DR13" i="6" s="1"/>
  <c r="M135" i="10"/>
  <c r="H63" i="10"/>
  <c r="DN16" i="6" s="1"/>
  <c r="F88" i="10"/>
  <c r="AJ87" i="10"/>
  <c r="AN80" i="10" s="1"/>
  <c r="AB98" i="10"/>
  <c r="AB37" i="10"/>
  <c r="AB38" i="10" s="1"/>
  <c r="Y88" i="10"/>
  <c r="V41" i="10"/>
  <c r="V50" i="10"/>
  <c r="EB17" i="6" s="1"/>
  <c r="AD135" i="10"/>
  <c r="F50" i="10"/>
  <c r="DL17" i="6" s="1"/>
  <c r="AD50" i="10"/>
  <c r="EJ17" i="6" s="1"/>
  <c r="AD136" i="10"/>
  <c r="AD54" i="10"/>
  <c r="EJ15" i="6" s="1"/>
  <c r="U54" i="10"/>
  <c r="EA15" i="6" s="1"/>
  <c r="AJ58" i="10"/>
  <c r="N59" i="10"/>
  <c r="DT12" i="6" s="1"/>
  <c r="AD137" i="10"/>
  <c r="I63" i="10"/>
  <c r="DO16" i="6" s="1"/>
  <c r="Q63" i="10"/>
  <c r="DW16" i="6" s="1"/>
  <c r="Y63" i="10"/>
  <c r="EE16" i="6" s="1"/>
  <c r="AG63" i="10"/>
  <c r="EM16" i="6" s="1"/>
  <c r="T136" i="10"/>
  <c r="M98" i="10"/>
  <c r="M37" i="10"/>
  <c r="M38" i="10" s="1"/>
  <c r="W139" i="10"/>
  <c r="AB46" i="10"/>
  <c r="EH13" i="6" s="1"/>
  <c r="AC50" i="10"/>
  <c r="EI17" i="6" s="1"/>
  <c r="T98" i="10"/>
  <c r="T37" i="10"/>
  <c r="T38" i="10" s="1"/>
  <c r="AJ15" i="10"/>
  <c r="P35" i="10"/>
  <c r="DV9" i="6" s="1"/>
  <c r="F46" i="10"/>
  <c r="DL13" i="6" s="1"/>
  <c r="N46" i="10"/>
  <c r="DT13" i="6" s="1"/>
  <c r="V46" i="10"/>
  <c r="EB13" i="6" s="1"/>
  <c r="AD46" i="10"/>
  <c r="EJ13" i="6" s="1"/>
  <c r="V54" i="10"/>
  <c r="EB15" i="6" s="1"/>
  <c r="AJ57" i="10"/>
  <c r="AL68" i="10" s="1"/>
  <c r="R63" i="10"/>
  <c r="DX16" i="6" s="1"/>
  <c r="H88" i="10"/>
  <c r="V98" i="10"/>
  <c r="V37" i="10"/>
  <c r="V38" i="10" s="1"/>
  <c r="AD138" i="10"/>
  <c r="T46" i="10"/>
  <c r="DZ13" i="6" s="1"/>
  <c r="L98" i="10"/>
  <c r="L37" i="10"/>
  <c r="L38" i="10" s="1"/>
  <c r="Q88" i="10"/>
  <c r="AG88" i="10"/>
  <c r="AA88" i="10"/>
  <c r="G139" i="10"/>
  <c r="G138" i="10"/>
  <c r="G137" i="10"/>
  <c r="G46" i="10"/>
  <c r="DM13" i="6" s="1"/>
  <c r="W137" i="10"/>
  <c r="W46" i="10"/>
  <c r="EC13" i="6" s="1"/>
  <c r="U50" i="10"/>
  <c r="EA17" i="6" s="1"/>
  <c r="H54" i="10"/>
  <c r="DN15" i="6" s="1"/>
  <c r="X136" i="10"/>
  <c r="X59" i="10"/>
  <c r="ED12" i="6" s="1"/>
  <c r="AJ66" i="10"/>
  <c r="N67" i="10"/>
  <c r="DT14" i="6" s="1"/>
  <c r="AK75" i="10"/>
  <c r="R24" i="6" s="1"/>
  <c r="G136" i="10"/>
  <c r="W136" i="10"/>
  <c r="AL83" i="10"/>
  <c r="AM80" i="10" s="1"/>
  <c r="G50" i="10"/>
  <c r="DM17" i="6" s="1"/>
  <c r="O50" i="10"/>
  <c r="DU17" i="6" s="1"/>
  <c r="W50" i="10"/>
  <c r="EC17" i="6" s="1"/>
  <c r="AE50" i="10"/>
  <c r="EK17" i="6" s="1"/>
  <c r="AC124" i="9"/>
  <c r="AC120" i="9"/>
  <c r="AC31" i="9"/>
  <c r="AJ31" i="9" s="1"/>
  <c r="AL28" i="9" s="1"/>
  <c r="AC29" i="9"/>
  <c r="AC118" i="9"/>
  <c r="AB124" i="9"/>
  <c r="P136" i="10" l="1"/>
  <c r="EN4" i="6"/>
  <c r="DX2" i="2"/>
  <c r="EI6" i="6"/>
  <c r="DS4" i="2"/>
  <c r="EM5" i="6"/>
  <c r="DW3" i="2"/>
  <c r="DY6" i="6"/>
  <c r="DI4" i="2"/>
  <c r="X139" i="10"/>
  <c r="EB4" i="6"/>
  <c r="DL2" i="2"/>
  <c r="EN5" i="6"/>
  <c r="DX3" i="2"/>
  <c r="EA4" i="6"/>
  <c r="DK2" i="2"/>
  <c r="DL5" i="6"/>
  <c r="CV3" i="2"/>
  <c r="DL6" i="6"/>
  <c r="CV4" i="2"/>
  <c r="DP4" i="6"/>
  <c r="CZ2" i="2"/>
  <c r="DZ5" i="6"/>
  <c r="DJ3" i="2"/>
  <c r="EG6" i="6"/>
  <c r="DQ4" i="2"/>
  <c r="DV6" i="2"/>
  <c r="EO6" i="6"/>
  <c r="DY4" i="2"/>
  <c r="O137" i="10"/>
  <c r="DT6" i="6"/>
  <c r="DD4" i="2"/>
  <c r="DM5" i="6"/>
  <c r="CW3" i="2"/>
  <c r="Q137" i="10"/>
  <c r="DA3" i="2"/>
  <c r="DQ5" i="6"/>
  <c r="EI4" i="6"/>
  <c r="DS2" i="2"/>
  <c r="EO4" i="6"/>
  <c r="DY2" i="2"/>
  <c r="DT8" i="6"/>
  <c r="DD6" i="2"/>
  <c r="DE17" i="7"/>
  <c r="DT4" i="6"/>
  <c r="DD2" i="2"/>
  <c r="Q136" i="10"/>
  <c r="DO6" i="6"/>
  <c r="CY4" i="2"/>
  <c r="DL8" i="6"/>
  <c r="CV6" i="2"/>
  <c r="DO6" i="2"/>
  <c r="EE8" i="6"/>
  <c r="P135" i="10"/>
  <c r="AG135" i="10"/>
  <c r="DO3" i="2"/>
  <c r="EE5" i="6"/>
  <c r="EG8" i="6"/>
  <c r="DQ6" i="2"/>
  <c r="DL4" i="6"/>
  <c r="CV2" i="2"/>
  <c r="DO4" i="6"/>
  <c r="CY2" i="2"/>
  <c r="DJ2" i="2"/>
  <c r="DZ4" i="6"/>
  <c r="DI25" i="7"/>
  <c r="DP17" i="7"/>
  <c r="EB8" i="6"/>
  <c r="DL6" i="2"/>
  <c r="DY8" i="6"/>
  <c r="DI6" i="2"/>
  <c r="AJ134" i="10"/>
  <c r="AJ137" i="10" s="1"/>
  <c r="DP6" i="6"/>
  <c r="CZ4" i="2"/>
  <c r="DO5" i="6"/>
  <c r="CY3" i="2"/>
  <c r="EB5" i="6"/>
  <c r="DL3" i="2"/>
  <c r="DM8" i="6"/>
  <c r="CW6" i="2"/>
  <c r="DV8" i="6"/>
  <c r="DX4" i="6"/>
  <c r="DU6" i="6"/>
  <c r="DE4" i="2"/>
  <c r="EA8" i="6"/>
  <c r="DK6" i="2"/>
  <c r="EA5" i="6"/>
  <c r="DK3" i="2"/>
  <c r="Q138" i="10"/>
  <c r="EO7" i="6"/>
  <c r="DY5" i="2"/>
  <c r="DA6" i="2"/>
  <c r="DQ8" i="6"/>
  <c r="DZ8" i="6"/>
  <c r="DJ6" i="2"/>
  <c r="DP5" i="6"/>
  <c r="CZ3" i="2"/>
  <c r="DT5" i="6"/>
  <c r="DD3" i="2"/>
  <c r="DA2" i="2"/>
  <c r="DQ4" i="6"/>
  <c r="ED8" i="6"/>
  <c r="EL6" i="6"/>
  <c r="EM8" i="6"/>
  <c r="DW6" i="2"/>
  <c r="EN8" i="6"/>
  <c r="DX6" i="2"/>
  <c r="CS16" i="7"/>
  <c r="CS25" i="7" s="1"/>
  <c r="CS7" i="7"/>
  <c r="CS17" i="7" s="1"/>
  <c r="EO5" i="6"/>
  <c r="DY3" i="2"/>
  <c r="DM6" i="6"/>
  <c r="CW4" i="2"/>
  <c r="DY5" i="6"/>
  <c r="DI3" i="2"/>
  <c r="DO4" i="2"/>
  <c r="EE6" i="6"/>
  <c r="CW2" i="2"/>
  <c r="DM4" i="6"/>
  <c r="P139" i="10"/>
  <c r="P137" i="10"/>
  <c r="DO2" i="2"/>
  <c r="EE4" i="6"/>
  <c r="EM4" i="6"/>
  <c r="DW2" i="2"/>
  <c r="DQ6" i="6"/>
  <c r="DA4" i="2"/>
  <c r="EG5" i="6"/>
  <c r="DQ3" i="2"/>
  <c r="DU5" i="6"/>
  <c r="DE3" i="2"/>
  <c r="EI8" i="6"/>
  <c r="DS6" i="2"/>
  <c r="EM6" i="6"/>
  <c r="DW4" i="2"/>
  <c r="DO8" i="6"/>
  <c r="CY6" i="2"/>
  <c r="DY4" i="6"/>
  <c r="DI2" i="2"/>
  <c r="DD7" i="7"/>
  <c r="DD16" i="7"/>
  <c r="DD25" i="7" s="1"/>
  <c r="CY17" i="7"/>
  <c r="DH17" i="7"/>
  <c r="DP7" i="6"/>
  <c r="CZ5" i="2"/>
  <c r="DY7" i="6"/>
  <c r="DI5" i="2"/>
  <c r="DJ5" i="2"/>
  <c r="DZ7" i="6"/>
  <c r="DO5" i="2"/>
  <c r="EE7" i="6"/>
  <c r="EB7" i="6"/>
  <c r="DL5" i="2"/>
  <c r="EG7" i="6"/>
  <c r="DQ5" i="2"/>
  <c r="EA7" i="6"/>
  <c r="DK5" i="2"/>
  <c r="EN7" i="6"/>
  <c r="DX5" i="2"/>
  <c r="EM7" i="6"/>
  <c r="DW5" i="2"/>
  <c r="EI7" i="6"/>
  <c r="DS5" i="2"/>
  <c r="DT7" i="6"/>
  <c r="DD5" i="2"/>
  <c r="DA5" i="2"/>
  <c r="DQ7" i="6"/>
  <c r="DO7" i="6"/>
  <c r="CY5" i="2"/>
  <c r="CW5" i="2"/>
  <c r="DM7" i="6"/>
  <c r="DL7" i="6"/>
  <c r="CV5" i="2"/>
  <c r="DV17" i="7"/>
  <c r="AI138" i="10"/>
  <c r="AI137" i="10"/>
  <c r="AI135" i="10"/>
  <c r="EN6" i="6"/>
  <c r="DX4" i="2"/>
  <c r="DU17" i="7"/>
  <c r="EG4" i="6"/>
  <c r="DQ2" i="2"/>
  <c r="DT17" i="7"/>
  <c r="DV5" i="2"/>
  <c r="EL7" i="6"/>
  <c r="DV3" i="2"/>
  <c r="EL5" i="6"/>
  <c r="DV2" i="2"/>
  <c r="EL4" i="6"/>
  <c r="DS25" i="7"/>
  <c r="AE135" i="10"/>
  <c r="AE137" i="10"/>
  <c r="AE136" i="10"/>
  <c r="AE138" i="10"/>
  <c r="DS17" i="7"/>
  <c r="DU5" i="2"/>
  <c r="EK7" i="6"/>
  <c r="DU6" i="2"/>
  <c r="EK8" i="6"/>
  <c r="DU3" i="2"/>
  <c r="EK5" i="6"/>
  <c r="DR7" i="7"/>
  <c r="DR16" i="7"/>
  <c r="DR25" i="7" s="1"/>
  <c r="DT5" i="2"/>
  <c r="EJ7" i="6"/>
  <c r="EJ8" i="6"/>
  <c r="DT3" i="2"/>
  <c r="EJ5" i="6"/>
  <c r="DT4" i="2"/>
  <c r="EJ6" i="6"/>
  <c r="EH6" i="6"/>
  <c r="DR4" i="2"/>
  <c r="EH7" i="6"/>
  <c r="DR5" i="2"/>
  <c r="EH8" i="6"/>
  <c r="DR6" i="2"/>
  <c r="EH4" i="6"/>
  <c r="DR2" i="2"/>
  <c r="AB139" i="10"/>
  <c r="AB137" i="10"/>
  <c r="AB135" i="10"/>
  <c r="AB138" i="10"/>
  <c r="AC135" i="10"/>
  <c r="DN17" i="7"/>
  <c r="AA139" i="10"/>
  <c r="AA137" i="10"/>
  <c r="AA135" i="10"/>
  <c r="DP4" i="2"/>
  <c r="EF6" i="6"/>
  <c r="DP3" i="2"/>
  <c r="EF5" i="6"/>
  <c r="DP2" i="2"/>
  <c r="EF4" i="6"/>
  <c r="DP5" i="2"/>
  <c r="EF7" i="6"/>
  <c r="DM7" i="7"/>
  <c r="DM16" i="7"/>
  <c r="DM25" i="7" s="1"/>
  <c r="Z135" i="10"/>
  <c r="DN5" i="2"/>
  <c r="ED7" i="6"/>
  <c r="DN4" i="2"/>
  <c r="ED6" i="6"/>
  <c r="DN3" i="2"/>
  <c r="ED5" i="6"/>
  <c r="Y137" i="10"/>
  <c r="Z137" i="10"/>
  <c r="Y138" i="10"/>
  <c r="DK7" i="7"/>
  <c r="DK16" i="7"/>
  <c r="DK25" i="7" s="1"/>
  <c r="DJ17" i="7"/>
  <c r="DM5" i="2"/>
  <c r="EC7" i="6"/>
  <c r="DM3" i="2"/>
  <c r="EC5" i="6"/>
  <c r="V136" i="10"/>
  <c r="V137" i="10"/>
  <c r="DI17" i="7"/>
  <c r="DF17" i="7"/>
  <c r="U138" i="10"/>
  <c r="U135" i="10"/>
  <c r="U137" i="10"/>
  <c r="DG7" i="7"/>
  <c r="DG16" i="7"/>
  <c r="DG25" i="7" s="1"/>
  <c r="T139" i="10"/>
  <c r="T138" i="10"/>
  <c r="S135" i="10"/>
  <c r="S136" i="10"/>
  <c r="S137" i="10"/>
  <c r="S138" i="10"/>
  <c r="DG4" i="2"/>
  <c r="DW6" i="6"/>
  <c r="DG3" i="2"/>
  <c r="DW5" i="6"/>
  <c r="DG5" i="2"/>
  <c r="DW7" i="6"/>
  <c r="DH5" i="2"/>
  <c r="DX7" i="6"/>
  <c r="DH4" i="2"/>
  <c r="DX6" i="6"/>
  <c r="DH3" i="2"/>
  <c r="DX5" i="6"/>
  <c r="DF2" i="2"/>
  <c r="DF4" i="2"/>
  <c r="DV6" i="6"/>
  <c r="DF3" i="2"/>
  <c r="DV5" i="6"/>
  <c r="DF5" i="2"/>
  <c r="DV7" i="6"/>
  <c r="DU7" i="6"/>
  <c r="DE5" i="2"/>
  <c r="DU4" i="6"/>
  <c r="DE2" i="2"/>
  <c r="DW6" i="7"/>
  <c r="DW17" i="7" s="1"/>
  <c r="O135" i="10"/>
  <c r="O138" i="10"/>
  <c r="O136" i="10"/>
  <c r="DC7" i="7"/>
  <c r="DC16" i="7"/>
  <c r="DC25" i="7" s="1"/>
  <c r="DB16" i="7"/>
  <c r="DB25" i="7" s="1"/>
  <c r="DB7" i="7"/>
  <c r="DA17" i="7"/>
  <c r="AJ41" i="10"/>
  <c r="CZ17" i="7"/>
  <c r="DC5" i="2"/>
  <c r="DS7" i="6"/>
  <c r="DC4" i="2"/>
  <c r="DS6" i="6"/>
  <c r="DC2" i="2"/>
  <c r="DS4" i="6"/>
  <c r="CU17" i="7"/>
  <c r="CW17" i="7"/>
  <c r="K136" i="10"/>
  <c r="K138" i="10"/>
  <c r="K137" i="10"/>
  <c r="CT24" i="7"/>
  <c r="AJ67" i="10"/>
  <c r="R14" i="6" s="1"/>
  <c r="DR4" i="6"/>
  <c r="DB6" i="2"/>
  <c r="DR8" i="6"/>
  <c r="DR6" i="6"/>
  <c r="DB4" i="2"/>
  <c r="DR7" i="6"/>
  <c r="DB5" i="2"/>
  <c r="L137" i="10"/>
  <c r="L135" i="10"/>
  <c r="CX17" i="7"/>
  <c r="I135" i="10"/>
  <c r="I136" i="10"/>
  <c r="I139" i="10"/>
  <c r="I138" i="10"/>
  <c r="CV7" i="7"/>
  <c r="CV16" i="7"/>
  <c r="CV25" i="7" s="1"/>
  <c r="DN7" i="6"/>
  <c r="CX5" i="2"/>
  <c r="DN8" i="6"/>
  <c r="CX6" i="2"/>
  <c r="CX4" i="2"/>
  <c r="DN6" i="6"/>
  <c r="DN5" i="6"/>
  <c r="CX3" i="2"/>
  <c r="DN4" i="6"/>
  <c r="CX2" i="2"/>
  <c r="CT7" i="7"/>
  <c r="CT16" i="7"/>
  <c r="DK7" i="6"/>
  <c r="CU5" i="2"/>
  <c r="DK8" i="6"/>
  <c r="CU6" i="2"/>
  <c r="DK5" i="6"/>
  <c r="CU3" i="2"/>
  <c r="CU2" i="2"/>
  <c r="DK4" i="6"/>
  <c r="DZ24" i="2"/>
  <c r="CR16" i="7"/>
  <c r="CR25" i="7" s="1"/>
  <c r="AN84" i="10"/>
  <c r="AJ16" i="10"/>
  <c r="AJ46" i="10"/>
  <c r="AJ34" i="10"/>
  <c r="AJ35" i="10" s="1"/>
  <c r="AJ98" i="10"/>
  <c r="AJ37" i="10"/>
  <c r="F135" i="10"/>
  <c r="F137" i="10"/>
  <c r="AF136" i="10"/>
  <c r="AH135" i="10"/>
  <c r="AC136" i="10"/>
  <c r="M138" i="10"/>
  <c r="M139" i="10"/>
  <c r="M137" i="10"/>
  <c r="F136" i="10"/>
  <c r="AH136" i="10"/>
  <c r="U136" i="10"/>
  <c r="E139" i="10"/>
  <c r="E138" i="10"/>
  <c r="E137" i="10"/>
  <c r="N135" i="10"/>
  <c r="AH139" i="10"/>
  <c r="J136" i="10"/>
  <c r="AC139" i="10"/>
  <c r="AC138" i="10"/>
  <c r="AH137" i="10"/>
  <c r="F138" i="10"/>
  <c r="E136" i="10"/>
  <c r="N138" i="10"/>
  <c r="N139" i="10"/>
  <c r="N136" i="10"/>
  <c r="V138" i="10"/>
  <c r="V139" i="10"/>
  <c r="R138" i="10"/>
  <c r="R139" i="10"/>
  <c r="R135" i="10"/>
  <c r="AJ22" i="10"/>
  <c r="R136" i="10"/>
  <c r="AJ59" i="10"/>
  <c r="R12" i="6" s="1"/>
  <c r="H136" i="10"/>
  <c r="AM81" i="10"/>
  <c r="AJ5" i="10"/>
  <c r="AJ24" i="10"/>
  <c r="AF138" i="10"/>
  <c r="AF139" i="10"/>
  <c r="AF135" i="10"/>
  <c r="Z138" i="10"/>
  <c r="Z139" i="10"/>
  <c r="R137" i="10"/>
  <c r="AN85" i="10"/>
  <c r="AM79" i="10"/>
  <c r="AM83" i="10"/>
  <c r="AJ68" i="10"/>
  <c r="AJ54" i="10"/>
  <c r="R15" i="6" s="1"/>
  <c r="AL51" i="10"/>
  <c r="J138" i="10"/>
  <c r="J139" i="10"/>
  <c r="J135" i="10"/>
  <c r="AJ69" i="10"/>
  <c r="AJ8" i="10"/>
  <c r="H138" i="10"/>
  <c r="H139" i="10"/>
  <c r="H135" i="10"/>
  <c r="AJ63" i="10"/>
  <c r="R16" i="6" s="1"/>
  <c r="AJ88" i="10"/>
  <c r="AN83" i="10" s="1"/>
  <c r="AN81" i="10"/>
  <c r="AN79" i="10"/>
  <c r="AN82" i="10"/>
  <c r="AM82" i="10"/>
  <c r="AL42" i="10"/>
  <c r="AL47" i="10"/>
  <c r="AJ50" i="10"/>
  <c r="R17" i="6" s="1"/>
  <c r="BN3" i="7"/>
  <c r="BO3" i="7"/>
  <c r="BP3" i="7"/>
  <c r="BQ3" i="7"/>
  <c r="BR3" i="7"/>
  <c r="BS3" i="7"/>
  <c r="BT3" i="7"/>
  <c r="BU3" i="7"/>
  <c r="BV3" i="7"/>
  <c r="BW3" i="7"/>
  <c r="BX3" i="7"/>
  <c r="BY3" i="7"/>
  <c r="BZ3" i="7"/>
  <c r="CA3" i="7"/>
  <c r="CB3" i="7"/>
  <c r="CC3" i="7"/>
  <c r="CD3" i="7"/>
  <c r="CE3" i="7"/>
  <c r="CF3" i="7"/>
  <c r="CG3" i="7"/>
  <c r="CH3" i="7"/>
  <c r="CI3" i="7"/>
  <c r="BN4" i="7"/>
  <c r="BO4" i="7"/>
  <c r="BP4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CH4" i="7"/>
  <c r="CI4" i="7"/>
  <c r="BN20" i="7"/>
  <c r="BO20" i="7"/>
  <c r="BP20" i="7"/>
  <c r="BP22" i="7" s="1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CD20" i="7"/>
  <c r="CE20" i="7"/>
  <c r="CF20" i="7"/>
  <c r="CG20" i="7"/>
  <c r="CH20" i="7"/>
  <c r="CI20" i="7"/>
  <c r="BN21" i="7"/>
  <c r="BO21" i="7"/>
  <c r="BP21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CD21" i="7"/>
  <c r="CE21" i="7"/>
  <c r="CF21" i="7"/>
  <c r="CG21" i="7"/>
  <c r="CH21" i="7"/>
  <c r="CI21" i="7"/>
  <c r="BN13" i="7"/>
  <c r="BO13" i="7"/>
  <c r="BP13" i="7"/>
  <c r="BQ13" i="7"/>
  <c r="BR13" i="7"/>
  <c r="BS13" i="7"/>
  <c r="BT13" i="7"/>
  <c r="BU13" i="7"/>
  <c r="BV13" i="7"/>
  <c r="BW13" i="7"/>
  <c r="BX13" i="7"/>
  <c r="BY13" i="7"/>
  <c r="BY15" i="7" s="1"/>
  <c r="BZ13" i="7"/>
  <c r="CA13" i="7"/>
  <c r="CB13" i="7"/>
  <c r="CC13" i="7"/>
  <c r="CD13" i="7"/>
  <c r="CE13" i="7"/>
  <c r="CF13" i="7"/>
  <c r="CG13" i="7"/>
  <c r="CG15" i="7" s="1"/>
  <c r="CH13" i="7"/>
  <c r="CI13" i="7"/>
  <c r="BN14" i="7"/>
  <c r="BO14" i="7"/>
  <c r="BP14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CG14" i="7"/>
  <c r="CH14" i="7"/>
  <c r="CI14" i="7"/>
  <c r="CC15" i="7" l="1"/>
  <c r="BU15" i="7"/>
  <c r="CE22" i="7"/>
  <c r="BW22" i="7"/>
  <c r="BO22" i="7"/>
  <c r="AK134" i="10"/>
  <c r="CH22" i="7"/>
  <c r="BZ22" i="7"/>
  <c r="DD17" i="7"/>
  <c r="R13" i="6"/>
  <c r="AL45" i="11"/>
  <c r="AL45" i="10"/>
  <c r="CG22" i="7"/>
  <c r="BY22" i="7"/>
  <c r="AJ136" i="10"/>
  <c r="CD15" i="7"/>
  <c r="BV15" i="7"/>
  <c r="BN15" i="7"/>
  <c r="CF15" i="7"/>
  <c r="BP15" i="7"/>
  <c r="BX15" i="7"/>
  <c r="BR22" i="7"/>
  <c r="BQ15" i="7"/>
  <c r="BQ22" i="7"/>
  <c r="CF22" i="7"/>
  <c r="BX22" i="7"/>
  <c r="CE15" i="7"/>
  <c r="BW15" i="7"/>
  <c r="BO15" i="7"/>
  <c r="CB15" i="7"/>
  <c r="BT15" i="7"/>
  <c r="CD22" i="7"/>
  <c r="BV22" i="7"/>
  <c r="BN22" i="7"/>
  <c r="CH15" i="7"/>
  <c r="BZ15" i="7"/>
  <c r="BR15" i="7"/>
  <c r="BO5" i="7"/>
  <c r="CA15" i="7"/>
  <c r="CI15" i="7"/>
  <c r="CC22" i="7"/>
  <c r="BU22" i="7"/>
  <c r="BS15" i="7"/>
  <c r="CB22" i="7"/>
  <c r="BT22" i="7"/>
  <c r="CI22" i="7"/>
  <c r="CA22" i="7"/>
  <c r="BS22" i="7"/>
  <c r="DR17" i="7"/>
  <c r="DM17" i="7"/>
  <c r="DK17" i="7"/>
  <c r="DW16" i="7"/>
  <c r="DW7" i="7"/>
  <c r="DG17" i="7"/>
  <c r="DB17" i="7"/>
  <c r="DC17" i="7"/>
  <c r="CT25" i="7"/>
  <c r="CT17" i="7"/>
  <c r="CV17" i="7"/>
  <c r="R21" i="6"/>
  <c r="DZ16" i="2"/>
  <c r="R9" i="6"/>
  <c r="R8" i="6"/>
  <c r="DZ6" i="2"/>
  <c r="R6" i="6"/>
  <c r="DZ4" i="2"/>
  <c r="R5" i="6"/>
  <c r="DZ3" i="2"/>
  <c r="R4" i="6"/>
  <c r="DZ2" i="2"/>
  <c r="R22" i="6"/>
  <c r="DZ17" i="2"/>
  <c r="CR17" i="7"/>
  <c r="R10" i="6"/>
  <c r="DZ13" i="2"/>
  <c r="AJ38" i="10"/>
  <c r="DZ5" i="2" s="1"/>
  <c r="AJ135" i="10"/>
  <c r="AJ138" i="10"/>
  <c r="AJ139" i="10"/>
  <c r="AJ77" i="9"/>
  <c r="R7" i="6" l="1"/>
  <c r="Z29" i="9"/>
  <c r="Y29" i="9"/>
  <c r="DA34" i="6"/>
  <c r="DB34" i="6"/>
  <c r="DC34" i="6"/>
  <c r="DD34" i="6"/>
  <c r="DE34" i="6"/>
  <c r="DA35" i="6"/>
  <c r="DB35" i="6"/>
  <c r="DC35" i="6"/>
  <c r="DD35" i="6"/>
  <c r="DE35" i="6"/>
  <c r="DA36" i="6"/>
  <c r="DB36" i="6"/>
  <c r="DC36" i="6"/>
  <c r="DD36" i="6"/>
  <c r="DE36" i="6"/>
  <c r="DA37" i="6"/>
  <c r="DB37" i="6"/>
  <c r="DC37" i="6"/>
  <c r="DD37" i="6"/>
  <c r="DE37" i="6"/>
  <c r="DA38" i="6"/>
  <c r="DB38" i="6"/>
  <c r="DC38" i="6"/>
  <c r="DD38" i="6"/>
  <c r="DE38" i="6"/>
  <c r="DA30" i="6"/>
  <c r="CJ11" i="2" s="1"/>
  <c r="DB30" i="6"/>
  <c r="CK11" i="2" s="1"/>
  <c r="DC30" i="6"/>
  <c r="CL11" i="2" s="1"/>
  <c r="DD30" i="6"/>
  <c r="CM11" i="2" s="1"/>
  <c r="DE30" i="6"/>
  <c r="CN11" i="2" s="1"/>
  <c r="DA27" i="6"/>
  <c r="CJ8" i="2" s="1"/>
  <c r="DB27" i="6"/>
  <c r="CK8" i="2" s="1"/>
  <c r="DC27" i="6"/>
  <c r="CL8" i="2" s="1"/>
  <c r="DD27" i="6"/>
  <c r="CM8" i="2" s="1"/>
  <c r="DE27" i="6"/>
  <c r="CN8" i="2" s="1"/>
  <c r="DA21" i="6"/>
  <c r="DB21" i="6"/>
  <c r="DC21" i="6"/>
  <c r="DD21" i="6"/>
  <c r="DE21" i="6"/>
  <c r="DA22" i="6"/>
  <c r="DB22" i="6"/>
  <c r="DC22" i="6"/>
  <c r="DD22" i="6"/>
  <c r="DE22" i="6"/>
  <c r="DA23" i="6"/>
  <c r="DB23" i="6"/>
  <c r="DC23" i="6"/>
  <c r="DD23" i="6"/>
  <c r="DE23" i="6"/>
  <c r="DA24" i="6"/>
  <c r="DB24" i="6"/>
  <c r="DC24" i="6"/>
  <c r="DD24" i="6"/>
  <c r="DE24" i="6"/>
  <c r="DA25" i="6"/>
  <c r="DB25" i="6"/>
  <c r="DC25" i="6"/>
  <c r="DD25" i="6"/>
  <c r="DE25" i="6"/>
  <c r="CL24" i="2"/>
  <c r="CL23" i="2"/>
  <c r="CL21" i="2"/>
  <c r="CL20" i="2"/>
  <c r="CL19" i="2"/>
  <c r="CL18" i="2"/>
  <c r="CL17" i="2"/>
  <c r="CL16" i="2"/>
  <c r="CL15" i="2"/>
  <c r="CL14" i="2"/>
  <c r="CL12" i="2"/>
  <c r="CL9" i="2"/>
  <c r="CK24" i="2"/>
  <c r="CK23" i="2"/>
  <c r="CK21" i="2"/>
  <c r="CK20" i="2"/>
  <c r="CK19" i="2"/>
  <c r="CK18" i="2"/>
  <c r="CK17" i="2"/>
  <c r="CK16" i="2"/>
  <c r="CK15" i="2"/>
  <c r="CK14" i="2"/>
  <c r="CK12" i="2"/>
  <c r="CK9" i="2"/>
  <c r="CJ24" i="2"/>
  <c r="CJ23" i="2"/>
  <c r="CJ21" i="2"/>
  <c r="CJ20" i="2"/>
  <c r="CJ19" i="2"/>
  <c r="CJ18" i="2"/>
  <c r="CJ17" i="2"/>
  <c r="CJ16" i="2"/>
  <c r="CJ15" i="2"/>
  <c r="CJ14" i="2"/>
  <c r="CJ12" i="2"/>
  <c r="CJ9" i="2"/>
  <c r="AA124" i="9"/>
  <c r="Z124" i="9"/>
  <c r="AA57" i="9"/>
  <c r="CI23" i="7" s="1"/>
  <c r="CI24" i="7" s="1"/>
  <c r="X57" i="9"/>
  <c r="CF23" i="7" s="1"/>
  <c r="CF24" i="7" s="1"/>
  <c r="CJ3" i="7" l="1"/>
  <c r="CK3" i="7"/>
  <c r="CL3" i="7"/>
  <c r="CM3" i="7"/>
  <c r="CN3" i="7"/>
  <c r="CO3" i="7"/>
  <c r="CP3" i="7"/>
  <c r="CJ4" i="7"/>
  <c r="CK4" i="7"/>
  <c r="CL4" i="7"/>
  <c r="CM4" i="7"/>
  <c r="CN4" i="7"/>
  <c r="CO4" i="7"/>
  <c r="CP4" i="7"/>
  <c r="CI5" i="7"/>
  <c r="CJ13" i="7"/>
  <c r="CK13" i="7"/>
  <c r="CL13" i="7"/>
  <c r="CM13" i="7"/>
  <c r="CN13" i="7"/>
  <c r="CO13" i="7"/>
  <c r="CP13" i="7"/>
  <c r="CJ14" i="7"/>
  <c r="CK14" i="7"/>
  <c r="CL14" i="7"/>
  <c r="CM14" i="7"/>
  <c r="CN14" i="7"/>
  <c r="CO14" i="7"/>
  <c r="CP14" i="7"/>
  <c r="CJ20" i="7"/>
  <c r="CK20" i="7"/>
  <c r="CL20" i="7"/>
  <c r="CM20" i="7"/>
  <c r="CN20" i="7"/>
  <c r="CO20" i="7"/>
  <c r="CP20" i="7"/>
  <c r="CJ21" i="7"/>
  <c r="CK21" i="7"/>
  <c r="CL21" i="7"/>
  <c r="CM21" i="7"/>
  <c r="CN21" i="7"/>
  <c r="CO21" i="7"/>
  <c r="CP21" i="7"/>
  <c r="CF5" i="7"/>
  <c r="CI24" i="2"/>
  <c r="CI23" i="2"/>
  <c r="CI21" i="2"/>
  <c r="CI20" i="2"/>
  <c r="CI19" i="2"/>
  <c r="CI18" i="2"/>
  <c r="CI17" i="2"/>
  <c r="CI16" i="2"/>
  <c r="CI15" i="2"/>
  <c r="CI14" i="2"/>
  <c r="CI12" i="2"/>
  <c r="CI9" i="2"/>
  <c r="X120" i="9"/>
  <c r="X118" i="9"/>
  <c r="Y124" i="9"/>
  <c r="X124" i="9"/>
  <c r="W29" i="9"/>
  <c r="V29" i="9"/>
  <c r="U29" i="9"/>
  <c r="T29" i="9"/>
  <c r="S29" i="9"/>
  <c r="Q29" i="9"/>
  <c r="P29" i="9"/>
  <c r="O29" i="9"/>
  <c r="CU34" i="6"/>
  <c r="CV34" i="6"/>
  <c r="CW34" i="6"/>
  <c r="CX34" i="6"/>
  <c r="CY34" i="6"/>
  <c r="CZ34" i="6"/>
  <c r="CU35" i="6"/>
  <c r="CV35" i="6"/>
  <c r="CW35" i="6"/>
  <c r="CX35" i="6"/>
  <c r="CY35" i="6"/>
  <c r="CZ35" i="6"/>
  <c r="CU36" i="6"/>
  <c r="CV36" i="6"/>
  <c r="CW36" i="6"/>
  <c r="CX36" i="6"/>
  <c r="CY36" i="6"/>
  <c r="CZ36" i="6"/>
  <c r="CU37" i="6"/>
  <c r="CV37" i="6"/>
  <c r="CW37" i="6"/>
  <c r="CX37" i="6"/>
  <c r="CY37" i="6"/>
  <c r="CZ37" i="6"/>
  <c r="CU38" i="6"/>
  <c r="CV38" i="6"/>
  <c r="CW38" i="6"/>
  <c r="CX38" i="6"/>
  <c r="CY38" i="6"/>
  <c r="CZ38" i="6"/>
  <c r="CV21" i="6"/>
  <c r="CW21" i="6"/>
  <c r="CX21" i="6"/>
  <c r="CY21" i="6"/>
  <c r="CZ21" i="6"/>
  <c r="CV22" i="6"/>
  <c r="CW22" i="6"/>
  <c r="CX22" i="6"/>
  <c r="CY22" i="6"/>
  <c r="CZ22" i="6"/>
  <c r="CV23" i="6"/>
  <c r="CW23" i="6"/>
  <c r="CX23" i="6"/>
  <c r="CY23" i="6"/>
  <c r="CZ23" i="6"/>
  <c r="CV24" i="6"/>
  <c r="CW24" i="6"/>
  <c r="CX24" i="6"/>
  <c r="CY24" i="6"/>
  <c r="CZ24" i="6"/>
  <c r="CV25" i="6"/>
  <c r="CW25" i="6"/>
  <c r="CX25" i="6"/>
  <c r="CY25" i="6"/>
  <c r="CZ25" i="6"/>
  <c r="CV27" i="6"/>
  <c r="CE8" i="2" s="1"/>
  <c r="CW27" i="6"/>
  <c r="CF8" i="2" s="1"/>
  <c r="CX27" i="6"/>
  <c r="CG8" i="2" s="1"/>
  <c r="CY27" i="6"/>
  <c r="CH8" i="2" s="1"/>
  <c r="CZ27" i="6"/>
  <c r="CI8" i="2" s="1"/>
  <c r="CV30" i="6"/>
  <c r="CE11" i="2" s="1"/>
  <c r="CW30" i="6"/>
  <c r="CF11" i="2" s="1"/>
  <c r="CX30" i="6"/>
  <c r="CG11" i="2" s="1"/>
  <c r="CY30" i="6"/>
  <c r="CH11" i="2" s="1"/>
  <c r="CZ30" i="6"/>
  <c r="CI11" i="2" s="1"/>
  <c r="CH24" i="2"/>
  <c r="CH23" i="2"/>
  <c r="CH21" i="2"/>
  <c r="CH20" i="2"/>
  <c r="CH19" i="2"/>
  <c r="CH18" i="2"/>
  <c r="CH17" i="2"/>
  <c r="CH16" i="2"/>
  <c r="CH15" i="2"/>
  <c r="CH14" i="2"/>
  <c r="CH12" i="2"/>
  <c r="CH9" i="2"/>
  <c r="CG24" i="2"/>
  <c r="CG23" i="2"/>
  <c r="CG21" i="2"/>
  <c r="CG20" i="2"/>
  <c r="CG19" i="2"/>
  <c r="CG18" i="2"/>
  <c r="CG17" i="2"/>
  <c r="CG16" i="2"/>
  <c r="CG15" i="2"/>
  <c r="CG14" i="2"/>
  <c r="CG12" i="2"/>
  <c r="CG9" i="2"/>
  <c r="CF24" i="2"/>
  <c r="CF23" i="2"/>
  <c r="CF21" i="2"/>
  <c r="CF20" i="2"/>
  <c r="CF19" i="2"/>
  <c r="CF18" i="2"/>
  <c r="CF17" i="2"/>
  <c r="CF16" i="2"/>
  <c r="CF15" i="2"/>
  <c r="CF14" i="2"/>
  <c r="CF12" i="2"/>
  <c r="CF9" i="2"/>
  <c r="CE24" i="2"/>
  <c r="CE23" i="2"/>
  <c r="CE21" i="2"/>
  <c r="CE20" i="2"/>
  <c r="CE19" i="2"/>
  <c r="CE18" i="2"/>
  <c r="CE17" i="2"/>
  <c r="CE16" i="2"/>
  <c r="CE15" i="2"/>
  <c r="CE14" i="2"/>
  <c r="CE12" i="2"/>
  <c r="CE9" i="2"/>
  <c r="CD24" i="2"/>
  <c r="CD23" i="2"/>
  <c r="CD21" i="2"/>
  <c r="CD20" i="2"/>
  <c r="CD19" i="2"/>
  <c r="CD18" i="2"/>
  <c r="CD17" i="2"/>
  <c r="CD16" i="2"/>
  <c r="CD15" i="2"/>
  <c r="CD14" i="2"/>
  <c r="CD12" i="2"/>
  <c r="CD9" i="2"/>
  <c r="CC24" i="2"/>
  <c r="CC23" i="2"/>
  <c r="CC21" i="2"/>
  <c r="CC20" i="2"/>
  <c r="CC19" i="2"/>
  <c r="CC18" i="2"/>
  <c r="CC17" i="2"/>
  <c r="CC16" i="2"/>
  <c r="CC15" i="2"/>
  <c r="CC14" i="2"/>
  <c r="CC12" i="2"/>
  <c r="CC9" i="2"/>
  <c r="CB24" i="2"/>
  <c r="CB23" i="2"/>
  <c r="CB21" i="2"/>
  <c r="CB20" i="2"/>
  <c r="CB19" i="2"/>
  <c r="CB18" i="2"/>
  <c r="CB17" i="2"/>
  <c r="CB16" i="2"/>
  <c r="CB15" i="2"/>
  <c r="CB14" i="2"/>
  <c r="CB12" i="2"/>
  <c r="CB9" i="2"/>
  <c r="CA24" i="2"/>
  <c r="CA23" i="2"/>
  <c r="CA21" i="2"/>
  <c r="CA20" i="2"/>
  <c r="CA19" i="2"/>
  <c r="CA18" i="2"/>
  <c r="CA17" i="2"/>
  <c r="CA16" i="2"/>
  <c r="CA15" i="2"/>
  <c r="CA14" i="2"/>
  <c r="CA12" i="2"/>
  <c r="CA9" i="2"/>
  <c r="U53" i="9"/>
  <c r="W124" i="9"/>
  <c r="V124" i="9"/>
  <c r="U124" i="9"/>
  <c r="CD5" i="7"/>
  <c r="BX5" i="7"/>
  <c r="BY5" i="7"/>
  <c r="BZ5" i="7"/>
  <c r="CA5" i="7"/>
  <c r="AJ29" i="9" l="1"/>
  <c r="CP5" i="7"/>
  <c r="CM5" i="7"/>
  <c r="CJ15" i="7"/>
  <c r="CP15" i="7"/>
  <c r="CN5" i="7"/>
  <c r="CK22" i="7"/>
  <c r="CK5" i="7"/>
  <c r="CO5" i="7"/>
  <c r="CM15" i="7"/>
  <c r="CL5" i="7"/>
  <c r="CJ5" i="7"/>
  <c r="CC5" i="7"/>
  <c r="CB5" i="7"/>
  <c r="CN22" i="7"/>
  <c r="CK15" i="7"/>
  <c r="CM22" i="7"/>
  <c r="BW5" i="7"/>
  <c r="CL22" i="7"/>
  <c r="CN15" i="7"/>
  <c r="CO15" i="7"/>
  <c r="CJ22" i="7"/>
  <c r="CL15" i="7"/>
  <c r="CP22" i="7"/>
  <c r="CO22" i="7"/>
  <c r="CH5" i="7"/>
  <c r="CG5" i="7"/>
  <c r="CE5" i="7"/>
  <c r="T124" i="9"/>
  <c r="S124" i="9"/>
  <c r="R124" i="9"/>
  <c r="Q124" i="9"/>
  <c r="S120" i="9"/>
  <c r="P124" i="9" l="1"/>
  <c r="O66" i="9"/>
  <c r="P66" i="9"/>
  <c r="CU30" i="6" l="1"/>
  <c r="CD11" i="2" s="1"/>
  <c r="CT30" i="6"/>
  <c r="CC11" i="2" s="1"/>
  <c r="CS30" i="6"/>
  <c r="CB11" i="2" s="1"/>
  <c r="CR30" i="6"/>
  <c r="CA11" i="2" s="1"/>
  <c r="CU27" i="6"/>
  <c r="CD8" i="2" s="1"/>
  <c r="CT27" i="6"/>
  <c r="CC8" i="2" s="1"/>
  <c r="CS27" i="6"/>
  <c r="CB8" i="2" s="1"/>
  <c r="CU25" i="6"/>
  <c r="CU24" i="6"/>
  <c r="CU23" i="6"/>
  <c r="CU22" i="6"/>
  <c r="CU21" i="6"/>
  <c r="CT25" i="6"/>
  <c r="CT24" i="6"/>
  <c r="CT23" i="6"/>
  <c r="CT22" i="6"/>
  <c r="CT21" i="6"/>
  <c r="CS25" i="6"/>
  <c r="CS24" i="6"/>
  <c r="CS23" i="6"/>
  <c r="CS22" i="6"/>
  <c r="CS21" i="6"/>
  <c r="CR25" i="6"/>
  <c r="CR24" i="6"/>
  <c r="CR23" i="6"/>
  <c r="CR22" i="6"/>
  <c r="CR21" i="6"/>
  <c r="CQ25" i="6"/>
  <c r="CQ24" i="6"/>
  <c r="CQ23" i="6"/>
  <c r="CQ22" i="6"/>
  <c r="CQ21" i="6"/>
  <c r="BZ24" i="2"/>
  <c r="BZ23" i="2"/>
  <c r="BZ21" i="2"/>
  <c r="BZ20" i="2"/>
  <c r="BZ19" i="2"/>
  <c r="BZ18" i="2"/>
  <c r="BZ17" i="2"/>
  <c r="BZ16" i="2"/>
  <c r="BZ15" i="2"/>
  <c r="BZ14" i="2"/>
  <c r="BZ12" i="2"/>
  <c r="BZ9" i="2"/>
  <c r="O124" i="9"/>
  <c r="BV5" i="7" l="1"/>
  <c r="CQ30" i="6"/>
  <c r="BZ11" i="2" s="1"/>
  <c r="CP30" i="6"/>
  <c r="BY11" i="2" s="1"/>
  <c r="CR27" i="6"/>
  <c r="CA8" i="2" s="1"/>
  <c r="CQ27" i="6"/>
  <c r="BZ8" i="2" s="1"/>
  <c r="CP27" i="6"/>
  <c r="BY8" i="2" s="1"/>
  <c r="BY24" i="2"/>
  <c r="BY23" i="2"/>
  <c r="BY21" i="2"/>
  <c r="BY20" i="2"/>
  <c r="BY19" i="2"/>
  <c r="BY18" i="2"/>
  <c r="BY17" i="2"/>
  <c r="BY16" i="2"/>
  <c r="BY15" i="2"/>
  <c r="BY14" i="2"/>
  <c r="BY12" i="2"/>
  <c r="BY9" i="2"/>
  <c r="N57" i="9"/>
  <c r="BV23" i="7" s="1"/>
  <c r="BV24" i="7" s="1"/>
  <c r="N124" i="9"/>
  <c r="E44" i="9" l="1"/>
  <c r="BM6" i="7" s="1"/>
  <c r="F44" i="9" l="1"/>
  <c r="G44" i="9"/>
  <c r="H44" i="9"/>
  <c r="I44" i="9"/>
  <c r="J44" i="9"/>
  <c r="K44" i="9"/>
  <c r="L44" i="9"/>
  <c r="M44" i="9"/>
  <c r="N44" i="9"/>
  <c r="O44" i="9"/>
  <c r="BW6" i="7" s="1"/>
  <c r="P44" i="9"/>
  <c r="BX6" i="7" s="1"/>
  <c r="Q44" i="9"/>
  <c r="BY6" i="7" s="1"/>
  <c r="R44" i="9"/>
  <c r="BZ6" i="7" s="1"/>
  <c r="S44" i="9"/>
  <c r="CA6" i="7" s="1"/>
  <c r="T44" i="9"/>
  <c r="CB6" i="7" s="1"/>
  <c r="U44" i="9"/>
  <c r="CC6" i="7" s="1"/>
  <c r="V44" i="9"/>
  <c r="CD6" i="7" s="1"/>
  <c r="W44" i="9"/>
  <c r="CE6" i="7" s="1"/>
  <c r="X44" i="9"/>
  <c r="CF6" i="7" s="1"/>
  <c r="Y44" i="9"/>
  <c r="CG6" i="7" s="1"/>
  <c r="Z44" i="9"/>
  <c r="CH6" i="7" s="1"/>
  <c r="AA44" i="9"/>
  <c r="AB44" i="9"/>
  <c r="AC44" i="9"/>
  <c r="AD44" i="9"/>
  <c r="CL6" i="7" s="1"/>
  <c r="AE44" i="9"/>
  <c r="CM6" i="7" s="1"/>
  <c r="AF44" i="9"/>
  <c r="CN6" i="7" s="1"/>
  <c r="AG44" i="9"/>
  <c r="CO6" i="7" s="1"/>
  <c r="AH44" i="9"/>
  <c r="CP6" i="7" s="1"/>
  <c r="AI44" i="9"/>
  <c r="AI54" i="9" s="1"/>
  <c r="BT5" i="7"/>
  <c r="BU5" i="7"/>
  <c r="CO30" i="6"/>
  <c r="BX11" i="2" s="1"/>
  <c r="CN30" i="6"/>
  <c r="CO27" i="6"/>
  <c r="BX8" i="2" s="1"/>
  <c r="CN27" i="6"/>
  <c r="BW8" i="2" s="1"/>
  <c r="BX24" i="2"/>
  <c r="BX23" i="2"/>
  <c r="BX21" i="2"/>
  <c r="BX20" i="2"/>
  <c r="BX19" i="2"/>
  <c r="BX18" i="2"/>
  <c r="BX17" i="2"/>
  <c r="BX16" i="2"/>
  <c r="BX15" i="2"/>
  <c r="BX14" i="2"/>
  <c r="BX12" i="2"/>
  <c r="BX9" i="2"/>
  <c r="BW24" i="2"/>
  <c r="BW23" i="2"/>
  <c r="BW21" i="2"/>
  <c r="BW20" i="2"/>
  <c r="BW19" i="2"/>
  <c r="BW18" i="2"/>
  <c r="BW17" i="2"/>
  <c r="BW16" i="2"/>
  <c r="BW15" i="2"/>
  <c r="BW14" i="2"/>
  <c r="BW12" i="2"/>
  <c r="BW11" i="2"/>
  <c r="BW9" i="2"/>
  <c r="M124" i="9"/>
  <c r="L124" i="9"/>
  <c r="CC16" i="7" l="1"/>
  <c r="CC17" i="7"/>
  <c r="CA16" i="7"/>
  <c r="CA17" i="7"/>
  <c r="CB16" i="7"/>
  <c r="CB17" i="7"/>
  <c r="CH16" i="7"/>
  <c r="CH17" i="7"/>
  <c r="BZ16" i="7"/>
  <c r="BZ17" i="7"/>
  <c r="CF16" i="7"/>
  <c r="CF17" i="7"/>
  <c r="BX16" i="7"/>
  <c r="BX17" i="7"/>
  <c r="BY16" i="7"/>
  <c r="BY17" i="7"/>
  <c r="CE16" i="7"/>
  <c r="CE17" i="7"/>
  <c r="BW16" i="7"/>
  <c r="BW17" i="7"/>
  <c r="CG16" i="7"/>
  <c r="CG17" i="7"/>
  <c r="CD16" i="7"/>
  <c r="CD17" i="7"/>
  <c r="AJ44" i="9"/>
  <c r="CK6" i="7"/>
  <c r="CJ6" i="7"/>
  <c r="CA7" i="7"/>
  <c r="CO17" i="7"/>
  <c r="CO7" i="7"/>
  <c r="CO16" i="7"/>
  <c r="BY7" i="7"/>
  <c r="CP16" i="7"/>
  <c r="CP7" i="7"/>
  <c r="CP17" i="7"/>
  <c r="CN7" i="7"/>
  <c r="CN16" i="7"/>
  <c r="CN17" i="7"/>
  <c r="CF25" i="7"/>
  <c r="CF7" i="7"/>
  <c r="BX7" i="7"/>
  <c r="CM7" i="7"/>
  <c r="CM17" i="7"/>
  <c r="CM16" i="7"/>
  <c r="BW7" i="7"/>
  <c r="CB7" i="7"/>
  <c r="BZ7" i="7"/>
  <c r="CL16" i="7"/>
  <c r="CL7" i="7"/>
  <c r="CL17" i="7"/>
  <c r="CI6" i="7"/>
  <c r="CH7" i="7"/>
  <c r="CG7" i="7"/>
  <c r="CC7" i="7"/>
  <c r="CE7" i="7"/>
  <c r="CD7" i="7"/>
  <c r="BV6" i="7"/>
  <c r="BS5" i="7"/>
  <c r="K124" i="9"/>
  <c r="BV9" i="2"/>
  <c r="BV12" i="2"/>
  <c r="BV14" i="2"/>
  <c r="BV15" i="2"/>
  <c r="BV16" i="2"/>
  <c r="BV17" i="2"/>
  <c r="BV18" i="2"/>
  <c r="BV19" i="2"/>
  <c r="BV20" i="2"/>
  <c r="BV21" i="2"/>
  <c r="BV23" i="2"/>
  <c r="BV24" i="2"/>
  <c r="BU9" i="2"/>
  <c r="BU12" i="2"/>
  <c r="BU14" i="2"/>
  <c r="BU15" i="2"/>
  <c r="BU16" i="2"/>
  <c r="BU17" i="2"/>
  <c r="BU18" i="2"/>
  <c r="BU19" i="2"/>
  <c r="BU20" i="2"/>
  <c r="BU21" i="2"/>
  <c r="BU23" i="2"/>
  <c r="BU24" i="2"/>
  <c r="J124" i="9"/>
  <c r="BM21" i="7"/>
  <c r="BM20" i="7"/>
  <c r="BM14" i="7"/>
  <c r="BM13" i="7"/>
  <c r="BR5" i="7"/>
  <c r="I124" i="9"/>
  <c r="BT24" i="2"/>
  <c r="BT23" i="2"/>
  <c r="BT21" i="2"/>
  <c r="BT20" i="2"/>
  <c r="BT19" i="2"/>
  <c r="BT18" i="2"/>
  <c r="BT17" i="2"/>
  <c r="BT16" i="2"/>
  <c r="BT15" i="2"/>
  <c r="BT14" i="2"/>
  <c r="BT12" i="2"/>
  <c r="BT9" i="2"/>
  <c r="H124" i="9"/>
  <c r="H32" i="9"/>
  <c r="BJ6" i="7"/>
  <c r="BM4" i="7"/>
  <c r="BM3" i="7"/>
  <c r="BI3" i="7"/>
  <c r="BJ3" i="7"/>
  <c r="BK3" i="7"/>
  <c r="BI4" i="7"/>
  <c r="BJ4" i="7"/>
  <c r="BJ5" i="7" s="1"/>
  <c r="BK4" i="7"/>
  <c r="BI6" i="7"/>
  <c r="BK6" i="7"/>
  <c r="BI13" i="7"/>
  <c r="BJ13" i="7"/>
  <c r="BK13" i="7"/>
  <c r="BI14" i="7"/>
  <c r="BJ14" i="7"/>
  <c r="BK14" i="7"/>
  <c r="BI20" i="7"/>
  <c r="BJ20" i="7"/>
  <c r="BK20" i="7"/>
  <c r="BI21" i="7"/>
  <c r="BJ21" i="7"/>
  <c r="BK21" i="7"/>
  <c r="BI23" i="7"/>
  <c r="BJ23" i="7"/>
  <c r="BK23" i="7"/>
  <c r="CT24" i="2" l="1"/>
  <c r="CI16" i="7"/>
  <c r="CI17" i="7"/>
  <c r="BI22" i="7"/>
  <c r="BI24" i="7" s="1"/>
  <c r="BK5" i="7"/>
  <c r="BK7" i="7" s="1"/>
  <c r="BV16" i="7"/>
  <c r="BV25" i="7" s="1"/>
  <c r="BV17" i="7"/>
  <c r="BJ7" i="7"/>
  <c r="BM15" i="7"/>
  <c r="BM22" i="7"/>
  <c r="CQ22" i="7" s="1"/>
  <c r="CJ7" i="7"/>
  <c r="CJ16" i="7"/>
  <c r="CJ17" i="7"/>
  <c r="BM5" i="7"/>
  <c r="CK17" i="7"/>
  <c r="CK7" i="7"/>
  <c r="CK16" i="7"/>
  <c r="CI7" i="7"/>
  <c r="BV7" i="7"/>
  <c r="BN5" i="7"/>
  <c r="BQ5" i="7"/>
  <c r="BP5" i="7"/>
  <c r="BK15" i="7"/>
  <c r="BK22" i="7"/>
  <c r="BK24" i="7" s="1"/>
  <c r="BJ22" i="7"/>
  <c r="BJ24" i="7" s="1"/>
  <c r="BJ15" i="7"/>
  <c r="BJ17" i="7" s="1"/>
  <c r="BI15" i="7"/>
  <c r="BI16" i="7" s="1"/>
  <c r="BI5" i="7"/>
  <c r="BI7" i="7" s="1"/>
  <c r="CP25" i="6"/>
  <c r="CP24" i="6"/>
  <c r="CP23" i="6"/>
  <c r="CP22" i="6"/>
  <c r="CP21" i="6"/>
  <c r="CO25" i="6"/>
  <c r="CO24" i="6"/>
  <c r="CO23" i="6"/>
  <c r="CO22" i="6"/>
  <c r="CO21" i="6"/>
  <c r="CN25" i="6"/>
  <c r="CN24" i="6"/>
  <c r="CN23" i="6"/>
  <c r="CN22" i="6"/>
  <c r="CN21" i="6"/>
  <c r="CM25" i="6"/>
  <c r="CM24" i="6"/>
  <c r="CM23" i="6"/>
  <c r="CM22" i="6"/>
  <c r="CM21" i="6"/>
  <c r="CL25" i="6"/>
  <c r="CL24" i="6"/>
  <c r="CL23" i="6"/>
  <c r="CL22" i="6"/>
  <c r="CL21" i="6"/>
  <c r="CK25" i="6"/>
  <c r="CK24" i="6"/>
  <c r="CK23" i="6"/>
  <c r="CK22" i="6"/>
  <c r="CK21" i="6"/>
  <c r="CJ34" i="6"/>
  <c r="CK34" i="6"/>
  <c r="CL34" i="6"/>
  <c r="CM34" i="6"/>
  <c r="CN34" i="6"/>
  <c r="CO34" i="6"/>
  <c r="CP34" i="6"/>
  <c r="CQ34" i="6"/>
  <c r="CR34" i="6"/>
  <c r="CS34" i="6"/>
  <c r="CT34" i="6"/>
  <c r="CJ35" i="6"/>
  <c r="CK35" i="6"/>
  <c r="CL35" i="6"/>
  <c r="CM35" i="6"/>
  <c r="CN35" i="6"/>
  <c r="CO35" i="6"/>
  <c r="CP35" i="6"/>
  <c r="CQ35" i="6"/>
  <c r="CR35" i="6"/>
  <c r="CS35" i="6"/>
  <c r="CT35" i="6"/>
  <c r="CJ36" i="6"/>
  <c r="CK36" i="6"/>
  <c r="CL36" i="6"/>
  <c r="CM36" i="6"/>
  <c r="CN36" i="6"/>
  <c r="CO36" i="6"/>
  <c r="CP36" i="6"/>
  <c r="CQ36" i="6"/>
  <c r="CR36" i="6"/>
  <c r="CS36" i="6"/>
  <c r="CT36" i="6"/>
  <c r="CJ37" i="6"/>
  <c r="CK37" i="6"/>
  <c r="CL37" i="6"/>
  <c r="CM37" i="6"/>
  <c r="CN37" i="6"/>
  <c r="CO37" i="6"/>
  <c r="CP37" i="6"/>
  <c r="CQ37" i="6"/>
  <c r="CR37" i="6"/>
  <c r="CS37" i="6"/>
  <c r="CT37" i="6"/>
  <c r="CJ38" i="6"/>
  <c r="CK38" i="6"/>
  <c r="CL38" i="6"/>
  <c r="CM38" i="6"/>
  <c r="CN38" i="6"/>
  <c r="CO38" i="6"/>
  <c r="CP38" i="6"/>
  <c r="CQ38" i="6"/>
  <c r="CR38" i="6"/>
  <c r="CS38" i="6"/>
  <c r="CT38" i="6"/>
  <c r="CJ21" i="6"/>
  <c r="CJ22" i="6"/>
  <c r="CJ23" i="6"/>
  <c r="CJ24" i="6"/>
  <c r="CJ25" i="6"/>
  <c r="BS24" i="2"/>
  <c r="BS23" i="2"/>
  <c r="BS21" i="2"/>
  <c r="BS20" i="2"/>
  <c r="BS19" i="2"/>
  <c r="BS18" i="2"/>
  <c r="BS17" i="2"/>
  <c r="BS16" i="2"/>
  <c r="BS15" i="2"/>
  <c r="BS14" i="2"/>
  <c r="BS12" i="2"/>
  <c r="BS9" i="2"/>
  <c r="E6" i="9"/>
  <c r="F120" i="9"/>
  <c r="AK29" i="9"/>
  <c r="AK29" i="10" s="1"/>
  <c r="CM27" i="6"/>
  <c r="BV8" i="2" s="1"/>
  <c r="CM30" i="6"/>
  <c r="BV11" i="2" s="1"/>
  <c r="CL30" i="6"/>
  <c r="BU11" i="2" s="1"/>
  <c r="CK30" i="6"/>
  <c r="BT11" i="2" s="1"/>
  <c r="CJ30" i="6"/>
  <c r="BS11" i="2" s="1"/>
  <c r="CI30" i="6"/>
  <c r="BR11" i="2" s="1"/>
  <c r="CH30" i="6"/>
  <c r="BQ11" i="2" s="1"/>
  <c r="CI38" i="6"/>
  <c r="CI37" i="6"/>
  <c r="CI36" i="6"/>
  <c r="CI35" i="6"/>
  <c r="CI34" i="6"/>
  <c r="CH38" i="6"/>
  <c r="CH37" i="6"/>
  <c r="CH36" i="6"/>
  <c r="CH35" i="6"/>
  <c r="CH34" i="6"/>
  <c r="CI25" i="6"/>
  <c r="CI24" i="6"/>
  <c r="CI23" i="6"/>
  <c r="CI22" i="6"/>
  <c r="CI21" i="6"/>
  <c r="CH25" i="6"/>
  <c r="CH24" i="6"/>
  <c r="CH23" i="6"/>
  <c r="CH22" i="6"/>
  <c r="CH21" i="6"/>
  <c r="CH27" i="6"/>
  <c r="BQ8" i="2" s="1"/>
  <c r="CI27" i="6"/>
  <c r="BR8" i="2" s="1"/>
  <c r="CJ27" i="6"/>
  <c r="BS8" i="2" s="1"/>
  <c r="CK27" i="6"/>
  <c r="BT8" i="2" s="1"/>
  <c r="CL27" i="6"/>
  <c r="BU8" i="2" s="1"/>
  <c r="BR24" i="2"/>
  <c r="BR23" i="2"/>
  <c r="BR21" i="2"/>
  <c r="BR20" i="2"/>
  <c r="BR19" i="2"/>
  <c r="BR18" i="2"/>
  <c r="BR17" i="2"/>
  <c r="BR16" i="2"/>
  <c r="BR15" i="2"/>
  <c r="BR14" i="2"/>
  <c r="BR12" i="2"/>
  <c r="BR9" i="2"/>
  <c r="E57" i="9"/>
  <c r="BM23" i="7" s="1"/>
  <c r="BN6" i="7"/>
  <c r="BN16" i="7" s="1"/>
  <c r="BO6" i="7"/>
  <c r="BP6" i="7"/>
  <c r="BP16" i="7" s="1"/>
  <c r="BQ6" i="7"/>
  <c r="BQ16" i="7" s="1"/>
  <c r="BR6" i="7"/>
  <c r="BR17" i="7" s="1"/>
  <c r="BS6" i="7"/>
  <c r="BS16" i="7" s="1"/>
  <c r="G124" i="9"/>
  <c r="G98" i="9" s="1"/>
  <c r="F124" i="9"/>
  <c r="F37" i="9" s="1"/>
  <c r="E120" i="9"/>
  <c r="E32" i="9" s="1"/>
  <c r="E124" i="9"/>
  <c r="BQ9" i="2"/>
  <c r="BQ12" i="2"/>
  <c r="BQ14" i="2"/>
  <c r="BQ15" i="2"/>
  <c r="BQ16" i="2"/>
  <c r="BQ17" i="2"/>
  <c r="BQ18" i="2"/>
  <c r="BQ19" i="2"/>
  <c r="BQ20" i="2"/>
  <c r="BQ21" i="2"/>
  <c r="BQ23" i="2"/>
  <c r="BQ24" i="2"/>
  <c r="CT12" i="2"/>
  <c r="CT23" i="2"/>
  <c r="AK90" i="8"/>
  <c r="BP12" i="2"/>
  <c r="BP9" i="2"/>
  <c r="BP24" i="2"/>
  <c r="BP23" i="2"/>
  <c r="BP21" i="2"/>
  <c r="BP20" i="2"/>
  <c r="BP19" i="2"/>
  <c r="BP18" i="2"/>
  <c r="BP17" i="2"/>
  <c r="BP16" i="2"/>
  <c r="BP15" i="2"/>
  <c r="BP14" i="2"/>
  <c r="Q30" i="6"/>
  <c r="CT11" i="2" s="1"/>
  <c r="Q27" i="6"/>
  <c r="CT8" i="2" s="1"/>
  <c r="CG38" i="6"/>
  <c r="CG37" i="6"/>
  <c r="CG36" i="6"/>
  <c r="CG35" i="6"/>
  <c r="CG34" i="6"/>
  <c r="CG25" i="6"/>
  <c r="CG24" i="6"/>
  <c r="CG23" i="6"/>
  <c r="CG22" i="6"/>
  <c r="CG21" i="6"/>
  <c r="CG30" i="6"/>
  <c r="BP11" i="2" s="1"/>
  <c r="CG27" i="6"/>
  <c r="BP8" i="2" s="1"/>
  <c r="AJ132" i="9"/>
  <c r="AJ131" i="9"/>
  <c r="AJ130" i="9"/>
  <c r="AJ129" i="9"/>
  <c r="CT22" i="2" s="1"/>
  <c r="AF37" i="9"/>
  <c r="Z37" i="9"/>
  <c r="X37" i="9"/>
  <c r="P98" i="9"/>
  <c r="H98" i="9"/>
  <c r="AJ123" i="9"/>
  <c r="AL124" i="9" s="1"/>
  <c r="AJ121" i="9"/>
  <c r="AH32" i="9"/>
  <c r="AG32" i="9"/>
  <c r="AF32" i="9"/>
  <c r="AC32" i="9"/>
  <c r="AB32" i="9"/>
  <c r="AA32" i="9"/>
  <c r="Z32" i="9"/>
  <c r="Y32" i="9"/>
  <c r="X32" i="9"/>
  <c r="W32" i="9"/>
  <c r="U32" i="9"/>
  <c r="T32" i="9"/>
  <c r="S32" i="9"/>
  <c r="AJ119" i="9"/>
  <c r="AJ118" i="9"/>
  <c r="AJ111" i="9"/>
  <c r="Q36" i="6" s="1"/>
  <c r="AJ110" i="9"/>
  <c r="Q35" i="6" s="1"/>
  <c r="AJ109" i="9"/>
  <c r="CT18" i="2" s="1"/>
  <c r="AJ105" i="9"/>
  <c r="AL105" i="9" s="1"/>
  <c r="AJ104" i="9"/>
  <c r="AJ101" i="9"/>
  <c r="AL101" i="9" s="1"/>
  <c r="AJ100" i="9"/>
  <c r="AE98" i="9"/>
  <c r="AD98" i="9"/>
  <c r="AC98" i="9"/>
  <c r="W98" i="9"/>
  <c r="V98" i="9"/>
  <c r="U98" i="9"/>
  <c r="O98" i="9"/>
  <c r="N98" i="9"/>
  <c r="M98" i="9"/>
  <c r="AJ97" i="9"/>
  <c r="AL97" i="9" s="1"/>
  <c r="AJ96" i="9"/>
  <c r="AL96" i="9" s="1"/>
  <c r="AJ95" i="9"/>
  <c r="AL95" i="9" s="1"/>
  <c r="AJ94" i="9"/>
  <c r="AL94" i="9" s="1"/>
  <c r="AJ93" i="9"/>
  <c r="AL93" i="9" s="1"/>
  <c r="AJ92" i="9"/>
  <c r="AL92" i="9" s="1"/>
  <c r="AJ91" i="9"/>
  <c r="AL91" i="9" s="1"/>
  <c r="AJ90" i="9"/>
  <c r="AL90" i="9" s="1"/>
  <c r="AH87" i="9"/>
  <c r="AG87" i="9"/>
  <c r="AF87" i="9"/>
  <c r="AE87" i="9"/>
  <c r="AD87" i="9"/>
  <c r="AC87" i="9"/>
  <c r="AB87" i="9"/>
  <c r="AA87" i="9"/>
  <c r="Z87" i="9"/>
  <c r="Y87" i="9"/>
  <c r="X87" i="9"/>
  <c r="W87" i="9"/>
  <c r="V87" i="9"/>
  <c r="U87" i="9"/>
  <c r="T87" i="9"/>
  <c r="S87" i="9"/>
  <c r="R87" i="9"/>
  <c r="Q87" i="9"/>
  <c r="P87" i="9"/>
  <c r="O87" i="9"/>
  <c r="N87" i="9"/>
  <c r="M87" i="9"/>
  <c r="L87" i="9"/>
  <c r="K87" i="9"/>
  <c r="J87" i="9"/>
  <c r="I87" i="9"/>
  <c r="H87" i="9"/>
  <c r="G87" i="9"/>
  <c r="G99" i="9" s="1"/>
  <c r="F87" i="9"/>
  <c r="E87" i="9"/>
  <c r="AJ86" i="9"/>
  <c r="AL29" i="9" s="1"/>
  <c r="AL30" i="9" s="1"/>
  <c r="AJ85" i="9"/>
  <c r="AL85" i="9" s="1"/>
  <c r="AJ84" i="9"/>
  <c r="AL83" i="9"/>
  <c r="AJ82" i="9"/>
  <c r="AL82" i="9" s="1"/>
  <c r="AJ81" i="9"/>
  <c r="AL81" i="9" s="1"/>
  <c r="AJ80" i="9"/>
  <c r="AL80" i="9" s="1"/>
  <c r="AJ79" i="9"/>
  <c r="AJ73" i="9"/>
  <c r="AJ72" i="9"/>
  <c r="AH66" i="9"/>
  <c r="AG66" i="9"/>
  <c r="AF66" i="9"/>
  <c r="AE66" i="9"/>
  <c r="AD66" i="9"/>
  <c r="AC66" i="9"/>
  <c r="AB66" i="9"/>
  <c r="AA66" i="9"/>
  <c r="Z66" i="9"/>
  <c r="Y66" i="9"/>
  <c r="X66" i="9"/>
  <c r="W66" i="9"/>
  <c r="V66" i="9"/>
  <c r="U66" i="9"/>
  <c r="T66" i="9"/>
  <c r="S66" i="9"/>
  <c r="R66" i="9"/>
  <c r="Q66" i="9"/>
  <c r="N66" i="9"/>
  <c r="M66" i="9"/>
  <c r="L66" i="9"/>
  <c r="K66" i="9"/>
  <c r="J66" i="9"/>
  <c r="I66" i="9"/>
  <c r="H66" i="9"/>
  <c r="G66" i="9"/>
  <c r="F66" i="9"/>
  <c r="E66" i="9"/>
  <c r="AJ65" i="9"/>
  <c r="AJ64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AJ61" i="9"/>
  <c r="AJ60" i="9"/>
  <c r="AH58" i="9"/>
  <c r="AG58" i="9"/>
  <c r="AF58" i="9"/>
  <c r="AE58" i="9"/>
  <c r="AD58" i="9"/>
  <c r="AC58" i="9"/>
  <c r="AB58" i="9"/>
  <c r="AA58" i="9"/>
  <c r="AA59" i="9" s="1"/>
  <c r="DC12" i="6" s="1"/>
  <c r="Z58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AH57" i="9"/>
  <c r="CP23" i="7" s="1"/>
  <c r="CP24" i="7" s="1"/>
  <c r="CP25" i="7" s="1"/>
  <c r="AG57" i="9"/>
  <c r="CO23" i="7" s="1"/>
  <c r="CO24" i="7" s="1"/>
  <c r="CO25" i="7" s="1"/>
  <c r="AF57" i="9"/>
  <c r="CN23" i="7" s="1"/>
  <c r="CN24" i="7" s="1"/>
  <c r="CN25" i="7" s="1"/>
  <c r="AE57" i="9"/>
  <c r="CM23" i="7" s="1"/>
  <c r="CM24" i="7" s="1"/>
  <c r="CM25" i="7" s="1"/>
  <c r="AD57" i="9"/>
  <c r="CL23" i="7" s="1"/>
  <c r="CL24" i="7" s="1"/>
  <c r="CL25" i="7" s="1"/>
  <c r="AC57" i="9"/>
  <c r="CK23" i="7" s="1"/>
  <c r="CK24" i="7" s="1"/>
  <c r="AB57" i="9"/>
  <c r="CJ23" i="7" s="1"/>
  <c r="Z57" i="9"/>
  <c r="Y57" i="9"/>
  <c r="W57" i="9"/>
  <c r="V57" i="9"/>
  <c r="U57" i="9"/>
  <c r="T57" i="9"/>
  <c r="CB23" i="7" s="1"/>
  <c r="CB24" i="7" s="1"/>
  <c r="CB25" i="7" s="1"/>
  <c r="S57" i="9"/>
  <c r="CA23" i="7" s="1"/>
  <c r="CA24" i="7" s="1"/>
  <c r="CA25" i="7" s="1"/>
  <c r="R57" i="9"/>
  <c r="Q57" i="9"/>
  <c r="P57" i="9"/>
  <c r="O57" i="9"/>
  <c r="BW23" i="7" s="1"/>
  <c r="BW24" i="7" s="1"/>
  <c r="M57" i="9"/>
  <c r="BU23" i="7" s="1"/>
  <c r="BU24" i="7" s="1"/>
  <c r="L57" i="9"/>
  <c r="BT23" i="7" s="1"/>
  <c r="BT24" i="7" s="1"/>
  <c r="K57" i="9"/>
  <c r="BS23" i="7" s="1"/>
  <c r="BS24" i="7" s="1"/>
  <c r="J57" i="9"/>
  <c r="BR23" i="7" s="1"/>
  <c r="BR24" i="7" s="1"/>
  <c r="I57" i="9"/>
  <c r="BQ23" i="7" s="1"/>
  <c r="BQ24" i="7" s="1"/>
  <c r="H57" i="9"/>
  <c r="BP23" i="7" s="1"/>
  <c r="BP24" i="7" s="1"/>
  <c r="G57" i="9"/>
  <c r="BO23" i="7" s="1"/>
  <c r="BO24" i="7" s="1"/>
  <c r="F57" i="9"/>
  <c r="BN23" i="7" s="1"/>
  <c r="BN24" i="7" s="1"/>
  <c r="AJ56" i="9"/>
  <c r="AJ55" i="9"/>
  <c r="AH53" i="9"/>
  <c r="AH54" i="9" s="1"/>
  <c r="DJ15" i="6" s="1"/>
  <c r="AG53" i="9"/>
  <c r="AG54" i="9" s="1"/>
  <c r="DI15" i="6" s="1"/>
  <c r="AF53" i="9"/>
  <c r="AF54" i="9" s="1"/>
  <c r="DH15" i="6" s="1"/>
  <c r="AE53" i="9"/>
  <c r="AE54" i="9" s="1"/>
  <c r="DG15" i="6" s="1"/>
  <c r="AD53" i="9"/>
  <c r="AD54" i="9" s="1"/>
  <c r="DF15" i="6" s="1"/>
  <c r="AC53" i="9"/>
  <c r="AC54" i="9" s="1"/>
  <c r="DE15" i="6" s="1"/>
  <c r="AB53" i="9"/>
  <c r="AB54" i="9" s="1"/>
  <c r="DD15" i="6" s="1"/>
  <c r="AA53" i="9"/>
  <c r="AA54" i="9" s="1"/>
  <c r="DC15" i="6" s="1"/>
  <c r="Z53" i="9"/>
  <c r="Z54" i="9" s="1"/>
  <c r="DB15" i="6" s="1"/>
  <c r="Y53" i="9"/>
  <c r="Y54" i="9" s="1"/>
  <c r="DA15" i="6" s="1"/>
  <c r="X53" i="9"/>
  <c r="X54" i="9" s="1"/>
  <c r="CZ15" i="6" s="1"/>
  <c r="W53" i="9"/>
  <c r="W54" i="9" s="1"/>
  <c r="CY15" i="6" s="1"/>
  <c r="V53" i="9"/>
  <c r="V54" i="9" s="1"/>
  <c r="CX15" i="6" s="1"/>
  <c r="U54" i="9"/>
  <c r="CW15" i="6" s="1"/>
  <c r="T53" i="9"/>
  <c r="T54" i="9" s="1"/>
  <c r="CV15" i="6" s="1"/>
  <c r="S53" i="9"/>
  <c r="S54" i="9" s="1"/>
  <c r="CU15" i="6" s="1"/>
  <c r="R53" i="9"/>
  <c r="R54" i="9" s="1"/>
  <c r="CT15" i="6" s="1"/>
  <c r="Q53" i="9"/>
  <c r="P53" i="9"/>
  <c r="P54" i="9" s="1"/>
  <c r="CR15" i="6" s="1"/>
  <c r="O53" i="9"/>
  <c r="O54" i="9" s="1"/>
  <c r="CQ15" i="6" s="1"/>
  <c r="N53" i="9"/>
  <c r="N54" i="9" s="1"/>
  <c r="M53" i="9"/>
  <c r="L53" i="9"/>
  <c r="L54" i="9" s="1"/>
  <c r="K53" i="9"/>
  <c r="K54" i="9" s="1"/>
  <c r="J53" i="9"/>
  <c r="J54" i="9" s="1"/>
  <c r="I53" i="9"/>
  <c r="I54" i="9" s="1"/>
  <c r="H53" i="9"/>
  <c r="G53" i="9"/>
  <c r="F53" i="9"/>
  <c r="E53" i="9"/>
  <c r="AJ52" i="9"/>
  <c r="AJ51" i="9"/>
  <c r="AH49" i="9"/>
  <c r="AG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AJ48" i="9"/>
  <c r="AJ47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BT6" i="7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AE37" i="9"/>
  <c r="AD37" i="9"/>
  <c r="AC37" i="9"/>
  <c r="W37" i="9"/>
  <c r="V37" i="9"/>
  <c r="U37" i="9"/>
  <c r="O37" i="9"/>
  <c r="N37" i="9"/>
  <c r="M37" i="9"/>
  <c r="H37" i="9"/>
  <c r="G37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AE32" i="9"/>
  <c r="AD32" i="9"/>
  <c r="V32" i="9"/>
  <c r="R32" i="9"/>
  <c r="Q32" i="9"/>
  <c r="P32" i="9"/>
  <c r="O32" i="9"/>
  <c r="O34" i="9" s="1"/>
  <c r="O35" i="9" s="1"/>
  <c r="CQ9" i="6" s="1"/>
  <c r="N32" i="9"/>
  <c r="M32" i="9"/>
  <c r="L32" i="9"/>
  <c r="K32" i="9"/>
  <c r="J32" i="9"/>
  <c r="I32" i="9"/>
  <c r="G32" i="9"/>
  <c r="AJ27" i="9"/>
  <c r="Q23" i="6" s="1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BX13" i="2" s="1"/>
  <c r="L24" i="9"/>
  <c r="K24" i="9"/>
  <c r="BV13" i="2" s="1"/>
  <c r="J24" i="9"/>
  <c r="I24" i="9"/>
  <c r="BT13" i="2" s="1"/>
  <c r="H24" i="9"/>
  <c r="BS13" i="2" s="1"/>
  <c r="G24" i="9"/>
  <c r="CI10" i="6" s="1"/>
  <c r="F24" i="9"/>
  <c r="BQ13" i="2" s="1"/>
  <c r="E24" i="9"/>
  <c r="BP13" i="2" s="1"/>
  <c r="AJ23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G20" i="9"/>
  <c r="AH19" i="9"/>
  <c r="AH20" i="9" s="1"/>
  <c r="AG19" i="9"/>
  <c r="AG20" i="9" s="1"/>
  <c r="AF19" i="9"/>
  <c r="AF20" i="9" s="1"/>
  <c r="AE19" i="9"/>
  <c r="AE20" i="9" s="1"/>
  <c r="AD19" i="9"/>
  <c r="AD20" i="9" s="1"/>
  <c r="AC19" i="9"/>
  <c r="AC20" i="9" s="1"/>
  <c r="AB19" i="9"/>
  <c r="AB20" i="9" s="1"/>
  <c r="AA19" i="9"/>
  <c r="AA20" i="9" s="1"/>
  <c r="Z19" i="9"/>
  <c r="Z20" i="9" s="1"/>
  <c r="Y19" i="9"/>
  <c r="Y20" i="9" s="1"/>
  <c r="X19" i="9"/>
  <c r="X20" i="9" s="1"/>
  <c r="W19" i="9"/>
  <c r="W20" i="9" s="1"/>
  <c r="V19" i="9"/>
  <c r="V20" i="9" s="1"/>
  <c r="U19" i="9"/>
  <c r="U20" i="9" s="1"/>
  <c r="T19" i="9"/>
  <c r="T20" i="9" s="1"/>
  <c r="T22" i="9" s="1"/>
  <c r="S19" i="9"/>
  <c r="S20" i="9" s="1"/>
  <c r="R19" i="9"/>
  <c r="R20" i="9" s="1"/>
  <c r="Q19" i="9"/>
  <c r="Q20" i="9" s="1"/>
  <c r="P19" i="9"/>
  <c r="P20" i="9" s="1"/>
  <c r="O19" i="9"/>
  <c r="O20" i="9" s="1"/>
  <c r="N19" i="9"/>
  <c r="N20" i="9" s="1"/>
  <c r="M19" i="9"/>
  <c r="M20" i="9" s="1"/>
  <c r="L19" i="9"/>
  <c r="L20" i="9" s="1"/>
  <c r="K19" i="9"/>
  <c r="K20" i="9" s="1"/>
  <c r="J19" i="9"/>
  <c r="J20" i="9" s="1"/>
  <c r="I19" i="9"/>
  <c r="I20" i="9" s="1"/>
  <c r="H19" i="9"/>
  <c r="H20" i="9" s="1"/>
  <c r="G19" i="9"/>
  <c r="F19" i="9"/>
  <c r="F20" i="9" s="1"/>
  <c r="E19" i="9"/>
  <c r="E20" i="9" s="1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AI143" i="8"/>
  <c r="AI141" i="8"/>
  <c r="AI137" i="8"/>
  <c r="BN24" i="2"/>
  <c r="BN23" i="2"/>
  <c r="BN21" i="2"/>
  <c r="BN20" i="2"/>
  <c r="BN19" i="2"/>
  <c r="BN18" i="2"/>
  <c r="BN17" i="2"/>
  <c r="BN16" i="2"/>
  <c r="BN15" i="2"/>
  <c r="BN14" i="2"/>
  <c r="BN12" i="2"/>
  <c r="BN9" i="2"/>
  <c r="AJ90" i="8"/>
  <c r="AJ89" i="8"/>
  <c r="AK89" i="8" s="1"/>
  <c r="BO14" i="2" s="1"/>
  <c r="AJ122" i="8"/>
  <c r="AJ118" i="8"/>
  <c r="AJ114" i="8"/>
  <c r="AJ113" i="8"/>
  <c r="AK115" i="8" s="1"/>
  <c r="AJ112" i="8"/>
  <c r="AJ111" i="8"/>
  <c r="AJ103" i="8"/>
  <c r="AJ102" i="8"/>
  <c r="AJ101" i="8"/>
  <c r="AJ92" i="8"/>
  <c r="AK92" i="8" s="1"/>
  <c r="AJ110" i="8"/>
  <c r="AJ109" i="8"/>
  <c r="AJ108" i="8"/>
  <c r="AJ107" i="8"/>
  <c r="AJ100" i="8"/>
  <c r="AL29" i="8" s="1"/>
  <c r="AJ99" i="8"/>
  <c r="AJ98" i="8"/>
  <c r="AJ97" i="8"/>
  <c r="AJ96" i="8"/>
  <c r="CF25" i="6"/>
  <c r="CF24" i="6"/>
  <c r="CF23" i="6"/>
  <c r="CF22" i="6"/>
  <c r="CF21" i="6"/>
  <c r="CE25" i="6"/>
  <c r="CE24" i="6"/>
  <c r="CE23" i="6"/>
  <c r="CE22" i="6"/>
  <c r="CE21" i="6"/>
  <c r="BM24" i="2"/>
  <c r="BM23" i="2"/>
  <c r="BM21" i="2"/>
  <c r="BM20" i="2"/>
  <c r="BM19" i="2"/>
  <c r="BM18" i="2"/>
  <c r="BM17" i="2"/>
  <c r="BM16" i="2"/>
  <c r="BM15" i="2"/>
  <c r="BM14" i="2"/>
  <c r="BM12" i="2"/>
  <c r="BM9" i="2"/>
  <c r="AH143" i="8"/>
  <c r="AH141" i="8"/>
  <c r="AH137" i="8"/>
  <c r="AI113" i="1"/>
  <c r="BL24" i="2"/>
  <c r="BL23" i="2"/>
  <c r="BL21" i="2"/>
  <c r="BL20" i="2"/>
  <c r="BL19" i="2"/>
  <c r="BL18" i="2"/>
  <c r="BL17" i="2"/>
  <c r="BL16" i="2"/>
  <c r="BL15" i="2"/>
  <c r="BL14" i="2"/>
  <c r="BL12" i="2"/>
  <c r="BL9" i="2"/>
  <c r="AG143" i="8"/>
  <c r="AG141" i="8"/>
  <c r="AG137" i="8"/>
  <c r="CB34" i="6"/>
  <c r="CC34" i="6"/>
  <c r="CD34" i="6"/>
  <c r="CE34" i="6"/>
  <c r="CF34" i="6"/>
  <c r="CB35" i="6"/>
  <c r="CC35" i="6"/>
  <c r="CD35" i="6"/>
  <c r="CE35" i="6"/>
  <c r="CF35" i="6"/>
  <c r="CB36" i="6"/>
  <c r="CC36" i="6"/>
  <c r="CD36" i="6"/>
  <c r="CE36" i="6"/>
  <c r="CF36" i="6"/>
  <c r="CB37" i="6"/>
  <c r="CC37" i="6"/>
  <c r="CD37" i="6"/>
  <c r="CE37" i="6"/>
  <c r="CF37" i="6"/>
  <c r="CB38" i="6"/>
  <c r="CC38" i="6"/>
  <c r="CD38" i="6"/>
  <c r="CE38" i="6"/>
  <c r="CF38" i="6"/>
  <c r="CC21" i="6"/>
  <c r="CD21" i="6"/>
  <c r="CC22" i="6"/>
  <c r="CD22" i="6"/>
  <c r="CC23" i="6"/>
  <c r="CD23" i="6"/>
  <c r="CC24" i="6"/>
  <c r="CD24" i="6"/>
  <c r="CC25" i="6"/>
  <c r="CD25" i="6"/>
  <c r="CB21" i="6"/>
  <c r="CB22" i="6"/>
  <c r="CB23" i="6"/>
  <c r="CB24" i="6"/>
  <c r="CB25" i="6"/>
  <c r="BJ9" i="2"/>
  <c r="BK9" i="2"/>
  <c r="BJ12" i="2"/>
  <c r="BK12" i="2"/>
  <c r="BJ14" i="2"/>
  <c r="BK14" i="2"/>
  <c r="BJ15" i="2"/>
  <c r="BK15" i="2"/>
  <c r="BJ16" i="2"/>
  <c r="BK16" i="2"/>
  <c r="BJ17" i="2"/>
  <c r="BK17" i="2"/>
  <c r="BJ18" i="2"/>
  <c r="BK18" i="2"/>
  <c r="BJ19" i="2"/>
  <c r="BK19" i="2"/>
  <c r="BJ20" i="2"/>
  <c r="BK20" i="2"/>
  <c r="BJ21" i="2"/>
  <c r="BK21" i="2"/>
  <c r="BJ23" i="2"/>
  <c r="BK23" i="2"/>
  <c r="BJ24" i="2"/>
  <c r="BK24" i="2"/>
  <c r="BG3" i="7"/>
  <c r="BG5" i="7" s="1"/>
  <c r="BH3" i="7"/>
  <c r="BG4" i="7"/>
  <c r="BH4" i="7"/>
  <c r="BG6" i="7"/>
  <c r="BH6" i="7"/>
  <c r="BG13" i="7"/>
  <c r="BH13" i="7"/>
  <c r="BG14" i="7"/>
  <c r="BH14" i="7"/>
  <c r="BG20" i="7"/>
  <c r="BH20" i="7"/>
  <c r="BG21" i="7"/>
  <c r="BG22" i="7" s="1"/>
  <c r="BH21" i="7"/>
  <c r="BG23" i="7"/>
  <c r="BH23" i="7"/>
  <c r="AF143" i="8"/>
  <c r="AF141" i="8"/>
  <c r="AF137" i="8"/>
  <c r="DG10" i="6" l="1"/>
  <c r="CP13" i="2"/>
  <c r="R137" i="9"/>
  <c r="BZ23" i="7"/>
  <c r="BZ24" i="7" s="1"/>
  <c r="BZ25" i="7" s="1"/>
  <c r="DF10" i="6"/>
  <c r="CO13" i="2"/>
  <c r="DH10" i="6"/>
  <c r="CQ13" i="2"/>
  <c r="CC25" i="7"/>
  <c r="CC23" i="7"/>
  <c r="CC24" i="7" s="1"/>
  <c r="AK72" i="9"/>
  <c r="AK124" i="9"/>
  <c r="DI10" i="6"/>
  <c r="CR13" i="2"/>
  <c r="CD25" i="7"/>
  <c r="CD23" i="7"/>
  <c r="CD24" i="7" s="1"/>
  <c r="AK73" i="9"/>
  <c r="CT15" i="2" s="1"/>
  <c r="AM73" i="9"/>
  <c r="DJ10" i="6"/>
  <c r="CS13" i="2"/>
  <c r="E46" i="9"/>
  <c r="CE23" i="7"/>
  <c r="CE24" i="7" s="1"/>
  <c r="CE25" i="7" s="1"/>
  <c r="AL79" i="9"/>
  <c r="AL32" i="9"/>
  <c r="AN125" i="9" s="1"/>
  <c r="AJ87" i="9"/>
  <c r="AL35" i="9" s="1"/>
  <c r="AM103" i="9"/>
  <c r="Q25" i="6"/>
  <c r="BK17" i="7"/>
  <c r="Q54" i="9"/>
  <c r="CS15" i="6" s="1"/>
  <c r="AL115" i="8"/>
  <c r="N137" i="9"/>
  <c r="BX23" i="7"/>
  <c r="BX24" i="7" s="1"/>
  <c r="BX25" i="7" s="1"/>
  <c r="CG23" i="7"/>
  <c r="CG24" i="7" s="1"/>
  <c r="CG25" i="7" s="1"/>
  <c r="AC34" i="9"/>
  <c r="AC35" i="9" s="1"/>
  <c r="DE9" i="6" s="1"/>
  <c r="AK29" i="12"/>
  <c r="AK29" i="11"/>
  <c r="AL32" i="8"/>
  <c r="DD10" i="6"/>
  <c r="CM13" i="2"/>
  <c r="N34" i="9"/>
  <c r="G137" i="9"/>
  <c r="BY25" i="7"/>
  <c r="BY23" i="7"/>
  <c r="BY24" i="7" s="1"/>
  <c r="CH23" i="7"/>
  <c r="CH24" i="7" s="1"/>
  <c r="CH25" i="7" s="1"/>
  <c r="BH5" i="7"/>
  <c r="BK16" i="7"/>
  <c r="BK25" i="7" s="1"/>
  <c r="BI25" i="7"/>
  <c r="BG7" i="7"/>
  <c r="BH7" i="7"/>
  <c r="BS17" i="7"/>
  <c r="BH22" i="7"/>
  <c r="BT16" i="7"/>
  <c r="BT25" i="7" s="1"/>
  <c r="BT17" i="7"/>
  <c r="BJ16" i="7"/>
  <c r="BJ25" i="7" s="1"/>
  <c r="BP17" i="7"/>
  <c r="BR7" i="7"/>
  <c r="BR16" i="7"/>
  <c r="BM17" i="7"/>
  <c r="CQ15" i="7"/>
  <c r="BQ17" i="7"/>
  <c r="BO7" i="7"/>
  <c r="BO16" i="7"/>
  <c r="BO25" i="7" s="1"/>
  <c r="BO17" i="7"/>
  <c r="BN17" i="7"/>
  <c r="CQ5" i="7"/>
  <c r="CT14" i="2"/>
  <c r="AM72" i="9"/>
  <c r="DE10" i="6"/>
  <c r="CN13" i="2"/>
  <c r="CJ24" i="7"/>
  <c r="CJ25" i="7" s="1"/>
  <c r="BW25" i="7"/>
  <c r="O67" i="9"/>
  <c r="CQ14" i="6" s="1"/>
  <c r="CW10" i="6"/>
  <c r="CF13" i="2"/>
  <c r="CQ10" i="6"/>
  <c r="BZ13" i="2"/>
  <c r="CY10" i="6"/>
  <c r="CH13" i="2"/>
  <c r="CU10" i="6"/>
  <c r="CD13" i="2"/>
  <c r="M54" i="9"/>
  <c r="CO15" i="6" s="1"/>
  <c r="CV10" i="6"/>
  <c r="CE13" i="2"/>
  <c r="E34" i="9"/>
  <c r="CR10" i="6"/>
  <c r="CA13" i="2"/>
  <c r="CZ10" i="6"/>
  <c r="CI13" i="2"/>
  <c r="CL13" i="2"/>
  <c r="DC10" i="6"/>
  <c r="CP10" i="6"/>
  <c r="BY13" i="2"/>
  <c r="CS10" i="6"/>
  <c r="CB13" i="2"/>
  <c r="DA10" i="6"/>
  <c r="CJ13" i="2"/>
  <c r="BM24" i="7"/>
  <c r="E37" i="9"/>
  <c r="CG13" i="2"/>
  <c r="CX10" i="6"/>
  <c r="CT10" i="6"/>
  <c r="CC13" i="2"/>
  <c r="DB10" i="6"/>
  <c r="CK13" i="2"/>
  <c r="CK25" i="7"/>
  <c r="CI25" i="7"/>
  <c r="Y34" i="9"/>
  <c r="Y35" i="9" s="1"/>
  <c r="DA9" i="6" s="1"/>
  <c r="Z59" i="9"/>
  <c r="DB12" i="6" s="1"/>
  <c r="AN84" i="9"/>
  <c r="AJ21" i="9"/>
  <c r="AJ69" i="9" s="1"/>
  <c r="R59" i="9"/>
  <c r="CT12" i="6" s="1"/>
  <c r="CO10" i="6"/>
  <c r="P34" i="9"/>
  <c r="P35" i="9" s="1"/>
  <c r="CR9" i="6" s="1"/>
  <c r="E98" i="9"/>
  <c r="N35" i="9"/>
  <c r="CP9" i="6" s="1"/>
  <c r="F98" i="9"/>
  <c r="Q34" i="9"/>
  <c r="Q35" i="9" s="1"/>
  <c r="CS9" i="6" s="1"/>
  <c r="G46" i="9"/>
  <c r="CI13" i="6" s="1"/>
  <c r="AF22" i="9"/>
  <c r="CH10" i="6"/>
  <c r="BP7" i="7"/>
  <c r="H34" i="9"/>
  <c r="H35" i="9" s="1"/>
  <c r="CJ9" i="6" s="1"/>
  <c r="BM16" i="7"/>
  <c r="CL10" i="6"/>
  <c r="BU13" i="2"/>
  <c r="BS7" i="7"/>
  <c r="BS25" i="7"/>
  <c r="BR13" i="2"/>
  <c r="CN10" i="6"/>
  <c r="BW13" i="2"/>
  <c r="BM7" i="7"/>
  <c r="BQ7" i="7"/>
  <c r="BN7" i="7"/>
  <c r="BT7" i="7"/>
  <c r="CT21" i="2"/>
  <c r="K134" i="9"/>
  <c r="K137" i="9" s="1"/>
  <c r="CM10" i="6"/>
  <c r="W59" i="9"/>
  <c r="CY12" i="6" s="1"/>
  <c r="K63" i="9"/>
  <c r="CM16" i="6" s="1"/>
  <c r="S63" i="9"/>
  <c r="CU16" i="6" s="1"/>
  <c r="AA63" i="9"/>
  <c r="DC16" i="6" s="1"/>
  <c r="AA134" i="9"/>
  <c r="AA137" i="9" s="1"/>
  <c r="BR25" i="7"/>
  <c r="CK10" i="6"/>
  <c r="X59" i="9"/>
  <c r="CZ12" i="6" s="1"/>
  <c r="AF59" i="9"/>
  <c r="DH12" i="6" s="1"/>
  <c r="X63" i="9"/>
  <c r="CZ16" i="6" s="1"/>
  <c r="Q59" i="9"/>
  <c r="CS12" i="6" s="1"/>
  <c r="Y59" i="9"/>
  <c r="DA12" i="6" s="1"/>
  <c r="Y63" i="9"/>
  <c r="DA16" i="6" s="1"/>
  <c r="BG15" i="7"/>
  <c r="BG17" i="7" s="1"/>
  <c r="BG24" i="7"/>
  <c r="BH24" i="7"/>
  <c r="BI17" i="7"/>
  <c r="BH15" i="7"/>
  <c r="BH16" i="7" s="1"/>
  <c r="CJ10" i="6"/>
  <c r="AD50" i="9"/>
  <c r="DF17" i="6" s="1"/>
  <c r="H50" i="9"/>
  <c r="CJ17" i="6" s="1"/>
  <c r="G54" i="9"/>
  <c r="CI15" i="6" s="1"/>
  <c r="E67" i="9"/>
  <c r="CG14" i="6" s="1"/>
  <c r="G34" i="9"/>
  <c r="G35" i="9" s="1"/>
  <c r="CI9" i="6" s="1"/>
  <c r="G16" i="9"/>
  <c r="AE67" i="9"/>
  <c r="DG14" i="6" s="1"/>
  <c r="Q41" i="9"/>
  <c r="Y41" i="9"/>
  <c r="AG41" i="9"/>
  <c r="W67" i="9"/>
  <c r="CY14" i="6" s="1"/>
  <c r="X16" i="9"/>
  <c r="AE16" i="9"/>
  <c r="P16" i="9"/>
  <c r="M11" i="9"/>
  <c r="J11" i="9"/>
  <c r="R11" i="9"/>
  <c r="Z11" i="9"/>
  <c r="AH11" i="9"/>
  <c r="N11" i="9"/>
  <c r="I22" i="9"/>
  <c r="H63" i="9"/>
  <c r="CJ16" i="6" s="1"/>
  <c r="AF5" i="9"/>
  <c r="AB8" i="9"/>
  <c r="AJ62" i="9"/>
  <c r="AF67" i="9"/>
  <c r="DH14" i="6" s="1"/>
  <c r="AG11" i="9"/>
  <c r="AE46" i="9"/>
  <c r="DG13" i="6" s="1"/>
  <c r="I67" i="9"/>
  <c r="CK14" i="6" s="1"/>
  <c r="Y67" i="9"/>
  <c r="DA14" i="6" s="1"/>
  <c r="AG67" i="9"/>
  <c r="DI14" i="6" s="1"/>
  <c r="R88" i="9"/>
  <c r="L5" i="9"/>
  <c r="T5" i="9"/>
  <c r="AB5" i="9"/>
  <c r="H8" i="9"/>
  <c r="P8" i="9"/>
  <c r="AF8" i="9"/>
  <c r="V50" i="9"/>
  <c r="CX17" i="6" s="1"/>
  <c r="J67" i="9"/>
  <c r="CL14" i="6" s="1"/>
  <c r="T8" i="9"/>
  <c r="AC8" i="9"/>
  <c r="Y11" i="9"/>
  <c r="Q67" i="9"/>
  <c r="CS14" i="6" s="1"/>
  <c r="I8" i="9"/>
  <c r="AG8" i="9"/>
  <c r="F16" i="9"/>
  <c r="N16" i="9"/>
  <c r="V16" i="9"/>
  <c r="AD16" i="9"/>
  <c r="AE34" i="9"/>
  <c r="AE35" i="9" s="1"/>
  <c r="DG9" i="6" s="1"/>
  <c r="K67" i="9"/>
  <c r="CM14" i="6" s="1"/>
  <c r="S67" i="9"/>
  <c r="CU14" i="6" s="1"/>
  <c r="AA67" i="9"/>
  <c r="DC14" i="6" s="1"/>
  <c r="X34" i="9"/>
  <c r="X35" i="9" s="1"/>
  <c r="CZ9" i="6" s="1"/>
  <c r="U8" i="9"/>
  <c r="P11" i="9"/>
  <c r="X11" i="9"/>
  <c r="M22" i="9"/>
  <c r="T63" i="9"/>
  <c r="CV16" i="6" s="1"/>
  <c r="Z34" i="9"/>
  <c r="Z35" i="9" s="1"/>
  <c r="DB9" i="6" s="1"/>
  <c r="N8" i="9"/>
  <c r="AD8" i="9"/>
  <c r="I11" i="9"/>
  <c r="AD22" i="9"/>
  <c r="E38" i="9"/>
  <c r="W134" i="9"/>
  <c r="W137" i="9" s="1"/>
  <c r="L67" i="9"/>
  <c r="CN14" i="6" s="1"/>
  <c r="T67" i="9"/>
  <c r="CV14" i="6" s="1"/>
  <c r="AB67" i="9"/>
  <c r="DD14" i="6" s="1"/>
  <c r="S34" i="9"/>
  <c r="S35" i="9" s="1"/>
  <c r="CU9" i="6" s="1"/>
  <c r="O5" i="9"/>
  <c r="AE5" i="9"/>
  <c r="T41" i="9"/>
  <c r="N41" i="9"/>
  <c r="T50" i="9"/>
  <c r="CV17" i="6" s="1"/>
  <c r="K59" i="9"/>
  <c r="CM12" i="6" s="1"/>
  <c r="O88" i="9"/>
  <c r="H11" i="9"/>
  <c r="AF11" i="9"/>
  <c r="E22" i="9"/>
  <c r="AC22" i="9"/>
  <c r="L63" i="9"/>
  <c r="CN16" i="6" s="1"/>
  <c r="AB63" i="9"/>
  <c r="DD16" i="6" s="1"/>
  <c r="V8" i="9"/>
  <c r="X88" i="9"/>
  <c r="Q11" i="9"/>
  <c r="N22" i="9"/>
  <c r="AH41" i="9"/>
  <c r="AA34" i="9"/>
  <c r="AA35" i="9" s="1"/>
  <c r="DC9" i="6" s="1"/>
  <c r="G8" i="9"/>
  <c r="CK15" i="6"/>
  <c r="P5" i="9"/>
  <c r="X5" i="9"/>
  <c r="AD11" i="9"/>
  <c r="E16" i="9"/>
  <c r="M16" i="9"/>
  <c r="U16" i="9"/>
  <c r="AC16" i="9"/>
  <c r="O16" i="9"/>
  <c r="W16" i="9"/>
  <c r="AD46" i="9"/>
  <c r="DF13" i="6" s="1"/>
  <c r="R67" i="9"/>
  <c r="CT14" i="6" s="1"/>
  <c r="Z67" i="9"/>
  <c r="DB14" i="6" s="1"/>
  <c r="AH67" i="9"/>
  <c r="DJ14" i="6" s="1"/>
  <c r="AH34" i="9"/>
  <c r="AH35" i="9" s="1"/>
  <c r="DJ9" i="6" s="1"/>
  <c r="U22" i="9"/>
  <c r="Q50" i="9"/>
  <c r="CS17" i="6" s="1"/>
  <c r="V22" i="9"/>
  <c r="O8" i="9"/>
  <c r="W8" i="9"/>
  <c r="AE8" i="9"/>
  <c r="H5" i="9"/>
  <c r="L8" i="9"/>
  <c r="H16" i="9"/>
  <c r="AF16" i="9"/>
  <c r="J34" i="9"/>
  <c r="J35" i="9" s="1"/>
  <c r="CL9" i="6" s="1"/>
  <c r="R34" i="9"/>
  <c r="R35" i="9" s="1"/>
  <c r="CT9" i="6" s="1"/>
  <c r="N88" i="9"/>
  <c r="W34" i="9"/>
  <c r="W35" i="9" s="1"/>
  <c r="CY9" i="6" s="1"/>
  <c r="AG34" i="9"/>
  <c r="AG35" i="9" s="1"/>
  <c r="DI9" i="6" s="1"/>
  <c r="CG10" i="6"/>
  <c r="Q34" i="6"/>
  <c r="CT19" i="2"/>
  <c r="CT20" i="2"/>
  <c r="N59" i="9"/>
  <c r="CP12" i="6" s="1"/>
  <c r="AD59" i="9"/>
  <c r="DF12" i="6" s="1"/>
  <c r="AE59" i="9"/>
  <c r="DG12" i="6" s="1"/>
  <c r="AG59" i="9"/>
  <c r="DI12" i="6" s="1"/>
  <c r="F38" i="9"/>
  <c r="N38" i="9"/>
  <c r="AB34" i="9"/>
  <c r="AB35" i="9" s="1"/>
  <c r="DD9" i="6" s="1"/>
  <c r="V34" i="9"/>
  <c r="V35" i="9" s="1"/>
  <c r="CX9" i="6" s="1"/>
  <c r="T34" i="9"/>
  <c r="T35" i="9" s="1"/>
  <c r="CV9" i="6" s="1"/>
  <c r="X38" i="9"/>
  <c r="AC38" i="9"/>
  <c r="M38" i="9"/>
  <c r="L34" i="9"/>
  <c r="AD34" i="9"/>
  <c r="AD35" i="9" s="1"/>
  <c r="DF9" i="6" s="1"/>
  <c r="U38" i="9"/>
  <c r="U34" i="9"/>
  <c r="U35" i="9" s="1"/>
  <c r="CW9" i="6" s="1"/>
  <c r="W5" i="9"/>
  <c r="U11" i="9"/>
  <c r="V38" i="9"/>
  <c r="W38" i="9"/>
  <c r="R98" i="9"/>
  <c r="P37" i="9"/>
  <c r="P38" i="9" s="1"/>
  <c r="J5" i="9"/>
  <c r="G5" i="9"/>
  <c r="H38" i="9"/>
  <c r="K41" i="9"/>
  <c r="M8" i="9"/>
  <c r="I98" i="9"/>
  <c r="I41" i="9"/>
  <c r="Y98" i="9"/>
  <c r="AJ40" i="9"/>
  <c r="AF38" i="9"/>
  <c r="AH5" i="9"/>
  <c r="AD41" i="9"/>
  <c r="AF98" i="9"/>
  <c r="X98" i="9"/>
  <c r="AB11" i="9"/>
  <c r="AJ4" i="9"/>
  <c r="AC11" i="9"/>
  <c r="AB88" i="9"/>
  <c r="S11" i="9"/>
  <c r="R5" i="9"/>
  <c r="Y8" i="9"/>
  <c r="T11" i="9"/>
  <c r="AD88" i="9"/>
  <c r="K8" i="9"/>
  <c r="S8" i="9"/>
  <c r="AA8" i="9"/>
  <c r="F11" i="9"/>
  <c r="V11" i="9"/>
  <c r="J41" i="9"/>
  <c r="R41" i="9"/>
  <c r="Z41" i="9"/>
  <c r="AM80" i="9"/>
  <c r="L88" i="9"/>
  <c r="K11" i="9"/>
  <c r="Q8" i="9"/>
  <c r="L11" i="9"/>
  <c r="G11" i="9"/>
  <c r="O11" i="9"/>
  <c r="W11" i="9"/>
  <c r="AE11" i="9"/>
  <c r="AA41" i="9"/>
  <c r="AA11" i="9"/>
  <c r="AJ39" i="9"/>
  <c r="S5" i="9"/>
  <c r="AA5" i="9"/>
  <c r="L41" i="9"/>
  <c r="AB41" i="9"/>
  <c r="M63" i="9"/>
  <c r="CO16" i="6" s="1"/>
  <c r="U67" i="9"/>
  <c r="CW14" i="6" s="1"/>
  <c r="AF134" i="9"/>
  <c r="L46" i="9"/>
  <c r="CN13" i="6" s="1"/>
  <c r="AE22" i="9"/>
  <c r="U63" i="9"/>
  <c r="CW16" i="6" s="1"/>
  <c r="O22" i="9"/>
  <c r="P22" i="9"/>
  <c r="W22" i="9"/>
  <c r="E63" i="9"/>
  <c r="CG16" i="6" s="1"/>
  <c r="AC63" i="9"/>
  <c r="DE16" i="6" s="1"/>
  <c r="L50" i="9"/>
  <c r="CN17" i="6" s="1"/>
  <c r="I16" i="9"/>
  <c r="Y16" i="9"/>
  <c r="AG16" i="9"/>
  <c r="Q22" i="9"/>
  <c r="X22" i="9"/>
  <c r="O134" i="9"/>
  <c r="O136" i="9" s="1"/>
  <c r="V46" i="9"/>
  <c r="CX13" i="6" s="1"/>
  <c r="U50" i="9"/>
  <c r="CW17" i="6" s="1"/>
  <c r="G63" i="9"/>
  <c r="CI16" i="6" s="1"/>
  <c r="O63" i="9"/>
  <c r="CQ16" i="6" s="1"/>
  <c r="W63" i="9"/>
  <c r="CY16" i="6" s="1"/>
  <c r="AE63" i="9"/>
  <c r="DG16" i="6" s="1"/>
  <c r="H67" i="9"/>
  <c r="CJ14" i="6" s="1"/>
  <c r="J16" i="9"/>
  <c r="R16" i="9"/>
  <c r="Z16" i="9"/>
  <c r="AH16" i="9"/>
  <c r="J22" i="9"/>
  <c r="R22" i="9"/>
  <c r="Z22" i="9"/>
  <c r="AH22" i="9"/>
  <c r="P134" i="9"/>
  <c r="P136" i="9" s="1"/>
  <c r="AF63" i="9"/>
  <c r="DH16" i="6" s="1"/>
  <c r="M67" i="9"/>
  <c r="CO14" i="6" s="1"/>
  <c r="AC67" i="9"/>
  <c r="DE14" i="6" s="1"/>
  <c r="K16" i="9"/>
  <c r="S16" i="9"/>
  <c r="AA16" i="9"/>
  <c r="AJ15" i="9"/>
  <c r="K22" i="9"/>
  <c r="S22" i="9"/>
  <c r="AA22" i="9"/>
  <c r="F22" i="9"/>
  <c r="AG22" i="9"/>
  <c r="G134" i="9"/>
  <c r="G138" i="9" s="1"/>
  <c r="AF46" i="9"/>
  <c r="DH13" i="6" s="1"/>
  <c r="L59" i="9"/>
  <c r="CN12" i="6" s="1"/>
  <c r="I63" i="9"/>
  <c r="CK16" i="6" s="1"/>
  <c r="Q63" i="9"/>
  <c r="CS16" i="6" s="1"/>
  <c r="AG63" i="9"/>
  <c r="DI16" i="6" s="1"/>
  <c r="L16" i="9"/>
  <c r="T16" i="9"/>
  <c r="AB16" i="9"/>
  <c r="L22" i="9"/>
  <c r="AB22" i="9"/>
  <c r="G22" i="9"/>
  <c r="H134" i="9"/>
  <c r="H139" i="9" s="1"/>
  <c r="I46" i="9"/>
  <c r="CK13" i="6" s="1"/>
  <c r="Q46" i="9"/>
  <c r="CS13" i="6" s="1"/>
  <c r="AG46" i="9"/>
  <c r="DI13" i="6" s="1"/>
  <c r="O59" i="9"/>
  <c r="CQ12" i="6" s="1"/>
  <c r="AH59" i="9"/>
  <c r="DJ12" i="6" s="1"/>
  <c r="R63" i="9"/>
  <c r="CT16" i="6" s="1"/>
  <c r="Z63" i="9"/>
  <c r="DB16" i="6" s="1"/>
  <c r="AH63" i="9"/>
  <c r="DJ16" i="6" s="1"/>
  <c r="G67" i="9"/>
  <c r="CI14" i="6" s="1"/>
  <c r="Q16" i="9"/>
  <c r="H22" i="9"/>
  <c r="AE134" i="9"/>
  <c r="AE137" i="9" s="1"/>
  <c r="I50" i="9"/>
  <c r="CK17" i="6" s="1"/>
  <c r="Y50" i="9"/>
  <c r="DA17" i="6" s="1"/>
  <c r="P59" i="9"/>
  <c r="CR12" i="6" s="1"/>
  <c r="P67" i="9"/>
  <c r="CR14" i="6" s="1"/>
  <c r="X67" i="9"/>
  <c r="CZ14" i="6" s="1"/>
  <c r="AM81" i="9"/>
  <c r="AJ106" i="9"/>
  <c r="AM79" i="9"/>
  <c r="AJ3" i="9"/>
  <c r="F8" i="9"/>
  <c r="AJ6" i="9"/>
  <c r="M41" i="9"/>
  <c r="U41" i="9"/>
  <c r="AC41" i="9"/>
  <c r="E134" i="9"/>
  <c r="E139" i="9" s="1"/>
  <c r="E54" i="9"/>
  <c r="CG15" i="6" s="1"/>
  <c r="N134" i="9"/>
  <c r="N135" i="9" s="1"/>
  <c r="X134" i="9"/>
  <c r="X135" i="9" s="1"/>
  <c r="K46" i="9"/>
  <c r="CM13" i="6" s="1"/>
  <c r="S46" i="9"/>
  <c r="CU13" i="6" s="1"/>
  <c r="O50" i="9"/>
  <c r="CQ17" i="6" s="1"/>
  <c r="W50" i="9"/>
  <c r="CY17" i="6" s="1"/>
  <c r="AJ57" i="9"/>
  <c r="F63" i="9"/>
  <c r="CH16" i="6" s="1"/>
  <c r="V59" i="9"/>
  <c r="CX12" i="6" s="1"/>
  <c r="V63" i="9"/>
  <c r="CX16" i="6" s="1"/>
  <c r="J134" i="9"/>
  <c r="J137" i="9" s="1"/>
  <c r="J50" i="9"/>
  <c r="CL17" i="6" s="1"/>
  <c r="R134" i="9"/>
  <c r="R135" i="9" s="1"/>
  <c r="R50" i="9"/>
  <c r="CT17" i="6" s="1"/>
  <c r="Z134" i="9"/>
  <c r="Z137" i="9" s="1"/>
  <c r="AH134" i="9"/>
  <c r="AH137" i="9" s="1"/>
  <c r="AH50" i="9"/>
  <c r="DJ17" i="6" s="1"/>
  <c r="V67" i="9"/>
  <c r="CX14" i="6" s="1"/>
  <c r="S98" i="9"/>
  <c r="S37" i="9"/>
  <c r="S38" i="9" s="1"/>
  <c r="E5" i="9"/>
  <c r="U5" i="9"/>
  <c r="AJ20" i="9"/>
  <c r="AJ102" i="9"/>
  <c r="L98" i="9"/>
  <c r="L37" i="9"/>
  <c r="L38" i="9" s="1"/>
  <c r="AB98" i="9"/>
  <c r="AB37" i="9"/>
  <c r="AB38" i="9" s="1"/>
  <c r="AE88" i="9"/>
  <c r="N5" i="9"/>
  <c r="AD5" i="9"/>
  <c r="AJ10" i="9"/>
  <c r="K34" i="9"/>
  <c r="K35" i="9" s="1"/>
  <c r="CM9" i="6" s="1"/>
  <c r="J8" i="9"/>
  <c r="Z8" i="9"/>
  <c r="R37" i="9"/>
  <c r="R38" i="9" s="1"/>
  <c r="S134" i="9"/>
  <c r="S137" i="9" s="1"/>
  <c r="I88" i="9"/>
  <c r="Y88" i="9"/>
  <c r="AD38" i="9"/>
  <c r="G50" i="9"/>
  <c r="CI17" i="6" s="1"/>
  <c r="AJ53" i="9"/>
  <c r="F54" i="9"/>
  <c r="CH15" i="6" s="1"/>
  <c r="J88" i="9"/>
  <c r="Z88" i="9"/>
  <c r="AH88" i="9"/>
  <c r="I5" i="9"/>
  <c r="Q5" i="9"/>
  <c r="Y5" i="9"/>
  <c r="AG5" i="9"/>
  <c r="K5" i="9"/>
  <c r="AJ7" i="9"/>
  <c r="E8" i="9"/>
  <c r="I34" i="9"/>
  <c r="I35" i="9" s="1"/>
  <c r="CK9" i="6" s="1"/>
  <c r="G38" i="9"/>
  <c r="O38" i="9"/>
  <c r="AE38" i="9"/>
  <c r="E59" i="9"/>
  <c r="CG12" i="6" s="1"/>
  <c r="AJ58" i="9"/>
  <c r="M59" i="9"/>
  <c r="CO12" i="6" s="1"/>
  <c r="U59" i="9"/>
  <c r="CW12" i="6" s="1"/>
  <c r="AC59" i="9"/>
  <c r="DE12" i="6" s="1"/>
  <c r="F59" i="9"/>
  <c r="CH12" i="6" s="1"/>
  <c r="AD63" i="9"/>
  <c r="DF16" i="6" s="1"/>
  <c r="N63" i="9"/>
  <c r="CP16" i="6" s="1"/>
  <c r="AJ124" i="9"/>
  <c r="AL125" i="9" s="1"/>
  <c r="AN126" i="9" s="1"/>
  <c r="J98" i="9"/>
  <c r="J37" i="9"/>
  <c r="J38" i="9" s="1"/>
  <c r="AH98" i="9"/>
  <c r="AH37" i="9"/>
  <c r="AH38" i="9" s="1"/>
  <c r="Q37" i="9"/>
  <c r="Q38" i="9" s="1"/>
  <c r="Q98" i="9"/>
  <c r="AG37" i="9"/>
  <c r="AG38" i="9" s="1"/>
  <c r="AG98" i="9"/>
  <c r="M88" i="9"/>
  <c r="AC88" i="9"/>
  <c r="Y37" i="9"/>
  <c r="Y38" i="9" s="1"/>
  <c r="F41" i="9"/>
  <c r="V41" i="9"/>
  <c r="E41" i="9"/>
  <c r="F134" i="9"/>
  <c r="F137" i="9" s="1"/>
  <c r="F46" i="9"/>
  <c r="CH13" i="6" s="1"/>
  <c r="CL15" i="6"/>
  <c r="K98" i="9"/>
  <c r="K37" i="9"/>
  <c r="K38" i="9" s="1"/>
  <c r="AA98" i="9"/>
  <c r="AA37" i="9"/>
  <c r="AA38" i="9" s="1"/>
  <c r="V88" i="9"/>
  <c r="M5" i="9"/>
  <c r="AC5" i="9"/>
  <c r="X8" i="9"/>
  <c r="AJ9" i="9"/>
  <c r="AD67" i="9"/>
  <c r="DF14" i="6" s="1"/>
  <c r="T98" i="9"/>
  <c r="T37" i="9"/>
  <c r="T38" i="9" s="1"/>
  <c r="W88" i="9"/>
  <c r="F5" i="9"/>
  <c r="V5" i="9"/>
  <c r="E11" i="9"/>
  <c r="AJ33" i="9"/>
  <c r="N46" i="9"/>
  <c r="CP13" i="6" s="1"/>
  <c r="U134" i="9"/>
  <c r="U137" i="9" s="1"/>
  <c r="AC134" i="9"/>
  <c r="AC137" i="9" s="1"/>
  <c r="AC50" i="9"/>
  <c r="DE17" i="6" s="1"/>
  <c r="Z98" i="9"/>
  <c r="R8" i="9"/>
  <c r="AH8" i="9"/>
  <c r="J63" i="9"/>
  <c r="CL16" i="6" s="1"/>
  <c r="AL84" i="9"/>
  <c r="Q88" i="9"/>
  <c r="AG88" i="9"/>
  <c r="M34" i="9"/>
  <c r="M35" i="9" s="1"/>
  <c r="CO9" i="6" s="1"/>
  <c r="U46" i="9"/>
  <c r="CW13" i="6" s="1"/>
  <c r="CP15" i="6"/>
  <c r="Z5" i="9"/>
  <c r="AJ14" i="9"/>
  <c r="AF34" i="9"/>
  <c r="I37" i="9"/>
  <c r="I38" i="9" s="1"/>
  <c r="J46" i="9"/>
  <c r="CL13" i="6" s="1"/>
  <c r="AJ45" i="9"/>
  <c r="AJ46" i="9" s="1"/>
  <c r="R46" i="9"/>
  <c r="CT13" i="6" s="1"/>
  <c r="Z46" i="9"/>
  <c r="DB13" i="6" s="1"/>
  <c r="AH46" i="9"/>
  <c r="DJ13" i="6" s="1"/>
  <c r="AA46" i="9"/>
  <c r="DC13" i="6" s="1"/>
  <c r="N50" i="9"/>
  <c r="CP17" i="6" s="1"/>
  <c r="AE50" i="9"/>
  <c r="DG17" i="6" s="1"/>
  <c r="E88" i="9"/>
  <c r="P50" i="9"/>
  <c r="CR17" i="6" s="1"/>
  <c r="AF50" i="9"/>
  <c r="DH17" i="6" s="1"/>
  <c r="AB46" i="9"/>
  <c r="DD13" i="6" s="1"/>
  <c r="X50" i="9"/>
  <c r="CZ17" i="6" s="1"/>
  <c r="P88" i="9"/>
  <c r="AF88" i="9"/>
  <c r="AB134" i="9"/>
  <c r="AB50" i="9"/>
  <c r="DD17" i="6" s="1"/>
  <c r="T46" i="9"/>
  <c r="CV13" i="6" s="1"/>
  <c r="AG50" i="9"/>
  <c r="DI17" i="6" s="1"/>
  <c r="AL86" i="9"/>
  <c r="F88" i="9"/>
  <c r="O46" i="9"/>
  <c r="CQ13" i="6" s="1"/>
  <c r="H54" i="9"/>
  <c r="CJ15" i="6" s="1"/>
  <c r="S59" i="9"/>
  <c r="CU12" i="6" s="1"/>
  <c r="AJ66" i="9"/>
  <c r="K88" i="9"/>
  <c r="AA88" i="9"/>
  <c r="Y22" i="9"/>
  <c r="AJ36" i="9"/>
  <c r="S41" i="9"/>
  <c r="V134" i="9"/>
  <c r="V137" i="9" s="1"/>
  <c r="W46" i="9"/>
  <c r="CY13" i="6" s="1"/>
  <c r="T59" i="9"/>
  <c r="CV12" i="6" s="1"/>
  <c r="AB59" i="9"/>
  <c r="DD12" i="6" s="1"/>
  <c r="F67" i="9"/>
  <c r="CH14" i="6" s="1"/>
  <c r="N67" i="9"/>
  <c r="CP14" i="6" s="1"/>
  <c r="G41" i="9"/>
  <c r="O41" i="9"/>
  <c r="W41" i="9"/>
  <c r="AE41" i="9"/>
  <c r="T134" i="9"/>
  <c r="T137" i="9" s="1"/>
  <c r="Z50" i="9"/>
  <c r="DB17" i="6" s="1"/>
  <c r="G59" i="9"/>
  <c r="CI12" i="6" s="1"/>
  <c r="P63" i="9"/>
  <c r="CR16" i="6" s="1"/>
  <c r="Z38" i="9"/>
  <c r="H41" i="9"/>
  <c r="P41" i="9"/>
  <c r="X41" i="9"/>
  <c r="AF41" i="9"/>
  <c r="L134" i="9"/>
  <c r="L135" i="9" s="1"/>
  <c r="AD134" i="9"/>
  <c r="AD137" i="9" s="1"/>
  <c r="CG13" i="6"/>
  <c r="AC46" i="9"/>
  <c r="DE13" i="6" s="1"/>
  <c r="K50" i="9"/>
  <c r="CM17" i="6" s="1"/>
  <c r="S50" i="9"/>
  <c r="CU17" i="6" s="1"/>
  <c r="AA50" i="9"/>
  <c r="DC17" i="6" s="1"/>
  <c r="H59" i="9"/>
  <c r="CJ12" i="6" s="1"/>
  <c r="G88" i="9"/>
  <c r="I134" i="9"/>
  <c r="I137" i="9" s="1"/>
  <c r="Q134" i="9"/>
  <c r="Q136" i="9" s="1"/>
  <c r="Y134" i="9"/>
  <c r="Y137" i="9" s="1"/>
  <c r="AG134" i="9"/>
  <c r="AG137" i="9" s="1"/>
  <c r="X46" i="9"/>
  <c r="CZ13" i="6" s="1"/>
  <c r="AJ49" i="9"/>
  <c r="E50" i="9"/>
  <c r="CG17" i="6" s="1"/>
  <c r="CM15" i="6"/>
  <c r="I59" i="9"/>
  <c r="CK12" i="6" s="1"/>
  <c r="H46" i="9"/>
  <c r="CJ13" i="6" s="1"/>
  <c r="P46" i="9"/>
  <c r="CR13" i="6" s="1"/>
  <c r="Y46" i="9"/>
  <c r="DA13" i="6" s="1"/>
  <c r="F50" i="9"/>
  <c r="CH17" i="6" s="1"/>
  <c r="CN15" i="6"/>
  <c r="J59" i="9"/>
  <c r="CL12" i="6" s="1"/>
  <c r="H88" i="9"/>
  <c r="BG16" i="7"/>
  <c r="AE137" i="8"/>
  <c r="AE143" i="8"/>
  <c r="AE141" i="8"/>
  <c r="DG5" i="6" l="1"/>
  <c r="CP3" i="2"/>
  <c r="DJ4" i="6"/>
  <c r="CS2" i="2"/>
  <c r="DF6" i="6"/>
  <c r="CO4" i="2"/>
  <c r="DF5" i="6"/>
  <c r="CO3" i="2"/>
  <c r="DH4" i="6"/>
  <c r="CQ2" i="2"/>
  <c r="Q137" i="9"/>
  <c r="DI5" i="6"/>
  <c r="CR3" i="2"/>
  <c r="DH5" i="6"/>
  <c r="CQ3" i="2"/>
  <c r="E137" i="9"/>
  <c r="X137" i="9"/>
  <c r="AF35" i="9"/>
  <c r="DH9" i="6" s="1"/>
  <c r="DG8" i="6"/>
  <c r="CP6" i="2"/>
  <c r="DJ7" i="6"/>
  <c r="CS5" i="2"/>
  <c r="DJ5" i="6"/>
  <c r="CS3" i="2"/>
  <c r="AJ59" i="9"/>
  <c r="DE6" i="6"/>
  <c r="CN4" i="2"/>
  <c r="AJ41" i="9"/>
  <c r="DF8" i="6"/>
  <c r="CO6" i="2"/>
  <c r="DE4" i="6"/>
  <c r="CN2" i="2"/>
  <c r="DI4" i="6"/>
  <c r="CR2" i="2"/>
  <c r="DG6" i="6"/>
  <c r="CP4" i="2"/>
  <c r="DE8" i="6"/>
  <c r="CN6" i="2"/>
  <c r="DD8" i="6"/>
  <c r="CM6" i="2"/>
  <c r="DD6" i="6"/>
  <c r="CM4" i="2"/>
  <c r="DI6" i="6"/>
  <c r="CR4" i="2"/>
  <c r="DJ6" i="6"/>
  <c r="CS4" i="2"/>
  <c r="DE5" i="6"/>
  <c r="CN3" i="2"/>
  <c r="DI8" i="6"/>
  <c r="CR6" i="2"/>
  <c r="AA135" i="9"/>
  <c r="AA139" i="9"/>
  <c r="P137" i="9"/>
  <c r="DH6" i="6"/>
  <c r="CQ4" i="2"/>
  <c r="DD5" i="6"/>
  <c r="CM3" i="2"/>
  <c r="DH8" i="6"/>
  <c r="CQ6" i="2"/>
  <c r="AJ67" i="9"/>
  <c r="DF4" i="6"/>
  <c r="CO2" i="2"/>
  <c r="AL68" i="9"/>
  <c r="AJ134" i="9"/>
  <c r="AK134" i="9" s="1"/>
  <c r="DJ8" i="6"/>
  <c r="CS6" i="2"/>
  <c r="DG4" i="6"/>
  <c r="CP2" i="2"/>
  <c r="AJ63" i="9"/>
  <c r="CQ23" i="7"/>
  <c r="CQ24" i="7" s="1"/>
  <c r="O137" i="9"/>
  <c r="L137" i="9"/>
  <c r="H137" i="9"/>
  <c r="BG25" i="7"/>
  <c r="BH25" i="7"/>
  <c r="BH17" i="7"/>
  <c r="CQ27" i="7"/>
  <c r="DD4" i="6"/>
  <c r="CM2" i="2"/>
  <c r="DE7" i="6"/>
  <c r="CN5" i="2"/>
  <c r="DD7" i="6"/>
  <c r="CM5" i="2"/>
  <c r="DH7" i="6"/>
  <c r="CQ5" i="2"/>
  <c r="DI7" i="6"/>
  <c r="CR5" i="2"/>
  <c r="DG7" i="6"/>
  <c r="CP5" i="2"/>
  <c r="DF7" i="6"/>
  <c r="CO5" i="2"/>
  <c r="AF138" i="9"/>
  <c r="AF137" i="9"/>
  <c r="AJ68" i="9"/>
  <c r="CT16" i="2" s="1"/>
  <c r="AB135" i="9"/>
  <c r="AB137" i="9"/>
  <c r="CL4" i="2"/>
  <c r="DC6" i="6"/>
  <c r="CZ4" i="6"/>
  <c r="CI2" i="2"/>
  <c r="CP5" i="6"/>
  <c r="BY3" i="2"/>
  <c r="CF5" i="2"/>
  <c r="CW7" i="6"/>
  <c r="DA4" i="6"/>
  <c r="CJ2" i="2"/>
  <c r="CK6" i="2"/>
  <c r="DB8" i="6"/>
  <c r="BZ5" i="2"/>
  <c r="CQ7" i="6"/>
  <c r="CS4" i="6"/>
  <c r="CB2" i="2"/>
  <c r="CQ6" i="6"/>
  <c r="BZ4" i="2"/>
  <c r="CT8" i="6"/>
  <c r="CC6" i="2"/>
  <c r="CV6" i="6"/>
  <c r="CE4" i="2"/>
  <c r="CY7" i="6"/>
  <c r="CH5" i="2"/>
  <c r="CV8" i="6"/>
  <c r="CE6" i="2"/>
  <c r="CZ6" i="6"/>
  <c r="CI4" i="2"/>
  <c r="CV4" i="6"/>
  <c r="CE2" i="2"/>
  <c r="CK4" i="2"/>
  <c r="DB6" i="6"/>
  <c r="BN25" i="7"/>
  <c r="CK5" i="2"/>
  <c r="DB7" i="6"/>
  <c r="CL6" i="2"/>
  <c r="DC8" i="6"/>
  <c r="CR7" i="6"/>
  <c r="CA5" i="2"/>
  <c r="CP6" i="6"/>
  <c r="BY4" i="2"/>
  <c r="CP7" i="6"/>
  <c r="BY5" i="2"/>
  <c r="CP8" i="6"/>
  <c r="BY6" i="2"/>
  <c r="DA6" i="6"/>
  <c r="CJ4" i="2"/>
  <c r="CE5" i="2"/>
  <c r="CV7" i="6"/>
  <c r="CL5" i="2"/>
  <c r="DC7" i="6"/>
  <c r="CG6" i="2"/>
  <c r="CX8" i="6"/>
  <c r="CS7" i="6"/>
  <c r="CB5" i="2"/>
  <c r="DC4" i="6"/>
  <c r="CL2" i="2"/>
  <c r="CJ3" i="2"/>
  <c r="DA5" i="6"/>
  <c r="CG5" i="2"/>
  <c r="CX7" i="6"/>
  <c r="CR6" i="6"/>
  <c r="CA4" i="2"/>
  <c r="CV5" i="6"/>
  <c r="CE3" i="2"/>
  <c r="CT6" i="6"/>
  <c r="CC4" i="2"/>
  <c r="CJ6" i="2"/>
  <c r="DA8" i="6"/>
  <c r="CT7" i="6"/>
  <c r="CC5" i="2"/>
  <c r="DC5" i="6"/>
  <c r="CL3" i="2"/>
  <c r="BZ3" i="2"/>
  <c r="CQ5" i="6"/>
  <c r="CK2" i="2"/>
  <c r="DB4" i="6"/>
  <c r="CZ5" i="6"/>
  <c r="CI3" i="2"/>
  <c r="CK3" i="2"/>
  <c r="DB5" i="6"/>
  <c r="CR4" i="6"/>
  <c r="CA2" i="2"/>
  <c r="CX5" i="6"/>
  <c r="CG3" i="2"/>
  <c r="CR5" i="6"/>
  <c r="CA3" i="2"/>
  <c r="CG2" i="2"/>
  <c r="CX4" i="6"/>
  <c r="CH4" i="2"/>
  <c r="CY6" i="6"/>
  <c r="CZ8" i="6"/>
  <c r="CI6" i="2"/>
  <c r="CH6" i="2"/>
  <c r="CY8" i="6"/>
  <c r="CP4" i="6"/>
  <c r="BY2" i="2"/>
  <c r="CW4" i="6"/>
  <c r="CF2" i="2"/>
  <c r="CU4" i="6"/>
  <c r="CD2" i="2"/>
  <c r="CG4" i="2"/>
  <c r="CX6" i="6"/>
  <c r="CT4" i="6"/>
  <c r="CC2" i="2"/>
  <c r="CF4" i="2"/>
  <c r="CW6" i="6"/>
  <c r="CZ7" i="6"/>
  <c r="CI5" i="2"/>
  <c r="BZ2" i="2"/>
  <c r="CQ4" i="6"/>
  <c r="CF3" i="2"/>
  <c r="CW5" i="6"/>
  <c r="CS8" i="6"/>
  <c r="CB6" i="2"/>
  <c r="BM25" i="7"/>
  <c r="CU7" i="6"/>
  <c r="CD5" i="2"/>
  <c r="CU5" i="6"/>
  <c r="CD3" i="2"/>
  <c r="CT5" i="6"/>
  <c r="CC3" i="2"/>
  <c r="BZ6" i="2"/>
  <c r="CQ8" i="6"/>
  <c r="CU8" i="6"/>
  <c r="CD6" i="2"/>
  <c r="CJ5" i="2"/>
  <c r="DA7" i="6"/>
  <c r="CW8" i="6"/>
  <c r="CF6" i="2"/>
  <c r="CS5" i="6"/>
  <c r="CB3" i="2"/>
  <c r="CU6" i="6"/>
  <c r="CD4" i="2"/>
  <c r="CH2" i="2"/>
  <c r="CY4" i="6"/>
  <c r="CH3" i="2"/>
  <c r="CY5" i="6"/>
  <c r="CS6" i="6"/>
  <c r="CB4" i="2"/>
  <c r="E135" i="9"/>
  <c r="BP25" i="7"/>
  <c r="BQ25" i="7"/>
  <c r="CR8" i="6"/>
  <c r="CA6" i="2"/>
  <c r="CN6" i="6"/>
  <c r="BW4" i="2"/>
  <c r="CL6" i="6"/>
  <c r="BU4" i="2"/>
  <c r="BQ3" i="2"/>
  <c r="CH5" i="6"/>
  <c r="CN5" i="6"/>
  <c r="BW3" i="2"/>
  <c r="BR3" i="2"/>
  <c r="CI5" i="6"/>
  <c r="CI6" i="6"/>
  <c r="BR4" i="2"/>
  <c r="BQ4" i="2"/>
  <c r="CH6" i="6"/>
  <c r="CL4" i="6"/>
  <c r="BU2" i="2"/>
  <c r="CN4" i="6"/>
  <c r="BW2" i="2"/>
  <c r="BQ2" i="2"/>
  <c r="CH4" i="6"/>
  <c r="CL5" i="6"/>
  <c r="BU3" i="2"/>
  <c r="BR2" i="2"/>
  <c r="CI4" i="6"/>
  <c r="BU6" i="7"/>
  <c r="CL7" i="6"/>
  <c r="BU5" i="2"/>
  <c r="CL8" i="6"/>
  <c r="BU6" i="2"/>
  <c r="BQ5" i="2"/>
  <c r="CH7" i="6"/>
  <c r="BR6" i="2"/>
  <c r="CI8" i="6"/>
  <c r="CI7" i="6"/>
  <c r="BR5" i="2"/>
  <c r="CN7" i="6"/>
  <c r="BW5" i="2"/>
  <c r="CN8" i="6"/>
  <c r="BW6" i="2"/>
  <c r="BQ6" i="2"/>
  <c r="CH8" i="6"/>
  <c r="K138" i="9"/>
  <c r="K136" i="9"/>
  <c r="K139" i="9"/>
  <c r="CO7" i="6"/>
  <c r="BX5" i="2"/>
  <c r="CO8" i="6"/>
  <c r="BX6" i="2"/>
  <c r="BX4" i="2"/>
  <c r="CO6" i="6"/>
  <c r="BX3" i="2"/>
  <c r="CO5" i="6"/>
  <c r="BX2" i="2"/>
  <c r="CO4" i="6"/>
  <c r="L35" i="9"/>
  <c r="CN9" i="6" s="1"/>
  <c r="BV5" i="2"/>
  <c r="CM7" i="6"/>
  <c r="BV6" i="2"/>
  <c r="CM8" i="6"/>
  <c r="BV4" i="2"/>
  <c r="CM6" i="6"/>
  <c r="BV3" i="2"/>
  <c r="CM5" i="6"/>
  <c r="BV2" i="2"/>
  <c r="CM4" i="6"/>
  <c r="K135" i="9"/>
  <c r="AA136" i="9"/>
  <c r="AA138" i="9"/>
  <c r="F135" i="9"/>
  <c r="BT5" i="2"/>
  <c r="CK7" i="6"/>
  <c r="BT6" i="2"/>
  <c r="CK8" i="6"/>
  <c r="BT4" i="2"/>
  <c r="CK6" i="6"/>
  <c r="BT3" i="2"/>
  <c r="CK5" i="6"/>
  <c r="BT2" i="2"/>
  <c r="CK4" i="6"/>
  <c r="CJ6" i="6"/>
  <c r="BS4" i="2"/>
  <c r="BS3" i="2"/>
  <c r="CJ5" i="6"/>
  <c r="CJ4" i="6"/>
  <c r="BS2" i="2"/>
  <c r="BS5" i="2"/>
  <c r="CJ7" i="6"/>
  <c r="BS6" i="2"/>
  <c r="CJ8" i="6"/>
  <c r="S135" i="9"/>
  <c r="S136" i="9"/>
  <c r="AD135" i="9"/>
  <c r="E136" i="9"/>
  <c r="AJ16" i="9"/>
  <c r="E35" i="9"/>
  <c r="CG9" i="6" s="1"/>
  <c r="H135" i="9"/>
  <c r="W138" i="9"/>
  <c r="H136" i="9"/>
  <c r="W139" i="9"/>
  <c r="AF139" i="9"/>
  <c r="AF135" i="9"/>
  <c r="Z136" i="9"/>
  <c r="Z135" i="9"/>
  <c r="AF136" i="9"/>
  <c r="CG6" i="6"/>
  <c r="BP4" i="2"/>
  <c r="CG5" i="6"/>
  <c r="BP3" i="2"/>
  <c r="BP6" i="2"/>
  <c r="CG8" i="6"/>
  <c r="BP2" i="2"/>
  <c r="CG4" i="6"/>
  <c r="W136" i="9"/>
  <c r="H138" i="9"/>
  <c r="W135" i="9"/>
  <c r="G135" i="9"/>
  <c r="BP5" i="2"/>
  <c r="CG7" i="6"/>
  <c r="O138" i="9"/>
  <c r="Q16" i="6"/>
  <c r="AC136" i="9"/>
  <c r="P135" i="9"/>
  <c r="P138" i="9"/>
  <c r="O139" i="9"/>
  <c r="AE135" i="9"/>
  <c r="AE136" i="9"/>
  <c r="AC135" i="9"/>
  <c r="AE138" i="9"/>
  <c r="P139" i="9"/>
  <c r="O135" i="9"/>
  <c r="AH135" i="9"/>
  <c r="AE139" i="9"/>
  <c r="AJ37" i="9"/>
  <c r="AN82" i="9"/>
  <c r="AN79" i="9"/>
  <c r="AN81" i="9"/>
  <c r="AN80" i="9"/>
  <c r="AM83" i="9"/>
  <c r="AJ24" i="9"/>
  <c r="AJ22" i="9"/>
  <c r="R136" i="9"/>
  <c r="N136" i="9"/>
  <c r="G139" i="9"/>
  <c r="G136" i="9"/>
  <c r="AJ98" i="9"/>
  <c r="U135" i="9"/>
  <c r="T139" i="9"/>
  <c r="T138" i="9"/>
  <c r="J139" i="9"/>
  <c r="J138" i="9"/>
  <c r="AJ88" i="9"/>
  <c r="AN83" i="9" s="1"/>
  <c r="AB136" i="9"/>
  <c r="AG139" i="9"/>
  <c r="AG138" i="9"/>
  <c r="J136" i="9"/>
  <c r="Y139" i="9"/>
  <c r="Y138" i="9"/>
  <c r="AM82" i="9"/>
  <c r="AN85" i="9"/>
  <c r="F139" i="9"/>
  <c r="F138" i="9"/>
  <c r="Q139" i="9"/>
  <c r="Q138" i="9"/>
  <c r="AG136" i="9"/>
  <c r="J135" i="9"/>
  <c r="V139" i="9"/>
  <c r="V138" i="9"/>
  <c r="AB139" i="9"/>
  <c r="AB138" i="9"/>
  <c r="U139" i="9"/>
  <c r="U138" i="9"/>
  <c r="V135" i="9"/>
  <c r="AD139" i="9"/>
  <c r="AD138" i="9"/>
  <c r="E138" i="9"/>
  <c r="L139" i="9"/>
  <c r="L138" i="9"/>
  <c r="AG135" i="9"/>
  <c r="M134" i="9"/>
  <c r="M137" i="9" s="1"/>
  <c r="M50" i="9"/>
  <c r="CO17" i="6" s="1"/>
  <c r="M46" i="9"/>
  <c r="CO13" i="6" s="1"/>
  <c r="AH139" i="9"/>
  <c r="AH138" i="9"/>
  <c r="T135" i="9"/>
  <c r="Q14" i="6"/>
  <c r="Y135" i="9"/>
  <c r="AD136" i="9"/>
  <c r="V136" i="9"/>
  <c r="AJ5" i="9"/>
  <c r="T136" i="9"/>
  <c r="Q135" i="9"/>
  <c r="Z139" i="9"/>
  <c r="Z138" i="9"/>
  <c r="X139" i="9"/>
  <c r="X138" i="9"/>
  <c r="I139" i="9"/>
  <c r="I138" i="9"/>
  <c r="Y136" i="9"/>
  <c r="I135" i="9"/>
  <c r="AC139" i="9"/>
  <c r="AC138" i="9"/>
  <c r="L136" i="9"/>
  <c r="U136" i="9"/>
  <c r="Q12" i="6"/>
  <c r="F136" i="9"/>
  <c r="N139" i="9"/>
  <c r="N138" i="9"/>
  <c r="AH136" i="9"/>
  <c r="I136" i="9"/>
  <c r="X136" i="9"/>
  <c r="AJ11" i="9"/>
  <c r="S139" i="9"/>
  <c r="S138" i="9"/>
  <c r="R139" i="9"/>
  <c r="R138" i="9"/>
  <c r="AJ8" i="9"/>
  <c r="BU16" i="7" l="1"/>
  <c r="BU17" i="7"/>
  <c r="CQ6" i="7"/>
  <c r="CU24" i="7"/>
  <c r="CU25" i="7" s="1"/>
  <c r="DW23" i="7"/>
  <c r="DW24" i="7" s="1"/>
  <c r="DW25" i="7" s="1"/>
  <c r="AJ138" i="9"/>
  <c r="AJ137" i="9"/>
  <c r="AJ139" i="9"/>
  <c r="BU25" i="7"/>
  <c r="BU7" i="7"/>
  <c r="CT17" i="2"/>
  <c r="CT2" i="2"/>
  <c r="Q4" i="6"/>
  <c r="Q8" i="6"/>
  <c r="CT6" i="2"/>
  <c r="CT4" i="2"/>
  <c r="Q6" i="6"/>
  <c r="CT3" i="2"/>
  <c r="Q5" i="6"/>
  <c r="Q13" i="6"/>
  <c r="CT13" i="2"/>
  <c r="Q10" i="6"/>
  <c r="Q21" i="6"/>
  <c r="AJ38" i="9"/>
  <c r="AJ50" i="9"/>
  <c r="Q17" i="6" s="1"/>
  <c r="AL47" i="9"/>
  <c r="AJ54" i="9"/>
  <c r="Q15" i="6" s="1"/>
  <c r="AL51" i="9"/>
  <c r="AL42" i="9"/>
  <c r="M139" i="9"/>
  <c r="M138" i="9"/>
  <c r="M136" i="9"/>
  <c r="M135" i="9"/>
  <c r="BD3" i="7"/>
  <c r="BE3" i="7"/>
  <c r="BF3" i="7"/>
  <c r="BD4" i="7"/>
  <c r="BE4" i="7"/>
  <c r="BF4" i="7"/>
  <c r="BD6" i="7"/>
  <c r="BE6" i="7"/>
  <c r="BF6" i="7"/>
  <c r="BD13" i="7"/>
  <c r="BD15" i="7" s="1"/>
  <c r="BE13" i="7"/>
  <c r="BF13" i="7"/>
  <c r="BD14" i="7"/>
  <c r="BE14" i="7"/>
  <c r="BF14" i="7"/>
  <c r="BD20" i="7"/>
  <c r="BE20" i="7"/>
  <c r="BF20" i="7"/>
  <c r="BF22" i="7" s="1"/>
  <c r="BD21" i="7"/>
  <c r="BE21" i="7"/>
  <c r="BF21" i="7"/>
  <c r="BD23" i="7"/>
  <c r="BE23" i="7"/>
  <c r="BF23" i="7"/>
  <c r="AC137" i="8"/>
  <c r="AD143" i="8"/>
  <c r="AC143" i="8"/>
  <c r="AD141" i="8"/>
  <c r="AC141" i="8"/>
  <c r="BI24" i="2"/>
  <c r="BI23" i="2"/>
  <c r="BI21" i="2"/>
  <c r="BI20" i="2"/>
  <c r="BI19" i="2"/>
  <c r="BI18" i="2"/>
  <c r="BI17" i="2"/>
  <c r="BI16" i="2"/>
  <c r="BI15" i="2"/>
  <c r="BI14" i="2"/>
  <c r="BI12" i="2"/>
  <c r="BI9" i="2"/>
  <c r="BH24" i="2"/>
  <c r="BH23" i="2"/>
  <c r="BH21" i="2"/>
  <c r="BH20" i="2"/>
  <c r="BH19" i="2"/>
  <c r="BH18" i="2"/>
  <c r="BH17" i="2"/>
  <c r="BH16" i="2"/>
  <c r="BH15" i="2"/>
  <c r="BH14" i="2"/>
  <c r="BH12" i="2"/>
  <c r="BH9" i="2"/>
  <c r="AB143" i="8"/>
  <c r="AB141" i="8"/>
  <c r="AB137" i="8"/>
  <c r="BG24" i="2"/>
  <c r="BG23" i="2"/>
  <c r="BG21" i="2"/>
  <c r="BG20" i="2"/>
  <c r="BG19" i="2"/>
  <c r="BG18" i="2"/>
  <c r="BG17" i="2"/>
  <c r="BG16" i="2"/>
  <c r="BG15" i="2"/>
  <c r="BG14" i="2"/>
  <c r="BG12" i="2"/>
  <c r="BG9" i="2"/>
  <c r="BZ34" i="6"/>
  <c r="CA34" i="6"/>
  <c r="BZ35" i="6"/>
  <c r="CA35" i="6"/>
  <c r="BZ36" i="6"/>
  <c r="CA36" i="6"/>
  <c r="BZ37" i="6"/>
  <c r="CA37" i="6"/>
  <c r="BZ38" i="6"/>
  <c r="CA38" i="6"/>
  <c r="BY21" i="6"/>
  <c r="BZ21" i="6"/>
  <c r="CA21" i="6"/>
  <c r="BY22" i="6"/>
  <c r="BZ22" i="6"/>
  <c r="CA22" i="6"/>
  <c r="BY23" i="6"/>
  <c r="BZ23" i="6"/>
  <c r="CA23" i="6"/>
  <c r="BY24" i="6"/>
  <c r="BZ24" i="6"/>
  <c r="CA24" i="6"/>
  <c r="BY25" i="6"/>
  <c r="BZ25" i="6"/>
  <c r="CA25" i="6"/>
  <c r="BX34" i="6"/>
  <c r="BY34" i="6"/>
  <c r="BX35" i="6"/>
  <c r="BY35" i="6"/>
  <c r="BX36" i="6"/>
  <c r="BY36" i="6"/>
  <c r="BX37" i="6"/>
  <c r="BY37" i="6"/>
  <c r="BX38" i="6"/>
  <c r="BY38" i="6"/>
  <c r="AA143" i="8"/>
  <c r="AA141" i="8"/>
  <c r="AA137" i="8"/>
  <c r="BC3" i="7"/>
  <c r="BC4" i="7"/>
  <c r="BC5" i="7" s="1"/>
  <c r="BC7" i="7" s="1"/>
  <c r="BC6" i="7"/>
  <c r="BC13" i="7"/>
  <c r="BC14" i="7"/>
  <c r="BC20" i="7"/>
  <c r="BC22" i="7" s="1"/>
  <c r="BC21" i="7"/>
  <c r="BC23" i="7"/>
  <c r="BX21" i="6"/>
  <c r="BX22" i="6"/>
  <c r="BX23" i="6"/>
  <c r="BX24" i="6"/>
  <c r="BX25" i="6"/>
  <c r="BF24" i="2"/>
  <c r="BF23" i="2"/>
  <c r="BF21" i="2"/>
  <c r="BF20" i="2"/>
  <c r="BF19" i="2"/>
  <c r="BF18" i="2"/>
  <c r="BF17" i="2"/>
  <c r="BF16" i="2"/>
  <c r="BF15" i="2"/>
  <c r="BF14" i="2"/>
  <c r="BF12" i="2"/>
  <c r="BF9" i="2"/>
  <c r="BE24" i="2"/>
  <c r="BE23" i="2"/>
  <c r="BE21" i="2"/>
  <c r="BE20" i="2"/>
  <c r="BE19" i="2"/>
  <c r="BE18" i="2"/>
  <c r="BE17" i="2"/>
  <c r="BE16" i="2"/>
  <c r="BE15" i="2"/>
  <c r="BE14" i="2"/>
  <c r="BE12" i="2"/>
  <c r="BE9" i="2"/>
  <c r="Z143" i="8"/>
  <c r="AJ135" i="8"/>
  <c r="AJ136" i="8"/>
  <c r="AJ138" i="8"/>
  <c r="AJ140" i="8"/>
  <c r="AJ142" i="8"/>
  <c r="Z141" i="8"/>
  <c r="Z137" i="8"/>
  <c r="BB3" i="7"/>
  <c r="BB4" i="7"/>
  <c r="BB5" i="7" s="1"/>
  <c r="BB6" i="7"/>
  <c r="BB13" i="7"/>
  <c r="BB14" i="7"/>
  <c r="BB20" i="7"/>
  <c r="BB21" i="7"/>
  <c r="BB23" i="7"/>
  <c r="AZ3" i="7"/>
  <c r="BA3" i="7"/>
  <c r="AZ4" i="7"/>
  <c r="BA4" i="7"/>
  <c r="AZ6" i="7"/>
  <c r="BA6" i="7"/>
  <c r="AZ13" i="7"/>
  <c r="BA13" i="7"/>
  <c r="AZ14" i="7"/>
  <c r="BA14" i="7"/>
  <c r="AZ20" i="7"/>
  <c r="BA20" i="7"/>
  <c r="BA22" i="7" s="1"/>
  <c r="AZ21" i="7"/>
  <c r="BA21" i="7"/>
  <c r="AZ23" i="7"/>
  <c r="BA23" i="7"/>
  <c r="BD9" i="2"/>
  <c r="BD12" i="2"/>
  <c r="BD14" i="2"/>
  <c r="BD15" i="2"/>
  <c r="BD16" i="2"/>
  <c r="BD17" i="2"/>
  <c r="BD18" i="2"/>
  <c r="BD19" i="2"/>
  <c r="BD20" i="2"/>
  <c r="BD21" i="2"/>
  <c r="BD23" i="2"/>
  <c r="BD24" i="2"/>
  <c r="Y143" i="8"/>
  <c r="Y141" i="8"/>
  <c r="Y137" i="8"/>
  <c r="X137" i="8"/>
  <c r="X143" i="8"/>
  <c r="X141" i="8"/>
  <c r="BC9" i="2"/>
  <c r="BC12" i="2"/>
  <c r="BC14" i="2"/>
  <c r="BC15" i="2"/>
  <c r="BC16" i="2"/>
  <c r="BC17" i="2"/>
  <c r="BC18" i="2"/>
  <c r="BC19" i="2"/>
  <c r="BC20" i="2"/>
  <c r="BC21" i="2"/>
  <c r="BC23" i="2"/>
  <c r="BC24" i="2"/>
  <c r="V137" i="8"/>
  <c r="W137" i="8"/>
  <c r="U137" i="8"/>
  <c r="W141" i="8"/>
  <c r="W143" i="8"/>
  <c r="V143" i="8"/>
  <c r="U143" i="8"/>
  <c r="T143" i="8"/>
  <c r="T137" i="8"/>
  <c r="AT3" i="7"/>
  <c r="AU3" i="7"/>
  <c r="AV3" i="7"/>
  <c r="AW3" i="7"/>
  <c r="AX3" i="7"/>
  <c r="AY3" i="7"/>
  <c r="AT4" i="7"/>
  <c r="AU4" i="7"/>
  <c r="AV4" i="7"/>
  <c r="AW4" i="7"/>
  <c r="AX4" i="7"/>
  <c r="AY4" i="7"/>
  <c r="AT6" i="7"/>
  <c r="AU6" i="7"/>
  <c r="AV6" i="7"/>
  <c r="AW6" i="7"/>
  <c r="AX6" i="7"/>
  <c r="AY6" i="7"/>
  <c r="AT13" i="7"/>
  <c r="AU13" i="7"/>
  <c r="AV13" i="7"/>
  <c r="AW13" i="7"/>
  <c r="AX13" i="7"/>
  <c r="AY13" i="7"/>
  <c r="AT14" i="7"/>
  <c r="AU14" i="7"/>
  <c r="AV14" i="7"/>
  <c r="AW14" i="7"/>
  <c r="AX14" i="7"/>
  <c r="AY14" i="7"/>
  <c r="AY15" i="7" s="1"/>
  <c r="AT20" i="7"/>
  <c r="AU20" i="7"/>
  <c r="AV20" i="7"/>
  <c r="AV22" i="7" s="1"/>
  <c r="AV24" i="7" s="1"/>
  <c r="AW20" i="7"/>
  <c r="AX20" i="7"/>
  <c r="AY20" i="7"/>
  <c r="AT21" i="7"/>
  <c r="AU21" i="7"/>
  <c r="AU22" i="7" s="1"/>
  <c r="AV21" i="7"/>
  <c r="AW21" i="7"/>
  <c r="AX21" i="7"/>
  <c r="AY21" i="7"/>
  <c r="AT23" i="7"/>
  <c r="AU23" i="7"/>
  <c r="AV23" i="7"/>
  <c r="AW23" i="7"/>
  <c r="AX23" i="7"/>
  <c r="AY23" i="7"/>
  <c r="V141" i="8"/>
  <c r="U141" i="8"/>
  <c r="T141" i="8"/>
  <c r="AY9" i="2"/>
  <c r="AZ9" i="2"/>
  <c r="BA9" i="2"/>
  <c r="BB9" i="2"/>
  <c r="AY12" i="2"/>
  <c r="AZ12" i="2"/>
  <c r="BA12" i="2"/>
  <c r="BB12" i="2"/>
  <c r="AY14" i="2"/>
  <c r="AZ14" i="2"/>
  <c r="BA14" i="2"/>
  <c r="BB14" i="2"/>
  <c r="AY15" i="2"/>
  <c r="AZ15" i="2"/>
  <c r="BA15" i="2"/>
  <c r="BB15" i="2"/>
  <c r="AY16" i="2"/>
  <c r="AZ16" i="2"/>
  <c r="BA16" i="2"/>
  <c r="BB16" i="2"/>
  <c r="AY17" i="2"/>
  <c r="AZ17" i="2"/>
  <c r="BA17" i="2"/>
  <c r="BB17" i="2"/>
  <c r="AY18" i="2"/>
  <c r="AZ18" i="2"/>
  <c r="BA18" i="2"/>
  <c r="BB18" i="2"/>
  <c r="AY19" i="2"/>
  <c r="AZ19" i="2"/>
  <c r="BA19" i="2"/>
  <c r="BB19" i="2"/>
  <c r="AY20" i="2"/>
  <c r="AZ20" i="2"/>
  <c r="BA20" i="2"/>
  <c r="BB20" i="2"/>
  <c r="AY21" i="2"/>
  <c r="AZ21" i="2"/>
  <c r="BA21" i="2"/>
  <c r="BB21" i="2"/>
  <c r="AY23" i="2"/>
  <c r="AZ23" i="2"/>
  <c r="BA23" i="2"/>
  <c r="BB23" i="2"/>
  <c r="AY24" i="2"/>
  <c r="AZ24" i="2"/>
  <c r="BA24" i="2"/>
  <c r="BB24" i="2"/>
  <c r="BQ34" i="6"/>
  <c r="BR34" i="6"/>
  <c r="BS34" i="6"/>
  <c r="BT34" i="6"/>
  <c r="BU34" i="6"/>
  <c r="BV34" i="6"/>
  <c r="BW34" i="6"/>
  <c r="BQ35" i="6"/>
  <c r="BR35" i="6"/>
  <c r="BS35" i="6"/>
  <c r="BT35" i="6"/>
  <c r="BU35" i="6"/>
  <c r="BV35" i="6"/>
  <c r="BW35" i="6"/>
  <c r="BQ36" i="6"/>
  <c r="BR36" i="6"/>
  <c r="BS36" i="6"/>
  <c r="BT36" i="6"/>
  <c r="BU36" i="6"/>
  <c r="BV36" i="6"/>
  <c r="BW36" i="6"/>
  <c r="BQ37" i="6"/>
  <c r="BR37" i="6"/>
  <c r="BS37" i="6"/>
  <c r="BT37" i="6"/>
  <c r="BU37" i="6"/>
  <c r="BV37" i="6"/>
  <c r="BW37" i="6"/>
  <c r="BQ38" i="6"/>
  <c r="BR38" i="6"/>
  <c r="BS38" i="6"/>
  <c r="BT38" i="6"/>
  <c r="BU38" i="6"/>
  <c r="BV38" i="6"/>
  <c r="BW38" i="6"/>
  <c r="BQ21" i="6"/>
  <c r="BR21" i="6"/>
  <c r="BS21" i="6"/>
  <c r="BT21" i="6"/>
  <c r="BU21" i="6"/>
  <c r="BV21" i="6"/>
  <c r="BW21" i="6"/>
  <c r="BQ22" i="6"/>
  <c r="BR22" i="6"/>
  <c r="BS22" i="6"/>
  <c r="BT22" i="6"/>
  <c r="BU22" i="6"/>
  <c r="BV22" i="6"/>
  <c r="BW22" i="6"/>
  <c r="BQ23" i="6"/>
  <c r="BR23" i="6"/>
  <c r="BS23" i="6"/>
  <c r="BT23" i="6"/>
  <c r="BU23" i="6"/>
  <c r="BV23" i="6"/>
  <c r="BW23" i="6"/>
  <c r="BQ24" i="6"/>
  <c r="BR24" i="6"/>
  <c r="BS24" i="6"/>
  <c r="BT24" i="6"/>
  <c r="BU24" i="6"/>
  <c r="BV24" i="6"/>
  <c r="BW24" i="6"/>
  <c r="BQ25" i="6"/>
  <c r="BR25" i="6"/>
  <c r="BS25" i="6"/>
  <c r="BT25" i="6"/>
  <c r="BU25" i="6"/>
  <c r="BV25" i="6"/>
  <c r="BW25" i="6"/>
  <c r="AX9" i="2"/>
  <c r="AX12" i="2"/>
  <c r="AX14" i="2"/>
  <c r="AX15" i="2"/>
  <c r="AX16" i="2"/>
  <c r="AX17" i="2"/>
  <c r="AX18" i="2"/>
  <c r="AX19" i="2"/>
  <c r="AX20" i="2"/>
  <c r="AX21" i="2"/>
  <c r="AX23" i="2"/>
  <c r="AX24" i="2"/>
  <c r="S143" i="8"/>
  <c r="S137" i="8"/>
  <c r="S141" i="8"/>
  <c r="AW9" i="2"/>
  <c r="AW12" i="2"/>
  <c r="AW14" i="2"/>
  <c r="AW15" i="2"/>
  <c r="AW16" i="2"/>
  <c r="AW17" i="2"/>
  <c r="AW18" i="2"/>
  <c r="AW19" i="2"/>
  <c r="AW20" i="2"/>
  <c r="AW21" i="2"/>
  <c r="AW23" i="2"/>
  <c r="AW24" i="2"/>
  <c r="R143" i="8"/>
  <c r="R141" i="8"/>
  <c r="R137" i="8"/>
  <c r="AV24" i="2"/>
  <c r="Q143" i="8"/>
  <c r="Q141" i="8"/>
  <c r="AT9" i="2"/>
  <c r="AU9" i="2"/>
  <c r="AV9" i="2"/>
  <c r="AT12" i="2"/>
  <c r="AU12" i="2"/>
  <c r="AV12" i="2"/>
  <c r="AT14" i="2"/>
  <c r="AU14" i="2"/>
  <c r="AV14" i="2"/>
  <c r="AT15" i="2"/>
  <c r="AU15" i="2"/>
  <c r="AV15" i="2"/>
  <c r="AT16" i="2"/>
  <c r="AU16" i="2"/>
  <c r="AV16" i="2"/>
  <c r="AT17" i="2"/>
  <c r="AU17" i="2"/>
  <c r="AV17" i="2"/>
  <c r="AT18" i="2"/>
  <c r="AU18" i="2"/>
  <c r="AV18" i="2"/>
  <c r="AT19" i="2"/>
  <c r="AU19" i="2"/>
  <c r="AV19" i="2"/>
  <c r="AT20" i="2"/>
  <c r="AU20" i="2"/>
  <c r="AV20" i="2"/>
  <c r="AT21" i="2"/>
  <c r="AU21" i="2"/>
  <c r="AV21" i="2"/>
  <c r="AT23" i="2"/>
  <c r="AU23" i="2"/>
  <c r="AV23" i="2"/>
  <c r="AT24" i="2"/>
  <c r="AU24" i="2"/>
  <c r="Q137" i="8"/>
  <c r="AR3" i="7"/>
  <c r="AS3" i="7"/>
  <c r="AR4" i="7"/>
  <c r="AS4" i="7"/>
  <c r="AR6" i="7"/>
  <c r="AS6" i="7"/>
  <c r="AR13" i="7"/>
  <c r="AS13" i="7"/>
  <c r="AR14" i="7"/>
  <c r="AS14" i="7"/>
  <c r="AR20" i="7"/>
  <c r="AS20" i="7"/>
  <c r="AR21" i="7"/>
  <c r="AS21" i="7"/>
  <c r="AR23" i="7"/>
  <c r="AS23" i="7"/>
  <c r="AP3" i="7"/>
  <c r="AQ3" i="7"/>
  <c r="AP4" i="7"/>
  <c r="AQ4" i="7"/>
  <c r="AP6" i="7"/>
  <c r="AQ6" i="7"/>
  <c r="AP13" i="7"/>
  <c r="AQ13" i="7"/>
  <c r="AP14" i="7"/>
  <c r="AQ14" i="7"/>
  <c r="AP20" i="7"/>
  <c r="AQ20" i="7"/>
  <c r="AP21" i="7"/>
  <c r="AQ21" i="7"/>
  <c r="AP23" i="7"/>
  <c r="AQ23" i="7"/>
  <c r="P141" i="8"/>
  <c r="P143" i="8"/>
  <c r="O143" i="8"/>
  <c r="O141" i="8"/>
  <c r="N143" i="8"/>
  <c r="N141" i="8"/>
  <c r="AS9" i="2"/>
  <c r="AS12" i="2"/>
  <c r="AS14" i="2"/>
  <c r="AS15" i="2"/>
  <c r="AS16" i="2"/>
  <c r="AS17" i="2"/>
  <c r="AS18" i="2"/>
  <c r="AS19" i="2"/>
  <c r="AS20" i="2"/>
  <c r="AS21" i="2"/>
  <c r="AS23" i="2"/>
  <c r="AS24" i="2"/>
  <c r="AN3" i="7"/>
  <c r="AO3" i="7"/>
  <c r="AN4" i="7"/>
  <c r="AO4" i="7"/>
  <c r="AO5" i="7" s="1"/>
  <c r="AN6" i="7"/>
  <c r="AO6" i="7"/>
  <c r="AN13" i="7"/>
  <c r="AO13" i="7"/>
  <c r="AN14" i="7"/>
  <c r="AO14" i="7"/>
  <c r="AN20" i="7"/>
  <c r="AO20" i="7"/>
  <c r="AN21" i="7"/>
  <c r="AO21" i="7"/>
  <c r="AN23" i="7"/>
  <c r="AO23" i="7"/>
  <c r="M143" i="8"/>
  <c r="M141" i="8"/>
  <c r="AR9" i="2"/>
  <c r="AR12" i="2"/>
  <c r="AR14" i="2"/>
  <c r="AR15" i="2"/>
  <c r="AR16" i="2"/>
  <c r="AR17" i="2"/>
  <c r="AR18" i="2"/>
  <c r="AR19" i="2"/>
  <c r="AR20" i="2"/>
  <c r="AR21" i="2"/>
  <c r="AR23" i="2"/>
  <c r="AR24" i="2"/>
  <c r="F143" i="8"/>
  <c r="E143" i="8"/>
  <c r="L143" i="8"/>
  <c r="L141" i="8"/>
  <c r="BJ34" i="6"/>
  <c r="BK34" i="6"/>
  <c r="BL34" i="6"/>
  <c r="BM34" i="6"/>
  <c r="BN34" i="6"/>
  <c r="BO34" i="6"/>
  <c r="BP34" i="6"/>
  <c r="BJ35" i="6"/>
  <c r="BK35" i="6"/>
  <c r="BL35" i="6"/>
  <c r="BM35" i="6"/>
  <c r="BN35" i="6"/>
  <c r="BO35" i="6"/>
  <c r="BP35" i="6"/>
  <c r="BJ36" i="6"/>
  <c r="BK36" i="6"/>
  <c r="BL36" i="6"/>
  <c r="BM36" i="6"/>
  <c r="BN36" i="6"/>
  <c r="BO36" i="6"/>
  <c r="BP36" i="6"/>
  <c r="BJ37" i="6"/>
  <c r="BK37" i="6"/>
  <c r="BL37" i="6"/>
  <c r="BM37" i="6"/>
  <c r="BN37" i="6"/>
  <c r="BO37" i="6"/>
  <c r="BP37" i="6"/>
  <c r="BJ38" i="6"/>
  <c r="BK38" i="6"/>
  <c r="BL38" i="6"/>
  <c r="BM38" i="6"/>
  <c r="BN38" i="6"/>
  <c r="BO38" i="6"/>
  <c r="BP38" i="6"/>
  <c r="BJ21" i="6"/>
  <c r="BK21" i="6"/>
  <c r="BL21" i="6"/>
  <c r="BM21" i="6"/>
  <c r="BN21" i="6"/>
  <c r="BO21" i="6"/>
  <c r="BP21" i="6"/>
  <c r="BJ22" i="6"/>
  <c r="BK22" i="6"/>
  <c r="BL22" i="6"/>
  <c r="BM22" i="6"/>
  <c r="BN22" i="6"/>
  <c r="BO22" i="6"/>
  <c r="BP22" i="6"/>
  <c r="BJ23" i="6"/>
  <c r="BK23" i="6"/>
  <c r="BL23" i="6"/>
  <c r="BM23" i="6"/>
  <c r="BN23" i="6"/>
  <c r="BO23" i="6"/>
  <c r="BP23" i="6"/>
  <c r="BJ24" i="6"/>
  <c r="BK24" i="6"/>
  <c r="BL24" i="6"/>
  <c r="BM24" i="6"/>
  <c r="BN24" i="6"/>
  <c r="BO24" i="6"/>
  <c r="BP24" i="6"/>
  <c r="BJ25" i="6"/>
  <c r="BK25" i="6"/>
  <c r="BL25" i="6"/>
  <c r="BM25" i="6"/>
  <c r="BN25" i="6"/>
  <c r="BO25" i="6"/>
  <c r="BP25" i="6"/>
  <c r="BI34" i="6"/>
  <c r="BI35" i="6"/>
  <c r="BI36" i="6"/>
  <c r="BI37" i="6"/>
  <c r="BI38" i="6"/>
  <c r="BI21" i="6"/>
  <c r="BI22" i="6"/>
  <c r="BI23" i="6"/>
  <c r="BI24" i="6"/>
  <c r="BI25" i="6"/>
  <c r="AQ9" i="2"/>
  <c r="AQ12" i="2"/>
  <c r="AQ14" i="2"/>
  <c r="AQ15" i="2"/>
  <c r="AQ16" i="2"/>
  <c r="AQ17" i="2"/>
  <c r="AQ18" i="2"/>
  <c r="AQ19" i="2"/>
  <c r="AQ20" i="2"/>
  <c r="AQ21" i="2"/>
  <c r="AQ23" i="2"/>
  <c r="AQ24" i="2"/>
  <c r="AM20" i="7"/>
  <c r="AM21" i="7"/>
  <c r="AM23" i="7"/>
  <c r="AM13" i="7"/>
  <c r="AM14" i="7"/>
  <c r="AM6" i="7"/>
  <c r="AM4" i="7"/>
  <c r="AM3" i="7"/>
  <c r="BH34" i="6"/>
  <c r="BH35" i="6"/>
  <c r="BH36" i="6"/>
  <c r="BH37" i="6"/>
  <c r="BH38" i="6"/>
  <c r="AP12" i="2"/>
  <c r="AP14" i="2"/>
  <c r="AP15" i="2"/>
  <c r="AP16" i="2"/>
  <c r="AP17" i="2"/>
  <c r="AP18" i="2"/>
  <c r="AP19" i="2"/>
  <c r="AP20" i="2"/>
  <c r="AP21" i="2"/>
  <c r="AP23" i="2"/>
  <c r="AP24" i="2"/>
  <c r="AP9" i="2"/>
  <c r="BH21" i="6"/>
  <c r="BH22" i="6"/>
  <c r="BH23" i="6"/>
  <c r="BH24" i="6"/>
  <c r="BH25" i="6"/>
  <c r="K143" i="8"/>
  <c r="AP15" i="7" l="1"/>
  <c r="AN5" i="7"/>
  <c r="AN7" i="7" s="1"/>
  <c r="AQ5" i="7"/>
  <c r="AN15" i="7"/>
  <c r="AN16" i="7" s="1"/>
  <c r="AR22" i="7"/>
  <c r="AL141" i="8"/>
  <c r="AN142" i="8" s="1"/>
  <c r="AW22" i="7"/>
  <c r="AW24" i="7" s="1"/>
  <c r="AO7" i="7"/>
  <c r="AT22" i="7"/>
  <c r="BC24" i="7"/>
  <c r="BA15" i="7"/>
  <c r="AO15" i="7"/>
  <c r="AS22" i="7"/>
  <c r="BE15" i="7"/>
  <c r="BE16" i="7" s="1"/>
  <c r="BE22" i="7"/>
  <c r="AM5" i="7"/>
  <c r="AM7" i="7" s="1"/>
  <c r="AX15" i="7"/>
  <c r="BD22" i="7"/>
  <c r="BD24" i="7" s="1"/>
  <c r="AM15" i="7"/>
  <c r="AQ15" i="7"/>
  <c r="AQ16" i="7" s="1"/>
  <c r="AP5" i="7"/>
  <c r="AP7" i="7" s="1"/>
  <c r="BB15" i="7"/>
  <c r="BB16" i="7" s="1"/>
  <c r="BF15" i="7"/>
  <c r="BF16" i="7" s="1"/>
  <c r="BA24" i="7"/>
  <c r="AQ22" i="7"/>
  <c r="AQ24" i="7" s="1"/>
  <c r="BA5" i="7"/>
  <c r="BA7" i="7" s="1"/>
  <c r="BC15" i="7"/>
  <c r="BC16" i="7" s="1"/>
  <c r="BC25" i="7" s="1"/>
  <c r="CQ16" i="7"/>
  <c r="CQ25" i="7" s="1"/>
  <c r="CQ28" i="7"/>
  <c r="CQ7" i="7"/>
  <c r="AU24" i="7"/>
  <c r="AU15" i="7"/>
  <c r="AU16" i="7" s="1"/>
  <c r="AU25" i="7" s="1"/>
  <c r="BE5" i="7"/>
  <c r="BE7" i="7" s="1"/>
  <c r="AP16" i="7"/>
  <c r="AT15" i="7"/>
  <c r="AT16" i="7" s="1"/>
  <c r="AZ22" i="7"/>
  <c r="AZ24" i="7" s="1"/>
  <c r="BD5" i="7"/>
  <c r="BD7" i="7" s="1"/>
  <c r="AJ135" i="9"/>
  <c r="CQ17" i="7"/>
  <c r="BA16" i="7"/>
  <c r="AO17" i="7"/>
  <c r="AM17" i="7"/>
  <c r="BE24" i="7"/>
  <c r="AX22" i="7"/>
  <c r="AX24" i="7" s="1"/>
  <c r="AV15" i="7"/>
  <c r="AV16" i="7" s="1"/>
  <c r="AV25" i="7" s="1"/>
  <c r="AX5" i="7"/>
  <c r="AX7" i="7" s="1"/>
  <c r="AZ15" i="7"/>
  <c r="BF24" i="7"/>
  <c r="AO22" i="7"/>
  <c r="AO24" i="7" s="1"/>
  <c r="AP22" i="7"/>
  <c r="AP24" i="7" s="1"/>
  <c r="AP25" i="7" s="1"/>
  <c r="AS15" i="7"/>
  <c r="AS16" i="7" s="1"/>
  <c r="AN22" i="7"/>
  <c r="AN24" i="7" s="1"/>
  <c r="AN25" i="7" s="1"/>
  <c r="AQ7" i="7"/>
  <c r="AR15" i="7"/>
  <c r="AM22" i="7"/>
  <c r="AM24" i="7" s="1"/>
  <c r="AS24" i="7"/>
  <c r="AW5" i="7"/>
  <c r="AW7" i="7" s="1"/>
  <c r="AY22" i="7"/>
  <c r="AY24" i="7" s="1"/>
  <c r="AW15" i="7"/>
  <c r="AR24" i="7"/>
  <c r="AM16" i="7"/>
  <c r="AS5" i="7"/>
  <c r="AS7" i="7" s="1"/>
  <c r="AU5" i="7"/>
  <c r="AU7" i="7" s="1"/>
  <c r="AR5" i="7"/>
  <c r="AR7" i="7" s="1"/>
  <c r="AT24" i="7"/>
  <c r="AT5" i="7"/>
  <c r="AT7" i="7" s="1"/>
  <c r="AZ5" i="7"/>
  <c r="AZ7" i="7" s="1"/>
  <c r="BF5" i="7"/>
  <c r="BF7" i="7" s="1"/>
  <c r="Q22" i="6"/>
  <c r="Q7" i="6"/>
  <c r="CT5" i="2"/>
  <c r="AJ136" i="9"/>
  <c r="BD16" i="7"/>
  <c r="BD25" i="7" s="1"/>
  <c r="BC17" i="7"/>
  <c r="BB22" i="7"/>
  <c r="BB24" i="7" s="1"/>
  <c r="BB7" i="7"/>
  <c r="AZ16" i="7"/>
  <c r="AV5" i="7"/>
  <c r="AV7" i="7" s="1"/>
  <c r="AY5" i="7"/>
  <c r="AY7" i="7" s="1"/>
  <c r="AY16" i="7"/>
  <c r="AX16" i="7"/>
  <c r="AR16" i="7"/>
  <c r="AQ17" i="7"/>
  <c r="AP17" i="7"/>
  <c r="AN17" i="7"/>
  <c r="AO16" i="7"/>
  <c r="K141" i="8"/>
  <c r="AH23" i="7"/>
  <c r="AI23" i="7"/>
  <c r="AJ23" i="7"/>
  <c r="AK23" i="7"/>
  <c r="AL23" i="7"/>
  <c r="AH21" i="7"/>
  <c r="AI21" i="7"/>
  <c r="AJ21" i="7"/>
  <c r="AK21" i="7"/>
  <c r="AL21" i="7"/>
  <c r="AH20" i="7"/>
  <c r="AI20" i="7"/>
  <c r="AJ20" i="7"/>
  <c r="AK20" i="7"/>
  <c r="AK22" i="7" s="1"/>
  <c r="AK24" i="7" s="1"/>
  <c r="AL20" i="7"/>
  <c r="AH14" i="7"/>
  <c r="AI14" i="7"/>
  <c r="AJ14" i="7"/>
  <c r="AK14" i="7"/>
  <c r="AL14" i="7"/>
  <c r="AH13" i="7"/>
  <c r="AI13" i="7"/>
  <c r="AJ13" i="7"/>
  <c r="AK13" i="7"/>
  <c r="AL13" i="7"/>
  <c r="AJ4" i="7"/>
  <c r="AK4" i="7"/>
  <c r="AL4" i="7"/>
  <c r="AJ3" i="7"/>
  <c r="AK3" i="7"/>
  <c r="AL3" i="7"/>
  <c r="AH6" i="7"/>
  <c r="AI6" i="7"/>
  <c r="AJ6" i="7"/>
  <c r="AK6" i="7"/>
  <c r="AL6" i="7"/>
  <c r="BG34" i="6"/>
  <c r="BG35" i="6"/>
  <c r="BG36" i="6"/>
  <c r="BG37" i="6"/>
  <c r="BG38" i="6"/>
  <c r="BG21" i="6"/>
  <c r="BG22" i="6"/>
  <c r="BG23" i="6"/>
  <c r="BG24" i="6"/>
  <c r="BG25" i="6"/>
  <c r="J143" i="8"/>
  <c r="J141" i="8"/>
  <c r="I141" i="8"/>
  <c r="AO9" i="2"/>
  <c r="AO12" i="2"/>
  <c r="AO14" i="2"/>
  <c r="AO15" i="2"/>
  <c r="AO16" i="2"/>
  <c r="AO17" i="2"/>
  <c r="AO18" i="2"/>
  <c r="AO19" i="2"/>
  <c r="AO20" i="2"/>
  <c r="AO21" i="2"/>
  <c r="AO23" i="2"/>
  <c r="AO24" i="2"/>
  <c r="BE34" i="6"/>
  <c r="BF34" i="6"/>
  <c r="BE35" i="6"/>
  <c r="BF35" i="6"/>
  <c r="BE36" i="6"/>
  <c r="BF36" i="6"/>
  <c r="BE37" i="6"/>
  <c r="BF37" i="6"/>
  <c r="BE38" i="6"/>
  <c r="BF38" i="6"/>
  <c r="BF21" i="6"/>
  <c r="BF22" i="6"/>
  <c r="BF23" i="6"/>
  <c r="BF24" i="6"/>
  <c r="BF25" i="6"/>
  <c r="BE21" i="6"/>
  <c r="BE22" i="6"/>
  <c r="BE23" i="6"/>
  <c r="BE24" i="6"/>
  <c r="BE25" i="6"/>
  <c r="AN9" i="2"/>
  <c r="AN12" i="2"/>
  <c r="AN14" i="2"/>
  <c r="AN15" i="2"/>
  <c r="AN16" i="2"/>
  <c r="AN17" i="2"/>
  <c r="AN18" i="2"/>
  <c r="AN19" i="2"/>
  <c r="AN20" i="2"/>
  <c r="AN21" i="2"/>
  <c r="AN23" i="2"/>
  <c r="AN24" i="2"/>
  <c r="AM9" i="2"/>
  <c r="AM12" i="2"/>
  <c r="AM14" i="2"/>
  <c r="AM15" i="2"/>
  <c r="AM16" i="2"/>
  <c r="AM17" i="2"/>
  <c r="AM18" i="2"/>
  <c r="AM19" i="2"/>
  <c r="AM20" i="2"/>
  <c r="AM21" i="2"/>
  <c r="AM23" i="2"/>
  <c r="AM24" i="2"/>
  <c r="I143" i="8"/>
  <c r="H143" i="8"/>
  <c r="H141" i="8"/>
  <c r="AK24" i="2"/>
  <c r="AL24" i="2"/>
  <c r="AJ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E24" i="2"/>
  <c r="AH4" i="7"/>
  <c r="AI4" i="7"/>
  <c r="AH3" i="7"/>
  <c r="AI3" i="7"/>
  <c r="BD34" i="6"/>
  <c r="BD35" i="6"/>
  <c r="BD36" i="6"/>
  <c r="BD37" i="6"/>
  <c r="BD38" i="6"/>
  <c r="BD23" i="6"/>
  <c r="BD24" i="6"/>
  <c r="BD25" i="6"/>
  <c r="BD21" i="6"/>
  <c r="BD22" i="6"/>
  <c r="AL18" i="2"/>
  <c r="AL19" i="2"/>
  <c r="AL20" i="2"/>
  <c r="AL21" i="2"/>
  <c r="AL23" i="2"/>
  <c r="AL17" i="2"/>
  <c r="AL16" i="2"/>
  <c r="AL15" i="2"/>
  <c r="AL14" i="2"/>
  <c r="AL12" i="2"/>
  <c r="AL9" i="2"/>
  <c r="G143" i="8"/>
  <c r="AJ143" i="8" s="1"/>
  <c r="G141" i="8"/>
  <c r="BB17" i="7" l="1"/>
  <c r="BB25" i="7"/>
  <c r="AT25" i="7"/>
  <c r="BE25" i="7"/>
  <c r="AJ22" i="7"/>
  <c r="AJ24" i="7" s="1"/>
  <c r="AQ25" i="7"/>
  <c r="AI22" i="7"/>
  <c r="AI24" i="7" s="1"/>
  <c r="AK5" i="7"/>
  <c r="AK15" i="7"/>
  <c r="AK17" i="7" s="1"/>
  <c r="AH22" i="7"/>
  <c r="AH24" i="7" s="1"/>
  <c r="BF25" i="7"/>
  <c r="BA25" i="7"/>
  <c r="AJ15" i="7"/>
  <c r="AJ17" i="7" s="1"/>
  <c r="AR17" i="7"/>
  <c r="BE17" i="7"/>
  <c r="BA17" i="7"/>
  <c r="AI15" i="7"/>
  <c r="AI16" i="7" s="1"/>
  <c r="BF17" i="7"/>
  <c r="AZ25" i="7"/>
  <c r="BD17" i="7"/>
  <c r="AJ5" i="7"/>
  <c r="AU17" i="7"/>
  <c r="AH15" i="7"/>
  <c r="AH16" i="7" s="1"/>
  <c r="AV17" i="7"/>
  <c r="AS17" i="7"/>
  <c r="AW17" i="7"/>
  <c r="AS25" i="7"/>
  <c r="AO25" i="7"/>
  <c r="CQ29" i="7"/>
  <c r="AI5" i="7"/>
  <c r="AI7" i="7" s="1"/>
  <c r="AX17" i="7"/>
  <c r="AL15" i="7"/>
  <c r="AX25" i="7"/>
  <c r="AW16" i="7"/>
  <c r="AW25" i="7" s="1"/>
  <c r="AZ17" i="7"/>
  <c r="AH5" i="7"/>
  <c r="AH7" i="7" s="1"/>
  <c r="AL22" i="7"/>
  <c r="AL24" i="7" s="1"/>
  <c r="AY25" i="7"/>
  <c r="AM25" i="7"/>
  <c r="AR25" i="7"/>
  <c r="AL5" i="7"/>
  <c r="AL7" i="7" s="1"/>
  <c r="AT17" i="7"/>
  <c r="AK7" i="7"/>
  <c r="AJ7" i="7"/>
  <c r="AY17" i="7"/>
  <c r="BC34" i="6"/>
  <c r="BC35" i="6"/>
  <c r="BC36" i="6"/>
  <c r="BC37" i="6"/>
  <c r="BC38" i="6"/>
  <c r="BC21" i="6"/>
  <c r="BC22" i="6"/>
  <c r="BC23" i="6"/>
  <c r="BC24" i="6"/>
  <c r="BC25" i="6"/>
  <c r="AK23" i="2"/>
  <c r="AK21" i="2"/>
  <c r="AK20" i="2"/>
  <c r="AK19" i="2"/>
  <c r="AK18" i="2"/>
  <c r="AK17" i="2"/>
  <c r="AK16" i="2"/>
  <c r="AK15" i="2"/>
  <c r="AK14" i="2"/>
  <c r="AK12" i="2"/>
  <c r="AK9" i="2"/>
  <c r="F137" i="8"/>
  <c r="F141" i="8"/>
  <c r="AJ16" i="7" l="1"/>
  <c r="AJ25" i="7" s="1"/>
  <c r="AI25" i="7"/>
  <c r="AK16" i="7"/>
  <c r="AK25" i="7" s="1"/>
  <c r="AI17" i="7"/>
  <c r="AH25" i="7"/>
  <c r="AH17" i="7"/>
  <c r="AL16" i="7"/>
  <c r="AL25" i="7" s="1"/>
  <c r="AL17" i="7"/>
  <c r="AG23" i="7"/>
  <c r="BL23" i="7" s="1"/>
  <c r="AG21" i="7"/>
  <c r="AG20" i="7"/>
  <c r="AG14" i="7"/>
  <c r="AG13" i="7"/>
  <c r="AG6" i="7"/>
  <c r="BL6" i="7" s="1"/>
  <c r="AG4" i="7"/>
  <c r="AG3" i="7"/>
  <c r="AL118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AH83" i="8"/>
  <c r="AI83" i="8"/>
  <c r="F84" i="8"/>
  <c r="G84" i="8"/>
  <c r="H84" i="8"/>
  <c r="H43" i="8" s="1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AB84" i="8"/>
  <c r="AC84" i="8"/>
  <c r="AD84" i="8"/>
  <c r="AE84" i="8"/>
  <c r="AF84" i="8"/>
  <c r="AG84" i="8"/>
  <c r="AH84" i="8"/>
  <c r="AI84" i="8"/>
  <c r="E83" i="8"/>
  <c r="E84" i="8"/>
  <c r="AJ64" i="8"/>
  <c r="AJ63" i="8"/>
  <c r="AJ60" i="8"/>
  <c r="AJ59" i="8"/>
  <c r="AJ55" i="8"/>
  <c r="AJ54" i="8"/>
  <c r="AJ51" i="8"/>
  <c r="AJ50" i="8"/>
  <c r="AJ47" i="8"/>
  <c r="AJ46" i="8"/>
  <c r="AJ42" i="8"/>
  <c r="AJ41" i="8"/>
  <c r="AJ30" i="8"/>
  <c r="AJ28" i="8"/>
  <c r="AJ27" i="8"/>
  <c r="P23" i="6" s="1"/>
  <c r="AJ23" i="8"/>
  <c r="E115" i="8"/>
  <c r="E141" i="8"/>
  <c r="AJ141" i="8" s="1"/>
  <c r="E137" i="8"/>
  <c r="AJ137" i="8" s="1"/>
  <c r="AJ67" i="8"/>
  <c r="AJ68" i="8"/>
  <c r="AJ72" i="8"/>
  <c r="AJ73" i="8"/>
  <c r="Y12" i="2"/>
  <c r="Y9" i="2"/>
  <c r="BO12" i="2"/>
  <c r="BO9" i="2"/>
  <c r="BB30" i="6"/>
  <c r="AJ11" i="2" s="1"/>
  <c r="BC30" i="6"/>
  <c r="AK11" i="2" s="1"/>
  <c r="BD30" i="6"/>
  <c r="AL11" i="2" s="1"/>
  <c r="BE30" i="6"/>
  <c r="AM11" i="2" s="1"/>
  <c r="BF30" i="6"/>
  <c r="AN11" i="2" s="1"/>
  <c r="BG30" i="6"/>
  <c r="AO11" i="2" s="1"/>
  <c r="BH30" i="6"/>
  <c r="AP11" i="2" s="1"/>
  <c r="BI30" i="6"/>
  <c r="AQ11" i="2" s="1"/>
  <c r="BJ30" i="6"/>
  <c r="AR11" i="2" s="1"/>
  <c r="BK30" i="6"/>
  <c r="AS11" i="2" s="1"/>
  <c r="BL30" i="6"/>
  <c r="AT11" i="2" s="1"/>
  <c r="BM30" i="6"/>
  <c r="AU11" i="2" s="1"/>
  <c r="BN30" i="6"/>
  <c r="AV11" i="2" s="1"/>
  <c r="BO30" i="6"/>
  <c r="AW11" i="2" s="1"/>
  <c r="BP30" i="6"/>
  <c r="AX11" i="2" s="1"/>
  <c r="BQ30" i="6"/>
  <c r="AY11" i="2" s="1"/>
  <c r="BR30" i="6"/>
  <c r="AZ11" i="2" s="1"/>
  <c r="BS30" i="6"/>
  <c r="BA11" i="2" s="1"/>
  <c r="BT30" i="6"/>
  <c r="BB11" i="2" s="1"/>
  <c r="BU30" i="6"/>
  <c r="BC11" i="2" s="1"/>
  <c r="BV30" i="6"/>
  <c r="BD11" i="2" s="1"/>
  <c r="BW30" i="6"/>
  <c r="BE11" i="2" s="1"/>
  <c r="BX30" i="6"/>
  <c r="BF11" i="2" s="1"/>
  <c r="BY30" i="6"/>
  <c r="BG11" i="2" s="1"/>
  <c r="BZ30" i="6"/>
  <c r="BH11" i="2" s="1"/>
  <c r="CA30" i="6"/>
  <c r="BI11" i="2" s="1"/>
  <c r="CB30" i="6"/>
  <c r="BJ11" i="2" s="1"/>
  <c r="CC30" i="6"/>
  <c r="BK11" i="2" s="1"/>
  <c r="CD30" i="6"/>
  <c r="BL11" i="2" s="1"/>
  <c r="CE30" i="6"/>
  <c r="BM11" i="2" s="1"/>
  <c r="CF30" i="6"/>
  <c r="BN11" i="2" s="1"/>
  <c r="BB27" i="6"/>
  <c r="AJ8" i="2" s="1"/>
  <c r="BC27" i="6"/>
  <c r="AK8" i="2" s="1"/>
  <c r="BD27" i="6"/>
  <c r="AL8" i="2" s="1"/>
  <c r="BE27" i="6"/>
  <c r="AM8" i="2" s="1"/>
  <c r="BF27" i="6"/>
  <c r="AN8" i="2" s="1"/>
  <c r="BG27" i="6"/>
  <c r="AO8" i="2" s="1"/>
  <c r="BH27" i="6"/>
  <c r="AP8" i="2" s="1"/>
  <c r="BI27" i="6"/>
  <c r="AQ8" i="2" s="1"/>
  <c r="BJ27" i="6"/>
  <c r="AR8" i="2" s="1"/>
  <c r="BK27" i="6"/>
  <c r="AS8" i="2" s="1"/>
  <c r="BL27" i="6"/>
  <c r="AT8" i="2" s="1"/>
  <c r="BM27" i="6"/>
  <c r="AU8" i="2" s="1"/>
  <c r="BN27" i="6"/>
  <c r="AV8" i="2" s="1"/>
  <c r="BO27" i="6"/>
  <c r="AW8" i="2" s="1"/>
  <c r="BP27" i="6"/>
  <c r="AX8" i="2" s="1"/>
  <c r="BQ27" i="6"/>
  <c r="AY8" i="2" s="1"/>
  <c r="BR27" i="6"/>
  <c r="AZ8" i="2" s="1"/>
  <c r="BS27" i="6"/>
  <c r="BA8" i="2" s="1"/>
  <c r="BT27" i="6"/>
  <c r="BB8" i="2" s="1"/>
  <c r="BU27" i="6"/>
  <c r="BC8" i="2" s="1"/>
  <c r="BV27" i="6"/>
  <c r="BD8" i="2" s="1"/>
  <c r="BW27" i="6"/>
  <c r="BE8" i="2" s="1"/>
  <c r="BX27" i="6"/>
  <c r="BF8" i="2" s="1"/>
  <c r="BY27" i="6"/>
  <c r="BG8" i="2" s="1"/>
  <c r="BZ27" i="6"/>
  <c r="BH8" i="2" s="1"/>
  <c r="CA27" i="6"/>
  <c r="BI8" i="2" s="1"/>
  <c r="CB27" i="6"/>
  <c r="BJ8" i="2" s="1"/>
  <c r="CC27" i="6"/>
  <c r="BK8" i="2" s="1"/>
  <c r="CD27" i="6"/>
  <c r="BL8" i="2" s="1"/>
  <c r="CE27" i="6"/>
  <c r="BM8" i="2" s="1"/>
  <c r="CF27" i="6"/>
  <c r="BN8" i="2" s="1"/>
  <c r="BB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X38" i="6"/>
  <c r="P27" i="6"/>
  <c r="BO8" i="2" s="1"/>
  <c r="P30" i="6"/>
  <c r="BO11" i="2" s="1"/>
  <c r="BB37" i="6"/>
  <c r="BB36" i="6"/>
  <c r="BB35" i="6"/>
  <c r="BB34" i="6"/>
  <c r="BB25" i="6"/>
  <c r="BB24" i="6"/>
  <c r="BB23" i="6"/>
  <c r="BB22" i="6"/>
  <c r="BB21" i="6"/>
  <c r="AI3" i="8"/>
  <c r="AI4" i="8"/>
  <c r="AI5" i="8" s="1"/>
  <c r="AI6" i="8"/>
  <c r="AI7" i="8"/>
  <c r="AI9" i="8"/>
  <c r="AI10" i="8"/>
  <c r="AI14" i="8"/>
  <c r="AI15" i="8"/>
  <c r="AI19" i="8"/>
  <c r="AI20" i="8" s="1"/>
  <c r="AI21" i="8"/>
  <c r="AI24" i="8"/>
  <c r="AI31" i="8"/>
  <c r="AI33" i="8" s="1"/>
  <c r="AI32" i="8"/>
  <c r="AI35" i="8"/>
  <c r="AI36" i="8"/>
  <c r="AI38" i="8"/>
  <c r="AI39" i="8"/>
  <c r="AI43" i="8"/>
  <c r="AI44" i="8"/>
  <c r="AI48" i="8"/>
  <c r="AI52" i="8"/>
  <c r="AI56" i="8"/>
  <c r="AI57" i="8"/>
  <c r="AI61" i="8"/>
  <c r="AI65" i="8"/>
  <c r="AI69" i="8"/>
  <c r="AI74" i="8"/>
  <c r="AI75" i="8" s="1"/>
  <c r="AI104" i="8"/>
  <c r="AI115" i="8"/>
  <c r="AE24" i="8"/>
  <c r="AJ12" i="2"/>
  <c r="AJ9" i="2"/>
  <c r="AJ23" i="2"/>
  <c r="AJ22" i="2"/>
  <c r="AJ21" i="2"/>
  <c r="AJ20" i="2"/>
  <c r="AJ19" i="2"/>
  <c r="AJ18" i="2"/>
  <c r="AJ17" i="2"/>
  <c r="AJ16" i="2"/>
  <c r="AJ15" i="2"/>
  <c r="AJ14" i="2"/>
  <c r="AH43" i="8"/>
  <c r="F104" i="8"/>
  <c r="E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AE104" i="8"/>
  <c r="AF104" i="8"/>
  <c r="AG104" i="8"/>
  <c r="AH104" i="8"/>
  <c r="AJ149" i="8"/>
  <c r="BO22" i="2" s="1"/>
  <c r="AJ148" i="8"/>
  <c r="AJ147" i="8"/>
  <c r="AJ146" i="8"/>
  <c r="W115" i="8"/>
  <c r="N115" i="8"/>
  <c r="L115" i="8"/>
  <c r="G115" i="8"/>
  <c r="AH36" i="8"/>
  <c r="AD115" i="8"/>
  <c r="Z115" i="8"/>
  <c r="Y36" i="8"/>
  <c r="X115" i="8"/>
  <c r="V36" i="8"/>
  <c r="U36" i="8"/>
  <c r="R115" i="8"/>
  <c r="Q36" i="8"/>
  <c r="P115" i="8"/>
  <c r="F115" i="8"/>
  <c r="AH31" i="8"/>
  <c r="AA31" i="8"/>
  <c r="AJ128" i="8"/>
  <c r="BO20" i="2" s="1"/>
  <c r="AJ127" i="8"/>
  <c r="BO19" i="2" s="1"/>
  <c r="AJ126" i="8"/>
  <c r="BO18" i="2" s="1"/>
  <c r="AL122" i="8"/>
  <c r="AJ121" i="8"/>
  <c r="AJ117" i="8"/>
  <c r="G116" i="8"/>
  <c r="AG115" i="8"/>
  <c r="AE115" i="8"/>
  <c r="AA115" i="8"/>
  <c r="Y115" i="8"/>
  <c r="O115" i="8"/>
  <c r="K115" i="8"/>
  <c r="I115" i="8"/>
  <c r="AL114" i="8"/>
  <c r="AL113" i="8"/>
  <c r="AL112" i="8"/>
  <c r="AL111" i="8"/>
  <c r="AL110" i="8"/>
  <c r="AL109" i="8"/>
  <c r="AL108" i="8"/>
  <c r="AL107" i="8"/>
  <c r="AL103" i="8"/>
  <c r="AL102" i="8"/>
  <c r="AL100" i="8"/>
  <c r="AL99" i="8"/>
  <c r="AL96" i="8"/>
  <c r="P24" i="6"/>
  <c r="BO15" i="2"/>
  <c r="AH74" i="8"/>
  <c r="AH75" i="8" s="1"/>
  <c r="AG74" i="8"/>
  <c r="AF74" i="8"/>
  <c r="AE74" i="8"/>
  <c r="AE75" i="8" s="1"/>
  <c r="AD74" i="8"/>
  <c r="AC74" i="8"/>
  <c r="AC75" i="8" s="1"/>
  <c r="AB74" i="8"/>
  <c r="AA74" i="8"/>
  <c r="AA75" i="8" s="1"/>
  <c r="Z74" i="8"/>
  <c r="Z75" i="8" s="1"/>
  <c r="Y74" i="8"/>
  <c r="X74" i="8"/>
  <c r="W74" i="8"/>
  <c r="V74" i="8"/>
  <c r="U74" i="8"/>
  <c r="U75" i="8" s="1"/>
  <c r="T74" i="8"/>
  <c r="S74" i="8"/>
  <c r="S75" i="8" s="1"/>
  <c r="R74" i="8"/>
  <c r="Q74" i="8"/>
  <c r="Q75" i="8" s="1"/>
  <c r="P74" i="8"/>
  <c r="P75" i="8" s="1"/>
  <c r="O74" i="8"/>
  <c r="N74" i="8"/>
  <c r="N75" i="8" s="1"/>
  <c r="M74" i="8"/>
  <c r="M75" i="8" s="1"/>
  <c r="L74" i="8"/>
  <c r="K74" i="8"/>
  <c r="K75" i="8" s="1"/>
  <c r="J74" i="8"/>
  <c r="J75" i="8" s="1"/>
  <c r="I74" i="8"/>
  <c r="I75" i="8" s="1"/>
  <c r="H74" i="8"/>
  <c r="H75" i="8" s="1"/>
  <c r="G74" i="8"/>
  <c r="F74" i="8"/>
  <c r="F75" i="8" s="1"/>
  <c r="E74" i="8"/>
  <c r="E75" i="8" s="1"/>
  <c r="AH69" i="8"/>
  <c r="AG69" i="8"/>
  <c r="AF69" i="8"/>
  <c r="AE69" i="8"/>
  <c r="AD69" i="8"/>
  <c r="AC69" i="8"/>
  <c r="AB69" i="8"/>
  <c r="AA69" i="8"/>
  <c r="Z69" i="8"/>
  <c r="Y69" i="8"/>
  <c r="X69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AH65" i="8"/>
  <c r="AG65" i="8"/>
  <c r="AF65" i="8"/>
  <c r="AE65" i="8"/>
  <c r="AD65" i="8"/>
  <c r="AC65" i="8"/>
  <c r="AB65" i="8"/>
  <c r="AA65" i="8"/>
  <c r="Z65" i="8"/>
  <c r="Y65" i="8"/>
  <c r="X65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AH61" i="8"/>
  <c r="AG61" i="8"/>
  <c r="AF61" i="8"/>
  <c r="AE61" i="8"/>
  <c r="AD61" i="8"/>
  <c r="AC61" i="8"/>
  <c r="AB61" i="8"/>
  <c r="AA61" i="8"/>
  <c r="Z61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AH57" i="8"/>
  <c r="AG57" i="8"/>
  <c r="AF57" i="8"/>
  <c r="AE57" i="8"/>
  <c r="AD57" i="8"/>
  <c r="AC57" i="8"/>
  <c r="AB57" i="8"/>
  <c r="AA57" i="8"/>
  <c r="Z57" i="8"/>
  <c r="Y57" i="8"/>
  <c r="X57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AH56" i="8"/>
  <c r="AG56" i="8"/>
  <c r="AF56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AH52" i="8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AH48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AH44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AG36" i="8"/>
  <c r="AE36" i="8"/>
  <c r="AC36" i="8"/>
  <c r="AB36" i="8"/>
  <c r="AA36" i="8"/>
  <c r="W36" i="8"/>
  <c r="T36" i="8"/>
  <c r="R36" i="8"/>
  <c r="O36" i="8"/>
  <c r="M36" i="8"/>
  <c r="L36" i="8"/>
  <c r="K36" i="8"/>
  <c r="I36" i="8"/>
  <c r="G36" i="8"/>
  <c r="F36" i="8"/>
  <c r="AH35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Q37" i="8" s="1"/>
  <c r="AV5" i="2" s="1"/>
  <c r="P35" i="8"/>
  <c r="O35" i="8"/>
  <c r="N35" i="8"/>
  <c r="M35" i="8"/>
  <c r="L35" i="8"/>
  <c r="K35" i="8"/>
  <c r="J35" i="8"/>
  <c r="I35" i="8"/>
  <c r="H35" i="8"/>
  <c r="G35" i="8"/>
  <c r="F35" i="8"/>
  <c r="E35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AG31" i="8"/>
  <c r="AF31" i="8"/>
  <c r="AE31" i="8"/>
  <c r="AD31" i="8"/>
  <c r="AC31" i="8"/>
  <c r="AB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AH24" i="8"/>
  <c r="AG24" i="8"/>
  <c r="AF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BB10" i="6" s="1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AH19" i="8"/>
  <c r="AH20" i="8" s="1"/>
  <c r="AG19" i="8"/>
  <c r="AG20" i="8" s="1"/>
  <c r="AF19" i="8"/>
  <c r="AF20" i="8" s="1"/>
  <c r="AE19" i="8"/>
  <c r="AE20" i="8" s="1"/>
  <c r="AD19" i="8"/>
  <c r="AD20" i="8" s="1"/>
  <c r="AC19" i="8"/>
  <c r="AC20" i="8" s="1"/>
  <c r="AB19" i="8"/>
  <c r="AB20" i="8" s="1"/>
  <c r="AA19" i="8"/>
  <c r="AA20" i="8" s="1"/>
  <c r="Z19" i="8"/>
  <c r="Z20" i="8" s="1"/>
  <c r="Y19" i="8"/>
  <c r="Y20" i="8" s="1"/>
  <c r="X19" i="8"/>
  <c r="X20" i="8" s="1"/>
  <c r="W19" i="8"/>
  <c r="W20" i="8" s="1"/>
  <c r="V19" i="8"/>
  <c r="V20" i="8" s="1"/>
  <c r="U19" i="8"/>
  <c r="U20" i="8" s="1"/>
  <c r="T19" i="8"/>
  <c r="T20" i="8" s="1"/>
  <c r="S19" i="8"/>
  <c r="S20" i="8" s="1"/>
  <c r="R19" i="8"/>
  <c r="R20" i="8" s="1"/>
  <c r="Q19" i="8"/>
  <c r="Q20" i="8" s="1"/>
  <c r="P19" i="8"/>
  <c r="P20" i="8" s="1"/>
  <c r="O19" i="8"/>
  <c r="O20" i="8" s="1"/>
  <c r="N19" i="8"/>
  <c r="N20" i="8" s="1"/>
  <c r="M19" i="8"/>
  <c r="M20" i="8" s="1"/>
  <c r="L19" i="8"/>
  <c r="L20" i="8" s="1"/>
  <c r="K19" i="8"/>
  <c r="K20" i="8" s="1"/>
  <c r="J19" i="8"/>
  <c r="J20" i="8" s="1"/>
  <c r="I19" i="8"/>
  <c r="I20" i="8" s="1"/>
  <c r="H19" i="8"/>
  <c r="H20" i="8" s="1"/>
  <c r="G19" i="8"/>
  <c r="G20" i="8" s="1"/>
  <c r="F19" i="8"/>
  <c r="F20" i="8" s="1"/>
  <c r="E19" i="8"/>
  <c r="E20" i="8" s="1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K5" i="8" s="1"/>
  <c r="J4" i="8"/>
  <c r="I4" i="8"/>
  <c r="H4" i="8"/>
  <c r="G4" i="8"/>
  <c r="F4" i="8"/>
  <c r="E4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K3" i="8"/>
  <c r="J3" i="8"/>
  <c r="I3" i="8"/>
  <c r="H3" i="8"/>
  <c r="G3" i="8"/>
  <c r="F3" i="8"/>
  <c r="E3" i="8"/>
  <c r="O27" i="6"/>
  <c r="AH137" i="1"/>
  <c r="AH143" i="1"/>
  <c r="AH141" i="1"/>
  <c r="AG141" i="1"/>
  <c r="AG143" i="1"/>
  <c r="AG137" i="1"/>
  <c r="AF141" i="1"/>
  <c r="AE137" i="1"/>
  <c r="AF137" i="1"/>
  <c r="AH61" i="1"/>
  <c r="AG61" i="1"/>
  <c r="AF61" i="1"/>
  <c r="AE61" i="1"/>
  <c r="AF143" i="1"/>
  <c r="AE143" i="1"/>
  <c r="AE141" i="1"/>
  <c r="BN10" i="6" l="1"/>
  <c r="AV13" i="2"/>
  <c r="BV10" i="6"/>
  <c r="BD13" i="2"/>
  <c r="BM13" i="2"/>
  <c r="CE10" i="6"/>
  <c r="AJ104" i="8"/>
  <c r="CB10" i="6"/>
  <c r="BJ13" i="2"/>
  <c r="BO10" i="6"/>
  <c r="AW13" i="2"/>
  <c r="BW10" i="6"/>
  <c r="BE13" i="2"/>
  <c r="AI45" i="8"/>
  <c r="CF10" i="6"/>
  <c r="BN13" i="2"/>
  <c r="BH4" i="6"/>
  <c r="AP2" i="2"/>
  <c r="AQ13" i="2"/>
  <c r="BI10" i="6"/>
  <c r="CF4" i="6"/>
  <c r="BN2" i="2"/>
  <c r="AL28" i="8"/>
  <c r="AL30" i="8" s="1"/>
  <c r="AP13" i="2"/>
  <c r="BH10" i="6"/>
  <c r="AJ44" i="8"/>
  <c r="CD10" i="6"/>
  <c r="BL13" i="2"/>
  <c r="BF13" i="2"/>
  <c r="BX10" i="6"/>
  <c r="AD58" i="8"/>
  <c r="CA12" i="6" s="1"/>
  <c r="BP10" i="6"/>
  <c r="AX13" i="2"/>
  <c r="BL10" i="6"/>
  <c r="AT13" i="2"/>
  <c r="CC10" i="6"/>
  <c r="BK13" i="2"/>
  <c r="AL142" i="8"/>
  <c r="AN143" i="8" s="1"/>
  <c r="AJ115" i="8"/>
  <c r="AM120" i="8"/>
  <c r="AG22" i="7"/>
  <c r="BL28" i="7"/>
  <c r="AG24" i="7"/>
  <c r="BL22" i="7"/>
  <c r="BL24" i="7" s="1"/>
  <c r="AG5" i="7"/>
  <c r="AG15" i="7"/>
  <c r="AJ69" i="8"/>
  <c r="BM10" i="6"/>
  <c r="AU13" i="2"/>
  <c r="AI37" i="8"/>
  <c r="BN5" i="2" s="1"/>
  <c r="AI34" i="8"/>
  <c r="CF9" i="6" s="1"/>
  <c r="CF13" i="6"/>
  <c r="AI62" i="8"/>
  <c r="CF16" i="6" s="1"/>
  <c r="AI16" i="8"/>
  <c r="AI22" i="8"/>
  <c r="AI66" i="8"/>
  <c r="CF14" i="6" s="1"/>
  <c r="AI40" i="8"/>
  <c r="AI8" i="8"/>
  <c r="AI105" i="8"/>
  <c r="CA10" i="6"/>
  <c r="BI13" i="2"/>
  <c r="BH13" i="2"/>
  <c r="BZ10" i="6"/>
  <c r="AB5" i="8"/>
  <c r="BG2" i="2" s="1"/>
  <c r="BY4" i="6"/>
  <c r="BG13" i="2"/>
  <c r="BY10" i="6"/>
  <c r="AG58" i="8"/>
  <c r="CD12" i="6" s="1"/>
  <c r="BU10" i="6"/>
  <c r="BC13" i="2"/>
  <c r="T5" i="8"/>
  <c r="AY2" i="2" s="1"/>
  <c r="BB13" i="2"/>
  <c r="BT10" i="6"/>
  <c r="AZ13" i="2"/>
  <c r="BR10" i="6"/>
  <c r="BQ10" i="6"/>
  <c r="AY13" i="2"/>
  <c r="T16" i="8"/>
  <c r="BA13" i="2"/>
  <c r="BS10" i="6"/>
  <c r="AJ14" i="8"/>
  <c r="N66" i="8"/>
  <c r="BK14" i="6" s="1"/>
  <c r="BK10" i="6"/>
  <c r="AS13" i="2"/>
  <c r="BJ10" i="6"/>
  <c r="AR13" i="2"/>
  <c r="L16" i="8"/>
  <c r="P40" i="8"/>
  <c r="AH58" i="8"/>
  <c r="CE12" i="6" s="1"/>
  <c r="X33" i="8"/>
  <c r="X34" i="8" s="1"/>
  <c r="BU9" i="6" s="1"/>
  <c r="AG33" i="8"/>
  <c r="AG34" i="8" s="1"/>
  <c r="CD9" i="6" s="1"/>
  <c r="AB37" i="8"/>
  <c r="AI58" i="8"/>
  <c r="CF12" i="6" s="1"/>
  <c r="AK13" i="2"/>
  <c r="BC10" i="6"/>
  <c r="Q33" i="8"/>
  <c r="Q34" i="8" s="1"/>
  <c r="BN9" i="6" s="1"/>
  <c r="Y33" i="8"/>
  <c r="Y34" i="8" s="1"/>
  <c r="BV9" i="6" s="1"/>
  <c r="L37" i="8"/>
  <c r="AL13" i="2"/>
  <c r="BD10" i="6"/>
  <c r="AJ32" i="8"/>
  <c r="AM13" i="2"/>
  <c r="BE10" i="6"/>
  <c r="I37" i="8"/>
  <c r="L40" i="8"/>
  <c r="AJ39" i="8"/>
  <c r="V40" i="8"/>
  <c r="AD40" i="8"/>
  <c r="AD62" i="8"/>
  <c r="CA16" i="6" s="1"/>
  <c r="AI70" i="8"/>
  <c r="AI11" i="8"/>
  <c r="H105" i="8"/>
  <c r="W8" i="8"/>
  <c r="BF10" i="6"/>
  <c r="AN13" i="2"/>
  <c r="O66" i="8"/>
  <c r="BL14" i="6" s="1"/>
  <c r="AO13" i="2"/>
  <c r="BG10" i="6"/>
  <c r="AJ74" i="8"/>
  <c r="M62" i="8"/>
  <c r="BJ16" i="6" s="1"/>
  <c r="AI53" i="8"/>
  <c r="CF15" i="6" s="1"/>
  <c r="AJ31" i="8"/>
  <c r="AL31" i="8" s="1"/>
  <c r="AL33" i="8" s="1"/>
  <c r="I58" i="8"/>
  <c r="BF12" i="6" s="1"/>
  <c r="H40" i="8"/>
  <c r="I33" i="8"/>
  <c r="I34" i="8" s="1"/>
  <c r="BF9" i="6" s="1"/>
  <c r="H33" i="8"/>
  <c r="H34" i="8" s="1"/>
  <c r="BE9" i="6" s="1"/>
  <c r="AJ35" i="8"/>
  <c r="AJ38" i="8"/>
  <c r="AJ15" i="8"/>
  <c r="AJ9" i="8"/>
  <c r="AJ21" i="8"/>
  <c r="AJ52" i="8"/>
  <c r="AJ48" i="8"/>
  <c r="AJ65" i="8"/>
  <c r="AJ57" i="8"/>
  <c r="G66" i="8"/>
  <c r="BD14" i="6" s="1"/>
  <c r="AJ61" i="8"/>
  <c r="AJ56" i="8"/>
  <c r="BO23" i="2"/>
  <c r="AJ10" i="8"/>
  <c r="AJ20" i="8"/>
  <c r="BO21" i="2"/>
  <c r="P25" i="6"/>
  <c r="AI76" i="8"/>
  <c r="AI49" i="8"/>
  <c r="CF17" i="6" s="1"/>
  <c r="F43" i="8"/>
  <c r="F151" i="8" s="1"/>
  <c r="F153" i="8" s="1"/>
  <c r="AI71" i="8"/>
  <c r="AJ94" i="8"/>
  <c r="P34" i="6"/>
  <c r="P35" i="6"/>
  <c r="P36" i="6"/>
  <c r="AJ13" i="2"/>
  <c r="AI151" i="8"/>
  <c r="AA33" i="8"/>
  <c r="K33" i="8"/>
  <c r="K34" i="8" s="1"/>
  <c r="BH9" i="6" s="1"/>
  <c r="S33" i="8"/>
  <c r="S34" i="8" s="1"/>
  <c r="BP9" i="6" s="1"/>
  <c r="E33" i="8"/>
  <c r="E34" i="8" s="1"/>
  <c r="BB9" i="6" s="1"/>
  <c r="M33" i="8"/>
  <c r="M34" i="8" s="1"/>
  <c r="BJ9" i="6" s="1"/>
  <c r="U33" i="8"/>
  <c r="U34" i="8" s="1"/>
  <c r="BR9" i="6" s="1"/>
  <c r="AD33" i="8"/>
  <c r="AD34" i="8" s="1"/>
  <c r="CA9" i="6" s="1"/>
  <c r="K37" i="8"/>
  <c r="AA37" i="8"/>
  <c r="T37" i="8"/>
  <c r="AJ123" i="8"/>
  <c r="L33" i="8"/>
  <c r="L34" i="8" s="1"/>
  <c r="BI9" i="6" s="1"/>
  <c r="T33" i="8"/>
  <c r="T34" i="8" s="1"/>
  <c r="BQ9" i="6" s="1"/>
  <c r="AC33" i="8"/>
  <c r="AC34" i="8" s="1"/>
  <c r="BZ9" i="6" s="1"/>
  <c r="P33" i="8"/>
  <c r="P34" i="8" s="1"/>
  <c r="BM9" i="6" s="1"/>
  <c r="AF33" i="8"/>
  <c r="AF34" i="8" s="1"/>
  <c r="CC9" i="6" s="1"/>
  <c r="F33" i="8"/>
  <c r="N33" i="8"/>
  <c r="N34" i="8" s="1"/>
  <c r="BK9" i="6" s="1"/>
  <c r="V33" i="8"/>
  <c r="V34" i="8" s="1"/>
  <c r="BS9" i="6" s="1"/>
  <c r="AJ6" i="8"/>
  <c r="R37" i="8"/>
  <c r="J40" i="8"/>
  <c r="R40" i="8"/>
  <c r="F8" i="8"/>
  <c r="N8" i="8"/>
  <c r="E36" i="8"/>
  <c r="E37" i="8" s="1"/>
  <c r="P36" i="8"/>
  <c r="P37" i="8" s="1"/>
  <c r="AJ4" i="8"/>
  <c r="N40" i="8"/>
  <c r="Q115" i="8"/>
  <c r="M115" i="8"/>
  <c r="H36" i="8"/>
  <c r="H37" i="8" s="1"/>
  <c r="G37" i="8"/>
  <c r="N36" i="8"/>
  <c r="N37" i="8" s="1"/>
  <c r="J36" i="8"/>
  <c r="J37" i="8" s="1"/>
  <c r="AD36" i="8"/>
  <c r="AD37" i="8" s="1"/>
  <c r="U115" i="8"/>
  <c r="X40" i="8"/>
  <c r="S5" i="8"/>
  <c r="AA5" i="8"/>
  <c r="Z40" i="8"/>
  <c r="AH40" i="8"/>
  <c r="X36" i="8"/>
  <c r="X37" i="8" s="1"/>
  <c r="S36" i="8"/>
  <c r="S37" i="8" s="1"/>
  <c r="AB115" i="8"/>
  <c r="AG37" i="8"/>
  <c r="Z36" i="8"/>
  <c r="Z37" i="8" s="1"/>
  <c r="AF36" i="8"/>
  <c r="AF37" i="8" s="1"/>
  <c r="T115" i="8"/>
  <c r="AC115" i="8"/>
  <c r="Z11" i="8"/>
  <c r="V115" i="8"/>
  <c r="F11" i="8"/>
  <c r="N11" i="8"/>
  <c r="V11" i="8"/>
  <c r="AD11" i="8"/>
  <c r="J16" i="8"/>
  <c r="R16" i="8"/>
  <c r="Z16" i="8"/>
  <c r="AH16" i="8"/>
  <c r="AG22" i="8"/>
  <c r="I5" i="8"/>
  <c r="G22" i="8"/>
  <c r="O22" i="8"/>
  <c r="W22" i="8"/>
  <c r="AE22" i="8"/>
  <c r="AF40" i="8"/>
  <c r="H22" i="8"/>
  <c r="X22" i="8"/>
  <c r="T8" i="8"/>
  <c r="AB8" i="8"/>
  <c r="W43" i="8"/>
  <c r="P43" i="8"/>
  <c r="P45" i="8" s="1"/>
  <c r="BM13" i="6" s="1"/>
  <c r="X43" i="8"/>
  <c r="X53" i="8" s="1"/>
  <c r="BU15" i="6" s="1"/>
  <c r="AF43" i="8"/>
  <c r="AF151" i="8" s="1"/>
  <c r="AF154" i="8" s="1"/>
  <c r="AD43" i="8"/>
  <c r="L43" i="8"/>
  <c r="L151" i="8" s="1"/>
  <c r="L156" i="8" s="1"/>
  <c r="AJ7" i="8"/>
  <c r="AC43" i="8"/>
  <c r="AC151" i="8" s="1"/>
  <c r="L8" i="8"/>
  <c r="V43" i="8"/>
  <c r="V151" i="8" s="1"/>
  <c r="V153" i="8" s="1"/>
  <c r="O43" i="8"/>
  <c r="O53" i="8" s="1"/>
  <c r="BL15" i="6" s="1"/>
  <c r="S11" i="8"/>
  <c r="M43" i="8"/>
  <c r="H16" i="8"/>
  <c r="P16" i="8"/>
  <c r="X16" i="8"/>
  <c r="AF16" i="8"/>
  <c r="P22" i="8"/>
  <c r="J43" i="8"/>
  <c r="J71" i="8" s="1"/>
  <c r="R43" i="8"/>
  <c r="R71" i="8" s="1"/>
  <c r="Z43" i="8"/>
  <c r="Z71" i="8" s="1"/>
  <c r="R62" i="8"/>
  <c r="BO16" i="6" s="1"/>
  <c r="AH62" i="8"/>
  <c r="CE16" i="6" s="1"/>
  <c r="AB43" i="8"/>
  <c r="T43" i="8"/>
  <c r="T151" i="8" s="1"/>
  <c r="U43" i="8"/>
  <c r="U71" i="8" s="1"/>
  <c r="N43" i="8"/>
  <c r="N151" i="8" s="1"/>
  <c r="N152" i="8" s="1"/>
  <c r="G43" i="8"/>
  <c r="G53" i="8" s="1"/>
  <c r="BD15" i="6" s="1"/>
  <c r="AE43" i="8"/>
  <c r="AE53" i="8" s="1"/>
  <c r="CB15" i="6" s="1"/>
  <c r="K11" i="8"/>
  <c r="AA11" i="8"/>
  <c r="I43" i="8"/>
  <c r="I49" i="8" s="1"/>
  <c r="BF17" i="6" s="1"/>
  <c r="Q43" i="8"/>
  <c r="Q76" i="8" s="1"/>
  <c r="Y43" i="8"/>
  <c r="Y151" i="8" s="1"/>
  <c r="Y152" i="8" s="1"/>
  <c r="AG43" i="8"/>
  <c r="AG49" i="8" s="1"/>
  <c r="CD17" i="6" s="1"/>
  <c r="E11" i="8"/>
  <c r="M11" i="8"/>
  <c r="U11" i="8"/>
  <c r="AC11" i="8"/>
  <c r="E22" i="8"/>
  <c r="M22" i="8"/>
  <c r="U22" i="8"/>
  <c r="AC22" i="8"/>
  <c r="AF22" i="8"/>
  <c r="AA43" i="8"/>
  <c r="AA151" i="8" s="1"/>
  <c r="AA155" i="8" s="1"/>
  <c r="R22" i="8"/>
  <c r="AC40" i="8"/>
  <c r="L58" i="8"/>
  <c r="BI12" i="6" s="1"/>
  <c r="AB58" i="8"/>
  <c r="BY12" i="6" s="1"/>
  <c r="G62" i="8"/>
  <c r="BD16" i="6" s="1"/>
  <c r="S43" i="8"/>
  <c r="K43" i="8"/>
  <c r="M16" i="8"/>
  <c r="U16" i="8"/>
  <c r="AC16" i="8"/>
  <c r="I22" i="8"/>
  <c r="Q22" i="8"/>
  <c r="Y22" i="8"/>
  <c r="O58" i="8"/>
  <c r="BL12" i="6" s="1"/>
  <c r="G70" i="8"/>
  <c r="R105" i="8"/>
  <c r="Z105" i="8"/>
  <c r="AH105" i="8"/>
  <c r="V8" i="8"/>
  <c r="K16" i="8"/>
  <c r="S16" i="8"/>
  <c r="AA16" i="8"/>
  <c r="J105" i="8"/>
  <c r="G8" i="8"/>
  <c r="O8" i="8"/>
  <c r="AE8" i="8"/>
  <c r="H151" i="8"/>
  <c r="H155" i="8" s="1"/>
  <c r="R70" i="8"/>
  <c r="H8" i="8"/>
  <c r="P8" i="8"/>
  <c r="X8" i="8"/>
  <c r="AF8" i="8"/>
  <c r="I8" i="8"/>
  <c r="Q8" i="8"/>
  <c r="Y8" i="8"/>
  <c r="AG8" i="8"/>
  <c r="J11" i="8"/>
  <c r="R11" i="8"/>
  <c r="AH11" i="8"/>
  <c r="J22" i="8"/>
  <c r="Z22" i="8"/>
  <c r="AH22" i="8"/>
  <c r="X58" i="8"/>
  <c r="BU12" i="6" s="1"/>
  <c r="AF58" i="8"/>
  <c r="CC12" i="6" s="1"/>
  <c r="I66" i="8"/>
  <c r="BF14" i="6" s="1"/>
  <c r="Y66" i="8"/>
  <c r="BV14" i="6" s="1"/>
  <c r="AG66" i="8"/>
  <c r="CD14" i="6" s="1"/>
  <c r="K40" i="8"/>
  <c r="S40" i="8"/>
  <c r="AA40" i="8"/>
  <c r="Y58" i="8"/>
  <c r="BV12" i="6" s="1"/>
  <c r="H62" i="8"/>
  <c r="BE16" i="6" s="1"/>
  <c r="W66" i="8"/>
  <c r="BT14" i="6" s="1"/>
  <c r="AH66" i="8"/>
  <c r="CE14" i="6" s="1"/>
  <c r="Q5" i="8"/>
  <c r="Y5" i="8"/>
  <c r="AG5" i="8"/>
  <c r="L22" i="8"/>
  <c r="T22" i="8"/>
  <c r="AB22" i="8"/>
  <c r="T40" i="8"/>
  <c r="AB40" i="8"/>
  <c r="Q62" i="8"/>
  <c r="BN16" i="6" s="1"/>
  <c r="Y62" i="8"/>
  <c r="BV16" i="6" s="1"/>
  <c r="X66" i="8"/>
  <c r="BU14" i="6" s="1"/>
  <c r="AD70" i="8"/>
  <c r="I70" i="8"/>
  <c r="Y70" i="8"/>
  <c r="M58" i="8"/>
  <c r="BJ12" i="6" s="1"/>
  <c r="G58" i="8"/>
  <c r="BD12" i="6" s="1"/>
  <c r="W58" i="8"/>
  <c r="BT12" i="6" s="1"/>
  <c r="Y37" i="8"/>
  <c r="F16" i="8"/>
  <c r="M5" i="8"/>
  <c r="S8" i="8"/>
  <c r="H11" i="8"/>
  <c r="M37" i="8"/>
  <c r="H5" i="8"/>
  <c r="P5" i="8"/>
  <c r="X5" i="8"/>
  <c r="AF5" i="8"/>
  <c r="AD8" i="8"/>
  <c r="I16" i="8"/>
  <c r="Q16" i="8"/>
  <c r="Y16" i="8"/>
  <c r="AG16" i="8"/>
  <c r="G40" i="8"/>
  <c r="O40" i="8"/>
  <c r="W40" i="8"/>
  <c r="AE40" i="8"/>
  <c r="E70" i="8"/>
  <c r="U62" i="8"/>
  <c r="BR16" i="6" s="1"/>
  <c r="AC70" i="8"/>
  <c r="F62" i="8"/>
  <c r="BC16" i="6" s="1"/>
  <c r="N62" i="8"/>
  <c r="BK16" i="6" s="1"/>
  <c r="V62" i="8"/>
  <c r="BS16" i="6" s="1"/>
  <c r="F66" i="8"/>
  <c r="BC14" i="6" s="1"/>
  <c r="V66" i="8"/>
  <c r="BS14" i="6" s="1"/>
  <c r="AD66" i="8"/>
  <c r="CA14" i="6" s="1"/>
  <c r="F70" i="8"/>
  <c r="V70" i="8"/>
  <c r="AJ83" i="8"/>
  <c r="J115" i="8"/>
  <c r="AF115" i="8"/>
  <c r="AD16" i="8"/>
  <c r="K22" i="8"/>
  <c r="K8" i="8"/>
  <c r="P11" i="8"/>
  <c r="AH115" i="8"/>
  <c r="G105" i="8"/>
  <c r="O105" i="8"/>
  <c r="W105" i="8"/>
  <c r="AE105" i="8"/>
  <c r="E8" i="8"/>
  <c r="M8" i="8"/>
  <c r="U8" i="8"/>
  <c r="AC8" i="8"/>
  <c r="E16" i="8"/>
  <c r="O37" i="8"/>
  <c r="W37" i="8"/>
  <c r="AE37" i="8"/>
  <c r="F40" i="8"/>
  <c r="Z70" i="8"/>
  <c r="S115" i="8"/>
  <c r="H115" i="8"/>
  <c r="V16" i="8"/>
  <c r="E5" i="8"/>
  <c r="X11" i="8"/>
  <c r="AC37" i="8"/>
  <c r="P105" i="8"/>
  <c r="AF105" i="8"/>
  <c r="J5" i="8"/>
  <c r="Z5" i="8"/>
  <c r="AB16" i="8"/>
  <c r="I40" i="8"/>
  <c r="Q40" i="8"/>
  <c r="Y40" i="8"/>
  <c r="AG40" i="8"/>
  <c r="Q58" i="8"/>
  <c r="BN12" i="6" s="1"/>
  <c r="P62" i="8"/>
  <c r="BM16" i="6" s="1"/>
  <c r="X62" i="8"/>
  <c r="BU16" i="6" s="1"/>
  <c r="AF62" i="8"/>
  <c r="CC16" i="6" s="1"/>
  <c r="H66" i="8"/>
  <c r="BE14" i="6" s="1"/>
  <c r="P66" i="8"/>
  <c r="BM14" i="6" s="1"/>
  <c r="AF66" i="8"/>
  <c r="CC14" i="6" s="1"/>
  <c r="H70" i="8"/>
  <c r="X70" i="8"/>
  <c r="AF70" i="8"/>
  <c r="AL98" i="8"/>
  <c r="N16" i="8"/>
  <c r="U5" i="8"/>
  <c r="AA8" i="8"/>
  <c r="AF11" i="8"/>
  <c r="U37" i="8"/>
  <c r="I62" i="8"/>
  <c r="BF16" i="6" s="1"/>
  <c r="X105" i="8"/>
  <c r="R5" i="8"/>
  <c r="AH5" i="8"/>
  <c r="I105" i="8"/>
  <c r="Q105" i="8"/>
  <c r="Y105" i="8"/>
  <c r="AG105" i="8"/>
  <c r="L11" i="8"/>
  <c r="T11" i="8"/>
  <c r="AB11" i="8"/>
  <c r="S22" i="8"/>
  <c r="AA22" i="8"/>
  <c r="AG62" i="8"/>
  <c r="CD16" i="6" s="1"/>
  <c r="Q66" i="8"/>
  <c r="BN14" i="6" s="1"/>
  <c r="Q70" i="8"/>
  <c r="AG70" i="8"/>
  <c r="AJ85" i="8"/>
  <c r="AJ86" i="8"/>
  <c r="AH76" i="8"/>
  <c r="AE34" i="8"/>
  <c r="CB9" i="6" s="1"/>
  <c r="AH71" i="8"/>
  <c r="L3" i="8"/>
  <c r="L5" i="8" s="1"/>
  <c r="F5" i="8"/>
  <c r="N5" i="8"/>
  <c r="V5" i="8"/>
  <c r="AD5" i="8"/>
  <c r="J8" i="8"/>
  <c r="R8" i="8"/>
  <c r="Z8" i="8"/>
  <c r="AH8" i="8"/>
  <c r="AB105" i="8"/>
  <c r="G11" i="8"/>
  <c r="O11" i="8"/>
  <c r="W11" i="8"/>
  <c r="AE11" i="8"/>
  <c r="I11" i="8"/>
  <c r="Q11" i="8"/>
  <c r="Y11" i="8"/>
  <c r="AG11" i="8"/>
  <c r="G16" i="8"/>
  <c r="O16" i="8"/>
  <c r="W16" i="8"/>
  <c r="AE16" i="8"/>
  <c r="N22" i="8"/>
  <c r="V22" i="8"/>
  <c r="AD22" i="8"/>
  <c r="W33" i="8"/>
  <c r="W34" i="8" s="1"/>
  <c r="BT9" i="6" s="1"/>
  <c r="AE33" i="8"/>
  <c r="U40" i="8"/>
  <c r="AH45" i="8"/>
  <c r="CE13" i="6" s="1"/>
  <c r="L62" i="8"/>
  <c r="BI16" i="6" s="1"/>
  <c r="T62" i="8"/>
  <c r="BQ16" i="6" s="1"/>
  <c r="AB62" i="8"/>
  <c r="BY16" i="6" s="1"/>
  <c r="L66" i="8"/>
  <c r="BI14" i="6" s="1"/>
  <c r="T66" i="8"/>
  <c r="BQ14" i="6" s="1"/>
  <c r="AB66" i="8"/>
  <c r="BY14" i="6" s="1"/>
  <c r="L70" i="8"/>
  <c r="F22" i="8"/>
  <c r="K105" i="8"/>
  <c r="O33" i="8"/>
  <c r="O34" i="8" s="1"/>
  <c r="BL9" i="6" s="1"/>
  <c r="AE66" i="8"/>
  <c r="CB14" i="6" s="1"/>
  <c r="AE58" i="8"/>
  <c r="CB12" i="6" s="1"/>
  <c r="N58" i="8"/>
  <c r="BK12" i="6" s="1"/>
  <c r="W62" i="8"/>
  <c r="BT16" i="6" s="1"/>
  <c r="AC62" i="8"/>
  <c r="BZ16" i="6" s="1"/>
  <c r="M66" i="8"/>
  <c r="BJ14" i="6" s="1"/>
  <c r="W70" i="8"/>
  <c r="N70" i="8"/>
  <c r="G75" i="8"/>
  <c r="W75" i="8"/>
  <c r="O75" i="8"/>
  <c r="AD75" i="8"/>
  <c r="M105" i="8"/>
  <c r="AC105" i="8"/>
  <c r="O5" i="8"/>
  <c r="AE5" i="8"/>
  <c r="P70" i="8"/>
  <c r="G5" i="8"/>
  <c r="W5" i="8"/>
  <c r="AF75" i="8"/>
  <c r="N105" i="8"/>
  <c r="V105" i="8"/>
  <c r="AD105" i="8"/>
  <c r="AH37" i="8"/>
  <c r="E40" i="8"/>
  <c r="M40" i="8"/>
  <c r="J66" i="8"/>
  <c r="BG14" i="6" s="1"/>
  <c r="J58" i="8"/>
  <c r="BG12" i="6" s="1"/>
  <c r="J70" i="8"/>
  <c r="J62" i="8"/>
  <c r="BG16" i="6" s="1"/>
  <c r="R66" i="8"/>
  <c r="BO14" i="6" s="1"/>
  <c r="R58" i="8"/>
  <c r="BO12" i="6" s="1"/>
  <c r="Z66" i="8"/>
  <c r="BW14" i="6" s="1"/>
  <c r="Z58" i="8"/>
  <c r="BW12" i="6" s="1"/>
  <c r="Z62" i="8"/>
  <c r="BW16" i="6" s="1"/>
  <c r="K58" i="8"/>
  <c r="BH12" i="6" s="1"/>
  <c r="S58" i="8"/>
  <c r="BP12" i="6" s="1"/>
  <c r="AA58" i="8"/>
  <c r="BX12" i="6" s="1"/>
  <c r="P58" i="8"/>
  <c r="BM12" i="6" s="1"/>
  <c r="AH70" i="8"/>
  <c r="Y75" i="8"/>
  <c r="AG75" i="8"/>
  <c r="H76" i="8"/>
  <c r="T58" i="8"/>
  <c r="BQ12" i="6" s="1"/>
  <c r="E58" i="8"/>
  <c r="BB12" i="6" s="1"/>
  <c r="U58" i="8"/>
  <c r="BR12" i="6" s="1"/>
  <c r="U66" i="8"/>
  <c r="BR14" i="6" s="1"/>
  <c r="R75" i="8"/>
  <c r="AL97" i="8"/>
  <c r="AB33" i="8"/>
  <c r="AB34" i="8" s="1"/>
  <c r="BY9" i="6" s="1"/>
  <c r="L53" i="8"/>
  <c r="BI15" i="6" s="1"/>
  <c r="E62" i="8"/>
  <c r="BB16" i="6" s="1"/>
  <c r="E66" i="8"/>
  <c r="BB14" i="6" s="1"/>
  <c r="U70" i="8"/>
  <c r="X75" i="8"/>
  <c r="F157" i="8"/>
  <c r="F45" i="8"/>
  <c r="BC13" i="6" s="1"/>
  <c r="M53" i="8"/>
  <c r="BJ15" i="6" s="1"/>
  <c r="H53" i="8"/>
  <c r="BE15" i="6" s="1"/>
  <c r="F58" i="8"/>
  <c r="BC12" i="6" s="1"/>
  <c r="V58" i="8"/>
  <c r="BS12" i="6" s="1"/>
  <c r="T70" i="8"/>
  <c r="H71" i="8"/>
  <c r="L75" i="8"/>
  <c r="T75" i="8"/>
  <c r="AB75" i="8"/>
  <c r="AH151" i="8"/>
  <c r="AH155" i="8" s="1"/>
  <c r="AH49" i="8"/>
  <c r="CE17" i="6" s="1"/>
  <c r="AA105" i="8"/>
  <c r="AC5" i="8"/>
  <c r="G33" i="8"/>
  <c r="H45" i="8"/>
  <c r="BE13" i="6" s="1"/>
  <c r="H58" i="8"/>
  <c r="BE12" i="6" s="1"/>
  <c r="AB70" i="8"/>
  <c r="V75" i="8"/>
  <c r="E105" i="8"/>
  <c r="J33" i="8"/>
  <c r="J34" i="8" s="1"/>
  <c r="BG9" i="6" s="1"/>
  <c r="R33" i="8"/>
  <c r="R34" i="8" s="1"/>
  <c r="BO9" i="6" s="1"/>
  <c r="Z33" i="8"/>
  <c r="Z34" i="8" s="1"/>
  <c r="BW9" i="6" s="1"/>
  <c r="AH33" i="8"/>
  <c r="AH34" i="8" s="1"/>
  <c r="CE9" i="6" s="1"/>
  <c r="AA34" i="8"/>
  <c r="BX9" i="6" s="1"/>
  <c r="F37" i="8"/>
  <c r="V37" i="8"/>
  <c r="H49" i="8"/>
  <c r="BE17" i="6" s="1"/>
  <c r="AC58" i="8"/>
  <c r="BZ12" i="6" s="1"/>
  <c r="O62" i="8"/>
  <c r="BL16" i="6" s="1"/>
  <c r="AE62" i="8"/>
  <c r="CB16" i="6" s="1"/>
  <c r="K66" i="8"/>
  <c r="BH14" i="6" s="1"/>
  <c r="S66" i="8"/>
  <c r="BP14" i="6" s="1"/>
  <c r="AA66" i="8"/>
  <c r="BX14" i="6" s="1"/>
  <c r="M70" i="8"/>
  <c r="AJ81" i="8"/>
  <c r="AJ82" i="8"/>
  <c r="AC66" i="8"/>
  <c r="BZ14" i="6" s="1"/>
  <c r="O70" i="8"/>
  <c r="AE70" i="8"/>
  <c r="F105" i="8"/>
  <c r="J53" i="8"/>
  <c r="BG15" i="6" s="1"/>
  <c r="AH53" i="8"/>
  <c r="CE15" i="6" s="1"/>
  <c r="K62" i="8"/>
  <c r="BH16" i="6" s="1"/>
  <c r="S62" i="8"/>
  <c r="BP16" i="6" s="1"/>
  <c r="AA62" i="8"/>
  <c r="BX16" i="6" s="1"/>
  <c r="K70" i="8"/>
  <c r="S70" i="8"/>
  <c r="AA70" i="8"/>
  <c r="AJ119" i="8"/>
  <c r="E15" i="1"/>
  <c r="AD137" i="1"/>
  <c r="AD143" i="1"/>
  <c r="AD141" i="1"/>
  <c r="AI92" i="1"/>
  <c r="AJ92" i="1" s="1"/>
  <c r="AI122" i="1"/>
  <c r="AK122" i="1" s="1"/>
  <c r="AI90" i="1"/>
  <c r="AN73" i="9" s="1"/>
  <c r="AI118" i="1"/>
  <c r="AK118" i="1" s="1"/>
  <c r="X27" i="6"/>
  <c r="AC137" i="1"/>
  <c r="AC141" i="1"/>
  <c r="AC143" i="1"/>
  <c r="AB143" i="1"/>
  <c r="AB141" i="1"/>
  <c r="AI128" i="1"/>
  <c r="AI20" i="2" s="1"/>
  <c r="AB137" i="1"/>
  <c r="R31" i="1"/>
  <c r="AA137" i="1"/>
  <c r="G143" i="1"/>
  <c r="F141" i="1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B23" i="7"/>
  <c r="B21" i="7"/>
  <c r="B20" i="7"/>
  <c r="B14" i="7"/>
  <c r="B13" i="7"/>
  <c r="B6" i="7"/>
  <c r="B4" i="7"/>
  <c r="B3" i="7"/>
  <c r="B18" i="7"/>
  <c r="BW6" i="6" l="1"/>
  <c r="BE4" i="2"/>
  <c r="BM7" i="6"/>
  <c r="AU5" i="2"/>
  <c r="BL4" i="6"/>
  <c r="AT2" i="2"/>
  <c r="CB6" i="6"/>
  <c r="BJ4" i="2"/>
  <c r="BM2" i="2"/>
  <c r="CE4" i="6"/>
  <c r="BO6" i="6"/>
  <c r="AW4" i="2"/>
  <c r="BM5" i="6"/>
  <c r="AU3" i="2"/>
  <c r="BO5" i="6"/>
  <c r="AW3" i="2"/>
  <c r="CE6" i="6"/>
  <c r="BM4" i="2"/>
  <c r="BO4" i="6"/>
  <c r="AW2" i="2"/>
  <c r="BW4" i="6"/>
  <c r="BE2" i="2"/>
  <c r="BW8" i="6"/>
  <c r="BE6" i="2"/>
  <c r="AJ77" i="8"/>
  <c r="BP6" i="6"/>
  <c r="AX4" i="2"/>
  <c r="AN99" i="8"/>
  <c r="BL6" i="6"/>
  <c r="AT4" i="2"/>
  <c r="BM6" i="6"/>
  <c r="AU4" i="2"/>
  <c r="CD5" i="6"/>
  <c r="BL3" i="2"/>
  <c r="BH7" i="6"/>
  <c r="AP5" i="2"/>
  <c r="CF5" i="6"/>
  <c r="BN3" i="2"/>
  <c r="CE7" i="6"/>
  <c r="BM5" i="2"/>
  <c r="BJ2" i="2"/>
  <c r="CB4" i="6"/>
  <c r="BH5" i="6"/>
  <c r="AP3" i="2"/>
  <c r="BP5" i="6"/>
  <c r="AX3" i="2"/>
  <c r="BV5" i="6"/>
  <c r="BD3" i="2"/>
  <c r="BW7" i="6"/>
  <c r="BE5" i="2"/>
  <c r="BP4" i="6"/>
  <c r="AX2" i="2"/>
  <c r="BO8" i="6"/>
  <c r="AW6" i="2"/>
  <c r="BM8" i="6"/>
  <c r="AU6" i="2"/>
  <c r="CF8" i="6"/>
  <c r="BN6" i="2"/>
  <c r="AL120" i="1"/>
  <c r="CD6" i="6"/>
  <c r="BL4" i="2"/>
  <c r="BJ3" i="2"/>
  <c r="CB5" i="6"/>
  <c r="CD7" i="6"/>
  <c r="BL5" i="2"/>
  <c r="CF6" i="6"/>
  <c r="BN4" i="2"/>
  <c r="BL7" i="6"/>
  <c r="AT5" i="2"/>
  <c r="BM4" i="6"/>
  <c r="AU2" i="2"/>
  <c r="BV6" i="6"/>
  <c r="BD4" i="2"/>
  <c r="BM3" i="2"/>
  <c r="CE5" i="6"/>
  <c r="CC6" i="6"/>
  <c r="BK4" i="2"/>
  <c r="BV8" i="6"/>
  <c r="BD6" i="2"/>
  <c r="CB7" i="6"/>
  <c r="BJ5" i="2"/>
  <c r="CC4" i="6"/>
  <c r="BK2" i="2"/>
  <c r="CD4" i="6"/>
  <c r="BL2" i="2"/>
  <c r="BP8" i="6"/>
  <c r="AX6" i="2"/>
  <c r="BL5" i="6"/>
  <c r="AT3" i="2"/>
  <c r="BH6" i="6"/>
  <c r="AP4" i="2"/>
  <c r="BO7" i="6"/>
  <c r="AW5" i="2"/>
  <c r="AJ33" i="8"/>
  <c r="BW5" i="6"/>
  <c r="BE3" i="2"/>
  <c r="BL8" i="6"/>
  <c r="AT6" i="2"/>
  <c r="BV7" i="6"/>
  <c r="BD5" i="2"/>
  <c r="BV4" i="6"/>
  <c r="BD2" i="2"/>
  <c r="AP6" i="2"/>
  <c r="BH8" i="6"/>
  <c r="BK3" i="2"/>
  <c r="CC5" i="6"/>
  <c r="BP7" i="6"/>
  <c r="AX5" i="2"/>
  <c r="E15" i="7"/>
  <c r="AG17" i="7"/>
  <c r="BL15" i="7"/>
  <c r="AG7" i="7"/>
  <c r="BL5" i="7"/>
  <c r="F5" i="7"/>
  <c r="F7" i="7" s="1"/>
  <c r="AG16" i="7"/>
  <c r="AG25" i="7" s="1"/>
  <c r="BM6" i="2"/>
  <c r="CE8" i="6"/>
  <c r="CD8" i="6"/>
  <c r="BL6" i="2"/>
  <c r="CC8" i="6"/>
  <c r="BK6" i="2"/>
  <c r="BJ6" i="2"/>
  <c r="CB8" i="6"/>
  <c r="CF7" i="6"/>
  <c r="BK5" i="2"/>
  <c r="CC7" i="6"/>
  <c r="CA6" i="6"/>
  <c r="BI4" i="2"/>
  <c r="BI3" i="2"/>
  <c r="CA5" i="6"/>
  <c r="BI2" i="2"/>
  <c r="CA4" i="6"/>
  <c r="BI6" i="2"/>
  <c r="CA8" i="6"/>
  <c r="BI5" i="2"/>
  <c r="CA7" i="6"/>
  <c r="BH5" i="2"/>
  <c r="BZ7" i="6"/>
  <c r="BH6" i="2"/>
  <c r="BZ8" i="6"/>
  <c r="BH4" i="2"/>
  <c r="BZ6" i="6"/>
  <c r="BH3" i="2"/>
  <c r="BZ5" i="6"/>
  <c r="BH2" i="2"/>
  <c r="BZ4" i="6"/>
  <c r="BG5" i="2"/>
  <c r="BY7" i="6"/>
  <c r="BY8" i="6"/>
  <c r="BG6" i="2"/>
  <c r="BY6" i="6"/>
  <c r="BG4" i="2"/>
  <c r="BY5" i="6"/>
  <c r="BG3" i="2"/>
  <c r="BX6" i="6"/>
  <c r="BF4" i="2"/>
  <c r="BX5" i="6"/>
  <c r="BF3" i="2"/>
  <c r="BX4" i="6"/>
  <c r="BF2" i="2"/>
  <c r="BX7" i="6"/>
  <c r="BF5" i="2"/>
  <c r="BF6" i="2"/>
  <c r="BX8" i="6"/>
  <c r="BU8" i="6"/>
  <c r="BC6" i="2"/>
  <c r="BU6" i="6"/>
  <c r="BC4" i="2"/>
  <c r="BC3" i="2"/>
  <c r="BU5" i="6"/>
  <c r="BU4" i="6"/>
  <c r="BC2" i="2"/>
  <c r="BC5" i="2"/>
  <c r="BU7" i="6"/>
  <c r="AD5" i="7"/>
  <c r="V5" i="7"/>
  <c r="N5" i="7"/>
  <c r="N7" i="7" s="1"/>
  <c r="V15" i="7"/>
  <c r="F15" i="7"/>
  <c r="AC22" i="7"/>
  <c r="AC24" i="7" s="1"/>
  <c r="BB4" i="2"/>
  <c r="BT6" i="6"/>
  <c r="BB3" i="2"/>
  <c r="BT5" i="6"/>
  <c r="BT4" i="6"/>
  <c r="BB2" i="2"/>
  <c r="BT8" i="6"/>
  <c r="BB6" i="2"/>
  <c r="AZ6" i="2"/>
  <c r="BR8" i="6"/>
  <c r="BR6" i="6"/>
  <c r="AZ4" i="2"/>
  <c r="BR5" i="6"/>
  <c r="AZ3" i="2"/>
  <c r="BR4" i="6"/>
  <c r="AZ2" i="2"/>
  <c r="BB5" i="2"/>
  <c r="BT7" i="6"/>
  <c r="BQ4" i="6"/>
  <c r="AY4" i="2"/>
  <c r="BQ6" i="6"/>
  <c r="AY3" i="2"/>
  <c r="BQ5" i="6"/>
  <c r="AY6" i="2"/>
  <c r="BQ8" i="6"/>
  <c r="BR7" i="6"/>
  <c r="AZ5" i="2"/>
  <c r="BQ7" i="6"/>
  <c r="AY5" i="2"/>
  <c r="BA5" i="2"/>
  <c r="BS7" i="6"/>
  <c r="BA6" i="2"/>
  <c r="BS8" i="6"/>
  <c r="BA4" i="2"/>
  <c r="BS6" i="6"/>
  <c r="BA3" i="2"/>
  <c r="BS5" i="6"/>
  <c r="BA2" i="2"/>
  <c r="BS4" i="6"/>
  <c r="AJ16" i="8"/>
  <c r="BN7" i="6"/>
  <c r="BN8" i="6"/>
  <c r="AV6" i="2"/>
  <c r="BN6" i="6"/>
  <c r="AV4" i="2"/>
  <c r="AV3" i="2"/>
  <c r="BN5" i="6"/>
  <c r="BN4" i="6"/>
  <c r="AV2" i="2"/>
  <c r="AS5" i="2"/>
  <c r="BK7" i="6"/>
  <c r="AS4" i="2"/>
  <c r="BK6" i="6"/>
  <c r="AS3" i="2"/>
  <c r="BK5" i="6"/>
  <c r="AS2" i="2"/>
  <c r="BK4" i="6"/>
  <c r="AS6" i="2"/>
  <c r="BK8" i="6"/>
  <c r="AR5" i="2"/>
  <c r="BJ7" i="6"/>
  <c r="BJ6" i="6"/>
  <c r="AR4" i="2"/>
  <c r="AR3" i="2"/>
  <c r="BJ5" i="6"/>
  <c r="BJ4" i="6"/>
  <c r="AR2" i="2"/>
  <c r="AR6" i="2"/>
  <c r="BJ8" i="6"/>
  <c r="AQ5" i="2"/>
  <c r="BI7" i="6"/>
  <c r="BI8" i="6"/>
  <c r="AQ6" i="2"/>
  <c r="AQ4" i="2"/>
  <c r="BI6" i="6"/>
  <c r="BI5" i="6"/>
  <c r="AQ3" i="2"/>
  <c r="AQ2" i="2"/>
  <c r="BI4" i="6"/>
  <c r="AM2" i="2"/>
  <c r="BE4" i="6"/>
  <c r="U15" i="7"/>
  <c r="M15" i="7"/>
  <c r="BD4" i="6"/>
  <c r="AL2" i="2"/>
  <c r="BD6" i="6"/>
  <c r="AL4" i="2"/>
  <c r="AO5" i="2"/>
  <c r="BG7" i="6"/>
  <c r="BC4" i="6"/>
  <c r="AK2" i="2"/>
  <c r="AN6" i="2"/>
  <c r="BF8" i="6"/>
  <c r="AM4" i="2"/>
  <c r="BE6" i="6"/>
  <c r="AO4" i="2"/>
  <c r="BG6" i="6"/>
  <c r="AM3" i="2"/>
  <c r="BE5" i="6"/>
  <c r="AL5" i="2"/>
  <c r="BD7" i="6"/>
  <c r="BE8" i="6"/>
  <c r="AM6" i="2"/>
  <c r="BE7" i="6"/>
  <c r="AM5" i="2"/>
  <c r="BC5" i="6"/>
  <c r="AK3" i="2"/>
  <c r="AK5" i="2"/>
  <c r="BC7" i="6"/>
  <c r="F53" i="8"/>
  <c r="BC15" i="6" s="1"/>
  <c r="AN4" i="2"/>
  <c r="BF6" i="6"/>
  <c r="AO2" i="2"/>
  <c r="BG4" i="6"/>
  <c r="BF4" i="6"/>
  <c r="AN2" i="2"/>
  <c r="AJ75" i="8"/>
  <c r="AO3" i="2"/>
  <c r="BG5" i="6"/>
  <c r="AN3" i="2"/>
  <c r="BF5" i="6"/>
  <c r="BC6" i="6"/>
  <c r="AK4" i="2"/>
  <c r="AO6" i="2"/>
  <c r="BG8" i="6"/>
  <c r="AK6" i="2"/>
  <c r="BC8" i="6"/>
  <c r="AL6" i="2"/>
  <c r="BD8" i="6"/>
  <c r="AL3" i="2"/>
  <c r="BD5" i="6"/>
  <c r="AN5" i="2"/>
  <c r="BF7" i="6"/>
  <c r="AJ66" i="8"/>
  <c r="AL101" i="8"/>
  <c r="AM99" i="8" s="1"/>
  <c r="AJ22" i="8"/>
  <c r="AJ36" i="8"/>
  <c r="AJ70" i="8"/>
  <c r="AJ58" i="8"/>
  <c r="P12" i="6" s="1"/>
  <c r="AJ62" i="8"/>
  <c r="P16" i="6" s="1"/>
  <c r="F156" i="8"/>
  <c r="F155" i="8"/>
  <c r="F76" i="8"/>
  <c r="F154" i="8"/>
  <c r="F34" i="8"/>
  <c r="BC9" i="6" s="1"/>
  <c r="AJ8" i="8"/>
  <c r="F152" i="8"/>
  <c r="F49" i="8"/>
  <c r="BC17" i="6" s="1"/>
  <c r="F71" i="8"/>
  <c r="AA156" i="8"/>
  <c r="L76" i="8"/>
  <c r="AE71" i="8"/>
  <c r="AE76" i="8"/>
  <c r="L155" i="8"/>
  <c r="AE45" i="8"/>
  <c r="CB13" i="6" s="1"/>
  <c r="AE49" i="8"/>
  <c r="CB17" i="6" s="1"/>
  <c r="AA53" i="8"/>
  <c r="BX15" i="6" s="1"/>
  <c r="AA157" i="8"/>
  <c r="L154" i="8"/>
  <c r="AA49" i="8"/>
  <c r="BX17" i="6" s="1"/>
  <c r="AA76" i="8"/>
  <c r="AE151" i="8"/>
  <c r="AE153" i="8" s="1"/>
  <c r="L153" i="8"/>
  <c r="AA152" i="8"/>
  <c r="AA153" i="8"/>
  <c r="L71" i="8"/>
  <c r="L49" i="8"/>
  <c r="BI17" i="6" s="1"/>
  <c r="AA71" i="8"/>
  <c r="AH152" i="8"/>
  <c r="V156" i="8"/>
  <c r="L152" i="8"/>
  <c r="AF76" i="8"/>
  <c r="L157" i="8"/>
  <c r="L45" i="8"/>
  <c r="BI13" i="6" s="1"/>
  <c r="T76" i="8"/>
  <c r="AA154" i="8"/>
  <c r="X76" i="8"/>
  <c r="Z53" i="8"/>
  <c r="BW15" i="6" s="1"/>
  <c r="R53" i="8"/>
  <c r="BO15" i="6" s="1"/>
  <c r="V76" i="8"/>
  <c r="H152" i="8"/>
  <c r="J49" i="8"/>
  <c r="BG17" i="6" s="1"/>
  <c r="V157" i="8"/>
  <c r="AF45" i="8"/>
  <c r="CC13" i="6" s="1"/>
  <c r="I76" i="8"/>
  <c r="O76" i="8"/>
  <c r="V155" i="8"/>
  <c r="P76" i="8"/>
  <c r="T71" i="8"/>
  <c r="AC49" i="8"/>
  <c r="BZ17" i="6" s="1"/>
  <c r="T49" i="8"/>
  <c r="BQ17" i="6" s="1"/>
  <c r="Y76" i="8"/>
  <c r="Y45" i="8"/>
  <c r="BV13" i="6" s="1"/>
  <c r="U151" i="8"/>
  <c r="U153" i="8" s="1"/>
  <c r="N154" i="8"/>
  <c r="O45" i="8"/>
  <c r="BL13" i="6" s="1"/>
  <c r="J151" i="8"/>
  <c r="J154" i="8" s="1"/>
  <c r="U53" i="8"/>
  <c r="BR15" i="6" s="1"/>
  <c r="X151" i="8"/>
  <c r="X153" i="8" s="1"/>
  <c r="U45" i="8"/>
  <c r="BR13" i="6" s="1"/>
  <c r="I45" i="8"/>
  <c r="BF13" i="6" s="1"/>
  <c r="U49" i="8"/>
  <c r="BR17" i="6" s="1"/>
  <c r="Y53" i="8"/>
  <c r="BV15" i="6" s="1"/>
  <c r="AJ4" i="2"/>
  <c r="BB6" i="6"/>
  <c r="BB5" i="6"/>
  <c r="AJ3" i="2"/>
  <c r="BB4" i="6"/>
  <c r="AJ2" i="2"/>
  <c r="AJ5" i="2"/>
  <c r="BB7" i="6"/>
  <c r="AJ6" i="2"/>
  <c r="BB8" i="6"/>
  <c r="AJ40" i="8"/>
  <c r="AI157" i="8"/>
  <c r="AI154" i="8"/>
  <c r="AI155" i="8"/>
  <c r="AI156" i="8"/>
  <c r="AI153" i="8"/>
  <c r="AI152" i="8"/>
  <c r="T154" i="8"/>
  <c r="T155" i="8"/>
  <c r="AJ11" i="8"/>
  <c r="N53" i="8"/>
  <c r="BK15" i="6" s="1"/>
  <c r="V154" i="8"/>
  <c r="I71" i="8"/>
  <c r="Z45" i="8"/>
  <c r="BW13" i="6" s="1"/>
  <c r="O71" i="8"/>
  <c r="L105" i="8"/>
  <c r="O49" i="8"/>
  <c r="BL17" i="6" s="1"/>
  <c r="N45" i="8"/>
  <c r="BK13" i="6" s="1"/>
  <c r="U76" i="8"/>
  <c r="N153" i="8"/>
  <c r="V152" i="8"/>
  <c r="R76" i="8"/>
  <c r="H153" i="8"/>
  <c r="H157" i="8"/>
  <c r="Q151" i="8"/>
  <c r="Q153" i="8" s="1"/>
  <c r="O151" i="8"/>
  <c r="O152" i="8" s="1"/>
  <c r="Z49" i="8"/>
  <c r="BW17" i="6" s="1"/>
  <c r="Z151" i="8"/>
  <c r="Z155" i="8" s="1"/>
  <c r="N157" i="8"/>
  <c r="Y49" i="8"/>
  <c r="BV17" i="6" s="1"/>
  <c r="R45" i="8"/>
  <c r="BO13" i="6" s="1"/>
  <c r="N155" i="8"/>
  <c r="X45" i="8"/>
  <c r="BU13" i="6" s="1"/>
  <c r="X49" i="8"/>
  <c r="BU17" i="6" s="1"/>
  <c r="AF53" i="8"/>
  <c r="CC15" i="6" s="1"/>
  <c r="Q71" i="8"/>
  <c r="X71" i="8"/>
  <c r="N49" i="8"/>
  <c r="BK17" i="6" s="1"/>
  <c r="J76" i="8"/>
  <c r="V45" i="8"/>
  <c r="BS13" i="6" s="1"/>
  <c r="Q49" i="8"/>
  <c r="BN17" i="6" s="1"/>
  <c r="N71" i="8"/>
  <c r="AF49" i="8"/>
  <c r="CC17" i="6" s="1"/>
  <c r="T53" i="8"/>
  <c r="BQ15" i="6" s="1"/>
  <c r="Z76" i="8"/>
  <c r="I151" i="8"/>
  <c r="J45" i="8"/>
  <c r="BG13" i="6" s="1"/>
  <c r="Y71" i="8"/>
  <c r="R49" i="8"/>
  <c r="BO17" i="6" s="1"/>
  <c r="AF71" i="8"/>
  <c r="N156" i="8"/>
  <c r="R151" i="8"/>
  <c r="T45" i="8"/>
  <c r="BQ13" i="6" s="1"/>
  <c r="V53" i="8"/>
  <c r="BS15" i="6" s="1"/>
  <c r="V71" i="8"/>
  <c r="Q45" i="8"/>
  <c r="BN13" i="6" s="1"/>
  <c r="AG151" i="8"/>
  <c r="AG155" i="8" s="1"/>
  <c r="N76" i="8"/>
  <c r="V49" i="8"/>
  <c r="BS17" i="6" s="1"/>
  <c r="P49" i="8"/>
  <c r="BM17" i="6" s="1"/>
  <c r="I53" i="8"/>
  <c r="BF15" i="6" s="1"/>
  <c r="M76" i="8"/>
  <c r="M49" i="8"/>
  <c r="BJ17" i="6" s="1"/>
  <c r="M151" i="8"/>
  <c r="M156" i="8" s="1"/>
  <c r="M71" i="8"/>
  <c r="M45" i="8"/>
  <c r="BJ13" i="6" s="1"/>
  <c r="AD71" i="8"/>
  <c r="AD151" i="8"/>
  <c r="AD156" i="8" s="1"/>
  <c r="AD53" i="8"/>
  <c r="CA15" i="6" s="1"/>
  <c r="AD45" i="8"/>
  <c r="CA13" i="6" s="1"/>
  <c r="AD49" i="8"/>
  <c r="CA17" i="6" s="1"/>
  <c r="AD76" i="8"/>
  <c r="K71" i="8"/>
  <c r="K151" i="8"/>
  <c r="K155" i="8" s="1"/>
  <c r="K76" i="8"/>
  <c r="K45" i="8"/>
  <c r="BH13" i="6" s="1"/>
  <c r="K49" i="8"/>
  <c r="BH17" i="6" s="1"/>
  <c r="S45" i="8"/>
  <c r="BP13" i="6" s="1"/>
  <c r="S53" i="8"/>
  <c r="BP15" i="6" s="1"/>
  <c r="S76" i="8"/>
  <c r="S49" i="8"/>
  <c r="BP17" i="6" s="1"/>
  <c r="S71" i="8"/>
  <c r="S151" i="8"/>
  <c r="S154" i="8" s="1"/>
  <c r="AB151" i="8"/>
  <c r="AB155" i="8" s="1"/>
  <c r="AB76" i="8"/>
  <c r="AB49" i="8"/>
  <c r="BY17" i="6" s="1"/>
  <c r="AB53" i="8"/>
  <c r="BY15" i="6" s="1"/>
  <c r="AB71" i="8"/>
  <c r="AB45" i="8"/>
  <c r="BY13" i="6" s="1"/>
  <c r="W151" i="8"/>
  <c r="W153" i="8" s="1"/>
  <c r="W45" i="8"/>
  <c r="BT13" i="6" s="1"/>
  <c r="W49" i="8"/>
  <c r="BT17" i="6" s="1"/>
  <c r="W53" i="8"/>
  <c r="BT15" i="6" s="1"/>
  <c r="W76" i="8"/>
  <c r="W71" i="8"/>
  <c r="AC76" i="8"/>
  <c r="AH153" i="8"/>
  <c r="G49" i="8"/>
  <c r="BD17" i="6" s="1"/>
  <c r="AA45" i="8"/>
  <c r="BX13" i="6" s="1"/>
  <c r="K53" i="8"/>
  <c r="BH15" i="6" s="1"/>
  <c r="G45" i="8"/>
  <c r="BD13" i="6" s="1"/>
  <c r="AJ24" i="8"/>
  <c r="AC71" i="8"/>
  <c r="G151" i="8"/>
  <c r="G152" i="8" s="1"/>
  <c r="P53" i="8"/>
  <c r="BM15" i="6" s="1"/>
  <c r="AG76" i="8"/>
  <c r="AC53" i="8"/>
  <c r="BZ15" i="6" s="1"/>
  <c r="G76" i="8"/>
  <c r="AG45" i="8"/>
  <c r="CD13" i="6" s="1"/>
  <c r="AG53" i="8"/>
  <c r="CD15" i="6" s="1"/>
  <c r="Q53" i="8"/>
  <c r="BN15" i="6" s="1"/>
  <c r="P151" i="8"/>
  <c r="P155" i="8" s="1"/>
  <c r="G71" i="8"/>
  <c r="P71" i="8"/>
  <c r="AG71" i="8"/>
  <c r="AC45" i="8"/>
  <c r="BZ13" i="6" s="1"/>
  <c r="AE152" i="8"/>
  <c r="H156" i="8"/>
  <c r="AN102" i="8"/>
  <c r="AM98" i="8"/>
  <c r="AN101" i="8"/>
  <c r="H154" i="8"/>
  <c r="AN96" i="8"/>
  <c r="AJ3" i="8"/>
  <c r="AJ105" i="8" s="1"/>
  <c r="AN98" i="8"/>
  <c r="AN97" i="8"/>
  <c r="AM96" i="8"/>
  <c r="AF155" i="8"/>
  <c r="T153" i="8"/>
  <c r="AF152" i="8"/>
  <c r="AF153" i="8"/>
  <c r="AC156" i="8"/>
  <c r="AC157" i="8"/>
  <c r="G34" i="8"/>
  <c r="BD9" i="6" s="1"/>
  <c r="AC155" i="8"/>
  <c r="AC152" i="8"/>
  <c r="T152" i="8"/>
  <c r="Y155" i="8"/>
  <c r="AC153" i="8"/>
  <c r="AC154" i="8"/>
  <c r="Y156" i="8"/>
  <c r="Y157" i="8"/>
  <c r="Y154" i="8"/>
  <c r="AH154" i="8"/>
  <c r="AF156" i="8"/>
  <c r="AF157" i="8"/>
  <c r="T156" i="8"/>
  <c r="T157" i="8"/>
  <c r="AM97" i="8"/>
  <c r="Y153" i="8"/>
  <c r="AJ84" i="8"/>
  <c r="E43" i="8"/>
  <c r="AH156" i="8"/>
  <c r="AH157" i="8"/>
  <c r="AB15" i="7"/>
  <c r="AB16" i="7" s="1"/>
  <c r="L15" i="7"/>
  <c r="L16" i="7" s="1"/>
  <c r="AB5" i="7"/>
  <c r="T5" i="7"/>
  <c r="L5" i="7"/>
  <c r="L7" i="7" s="1"/>
  <c r="D5" i="7"/>
  <c r="D7" i="7" s="1"/>
  <c r="AC5" i="7"/>
  <c r="AA5" i="7"/>
  <c r="AA7" i="7" s="1"/>
  <c r="S5" i="7"/>
  <c r="S7" i="7" s="1"/>
  <c r="K5" i="7"/>
  <c r="K7" i="7" s="1"/>
  <c r="AE22" i="7"/>
  <c r="AE24" i="7" s="1"/>
  <c r="W22" i="7"/>
  <c r="W24" i="7" s="1"/>
  <c r="O22" i="7"/>
  <c r="O24" i="7" s="1"/>
  <c r="Z15" i="7"/>
  <c r="Z16" i="7" s="1"/>
  <c r="R15" i="7"/>
  <c r="R16" i="7" s="1"/>
  <c r="J15" i="7"/>
  <c r="J16" i="7" s="1"/>
  <c r="AE5" i="7"/>
  <c r="AE7" i="7" s="1"/>
  <c r="W5" i="7"/>
  <c r="W7" i="7" s="1"/>
  <c r="O5" i="7"/>
  <c r="O7" i="7" s="1"/>
  <c r="G5" i="7"/>
  <c r="G7" i="7" s="1"/>
  <c r="G22" i="7"/>
  <c r="G24" i="7" s="1"/>
  <c r="C5" i="7"/>
  <c r="C7" i="7" s="1"/>
  <c r="U5" i="7"/>
  <c r="U7" i="7" s="1"/>
  <c r="M5" i="7"/>
  <c r="M17" i="7" s="1"/>
  <c r="E5" i="7"/>
  <c r="E17" i="7" s="1"/>
  <c r="AB7" i="7"/>
  <c r="V22" i="7"/>
  <c r="V24" i="7" s="1"/>
  <c r="U22" i="7"/>
  <c r="U24" i="7" s="1"/>
  <c r="V7" i="7"/>
  <c r="AD15" i="7"/>
  <c r="AD17" i="7" s="1"/>
  <c r="E22" i="7"/>
  <c r="E24" i="7" s="1"/>
  <c r="AC15" i="7"/>
  <c r="AC16" i="7" s="1"/>
  <c r="G15" i="7"/>
  <c r="G16" i="7" s="1"/>
  <c r="P5" i="7"/>
  <c r="P7" i="7" s="1"/>
  <c r="H5" i="7"/>
  <c r="H7" i="7" s="1"/>
  <c r="W15" i="7"/>
  <c r="W16" i="7" s="1"/>
  <c r="F22" i="7"/>
  <c r="F24" i="7" s="1"/>
  <c r="E16" i="7"/>
  <c r="U16" i="7"/>
  <c r="M16" i="7"/>
  <c r="AD7" i="7"/>
  <c r="N15" i="7"/>
  <c r="Q22" i="7"/>
  <c r="Q24" i="7" s="1"/>
  <c r="I22" i="7"/>
  <c r="I24" i="7" s="1"/>
  <c r="N22" i="7"/>
  <c r="N24" i="7" s="1"/>
  <c r="H22" i="7"/>
  <c r="H24" i="7" s="1"/>
  <c r="M22" i="7"/>
  <c r="M24" i="7" s="1"/>
  <c r="AD22" i="7"/>
  <c r="AD24" i="7" s="1"/>
  <c r="AF6" i="7"/>
  <c r="CS27" i="7" s="1"/>
  <c r="AF23" i="7"/>
  <c r="AE15" i="7"/>
  <c r="O15" i="7"/>
  <c r="O16" i="7" s="1"/>
  <c r="X5" i="7"/>
  <c r="X7" i="7" s="1"/>
  <c r="AB22" i="7"/>
  <c r="AB24" i="7" s="1"/>
  <c r="T22" i="7"/>
  <c r="T24" i="7" s="1"/>
  <c r="L22" i="7"/>
  <c r="L24" i="7" s="1"/>
  <c r="D22" i="7"/>
  <c r="D24" i="7" s="1"/>
  <c r="Y22" i="7"/>
  <c r="Y24" i="7" s="1"/>
  <c r="T15" i="7"/>
  <c r="T16" i="7" s="1"/>
  <c r="D15" i="7"/>
  <c r="D16" i="7" s="1"/>
  <c r="X22" i="7"/>
  <c r="P22" i="7"/>
  <c r="P24" i="7" s="1"/>
  <c r="AA15" i="7"/>
  <c r="AA16" i="7" s="1"/>
  <c r="S15" i="7"/>
  <c r="K15" i="7"/>
  <c r="K16" i="7" s="1"/>
  <c r="C15" i="7"/>
  <c r="Y5" i="7"/>
  <c r="Y7" i="7" s="1"/>
  <c r="Q5" i="7"/>
  <c r="Q7" i="7" s="1"/>
  <c r="I5" i="7"/>
  <c r="I7" i="7" s="1"/>
  <c r="AA22" i="7"/>
  <c r="AA24" i="7" s="1"/>
  <c r="S22" i="7"/>
  <c r="S24" i="7" s="1"/>
  <c r="K22" i="7"/>
  <c r="K24" i="7" s="1"/>
  <c r="C22" i="7"/>
  <c r="C24" i="7" s="1"/>
  <c r="Z5" i="7"/>
  <c r="J5" i="7"/>
  <c r="Z22" i="7"/>
  <c r="Z24" i="7" s="1"/>
  <c r="R22" i="7"/>
  <c r="R24" i="7" s="1"/>
  <c r="J22" i="7"/>
  <c r="J24" i="7" s="1"/>
  <c r="Y15" i="7"/>
  <c r="Q15" i="7"/>
  <c r="I15" i="7"/>
  <c r="R5" i="7"/>
  <c r="X15" i="7"/>
  <c r="P15" i="7"/>
  <c r="H15" i="7"/>
  <c r="B15" i="7"/>
  <c r="B16" i="7" s="1"/>
  <c r="B22" i="7"/>
  <c r="B24" i="7" s="1"/>
  <c r="B5" i="7"/>
  <c r="B7" i="7" s="1"/>
  <c r="AJ43" i="8" l="1"/>
  <c r="E151" i="8"/>
  <c r="E154" i="8" s="1"/>
  <c r="AN100" i="8"/>
  <c r="AJ34" i="8"/>
  <c r="F17" i="7"/>
  <c r="E25" i="7"/>
  <c r="V17" i="7"/>
  <c r="BL7" i="7"/>
  <c r="BL27" i="7"/>
  <c r="BL29" i="7" s="1"/>
  <c r="BL17" i="7"/>
  <c r="BL16" i="7"/>
  <c r="BL25" i="7" s="1"/>
  <c r="AF28" i="7"/>
  <c r="CR28" i="7" s="1"/>
  <c r="N17" i="7"/>
  <c r="N16" i="7"/>
  <c r="N25" i="7" s="1"/>
  <c r="V16" i="7"/>
  <c r="V25" i="7" s="1"/>
  <c r="F16" i="7"/>
  <c r="R25" i="7"/>
  <c r="AM100" i="8"/>
  <c r="L17" i="7"/>
  <c r="G17" i="7"/>
  <c r="W17" i="7"/>
  <c r="J25" i="7"/>
  <c r="AC25" i="7"/>
  <c r="AE154" i="8"/>
  <c r="BO24" i="2"/>
  <c r="Z154" i="8"/>
  <c r="W157" i="8"/>
  <c r="Z153" i="8"/>
  <c r="AB152" i="8"/>
  <c r="S153" i="8"/>
  <c r="U155" i="8"/>
  <c r="AE157" i="8"/>
  <c r="U157" i="8"/>
  <c r="AE156" i="8"/>
  <c r="U156" i="8"/>
  <c r="AE155" i="8"/>
  <c r="M152" i="8"/>
  <c r="J153" i="8"/>
  <c r="W154" i="8"/>
  <c r="J155" i="8"/>
  <c r="O154" i="8"/>
  <c r="M155" i="8"/>
  <c r="AG153" i="8"/>
  <c r="X156" i="8"/>
  <c r="M157" i="8"/>
  <c r="X155" i="8"/>
  <c r="J152" i="8"/>
  <c r="Q156" i="8"/>
  <c r="X154" i="8"/>
  <c r="O155" i="8"/>
  <c r="U154" i="8"/>
  <c r="U152" i="8"/>
  <c r="O153" i="8"/>
  <c r="AG154" i="8"/>
  <c r="J157" i="8"/>
  <c r="O157" i="8"/>
  <c r="AG157" i="8"/>
  <c r="G155" i="8"/>
  <c r="X157" i="8"/>
  <c r="AG152" i="8"/>
  <c r="Q152" i="8"/>
  <c r="J156" i="8"/>
  <c r="Q157" i="8"/>
  <c r="O156" i="8"/>
  <c r="AG156" i="8"/>
  <c r="X152" i="8"/>
  <c r="BO4" i="2"/>
  <c r="P6" i="6"/>
  <c r="P5" i="6"/>
  <c r="BO3" i="2"/>
  <c r="AJ5" i="8"/>
  <c r="AJ37" i="8"/>
  <c r="BO5" i="2" s="1"/>
  <c r="P8" i="6"/>
  <c r="BO6" i="2"/>
  <c r="P9" i="6"/>
  <c r="P10" i="6"/>
  <c r="BO13" i="2"/>
  <c r="I156" i="8"/>
  <c r="I153" i="8"/>
  <c r="I155" i="8"/>
  <c r="I154" i="8"/>
  <c r="I157" i="8"/>
  <c r="I152" i="8"/>
  <c r="AB154" i="8"/>
  <c r="Z152" i="8"/>
  <c r="Z157" i="8"/>
  <c r="K153" i="8"/>
  <c r="Z156" i="8"/>
  <c r="G156" i="8"/>
  <c r="Q155" i="8"/>
  <c r="Q154" i="8"/>
  <c r="R156" i="8"/>
  <c r="R154" i="8"/>
  <c r="R157" i="8"/>
  <c r="R152" i="8"/>
  <c r="R155" i="8"/>
  <c r="R153" i="8"/>
  <c r="S157" i="8"/>
  <c r="K154" i="8"/>
  <c r="W156" i="8"/>
  <c r="AD157" i="8"/>
  <c r="AB156" i="8"/>
  <c r="S152" i="8"/>
  <c r="P154" i="8"/>
  <c r="P156" i="8"/>
  <c r="P153" i="8"/>
  <c r="AB157" i="8"/>
  <c r="S155" i="8"/>
  <c r="K156" i="8"/>
  <c r="W155" i="8"/>
  <c r="G154" i="8"/>
  <c r="G157" i="8"/>
  <c r="M153" i="8"/>
  <c r="M154" i="8"/>
  <c r="K157" i="8"/>
  <c r="W152" i="8"/>
  <c r="G153" i="8"/>
  <c r="AD152" i="8"/>
  <c r="AD154" i="8"/>
  <c r="AD153" i="8"/>
  <c r="AD155" i="8"/>
  <c r="AB153" i="8"/>
  <c r="P152" i="8"/>
  <c r="S156" i="8"/>
  <c r="K152" i="8"/>
  <c r="P157" i="8"/>
  <c r="E49" i="8"/>
  <c r="BB17" i="6" s="1"/>
  <c r="E45" i="8"/>
  <c r="BB13" i="6" s="1"/>
  <c r="E71" i="8"/>
  <c r="E53" i="8"/>
  <c r="BB15" i="6" s="1"/>
  <c r="E76" i="8"/>
  <c r="AE17" i="7"/>
  <c r="AE16" i="7"/>
  <c r="AE25" i="7" s="1"/>
  <c r="AB17" i="7"/>
  <c r="AC17" i="7"/>
  <c r="AF5" i="7"/>
  <c r="CS28" i="7" s="1"/>
  <c r="CS29" i="7" s="1"/>
  <c r="Z25" i="7"/>
  <c r="AC7" i="7"/>
  <c r="M7" i="7"/>
  <c r="AA25" i="7"/>
  <c r="U17" i="7"/>
  <c r="AB25" i="7"/>
  <c r="L25" i="7"/>
  <c r="U25" i="7"/>
  <c r="D25" i="7"/>
  <c r="E7" i="7"/>
  <c r="G25" i="7"/>
  <c r="O25" i="7"/>
  <c r="W25" i="7"/>
  <c r="M25" i="7"/>
  <c r="F25" i="7"/>
  <c r="T25" i="7"/>
  <c r="AD16" i="7"/>
  <c r="AD25" i="7" s="1"/>
  <c r="O17" i="7"/>
  <c r="AF15" i="7"/>
  <c r="K25" i="7"/>
  <c r="X24" i="7"/>
  <c r="AF22" i="7"/>
  <c r="AF24" i="7" s="1"/>
  <c r="C16" i="7"/>
  <c r="C25" i="7" s="1"/>
  <c r="C17" i="7"/>
  <c r="S16" i="7"/>
  <c r="S25" i="7" s="1"/>
  <c r="S17" i="7"/>
  <c r="D17" i="7"/>
  <c r="AA17" i="7"/>
  <c r="T17" i="7"/>
  <c r="K17" i="7"/>
  <c r="I17" i="7"/>
  <c r="I16" i="7"/>
  <c r="I25" i="7" s="1"/>
  <c r="Q17" i="7"/>
  <c r="Q16" i="7"/>
  <c r="Q25" i="7" s="1"/>
  <c r="R7" i="7"/>
  <c r="R17" i="7"/>
  <c r="J7" i="7"/>
  <c r="J17" i="7"/>
  <c r="Z7" i="7"/>
  <c r="Z17" i="7"/>
  <c r="H17" i="7"/>
  <c r="H16" i="7"/>
  <c r="H25" i="7" s="1"/>
  <c r="Y17" i="7"/>
  <c r="Y16" i="7"/>
  <c r="Y25" i="7" s="1"/>
  <c r="P17" i="7"/>
  <c r="P16" i="7"/>
  <c r="P25" i="7" s="1"/>
  <c r="X17" i="7"/>
  <c r="X16" i="7"/>
  <c r="B17" i="7"/>
  <c r="B25" i="7"/>
  <c r="AJ78" i="8" l="1"/>
  <c r="AJ151" i="8"/>
  <c r="AK151" i="8" s="1"/>
  <c r="AJ45" i="8"/>
  <c r="AF7" i="7"/>
  <c r="AF27" i="7"/>
  <c r="AJ76" i="8"/>
  <c r="AJ71" i="8"/>
  <c r="BO2" i="2"/>
  <c r="P4" i="6"/>
  <c r="P7" i="6"/>
  <c r="AJ49" i="8"/>
  <c r="P17" i="6" s="1"/>
  <c r="AL46" i="8"/>
  <c r="AL50" i="8"/>
  <c r="P13" i="6"/>
  <c r="AL41" i="8"/>
  <c r="AJ53" i="8"/>
  <c r="P15" i="6" s="1"/>
  <c r="E156" i="8"/>
  <c r="E157" i="8"/>
  <c r="E152" i="8"/>
  <c r="E153" i="8"/>
  <c r="E155" i="8"/>
  <c r="AF17" i="7"/>
  <c r="AF16" i="7"/>
  <c r="AF25" i="7" s="1"/>
  <c r="X25" i="7"/>
  <c r="Z35" i="1"/>
  <c r="Z141" i="1"/>
  <c r="Z143" i="1"/>
  <c r="Y143" i="1"/>
  <c r="Y141" i="1"/>
  <c r="AD61" i="1"/>
  <c r="AC61" i="1"/>
  <c r="AB61" i="1"/>
  <c r="AA61" i="1"/>
  <c r="Z61" i="1"/>
  <c r="Y61" i="1"/>
  <c r="X61" i="1"/>
  <c r="W143" i="1"/>
  <c r="X143" i="1"/>
  <c r="X141" i="1"/>
  <c r="W141" i="1"/>
  <c r="V143" i="1"/>
  <c r="V141" i="1"/>
  <c r="W61" i="1"/>
  <c r="V61" i="1"/>
  <c r="U143" i="1"/>
  <c r="U141" i="1"/>
  <c r="U61" i="1"/>
  <c r="T52" i="1"/>
  <c r="U56" i="1"/>
  <c r="AF29" i="7" l="1"/>
  <c r="CR27" i="7"/>
  <c r="CR29" i="7" s="1"/>
  <c r="P14" i="6"/>
  <c r="AJ154" i="8"/>
  <c r="AJ157" i="8"/>
  <c r="AJ152" i="8"/>
  <c r="AJ153" i="8"/>
  <c r="AJ155" i="8"/>
  <c r="AJ156" i="8"/>
  <c r="T143" i="1"/>
  <c r="T141" i="1"/>
  <c r="T61" i="1"/>
  <c r="T9" i="2"/>
  <c r="U9" i="2"/>
  <c r="V9" i="2"/>
  <c r="W9" i="2"/>
  <c r="X9" i="2"/>
  <c r="Z9" i="2"/>
  <c r="AA9" i="2"/>
  <c r="AB9" i="2"/>
  <c r="AC9" i="2"/>
  <c r="AD9" i="2"/>
  <c r="AE9" i="2"/>
  <c r="AF9" i="2"/>
  <c r="AG9" i="2"/>
  <c r="AH9" i="2"/>
  <c r="T12" i="2"/>
  <c r="U12" i="2"/>
  <c r="V12" i="2"/>
  <c r="W12" i="2"/>
  <c r="X12" i="2"/>
  <c r="Z12" i="2"/>
  <c r="AA12" i="2"/>
  <c r="AB12" i="2"/>
  <c r="AC12" i="2"/>
  <c r="AD12" i="2"/>
  <c r="AE12" i="2"/>
  <c r="AF12" i="2"/>
  <c r="AG12" i="2"/>
  <c r="AH12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S143" i="1"/>
  <c r="S141" i="1"/>
  <c r="S61" i="1"/>
  <c r="S38" i="1"/>
  <c r="R24" i="1"/>
  <c r="P21" i="6" l="1"/>
  <c r="BO16" i="2"/>
  <c r="R141" i="1"/>
  <c r="R143" i="1"/>
  <c r="I24" i="1"/>
  <c r="Q143" i="1"/>
  <c r="Q141" i="1"/>
  <c r="P22" i="6" l="1"/>
  <c r="BO17" i="2"/>
  <c r="P141" i="1"/>
  <c r="P143" i="1"/>
  <c r="R61" i="1"/>
  <c r="Q61" i="1"/>
  <c r="P61" i="1"/>
  <c r="O61" i="1"/>
  <c r="N143" i="1"/>
  <c r="N141" i="1"/>
  <c r="U27" i="6" l="1"/>
  <c r="N61" i="1"/>
  <c r="M61" i="1"/>
  <c r="M48" i="1"/>
  <c r="M141" i="1"/>
  <c r="M143" i="1"/>
  <c r="AE27" i="6"/>
  <c r="L65" i="1"/>
  <c r="L61" i="1"/>
  <c r="L143" i="1"/>
  <c r="L141" i="1"/>
  <c r="L101" i="1"/>
  <c r="K104" i="1"/>
  <c r="K61" i="1"/>
  <c r="J6" i="1"/>
  <c r="J61" i="1"/>
  <c r="J141" i="1"/>
  <c r="J143" i="1"/>
  <c r="I115" i="1"/>
  <c r="I61" i="1"/>
  <c r="G116" i="1"/>
  <c r="H14" i="1"/>
  <c r="G31" i="1"/>
  <c r="E141" i="1"/>
  <c r="G115" i="1"/>
  <c r="H141" i="1"/>
  <c r="H61" i="1"/>
  <c r="H143" i="1"/>
  <c r="F14" i="1"/>
  <c r="G14" i="1"/>
  <c r="G61" i="1" l="1"/>
  <c r="Y30" i="6"/>
  <c r="F9" i="2" l="1"/>
  <c r="AI60" i="1"/>
  <c r="F61" i="1"/>
  <c r="E61" i="1"/>
  <c r="AK61" i="9" l="1"/>
  <c r="AK61" i="10" s="1"/>
  <c r="AK60" i="8"/>
  <c r="AI61" i="1"/>
  <c r="Y21" i="6"/>
  <c r="Y22" i="6"/>
  <c r="Y23" i="6"/>
  <c r="Y24" i="6"/>
  <c r="Y25" i="6"/>
  <c r="Y27" i="6"/>
  <c r="Y34" i="6"/>
  <c r="Y35" i="6"/>
  <c r="Y36" i="6"/>
  <c r="Y37" i="6"/>
  <c r="F143" i="1"/>
  <c r="F101" i="1"/>
  <c r="E143" i="1"/>
  <c r="E98" i="1"/>
  <c r="AK62" i="9" l="1"/>
  <c r="AK61" i="8"/>
  <c r="AK61" i="12"/>
  <c r="AK61" i="1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E10" i="1"/>
  <c r="E9" i="1"/>
  <c r="AD11" i="1" l="1"/>
  <c r="AD4" i="2" s="1"/>
  <c r="AK62" i="10"/>
  <c r="AW6" i="6"/>
  <c r="R11" i="1"/>
  <c r="AK6" i="6" s="1"/>
  <c r="P11" i="1"/>
  <c r="AI6" i="6" s="1"/>
  <c r="AB11" i="1"/>
  <c r="S11" i="1"/>
  <c r="S4" i="2" s="1"/>
  <c r="AE11" i="1"/>
  <c r="AE4" i="2" s="1"/>
  <c r="G11" i="1"/>
  <c r="Z6" i="6" s="1"/>
  <c r="AC11" i="1"/>
  <c r="AC4" i="2" s="1"/>
  <c r="Q11" i="1"/>
  <c r="AJ6" i="6" s="1"/>
  <c r="W11" i="1"/>
  <c r="W4" i="2" s="1"/>
  <c r="K11" i="1"/>
  <c r="K4" i="2" s="1"/>
  <c r="AH11" i="1"/>
  <c r="AH4" i="2" s="1"/>
  <c r="V11" i="1"/>
  <c r="V4" i="2" s="1"/>
  <c r="J11" i="1"/>
  <c r="J4" i="2" s="1"/>
  <c r="AG11" i="1"/>
  <c r="AG4" i="2" s="1"/>
  <c r="U11" i="1"/>
  <c r="U4" i="2" s="1"/>
  <c r="I11" i="1"/>
  <c r="I4" i="2" s="1"/>
  <c r="AA11" i="1"/>
  <c r="AA4" i="2" s="1"/>
  <c r="O11" i="1"/>
  <c r="O4" i="2" s="1"/>
  <c r="T11" i="1"/>
  <c r="T4" i="2" s="1"/>
  <c r="Z11" i="1"/>
  <c r="E11" i="1"/>
  <c r="E4" i="2" s="1"/>
  <c r="Y11" i="1"/>
  <c r="M11" i="1"/>
  <c r="AF6" i="6" s="1"/>
  <c r="AF11" i="1"/>
  <c r="AF4" i="2" s="1"/>
  <c r="H11" i="1"/>
  <c r="AA6" i="6" s="1"/>
  <c r="N11" i="1"/>
  <c r="N4" i="2" s="1"/>
  <c r="F11" i="1"/>
  <c r="Y6" i="6" s="1"/>
  <c r="X11" i="1"/>
  <c r="L11" i="1"/>
  <c r="AE6" i="6" s="1"/>
  <c r="AI9" i="1"/>
  <c r="Q4" i="2"/>
  <c r="P4" i="2"/>
  <c r="AI10" i="1"/>
  <c r="AK9" i="8" l="1"/>
  <c r="AK9" i="10"/>
  <c r="AK9" i="9"/>
  <c r="AH6" i="6"/>
  <c r="AK62" i="12"/>
  <c r="AK62" i="11"/>
  <c r="AK10" i="8"/>
  <c r="AK11" i="8" s="1"/>
  <c r="AK10" i="10"/>
  <c r="AK10" i="9"/>
  <c r="R4" i="2"/>
  <c r="G4" i="2"/>
  <c r="AX6" i="6"/>
  <c r="AU6" i="6"/>
  <c r="AB4" i="2"/>
  <c r="AR6" i="6"/>
  <c r="Y4" i="2"/>
  <c r="AV6" i="6"/>
  <c r="AS6" i="6"/>
  <c r="Z4" i="2"/>
  <c r="AQ6" i="6"/>
  <c r="X4" i="2"/>
  <c r="AO6" i="6"/>
  <c r="AL6" i="6"/>
  <c r="AT6" i="6"/>
  <c r="L4" i="2"/>
  <c r="AZ6" i="6"/>
  <c r="AG6" i="6"/>
  <c r="AI11" i="1"/>
  <c r="AI4" i="2" s="1"/>
  <c r="BA6" i="6"/>
  <c r="M4" i="2"/>
  <c r="AN6" i="6"/>
  <c r="F4" i="2"/>
  <c r="AD6" i="6"/>
  <c r="AY6" i="6"/>
  <c r="AB6" i="6"/>
  <c r="H4" i="2"/>
  <c r="AP6" i="6"/>
  <c r="AC6" i="6"/>
  <c r="X6" i="6"/>
  <c r="AM6" i="6"/>
  <c r="AK11" i="9" l="1"/>
  <c r="AK9" i="12"/>
  <c r="AK9" i="11"/>
  <c r="AK11" i="10"/>
  <c r="AK10" i="12"/>
  <c r="AK11" i="12" s="1"/>
  <c r="AK10" i="11"/>
  <c r="O6" i="6"/>
  <c r="AI12" i="2"/>
  <c r="AI9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G9" i="2"/>
  <c r="H9" i="2"/>
  <c r="I9" i="2"/>
  <c r="J9" i="2"/>
  <c r="K9" i="2"/>
  <c r="L9" i="2"/>
  <c r="M9" i="2"/>
  <c r="N9" i="2"/>
  <c r="O9" i="2"/>
  <c r="P9" i="2"/>
  <c r="Q9" i="2"/>
  <c r="R9" i="2"/>
  <c r="S9" i="2"/>
  <c r="AK11" i="11" l="1"/>
  <c r="U6" i="6" s="1"/>
  <c r="K24" i="1"/>
  <c r="AD10" i="6" s="1"/>
  <c r="E12" i="2"/>
  <c r="E9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F8" i="2"/>
  <c r="Z27" i="6"/>
  <c r="AA27" i="6"/>
  <c r="H8" i="2" s="1"/>
  <c r="AB27" i="6"/>
  <c r="I8" i="2" s="1"/>
  <c r="AC27" i="6"/>
  <c r="J8" i="2" s="1"/>
  <c r="AD27" i="6"/>
  <c r="K8" i="2" s="1"/>
  <c r="L8" i="2"/>
  <c r="AF27" i="6"/>
  <c r="M8" i="2" s="1"/>
  <c r="AG27" i="6"/>
  <c r="N8" i="2" s="1"/>
  <c r="AH27" i="6"/>
  <c r="O8" i="2" s="1"/>
  <c r="AI27" i="6"/>
  <c r="P8" i="2" s="1"/>
  <c r="AJ27" i="6"/>
  <c r="Q8" i="2" s="1"/>
  <c r="AK27" i="6"/>
  <c r="R8" i="2" s="1"/>
  <c r="AL27" i="6"/>
  <c r="S8" i="2" s="1"/>
  <c r="AM27" i="6"/>
  <c r="T8" i="2" s="1"/>
  <c r="AN27" i="6"/>
  <c r="U8" i="2" s="1"/>
  <c r="AO27" i="6"/>
  <c r="V8" i="2" s="1"/>
  <c r="AP27" i="6"/>
  <c r="W8" i="2" s="1"/>
  <c r="AQ27" i="6"/>
  <c r="X8" i="2" s="1"/>
  <c r="AR27" i="6"/>
  <c r="Y8" i="2" s="1"/>
  <c r="AS27" i="6"/>
  <c r="Z8" i="2" s="1"/>
  <c r="AT27" i="6"/>
  <c r="AA8" i="2" s="1"/>
  <c r="AU27" i="6"/>
  <c r="AB8" i="2" s="1"/>
  <c r="AV27" i="6"/>
  <c r="AC8" i="2" s="1"/>
  <c r="AW27" i="6"/>
  <c r="AD8" i="2" s="1"/>
  <c r="AX27" i="6"/>
  <c r="AE8" i="2" s="1"/>
  <c r="AY27" i="6"/>
  <c r="AF8" i="2" s="1"/>
  <c r="AZ27" i="6"/>
  <c r="AG8" i="2" s="1"/>
  <c r="BA27" i="6"/>
  <c r="AH8" i="2" s="1"/>
  <c r="F11" i="2"/>
  <c r="Z30" i="6"/>
  <c r="AA30" i="6"/>
  <c r="H11" i="2" s="1"/>
  <c r="AB30" i="6"/>
  <c r="I11" i="2" s="1"/>
  <c r="AC30" i="6"/>
  <c r="J11" i="2" s="1"/>
  <c r="AD30" i="6"/>
  <c r="K11" i="2" s="1"/>
  <c r="AE30" i="6"/>
  <c r="L11" i="2" s="1"/>
  <c r="AF30" i="6"/>
  <c r="M11" i="2" s="1"/>
  <c r="AG30" i="6"/>
  <c r="N11" i="2" s="1"/>
  <c r="AH30" i="6"/>
  <c r="O11" i="2" s="1"/>
  <c r="AI30" i="6"/>
  <c r="P11" i="2" s="1"/>
  <c r="AJ30" i="6"/>
  <c r="Q11" i="2" s="1"/>
  <c r="AK30" i="6"/>
  <c r="R11" i="2" s="1"/>
  <c r="AL30" i="6"/>
  <c r="S11" i="2" s="1"/>
  <c r="AM30" i="6"/>
  <c r="T11" i="2" s="1"/>
  <c r="AN30" i="6"/>
  <c r="U11" i="2" s="1"/>
  <c r="AO30" i="6"/>
  <c r="V11" i="2" s="1"/>
  <c r="AP30" i="6"/>
  <c r="W11" i="2" s="1"/>
  <c r="AQ30" i="6"/>
  <c r="X11" i="2" s="1"/>
  <c r="AR30" i="6"/>
  <c r="Y11" i="2" s="1"/>
  <c r="AS30" i="6"/>
  <c r="Z11" i="2" s="1"/>
  <c r="AT30" i="6"/>
  <c r="AA11" i="2" s="1"/>
  <c r="AU30" i="6"/>
  <c r="AB11" i="2" s="1"/>
  <c r="AV30" i="6"/>
  <c r="AC11" i="2" s="1"/>
  <c r="AW30" i="6"/>
  <c r="AD11" i="2" s="1"/>
  <c r="AX30" i="6"/>
  <c r="AE11" i="2" s="1"/>
  <c r="AY30" i="6"/>
  <c r="AF11" i="2" s="1"/>
  <c r="AZ30" i="6"/>
  <c r="AG11" i="2" s="1"/>
  <c r="BA30" i="6"/>
  <c r="AH11" i="2" s="1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O30" i="6"/>
  <c r="AI11" i="2" s="1"/>
  <c r="AI8" i="2"/>
  <c r="X37" i="6"/>
  <c r="X36" i="6"/>
  <c r="X35" i="6"/>
  <c r="X34" i="6"/>
  <c r="X25" i="6"/>
  <c r="X24" i="6"/>
  <c r="X23" i="6"/>
  <c r="X22" i="6"/>
  <c r="X21" i="6"/>
  <c r="X30" i="6"/>
  <c r="E11" i="2" s="1"/>
  <c r="E8" i="2"/>
  <c r="AI149" i="1"/>
  <c r="AI148" i="1"/>
  <c r="AI147" i="1"/>
  <c r="AI146" i="1"/>
  <c r="AI143" i="1"/>
  <c r="AI142" i="1"/>
  <c r="AI141" i="1"/>
  <c r="AI140" i="1"/>
  <c r="AI138" i="1"/>
  <c r="AI137" i="1"/>
  <c r="AI136" i="1"/>
  <c r="AI135" i="1"/>
  <c r="AI127" i="1"/>
  <c r="AI19" i="2" s="1"/>
  <c r="AI126" i="1"/>
  <c r="AI21" i="2"/>
  <c r="AI121" i="1"/>
  <c r="AI117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H115" i="1"/>
  <c r="F115" i="1"/>
  <c r="E115" i="1"/>
  <c r="AI114" i="1"/>
  <c r="AI112" i="1"/>
  <c r="AI111" i="1"/>
  <c r="AI110" i="1"/>
  <c r="AI109" i="1"/>
  <c r="AK109" i="1" s="1"/>
  <c r="AI108" i="1"/>
  <c r="AI107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J104" i="1"/>
  <c r="I104" i="1"/>
  <c r="H104" i="1"/>
  <c r="G104" i="1"/>
  <c r="F104" i="1"/>
  <c r="E104" i="1"/>
  <c r="AI103" i="1"/>
  <c r="AK103" i="1" s="1"/>
  <c r="AI102" i="1"/>
  <c r="AI101" i="1"/>
  <c r="AI100" i="1"/>
  <c r="AI99" i="1"/>
  <c r="AK99" i="1" s="1"/>
  <c r="AI98" i="1"/>
  <c r="AI97" i="1"/>
  <c r="AI96" i="1"/>
  <c r="AI89" i="1"/>
  <c r="AN72" i="9" s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AH74" i="1"/>
  <c r="AH75" i="1" s="1"/>
  <c r="AG74" i="1"/>
  <c r="AG75" i="1" s="1"/>
  <c r="AF74" i="1"/>
  <c r="AF75" i="1" s="1"/>
  <c r="AE74" i="1"/>
  <c r="AE75" i="1" s="1"/>
  <c r="AD74" i="1"/>
  <c r="AD75" i="1" s="1"/>
  <c r="AC74" i="1"/>
  <c r="AB74" i="1"/>
  <c r="AB75" i="1" s="1"/>
  <c r="AA74" i="1"/>
  <c r="Z74" i="1"/>
  <c r="Y74" i="1"/>
  <c r="X74" i="1"/>
  <c r="X75" i="1" s="1"/>
  <c r="W74" i="1"/>
  <c r="W75" i="1" s="1"/>
  <c r="V74" i="1"/>
  <c r="V75" i="1" s="1"/>
  <c r="U74" i="1"/>
  <c r="U75" i="1" s="1"/>
  <c r="T74" i="1"/>
  <c r="T75" i="1" s="1"/>
  <c r="S74" i="1"/>
  <c r="S75" i="1" s="1"/>
  <c r="R74" i="1"/>
  <c r="R75" i="1" s="1"/>
  <c r="Q74" i="1"/>
  <c r="P74" i="1"/>
  <c r="P75" i="1" s="1"/>
  <c r="O74" i="1"/>
  <c r="N74" i="1"/>
  <c r="M74" i="1"/>
  <c r="L74" i="1"/>
  <c r="L75" i="1" s="1"/>
  <c r="K74" i="1"/>
  <c r="K75" i="1" s="1"/>
  <c r="J74" i="1"/>
  <c r="J75" i="1" s="1"/>
  <c r="I74" i="1"/>
  <c r="I75" i="1" s="1"/>
  <c r="H74" i="1"/>
  <c r="H75" i="1" s="1"/>
  <c r="G74" i="1"/>
  <c r="G75" i="1" s="1"/>
  <c r="F74" i="1"/>
  <c r="F75" i="1" s="1"/>
  <c r="E74" i="1"/>
  <c r="AI73" i="1"/>
  <c r="AI72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AI68" i="1"/>
  <c r="AI67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K65" i="1"/>
  <c r="J65" i="1"/>
  <c r="I65" i="1"/>
  <c r="H65" i="1"/>
  <c r="G65" i="1"/>
  <c r="F65" i="1"/>
  <c r="E65" i="1"/>
  <c r="AI64" i="1"/>
  <c r="AI63" i="1"/>
  <c r="AI59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E62" i="1" s="1"/>
  <c r="X16" i="6" s="1"/>
  <c r="AI55" i="1"/>
  <c r="AI54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AI51" i="1"/>
  <c r="AI50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L48" i="1"/>
  <c r="K48" i="1"/>
  <c r="J48" i="1"/>
  <c r="I48" i="1"/>
  <c r="H48" i="1"/>
  <c r="G48" i="1"/>
  <c r="F48" i="1"/>
  <c r="E48" i="1"/>
  <c r="AI47" i="1"/>
  <c r="AI46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AI42" i="1"/>
  <c r="AI41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AH36" i="1"/>
  <c r="AG36" i="1"/>
  <c r="AF36" i="1"/>
  <c r="AE36" i="1"/>
  <c r="AD36" i="1"/>
  <c r="AC36" i="1"/>
  <c r="AB36" i="1"/>
  <c r="AA36" i="1"/>
  <c r="Z36" i="1"/>
  <c r="Z37" i="1" s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AH35" i="1"/>
  <c r="AG35" i="1"/>
  <c r="AF35" i="1"/>
  <c r="AE35" i="1"/>
  <c r="AD35" i="1"/>
  <c r="AC35" i="1"/>
  <c r="AB35" i="1"/>
  <c r="AA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AH31" i="1"/>
  <c r="AH33" i="1" s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Q31" i="1"/>
  <c r="P31" i="1"/>
  <c r="O31" i="1"/>
  <c r="N31" i="1"/>
  <c r="M31" i="1"/>
  <c r="L31" i="1"/>
  <c r="K31" i="1"/>
  <c r="J31" i="1"/>
  <c r="I31" i="1"/>
  <c r="H31" i="1"/>
  <c r="F31" i="1"/>
  <c r="E31" i="1"/>
  <c r="E33" i="1" s="1"/>
  <c r="AI30" i="1"/>
  <c r="AI29" i="1"/>
  <c r="AI28" i="1"/>
  <c r="AI27" i="1"/>
  <c r="O23" i="6" s="1"/>
  <c r="AH24" i="1"/>
  <c r="AH13" i="2" s="1"/>
  <c r="AG24" i="1"/>
  <c r="AF24" i="1"/>
  <c r="AF13" i="2" s="1"/>
  <c r="AE24" i="1"/>
  <c r="AE13" i="2" s="1"/>
  <c r="AD24" i="1"/>
  <c r="AD13" i="2" s="1"/>
  <c r="AC24" i="1"/>
  <c r="AB24" i="1"/>
  <c r="AA24" i="1"/>
  <c r="Z24" i="1"/>
  <c r="Y24" i="1"/>
  <c r="Y13" i="2" s="1"/>
  <c r="X24" i="1"/>
  <c r="X13" i="2" s="1"/>
  <c r="W24" i="1"/>
  <c r="V24" i="1"/>
  <c r="V13" i="2" s="1"/>
  <c r="U24" i="1"/>
  <c r="T24" i="1"/>
  <c r="T13" i="2" s="1"/>
  <c r="S24" i="1"/>
  <c r="S13" i="2" s="1"/>
  <c r="R13" i="2"/>
  <c r="Q24" i="1"/>
  <c r="AJ10" i="6" s="1"/>
  <c r="P24" i="1"/>
  <c r="AI10" i="6" s="1"/>
  <c r="O24" i="1"/>
  <c r="AH10" i="6" s="1"/>
  <c r="N24" i="1"/>
  <c r="AG10" i="6" s="1"/>
  <c r="M24" i="1"/>
  <c r="M13" i="2" s="1"/>
  <c r="L24" i="1"/>
  <c r="L13" i="2" s="1"/>
  <c r="J24" i="1"/>
  <c r="J13" i="2" s="1"/>
  <c r="AB10" i="6"/>
  <c r="H24" i="1"/>
  <c r="H13" i="2" s="1"/>
  <c r="G24" i="1"/>
  <c r="G13" i="2" s="1"/>
  <c r="F24" i="1"/>
  <c r="E24" i="1"/>
  <c r="E13" i="2" s="1"/>
  <c r="AI23" i="1"/>
  <c r="AH21" i="1"/>
  <c r="AH84" i="1" s="1"/>
  <c r="AH43" i="1" s="1"/>
  <c r="AG21" i="1"/>
  <c r="AG84" i="1" s="1"/>
  <c r="AG43" i="1" s="1"/>
  <c r="AF21" i="1"/>
  <c r="AF84" i="1" s="1"/>
  <c r="AF43" i="1" s="1"/>
  <c r="AE21" i="1"/>
  <c r="AE84" i="1" s="1"/>
  <c r="AE43" i="1" s="1"/>
  <c r="AD21" i="1"/>
  <c r="AD84" i="1" s="1"/>
  <c r="AD43" i="1" s="1"/>
  <c r="AC21" i="1"/>
  <c r="AC84" i="1" s="1"/>
  <c r="AC43" i="1" s="1"/>
  <c r="AB21" i="1"/>
  <c r="AB84" i="1" s="1"/>
  <c r="AB43" i="1" s="1"/>
  <c r="AA21" i="1"/>
  <c r="AA84" i="1" s="1"/>
  <c r="AA43" i="1" s="1"/>
  <c r="Z21" i="1"/>
  <c r="Z84" i="1" s="1"/>
  <c r="Z43" i="1" s="1"/>
  <c r="Y21" i="1"/>
  <c r="Y84" i="1" s="1"/>
  <c r="Y43" i="1" s="1"/>
  <c r="Y151" i="1" s="1"/>
  <c r="X21" i="1"/>
  <c r="X84" i="1" s="1"/>
  <c r="X43" i="1" s="1"/>
  <c r="W21" i="1"/>
  <c r="W84" i="1" s="1"/>
  <c r="W43" i="1" s="1"/>
  <c r="W151" i="1" s="1"/>
  <c r="V21" i="1"/>
  <c r="V84" i="1" s="1"/>
  <c r="V43" i="1" s="1"/>
  <c r="U21" i="1"/>
  <c r="U84" i="1" s="1"/>
  <c r="U43" i="1" s="1"/>
  <c r="U151" i="1" s="1"/>
  <c r="T21" i="1"/>
  <c r="T84" i="1" s="1"/>
  <c r="T43" i="1" s="1"/>
  <c r="S21" i="1"/>
  <c r="S84" i="1" s="1"/>
  <c r="S43" i="1" s="1"/>
  <c r="S151" i="1" s="1"/>
  <c r="R21" i="1"/>
  <c r="R84" i="1" s="1"/>
  <c r="R43" i="1" s="1"/>
  <c r="R151" i="1" s="1"/>
  <c r="Q21" i="1"/>
  <c r="Q84" i="1" s="1"/>
  <c r="Q43" i="1" s="1"/>
  <c r="Q151" i="1" s="1"/>
  <c r="P21" i="1"/>
  <c r="P84" i="1" s="1"/>
  <c r="P43" i="1" s="1"/>
  <c r="P151" i="1" s="1"/>
  <c r="O21" i="1"/>
  <c r="O84" i="1" s="1"/>
  <c r="O43" i="1" s="1"/>
  <c r="O151" i="1" s="1"/>
  <c r="N21" i="1"/>
  <c r="N84" i="1" s="1"/>
  <c r="N43" i="1" s="1"/>
  <c r="N151" i="1" s="1"/>
  <c r="M21" i="1"/>
  <c r="M84" i="1" s="1"/>
  <c r="M43" i="1" s="1"/>
  <c r="M151" i="1" s="1"/>
  <c r="L21" i="1"/>
  <c r="L84" i="1" s="1"/>
  <c r="K21" i="1"/>
  <c r="K84" i="1" s="1"/>
  <c r="K43" i="1" s="1"/>
  <c r="K151" i="1" s="1"/>
  <c r="J21" i="1"/>
  <c r="J84" i="1" s="1"/>
  <c r="J43" i="1" s="1"/>
  <c r="J151" i="1" s="1"/>
  <c r="I21" i="1"/>
  <c r="I84" i="1" s="1"/>
  <c r="I43" i="1" s="1"/>
  <c r="I151" i="1" s="1"/>
  <c r="H21" i="1"/>
  <c r="H84" i="1" s="1"/>
  <c r="H43" i="1" s="1"/>
  <c r="H151" i="1" s="1"/>
  <c r="G21" i="1"/>
  <c r="G84" i="1" s="1"/>
  <c r="G43" i="1" s="1"/>
  <c r="G151" i="1" s="1"/>
  <c r="F21" i="1"/>
  <c r="F84" i="1" s="1"/>
  <c r="F43" i="1" s="1"/>
  <c r="F151" i="1" s="1"/>
  <c r="E21" i="1"/>
  <c r="AH19" i="1"/>
  <c r="AH20" i="1" s="1"/>
  <c r="AG19" i="1"/>
  <c r="AG20" i="1" s="1"/>
  <c r="AF19" i="1"/>
  <c r="AF20" i="1" s="1"/>
  <c r="AE19" i="1"/>
  <c r="AE20" i="1" s="1"/>
  <c r="AD19" i="1"/>
  <c r="AD20" i="1" s="1"/>
  <c r="AC19" i="1"/>
  <c r="AC20" i="1" s="1"/>
  <c r="AB19" i="1"/>
  <c r="AB20" i="1" s="1"/>
  <c r="AA19" i="1"/>
  <c r="AA20" i="1" s="1"/>
  <c r="Z19" i="1"/>
  <c r="Z20" i="1" s="1"/>
  <c r="Y19" i="1"/>
  <c r="Y20" i="1" s="1"/>
  <c r="X19" i="1"/>
  <c r="X20" i="1" s="1"/>
  <c r="W19" i="1"/>
  <c r="W20" i="1" s="1"/>
  <c r="V19" i="1"/>
  <c r="V20" i="1" s="1"/>
  <c r="U19" i="1"/>
  <c r="U20" i="1" s="1"/>
  <c r="T19" i="1"/>
  <c r="T20" i="1" s="1"/>
  <c r="S19" i="1"/>
  <c r="S20" i="1" s="1"/>
  <c r="R19" i="1"/>
  <c r="R20" i="1" s="1"/>
  <c r="Q19" i="1"/>
  <c r="Q20" i="1" s="1"/>
  <c r="P19" i="1"/>
  <c r="P20" i="1" s="1"/>
  <c r="O19" i="1"/>
  <c r="O20" i="1" s="1"/>
  <c r="N19" i="1"/>
  <c r="N20" i="1" s="1"/>
  <c r="M19" i="1"/>
  <c r="M20" i="1" s="1"/>
  <c r="L19" i="1"/>
  <c r="L20" i="1" s="1"/>
  <c r="K19" i="1"/>
  <c r="K20" i="1" s="1"/>
  <c r="J19" i="1"/>
  <c r="J20" i="1" s="1"/>
  <c r="I19" i="1"/>
  <c r="I20" i="1" s="1"/>
  <c r="H19" i="1"/>
  <c r="H20" i="1" s="1"/>
  <c r="G19" i="1"/>
  <c r="G20" i="1" s="1"/>
  <c r="F19" i="1"/>
  <c r="F20" i="1" s="1"/>
  <c r="E19" i="1"/>
  <c r="E20" i="1" s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E14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I6" i="1"/>
  <c r="H6" i="1"/>
  <c r="G6" i="1"/>
  <c r="F6" i="1"/>
  <c r="E6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AK42" i="9" l="1"/>
  <c r="AK42" i="10" s="1"/>
  <c r="AK41" i="8"/>
  <c r="AK47" i="9"/>
  <c r="AK47" i="10" s="1"/>
  <c r="AK46" i="8"/>
  <c r="AK52" i="9"/>
  <c r="AK52" i="10" s="1"/>
  <c r="AK51" i="8"/>
  <c r="AK43" i="9"/>
  <c r="AK43" i="10" s="1"/>
  <c r="AK42" i="8"/>
  <c r="AK48" i="9"/>
  <c r="AK48" i="10" s="1"/>
  <c r="AK47" i="8"/>
  <c r="AK33" i="1"/>
  <c r="AJ97" i="1"/>
  <c r="AJ96" i="1"/>
  <c r="AJ98" i="1" s="1"/>
  <c r="AK60" i="9"/>
  <c r="AK60" i="10" s="1"/>
  <c r="AK59" i="8"/>
  <c r="AL141" i="1"/>
  <c r="AM140" i="1"/>
  <c r="AK64" i="9"/>
  <c r="AK64" i="10" s="1"/>
  <c r="AK63" i="8"/>
  <c r="AK98" i="1"/>
  <c r="AL142" i="1"/>
  <c r="AN143" i="1" s="1"/>
  <c r="AJ141" i="1"/>
  <c r="AK28" i="9"/>
  <c r="AK28" i="10" s="1"/>
  <c r="AK28" i="8"/>
  <c r="AK65" i="9"/>
  <c r="AK65" i="10" s="1"/>
  <c r="AK64" i="8"/>
  <c r="AI115" i="1"/>
  <c r="AK115" i="1" s="1"/>
  <c r="AK23" i="10"/>
  <c r="AK23" i="9"/>
  <c r="AK23" i="8"/>
  <c r="AK29" i="1"/>
  <c r="AK31" i="1" s="1"/>
  <c r="AK30" i="9"/>
  <c r="AK30" i="10" s="1"/>
  <c r="AK29" i="8"/>
  <c r="AJ136" i="1"/>
  <c r="AK55" i="9"/>
  <c r="AK55" i="10" s="1"/>
  <c r="AK54" i="8"/>
  <c r="AK100" i="1"/>
  <c r="AK30" i="1"/>
  <c r="AK31" i="9"/>
  <c r="AK31" i="10" s="1"/>
  <c r="AK30" i="8"/>
  <c r="AK51" i="9"/>
  <c r="AK51" i="10" s="1"/>
  <c r="AK50" i="8"/>
  <c r="AK56" i="9"/>
  <c r="AK56" i="10" s="1"/>
  <c r="AK55" i="8"/>
  <c r="AJ107" i="1"/>
  <c r="AJ108" i="1" s="1"/>
  <c r="U24" i="6"/>
  <c r="U25" i="6"/>
  <c r="U34" i="6"/>
  <c r="U35" i="6"/>
  <c r="U36" i="6"/>
  <c r="G8" i="2"/>
  <c r="G11" i="2"/>
  <c r="AK112" i="1"/>
  <c r="AJ110" i="1"/>
  <c r="AM143" i="1"/>
  <c r="AN141" i="1"/>
  <c r="AJ101" i="1"/>
  <c r="AJ137" i="1"/>
  <c r="I154" i="1"/>
  <c r="Q154" i="1"/>
  <c r="Y154" i="1"/>
  <c r="X151" i="1"/>
  <c r="E34" i="1"/>
  <c r="Z151" i="1"/>
  <c r="Z154" i="1" s="1"/>
  <c r="M154" i="1"/>
  <c r="U154" i="1"/>
  <c r="AI18" i="2"/>
  <c r="O34" i="6"/>
  <c r="AI22" i="2"/>
  <c r="X155" i="1"/>
  <c r="Y152" i="1"/>
  <c r="Q153" i="1"/>
  <c r="I155" i="1"/>
  <c r="Q155" i="1"/>
  <c r="Y155" i="1"/>
  <c r="I152" i="1"/>
  <c r="F154" i="1"/>
  <c r="N154" i="1"/>
  <c r="H155" i="1"/>
  <c r="P155" i="1"/>
  <c r="Q152" i="1"/>
  <c r="I153" i="1"/>
  <c r="G154" i="1"/>
  <c r="O154" i="1"/>
  <c r="H154" i="1"/>
  <c r="P154" i="1"/>
  <c r="X154" i="1"/>
  <c r="AK96" i="1"/>
  <c r="AI56" i="1"/>
  <c r="AH151" i="1"/>
  <c r="AH156" i="1" s="1"/>
  <c r="AF151" i="1"/>
  <c r="AF152" i="1" s="1"/>
  <c r="AG151" i="1"/>
  <c r="AG157" i="1" s="1"/>
  <c r="R156" i="1"/>
  <c r="R157" i="1"/>
  <c r="K152" i="1"/>
  <c r="K157" i="1"/>
  <c r="K156" i="1"/>
  <c r="AH152" i="1"/>
  <c r="AB151" i="1"/>
  <c r="AB155" i="1" s="1"/>
  <c r="R155" i="1"/>
  <c r="S153" i="1"/>
  <c r="U157" i="1"/>
  <c r="U156" i="1"/>
  <c r="K155" i="1"/>
  <c r="F152" i="1"/>
  <c r="F156" i="1"/>
  <c r="F157" i="1"/>
  <c r="AD151" i="1"/>
  <c r="R33" i="1"/>
  <c r="R34" i="1" s="1"/>
  <c r="AK9" i="6" s="1"/>
  <c r="G152" i="1"/>
  <c r="G156" i="1"/>
  <c r="G157" i="1"/>
  <c r="O152" i="1"/>
  <c r="O156" i="1"/>
  <c r="O157" i="1"/>
  <c r="W153" i="1"/>
  <c r="AE151" i="1"/>
  <c r="AE153" i="1" s="1"/>
  <c r="M155" i="1"/>
  <c r="U155" i="1"/>
  <c r="AC155" i="1"/>
  <c r="F153" i="1"/>
  <c r="N153" i="1"/>
  <c r="J154" i="1"/>
  <c r="R154" i="1"/>
  <c r="J156" i="1"/>
  <c r="J157" i="1"/>
  <c r="Z153" i="1"/>
  <c r="S152" i="1"/>
  <c r="S157" i="1"/>
  <c r="S156" i="1"/>
  <c r="R153" i="1"/>
  <c r="K153" i="1"/>
  <c r="W154" i="1"/>
  <c r="N152" i="1"/>
  <c r="N156" i="1"/>
  <c r="N157" i="1"/>
  <c r="U152" i="1"/>
  <c r="M153" i="1"/>
  <c r="H152" i="1"/>
  <c r="H156" i="1"/>
  <c r="H157" i="1"/>
  <c r="P152" i="1"/>
  <c r="P156" i="1"/>
  <c r="P157" i="1"/>
  <c r="X152" i="1"/>
  <c r="X157" i="1"/>
  <c r="X156" i="1"/>
  <c r="F155" i="1"/>
  <c r="N155" i="1"/>
  <c r="G153" i="1"/>
  <c r="O153" i="1"/>
  <c r="X153" i="1"/>
  <c r="K154" i="1"/>
  <c r="S154" i="1"/>
  <c r="AI23" i="2"/>
  <c r="AI94" i="1"/>
  <c r="Z156" i="1"/>
  <c r="Z157" i="1"/>
  <c r="AH153" i="1"/>
  <c r="AA151" i="1"/>
  <c r="AA154" i="1" s="1"/>
  <c r="R152" i="1"/>
  <c r="J153" i="1"/>
  <c r="O25" i="6"/>
  <c r="T53" i="1"/>
  <c r="AM15" i="6" s="1"/>
  <c r="T151" i="1"/>
  <c r="J155" i="1"/>
  <c r="J152" i="1"/>
  <c r="M157" i="1"/>
  <c r="M156" i="1"/>
  <c r="M152" i="1"/>
  <c r="AC151" i="1"/>
  <c r="S155" i="1"/>
  <c r="U153" i="1"/>
  <c r="V151" i="1"/>
  <c r="V154" i="1" s="1"/>
  <c r="I156" i="1"/>
  <c r="I157" i="1"/>
  <c r="Q156" i="1"/>
  <c r="Q157" i="1"/>
  <c r="Y156" i="1"/>
  <c r="Y157" i="1"/>
  <c r="AG156" i="1"/>
  <c r="G155" i="1"/>
  <c r="O155" i="1"/>
  <c r="W155" i="1"/>
  <c r="H153" i="1"/>
  <c r="P153" i="1"/>
  <c r="Y153" i="1"/>
  <c r="AG153" i="1"/>
  <c r="F62" i="1"/>
  <c r="Y16" i="6" s="1"/>
  <c r="J62" i="1"/>
  <c r="AC16" i="6" s="1"/>
  <c r="AA66" i="1"/>
  <c r="AT14" i="6" s="1"/>
  <c r="AV10" i="6"/>
  <c r="AC13" i="2"/>
  <c r="AU10" i="6"/>
  <c r="AB13" i="2"/>
  <c r="G22" i="1"/>
  <c r="AZ10" i="6"/>
  <c r="AG13" i="2"/>
  <c r="AC49" i="1"/>
  <c r="AV17" i="6" s="1"/>
  <c r="AT10" i="6"/>
  <c r="AA13" i="2"/>
  <c r="AS10" i="6"/>
  <c r="Z13" i="2"/>
  <c r="AP10" i="6"/>
  <c r="W13" i="2"/>
  <c r="AN10" i="6"/>
  <c r="U13" i="2"/>
  <c r="AD49" i="1"/>
  <c r="AW17" i="6" s="1"/>
  <c r="F49" i="1"/>
  <c r="Y17" i="6" s="1"/>
  <c r="H49" i="1"/>
  <c r="AA17" i="6" s="1"/>
  <c r="AF49" i="1"/>
  <c r="AY17" i="6" s="1"/>
  <c r="Q49" i="1"/>
  <c r="AJ17" i="6" s="1"/>
  <c r="K70" i="1"/>
  <c r="K62" i="1"/>
  <c r="AD16" i="6" s="1"/>
  <c r="K58" i="1"/>
  <c r="AD12" i="6" s="1"/>
  <c r="AB70" i="1"/>
  <c r="AB58" i="1"/>
  <c r="AU12" i="6" s="1"/>
  <c r="AB62" i="1"/>
  <c r="AU16" i="6" s="1"/>
  <c r="AC58" i="1"/>
  <c r="AV12" i="6" s="1"/>
  <c r="AC62" i="1"/>
  <c r="AV16" i="6" s="1"/>
  <c r="L66" i="1"/>
  <c r="AE14" i="6" s="1"/>
  <c r="L58" i="1"/>
  <c r="AE12" i="6" s="1"/>
  <c r="L62" i="1"/>
  <c r="AE16" i="6" s="1"/>
  <c r="N62" i="1"/>
  <c r="AG16" i="6" s="1"/>
  <c r="N58" i="1"/>
  <c r="AG12" i="6" s="1"/>
  <c r="O58" i="1"/>
  <c r="AH12" i="6" s="1"/>
  <c r="O62" i="1"/>
  <c r="AH16" i="6" s="1"/>
  <c r="AE58" i="1"/>
  <c r="AX12" i="6" s="1"/>
  <c r="AE62" i="1"/>
  <c r="AX16" i="6" s="1"/>
  <c r="R49" i="1"/>
  <c r="AK17" i="6" s="1"/>
  <c r="AH49" i="1"/>
  <c r="BA17" i="6" s="1"/>
  <c r="H62" i="1"/>
  <c r="AA16" i="6" s="1"/>
  <c r="H58" i="1"/>
  <c r="AA12" i="6" s="1"/>
  <c r="P70" i="1"/>
  <c r="P62" i="1"/>
  <c r="AI16" i="6" s="1"/>
  <c r="P58" i="1"/>
  <c r="AI12" i="6" s="1"/>
  <c r="X62" i="1"/>
  <c r="AQ16" i="6" s="1"/>
  <c r="X58" i="1"/>
  <c r="AQ12" i="6" s="1"/>
  <c r="AF62" i="1"/>
  <c r="AY16" i="6" s="1"/>
  <c r="AF58" i="1"/>
  <c r="AY12" i="6" s="1"/>
  <c r="AA62" i="1"/>
  <c r="AT16" i="6" s="1"/>
  <c r="AA58" i="1"/>
  <c r="AT12" i="6" s="1"/>
  <c r="M62" i="1"/>
  <c r="AF16" i="6" s="1"/>
  <c r="M58" i="1"/>
  <c r="AF12" i="6" s="1"/>
  <c r="U62" i="1"/>
  <c r="AN16" i="6" s="1"/>
  <c r="U58" i="1"/>
  <c r="AN12" i="6" s="1"/>
  <c r="V62" i="1"/>
  <c r="AO16" i="6" s="1"/>
  <c r="V58" i="1"/>
  <c r="AO12" i="6" s="1"/>
  <c r="W58" i="1"/>
  <c r="AP12" i="6" s="1"/>
  <c r="W62" i="1"/>
  <c r="AP16" i="6" s="1"/>
  <c r="I62" i="1"/>
  <c r="AB16" i="6" s="1"/>
  <c r="I58" i="1"/>
  <c r="AB12" i="6" s="1"/>
  <c r="Q58" i="1"/>
  <c r="AJ12" i="6" s="1"/>
  <c r="Q62" i="1"/>
  <c r="AJ16" i="6" s="1"/>
  <c r="Y62" i="1"/>
  <c r="AR16" i="6" s="1"/>
  <c r="Y58" i="1"/>
  <c r="AR12" i="6" s="1"/>
  <c r="AG62" i="1"/>
  <c r="AZ16" i="6" s="1"/>
  <c r="AG58" i="1"/>
  <c r="AZ12" i="6" s="1"/>
  <c r="S62" i="1"/>
  <c r="AL16" i="6" s="1"/>
  <c r="S58" i="1"/>
  <c r="AL12" i="6" s="1"/>
  <c r="T62" i="1"/>
  <c r="AM16" i="6" s="1"/>
  <c r="T58" i="1"/>
  <c r="AM12" i="6" s="1"/>
  <c r="AD58" i="1"/>
  <c r="AW12" i="6" s="1"/>
  <c r="AD62" i="1"/>
  <c r="AW16" i="6" s="1"/>
  <c r="T49" i="1"/>
  <c r="AM17" i="6" s="1"/>
  <c r="J58" i="1"/>
  <c r="AC12" i="6" s="1"/>
  <c r="R62" i="1"/>
  <c r="AK16" i="6" s="1"/>
  <c r="R58" i="1"/>
  <c r="AK12" i="6" s="1"/>
  <c r="Z62" i="1"/>
  <c r="AS16" i="6" s="1"/>
  <c r="Z58" i="1"/>
  <c r="AS12" i="6" s="1"/>
  <c r="AH62" i="1"/>
  <c r="BA16" i="6" s="1"/>
  <c r="AH58" i="1"/>
  <c r="BA12" i="6" s="1"/>
  <c r="AJ90" i="1"/>
  <c r="AI15" i="2" s="1"/>
  <c r="G58" i="1"/>
  <c r="Z12" i="6" s="1"/>
  <c r="G62" i="1"/>
  <c r="Z16" i="6" s="1"/>
  <c r="AJ89" i="1"/>
  <c r="AI14" i="2" s="1"/>
  <c r="E58" i="1"/>
  <c r="X12" i="6" s="1"/>
  <c r="J49" i="1"/>
  <c r="AC17" i="6" s="1"/>
  <c r="V49" i="1"/>
  <c r="AO17" i="6" s="1"/>
  <c r="AB16" i="1"/>
  <c r="P49" i="1"/>
  <c r="AI17" i="6" s="1"/>
  <c r="AB49" i="1"/>
  <c r="AU17" i="6" s="1"/>
  <c r="G49" i="1"/>
  <c r="Z17" i="6" s="1"/>
  <c r="S49" i="1"/>
  <c r="AL17" i="6" s="1"/>
  <c r="AE49" i="1"/>
  <c r="AX17" i="6" s="1"/>
  <c r="F58" i="1"/>
  <c r="Y12" i="6" s="1"/>
  <c r="K16" i="1"/>
  <c r="W16" i="1"/>
  <c r="I49" i="1"/>
  <c r="AB17" i="6" s="1"/>
  <c r="U49" i="1"/>
  <c r="AN17" i="6" s="1"/>
  <c r="AG49" i="1"/>
  <c r="AZ17" i="6" s="1"/>
  <c r="K49" i="1"/>
  <c r="AD17" i="6" s="1"/>
  <c r="W49" i="1"/>
  <c r="AP17" i="6" s="1"/>
  <c r="X49" i="1"/>
  <c r="AQ17" i="6" s="1"/>
  <c r="M49" i="1"/>
  <c r="AF17" i="6" s="1"/>
  <c r="Y49" i="1"/>
  <c r="AR17" i="6" s="1"/>
  <c r="N49" i="1"/>
  <c r="AG17" i="6" s="1"/>
  <c r="Z49" i="1"/>
  <c r="AS17" i="6" s="1"/>
  <c r="O49" i="1"/>
  <c r="AH17" i="6" s="1"/>
  <c r="AA49" i="1"/>
  <c r="AT17" i="6" s="1"/>
  <c r="X53" i="1"/>
  <c r="AQ15" i="6" s="1"/>
  <c r="AB22" i="1"/>
  <c r="AA37" i="1"/>
  <c r="AA5" i="2" s="1"/>
  <c r="F13" i="2"/>
  <c r="Y10" i="6"/>
  <c r="Q5" i="1"/>
  <c r="Q2" i="2" s="1"/>
  <c r="AC5" i="1"/>
  <c r="AC2" i="2" s="1"/>
  <c r="P8" i="1"/>
  <c r="AI5" i="6" s="1"/>
  <c r="AB8" i="1"/>
  <c r="Z16" i="1"/>
  <c r="V8" i="1"/>
  <c r="V3" i="2" s="1"/>
  <c r="X5" i="1"/>
  <c r="X2" i="2" s="1"/>
  <c r="J8" i="1"/>
  <c r="AC5" i="6" s="1"/>
  <c r="AH8" i="1"/>
  <c r="AH3" i="2" s="1"/>
  <c r="T16" i="1"/>
  <c r="H5" i="1"/>
  <c r="AA4" i="6" s="1"/>
  <c r="T5" i="1"/>
  <c r="T2" i="2" s="1"/>
  <c r="AF5" i="1"/>
  <c r="P16" i="1"/>
  <c r="O35" i="6"/>
  <c r="O36" i="6"/>
  <c r="H22" i="1"/>
  <c r="T22" i="1"/>
  <c r="AF22" i="1"/>
  <c r="G70" i="1"/>
  <c r="S70" i="1"/>
  <c r="AE70" i="1"/>
  <c r="P105" i="1"/>
  <c r="AB105" i="1"/>
  <c r="H70" i="1"/>
  <c r="T66" i="1"/>
  <c r="AM14" i="6" s="1"/>
  <c r="AF70" i="1"/>
  <c r="AB37" i="1"/>
  <c r="AB5" i="2" s="1"/>
  <c r="AI119" i="1"/>
  <c r="K37" i="1"/>
  <c r="W37" i="1"/>
  <c r="I40" i="1"/>
  <c r="I6" i="2" s="1"/>
  <c r="U40" i="1"/>
  <c r="AG40" i="1"/>
  <c r="AG37" i="1"/>
  <c r="S16" i="1"/>
  <c r="H40" i="1"/>
  <c r="H6" i="2" s="1"/>
  <c r="AF40" i="1"/>
  <c r="AF6" i="2" s="1"/>
  <c r="S22" i="1"/>
  <c r="AE22" i="1"/>
  <c r="U45" i="1"/>
  <c r="AN13" i="6" s="1"/>
  <c r="L37" i="1"/>
  <c r="L5" i="2" s="1"/>
  <c r="X37" i="1"/>
  <c r="X5" i="2" s="1"/>
  <c r="I37" i="1"/>
  <c r="AB7" i="6" s="1"/>
  <c r="E22" i="1"/>
  <c r="O33" i="1"/>
  <c r="O34" i="1" s="1"/>
  <c r="M37" i="1"/>
  <c r="M5" i="2" s="1"/>
  <c r="U37" i="1"/>
  <c r="T40" i="1"/>
  <c r="T6" i="2" s="1"/>
  <c r="AA33" i="1"/>
  <c r="H33" i="1"/>
  <c r="H34" i="1" s="1"/>
  <c r="T33" i="1"/>
  <c r="T34" i="1" s="1"/>
  <c r="Y37" i="1"/>
  <c r="O105" i="1"/>
  <c r="AA105" i="1"/>
  <c r="K71" i="1"/>
  <c r="W71" i="1"/>
  <c r="P33" i="1"/>
  <c r="P34" i="1" s="1"/>
  <c r="AB33" i="1"/>
  <c r="AB34" i="1" s="1"/>
  <c r="AU9" i="6" s="1"/>
  <c r="AI123" i="1"/>
  <c r="AG105" i="1"/>
  <c r="V105" i="1"/>
  <c r="L22" i="1"/>
  <c r="AE33" i="1"/>
  <c r="AE34" i="1" s="1"/>
  <c r="AX9" i="6" s="1"/>
  <c r="I66" i="1"/>
  <c r="AB14" i="6" s="1"/>
  <c r="AR10" i="6"/>
  <c r="T8" i="1"/>
  <c r="T3" i="2" s="1"/>
  <c r="M22" i="1"/>
  <c r="G16" i="1"/>
  <c r="W66" i="1"/>
  <c r="AP14" i="6" s="1"/>
  <c r="M105" i="1"/>
  <c r="Y105" i="1"/>
  <c r="H16" i="1"/>
  <c r="AF16" i="1"/>
  <c r="Q53" i="1"/>
  <c r="AJ15" i="6" s="1"/>
  <c r="J33" i="1"/>
  <c r="V33" i="1"/>
  <c r="AH34" i="1"/>
  <c r="BA9" i="6" s="1"/>
  <c r="E37" i="1"/>
  <c r="X7" i="6" s="1"/>
  <c r="M40" i="1"/>
  <c r="AF8" i="6" s="1"/>
  <c r="J105" i="1"/>
  <c r="X22" i="1"/>
  <c r="G33" i="1"/>
  <c r="G34" i="1" s="1"/>
  <c r="K105" i="1"/>
  <c r="H8" i="1"/>
  <c r="H3" i="2" s="1"/>
  <c r="Y22" i="1"/>
  <c r="L5" i="1"/>
  <c r="L2" i="2" s="1"/>
  <c r="AG8" i="1"/>
  <c r="AG3" i="2" s="1"/>
  <c r="AE16" i="1"/>
  <c r="I33" i="1"/>
  <c r="I34" i="1" s="1"/>
  <c r="P37" i="1"/>
  <c r="P5" i="2" s="1"/>
  <c r="L40" i="1"/>
  <c r="AE8" i="6" s="1"/>
  <c r="K8" i="1"/>
  <c r="K3" i="2" s="1"/>
  <c r="W8" i="1"/>
  <c r="W3" i="2" s="1"/>
  <c r="I16" i="1"/>
  <c r="U16" i="1"/>
  <c r="AG16" i="1"/>
  <c r="P22" i="1"/>
  <c r="K33" i="1"/>
  <c r="K34" i="1" s="1"/>
  <c r="W33" i="1"/>
  <c r="W34" i="1" s="1"/>
  <c r="F37" i="1"/>
  <c r="Y7" i="6" s="1"/>
  <c r="R37" i="1"/>
  <c r="AD37" i="1"/>
  <c r="AD5" i="2" s="1"/>
  <c r="G40" i="1"/>
  <c r="G6" i="2" s="1"/>
  <c r="S40" i="1"/>
  <c r="S6" i="2" s="1"/>
  <c r="AE40" i="1"/>
  <c r="AE6" i="2" s="1"/>
  <c r="Y66" i="1"/>
  <c r="AR14" i="6" s="1"/>
  <c r="U22" i="1"/>
  <c r="AH105" i="1"/>
  <c r="N22" i="1"/>
  <c r="U33" i="1"/>
  <c r="X40" i="1"/>
  <c r="AC40" i="1"/>
  <c r="AC6" i="2" s="1"/>
  <c r="L8" i="1"/>
  <c r="AE5" i="6" s="1"/>
  <c r="X8" i="1"/>
  <c r="J16" i="1"/>
  <c r="V16" i="1"/>
  <c r="AH16" i="1"/>
  <c r="X33" i="1"/>
  <c r="X34" i="1" s="1"/>
  <c r="AF66" i="1"/>
  <c r="AY14" i="6" s="1"/>
  <c r="I105" i="1"/>
  <c r="S33" i="1"/>
  <c r="S34" i="1" s="1"/>
  <c r="N37" i="1"/>
  <c r="AG7" i="6" s="1"/>
  <c r="W105" i="1"/>
  <c r="AF8" i="1"/>
  <c r="AF3" i="2" s="1"/>
  <c r="Z22" i="1"/>
  <c r="AF33" i="1"/>
  <c r="AF34" i="1" s="1"/>
  <c r="AY9" i="6" s="1"/>
  <c r="O37" i="1"/>
  <c r="O5" i="2" s="1"/>
  <c r="AI14" i="1"/>
  <c r="AG33" i="1"/>
  <c r="AG34" i="1" s="1"/>
  <c r="AZ9" i="6" s="1"/>
  <c r="U5" i="1"/>
  <c r="AG5" i="1"/>
  <c r="Y8" i="1"/>
  <c r="F8" i="1"/>
  <c r="F3" i="2" s="1"/>
  <c r="R8" i="1"/>
  <c r="R3" i="2" s="1"/>
  <c r="AD8" i="1"/>
  <c r="AD3" i="2" s="1"/>
  <c r="H76" i="1"/>
  <c r="T76" i="1"/>
  <c r="AF76" i="1"/>
  <c r="M33" i="1"/>
  <c r="Y33" i="1"/>
  <c r="Y34" i="1" s="1"/>
  <c r="H37" i="1"/>
  <c r="AA7" i="6" s="1"/>
  <c r="AF37" i="1"/>
  <c r="AF5" i="2" s="1"/>
  <c r="P40" i="1"/>
  <c r="P6" i="2" s="1"/>
  <c r="AB40" i="1"/>
  <c r="AB6" i="2" s="1"/>
  <c r="O70" i="1"/>
  <c r="AA70" i="1"/>
  <c r="E105" i="1"/>
  <c r="T37" i="1"/>
  <c r="T5" i="2" s="1"/>
  <c r="G37" i="1"/>
  <c r="S37" i="1"/>
  <c r="AE37" i="1"/>
  <c r="AE5" i="2" s="1"/>
  <c r="F33" i="1"/>
  <c r="F34" i="1" s="1"/>
  <c r="AD33" i="1"/>
  <c r="AD34" i="1" s="1"/>
  <c r="AW9" i="6" s="1"/>
  <c r="J37" i="1"/>
  <c r="V37" i="1"/>
  <c r="V5" i="2" s="1"/>
  <c r="AH37" i="1"/>
  <c r="AH5" i="2" s="1"/>
  <c r="M8" i="1"/>
  <c r="AF5" i="6" s="1"/>
  <c r="E40" i="1"/>
  <c r="X8" i="6" s="1"/>
  <c r="Q40" i="1"/>
  <c r="AJ8" i="6" s="1"/>
  <c r="N8" i="1"/>
  <c r="AG5" i="6" s="1"/>
  <c r="Z8" i="1"/>
  <c r="E8" i="1"/>
  <c r="X5" i="6" s="1"/>
  <c r="AC8" i="1"/>
  <c r="AC3" i="2" s="1"/>
  <c r="I8" i="1"/>
  <c r="I3" i="2" s="1"/>
  <c r="U8" i="1"/>
  <c r="AI6" i="1"/>
  <c r="M5" i="1"/>
  <c r="P5" i="1"/>
  <c r="F5" i="1"/>
  <c r="R5" i="1"/>
  <c r="AD5" i="1"/>
  <c r="AD2" i="2" s="1"/>
  <c r="F40" i="1"/>
  <c r="Y8" i="6" s="1"/>
  <c r="R40" i="1"/>
  <c r="AD40" i="1"/>
  <c r="AD6" i="2" s="1"/>
  <c r="AB5" i="1"/>
  <c r="AB2" i="2" s="1"/>
  <c r="Q105" i="1"/>
  <c r="AC105" i="1"/>
  <c r="J5" i="1"/>
  <c r="J40" i="1"/>
  <c r="V40" i="1"/>
  <c r="V6" i="2" s="1"/>
  <c r="AH40" i="1"/>
  <c r="AH6" i="2" s="1"/>
  <c r="K40" i="1"/>
  <c r="W40" i="1"/>
  <c r="W6" i="2" s="1"/>
  <c r="AE105" i="1"/>
  <c r="Q8" i="1"/>
  <c r="Y5" i="1"/>
  <c r="Y2" i="2" s="1"/>
  <c r="I5" i="1"/>
  <c r="Y40" i="1"/>
  <c r="Y6" i="2" s="1"/>
  <c r="N5" i="1"/>
  <c r="Z5" i="1"/>
  <c r="Z2" i="2" s="1"/>
  <c r="N40" i="1"/>
  <c r="Z40" i="1"/>
  <c r="Z6" i="2" s="1"/>
  <c r="Z45" i="1"/>
  <c r="AS13" i="6" s="1"/>
  <c r="N76" i="1"/>
  <c r="Z76" i="1"/>
  <c r="AF10" i="6"/>
  <c r="O22" i="1"/>
  <c r="AA22" i="1"/>
  <c r="N53" i="1"/>
  <c r="AG15" i="6" s="1"/>
  <c r="Z53" i="1"/>
  <c r="AS15" i="6" s="1"/>
  <c r="AC45" i="1"/>
  <c r="AV13" i="6" s="1"/>
  <c r="O71" i="1"/>
  <c r="AA76" i="1"/>
  <c r="AI15" i="1"/>
  <c r="F22" i="1"/>
  <c r="R22" i="1"/>
  <c r="AD22" i="1"/>
  <c r="O66" i="1"/>
  <c r="AH14" i="6" s="1"/>
  <c r="F70" i="1"/>
  <c r="R70" i="1"/>
  <c r="AD70" i="1"/>
  <c r="L16" i="1"/>
  <c r="X16" i="1"/>
  <c r="N16" i="1"/>
  <c r="O16" i="1"/>
  <c r="AA16" i="1"/>
  <c r="I13" i="2"/>
  <c r="K13" i="2"/>
  <c r="E16" i="1"/>
  <c r="Q16" i="1"/>
  <c r="AC16" i="1"/>
  <c r="J22" i="1"/>
  <c r="V22" i="1"/>
  <c r="AH22" i="1"/>
  <c r="O76" i="1"/>
  <c r="F16" i="1"/>
  <c r="R16" i="1"/>
  <c r="AD16" i="1"/>
  <c r="K22" i="1"/>
  <c r="W22" i="1"/>
  <c r="J53" i="1"/>
  <c r="AC15" i="6" s="1"/>
  <c r="F66" i="1"/>
  <c r="Y14" i="6" s="1"/>
  <c r="AH53" i="1"/>
  <c r="BA15" i="6" s="1"/>
  <c r="N71" i="1"/>
  <c r="Z71" i="1"/>
  <c r="T70" i="1"/>
  <c r="P66" i="1"/>
  <c r="AI14" i="6" s="1"/>
  <c r="AB66" i="1"/>
  <c r="AU14" i="6" s="1"/>
  <c r="W70" i="1"/>
  <c r="J76" i="1"/>
  <c r="AE53" i="1"/>
  <c r="AX15" i="6" s="1"/>
  <c r="Q66" i="1"/>
  <c r="AJ14" i="6" s="1"/>
  <c r="AC66" i="1"/>
  <c r="AV14" i="6" s="1"/>
  <c r="E66" i="1"/>
  <c r="X14" i="6" s="1"/>
  <c r="H66" i="1"/>
  <c r="AA14" i="6" s="1"/>
  <c r="V66" i="1"/>
  <c r="AO14" i="6" s="1"/>
  <c r="AH66" i="1"/>
  <c r="BA14" i="6" s="1"/>
  <c r="J66" i="1"/>
  <c r="AC14" i="6" s="1"/>
  <c r="J70" i="1"/>
  <c r="V70" i="1"/>
  <c r="AH70" i="1"/>
  <c r="S53" i="1"/>
  <c r="AL15" i="6" s="1"/>
  <c r="AE71" i="1"/>
  <c r="K66" i="1"/>
  <c r="AD14" i="6" s="1"/>
  <c r="X66" i="1"/>
  <c r="AQ14" i="6" s="1"/>
  <c r="M66" i="1"/>
  <c r="AF14" i="6" s="1"/>
  <c r="L70" i="1"/>
  <c r="X70" i="1"/>
  <c r="N66" i="1"/>
  <c r="AG14" i="6" s="1"/>
  <c r="Z66" i="1"/>
  <c r="AS14" i="6" s="1"/>
  <c r="AD66" i="1"/>
  <c r="AW14" i="6" s="1"/>
  <c r="R66" i="1"/>
  <c r="AK14" i="6" s="1"/>
  <c r="AA71" i="1"/>
  <c r="AI52" i="1"/>
  <c r="N45" i="1"/>
  <c r="AG13" i="6" s="1"/>
  <c r="BA10" i="6"/>
  <c r="AO10" i="6"/>
  <c r="AC10" i="6"/>
  <c r="N13" i="2"/>
  <c r="X10" i="6"/>
  <c r="O13" i="2"/>
  <c r="AY10" i="6"/>
  <c r="AM10" i="6"/>
  <c r="AA10" i="6"/>
  <c r="P13" i="2"/>
  <c r="AX10" i="6"/>
  <c r="AL10" i="6"/>
  <c r="Z10" i="6"/>
  <c r="Q13" i="2"/>
  <c r="AW10" i="6"/>
  <c r="AK10" i="6"/>
  <c r="AQ10" i="6"/>
  <c r="AE10" i="6"/>
  <c r="U23" i="6"/>
  <c r="AG45" i="1"/>
  <c r="AZ13" i="6" s="1"/>
  <c r="V76" i="1"/>
  <c r="V53" i="1"/>
  <c r="AO15" i="6" s="1"/>
  <c r="L53" i="1"/>
  <c r="AE15" i="6" s="1"/>
  <c r="L43" i="1"/>
  <c r="L151" i="1" s="1"/>
  <c r="F53" i="1"/>
  <c r="Y15" i="6" s="1"/>
  <c r="R53" i="1"/>
  <c r="AK15" i="6" s="1"/>
  <c r="AD53" i="1"/>
  <c r="AW15" i="6" s="1"/>
  <c r="AH71" i="1"/>
  <c r="AI86" i="1"/>
  <c r="J45" i="1"/>
  <c r="AC13" i="6" s="1"/>
  <c r="V45" i="1"/>
  <c r="AO13" i="6" s="1"/>
  <c r="AH45" i="1"/>
  <c r="BA13" i="6" s="1"/>
  <c r="O75" i="1"/>
  <c r="G76" i="1"/>
  <c r="AI81" i="1"/>
  <c r="T45" i="1"/>
  <c r="AM13" i="6" s="1"/>
  <c r="M75" i="1"/>
  <c r="M76" i="1"/>
  <c r="Y75" i="1"/>
  <c r="Y76" i="1"/>
  <c r="O5" i="1"/>
  <c r="AA5" i="1"/>
  <c r="AA2" i="2" s="1"/>
  <c r="M16" i="1"/>
  <c r="Y16" i="1"/>
  <c r="Q33" i="1"/>
  <c r="Q34" i="1" s="1"/>
  <c r="L105" i="1"/>
  <c r="X105" i="1"/>
  <c r="AI4" i="1"/>
  <c r="AI7" i="1"/>
  <c r="I22" i="1"/>
  <c r="AC22" i="1"/>
  <c r="N33" i="1"/>
  <c r="Z33" i="1"/>
  <c r="Z34" i="1" s="1"/>
  <c r="H53" i="1"/>
  <c r="AA15" i="6" s="1"/>
  <c r="AF53" i="1"/>
  <c r="AY15" i="6" s="1"/>
  <c r="AC53" i="1"/>
  <c r="AV15" i="6" s="1"/>
  <c r="I70" i="1"/>
  <c r="U70" i="1"/>
  <c r="AG70" i="1"/>
  <c r="P76" i="1"/>
  <c r="AB76" i="1"/>
  <c r="F105" i="1"/>
  <c r="I53" i="1"/>
  <c r="AB15" i="6" s="1"/>
  <c r="U53" i="1"/>
  <c r="AN15" i="6" s="1"/>
  <c r="AG53" i="1"/>
  <c r="AZ15" i="6" s="1"/>
  <c r="G71" i="1"/>
  <c r="Q76" i="1"/>
  <c r="AC76" i="1"/>
  <c r="G105" i="1"/>
  <c r="N105" i="1"/>
  <c r="Z105" i="1"/>
  <c r="G5" i="1"/>
  <c r="S5" i="1"/>
  <c r="AE5" i="1"/>
  <c r="AE2" i="2" s="1"/>
  <c r="O8" i="1"/>
  <c r="AA8" i="1"/>
  <c r="AA3" i="2" s="1"/>
  <c r="AG22" i="1"/>
  <c r="Q37" i="1"/>
  <c r="M45" i="1"/>
  <c r="AF13" i="6" s="1"/>
  <c r="Y45" i="1"/>
  <c r="AR13" i="6" s="1"/>
  <c r="I45" i="1"/>
  <c r="AB13" i="6" s="1"/>
  <c r="S66" i="1"/>
  <c r="AL14" i="6" s="1"/>
  <c r="AE66" i="1"/>
  <c r="AX14" i="6" s="1"/>
  <c r="J71" i="1"/>
  <c r="AI74" i="1"/>
  <c r="F76" i="1"/>
  <c r="R76" i="1"/>
  <c r="AD76" i="1"/>
  <c r="AI83" i="1"/>
  <c r="AI85" i="1"/>
  <c r="AI21" i="1"/>
  <c r="E84" i="1"/>
  <c r="AI20" i="1"/>
  <c r="AI31" i="1"/>
  <c r="AK31" i="8" s="1"/>
  <c r="K53" i="1"/>
  <c r="AD15" i="6" s="1"/>
  <c r="W53" i="1"/>
  <c r="AP15" i="6" s="1"/>
  <c r="G66" i="1"/>
  <c r="Z14" i="6" s="1"/>
  <c r="S76" i="1"/>
  <c r="AC33" i="1"/>
  <c r="AC34" i="1" s="1"/>
  <c r="AV9" i="6" s="1"/>
  <c r="AI57" i="1"/>
  <c r="U66" i="1"/>
  <c r="AN14" i="6" s="1"/>
  <c r="AG66" i="1"/>
  <c r="AZ14" i="6" s="1"/>
  <c r="M70" i="1"/>
  <c r="M71" i="1"/>
  <c r="Y70" i="1"/>
  <c r="Y71" i="1"/>
  <c r="AH5" i="1"/>
  <c r="AH2" i="2" s="1"/>
  <c r="Q22" i="1"/>
  <c r="Q45" i="1"/>
  <c r="AJ13" i="6" s="1"/>
  <c r="AI48" i="1"/>
  <c r="M53" i="1"/>
  <c r="AF15" i="6" s="1"/>
  <c r="Y53" i="1"/>
  <c r="AR15" i="6" s="1"/>
  <c r="G53" i="1"/>
  <c r="Z15" i="6" s="1"/>
  <c r="S71" i="1"/>
  <c r="AA75" i="1"/>
  <c r="X76" i="1"/>
  <c r="H45" i="1"/>
  <c r="AA13" i="6" s="1"/>
  <c r="AI69" i="1"/>
  <c r="F71" i="1"/>
  <c r="AI3" i="1"/>
  <c r="V5" i="1"/>
  <c r="V2" i="2" s="1"/>
  <c r="AI32" i="1"/>
  <c r="R105" i="1"/>
  <c r="AD105" i="1"/>
  <c r="K5" i="1"/>
  <c r="W5" i="1"/>
  <c r="W2" i="2" s="1"/>
  <c r="G8" i="1"/>
  <c r="S8" i="1"/>
  <c r="AE8" i="1"/>
  <c r="AE3" i="2" s="1"/>
  <c r="AI35" i="1"/>
  <c r="O40" i="1"/>
  <c r="AA40" i="1"/>
  <c r="AA6" i="2" s="1"/>
  <c r="AI44" i="1"/>
  <c r="V71" i="1"/>
  <c r="AF45" i="1"/>
  <c r="AY13" i="6" s="1"/>
  <c r="R71" i="1"/>
  <c r="AC37" i="1"/>
  <c r="AC5" i="2" s="1"/>
  <c r="AI38" i="1"/>
  <c r="F45" i="1"/>
  <c r="Y13" i="6" s="1"/>
  <c r="R45" i="1"/>
  <c r="AK13" i="6" s="1"/>
  <c r="AD45" i="1"/>
  <c r="AW13" i="6" s="1"/>
  <c r="X45" i="1"/>
  <c r="AQ13" i="6" s="1"/>
  <c r="O53" i="1"/>
  <c r="AH15" i="6" s="1"/>
  <c r="AA53" i="1"/>
  <c r="AT15" i="6" s="1"/>
  <c r="AI65" i="1"/>
  <c r="P71" i="1"/>
  <c r="AB71" i="1"/>
  <c r="X71" i="1"/>
  <c r="K76" i="1"/>
  <c r="W76" i="1"/>
  <c r="AE76" i="1"/>
  <c r="AI82" i="1"/>
  <c r="AD71" i="1"/>
  <c r="H105" i="1"/>
  <c r="AF105" i="1"/>
  <c r="E5" i="1"/>
  <c r="L33" i="1"/>
  <c r="AI36" i="1"/>
  <c r="AI39" i="1"/>
  <c r="G45" i="1"/>
  <c r="Z13" i="6" s="1"/>
  <c r="S45" i="1"/>
  <c r="AL13" i="6" s="1"/>
  <c r="AE45" i="1"/>
  <c r="AX13" i="6" s="1"/>
  <c r="P53" i="1"/>
  <c r="AI15" i="6" s="1"/>
  <c r="AB53" i="1"/>
  <c r="AU15" i="6" s="1"/>
  <c r="Q71" i="1"/>
  <c r="AC71" i="1"/>
  <c r="AH76" i="1"/>
  <c r="N70" i="1"/>
  <c r="Z70" i="1"/>
  <c r="N75" i="1"/>
  <c r="Z75" i="1"/>
  <c r="H71" i="1"/>
  <c r="T71" i="1"/>
  <c r="AF71" i="1"/>
  <c r="AK108" i="1"/>
  <c r="AK111" i="1"/>
  <c r="AK114" i="1"/>
  <c r="K45" i="1"/>
  <c r="AD13" i="6" s="1"/>
  <c r="W45" i="1"/>
  <c r="AP13" i="6" s="1"/>
  <c r="E70" i="1"/>
  <c r="Q70" i="1"/>
  <c r="AC70" i="1"/>
  <c r="I71" i="1"/>
  <c r="U71" i="1"/>
  <c r="AG71" i="1"/>
  <c r="E75" i="1"/>
  <c r="Q75" i="1"/>
  <c r="AC75" i="1"/>
  <c r="I76" i="1"/>
  <c r="U76" i="1"/>
  <c r="AG76" i="1"/>
  <c r="AI104" i="1"/>
  <c r="AM96" i="1" s="1"/>
  <c r="AJ138" i="1"/>
  <c r="O45" i="1"/>
  <c r="AH13" i="6" s="1"/>
  <c r="AA45" i="1"/>
  <c r="AT13" i="6" s="1"/>
  <c r="P45" i="1"/>
  <c r="AI13" i="6" s="1"/>
  <c r="AB45" i="1"/>
  <c r="AU13" i="6" s="1"/>
  <c r="AK107" i="1"/>
  <c r="AK110" i="1"/>
  <c r="AK113" i="1"/>
  <c r="AI77" i="1" l="1"/>
  <c r="AI16" i="2" s="1"/>
  <c r="AK37" i="9"/>
  <c r="AK37" i="10" s="1"/>
  <c r="AK36" i="8"/>
  <c r="AK49" i="9"/>
  <c r="AK48" i="8"/>
  <c r="Z152" i="1"/>
  <c r="AK23" i="12"/>
  <c r="AK23" i="11"/>
  <c r="AK45" i="9"/>
  <c r="AK44" i="8"/>
  <c r="AK6" i="8"/>
  <c r="AK6" i="10"/>
  <c r="AK6" i="9"/>
  <c r="AK56" i="12"/>
  <c r="AK56" i="11"/>
  <c r="AK55" i="12"/>
  <c r="AK55" i="11"/>
  <c r="AK60" i="12"/>
  <c r="AK60" i="11"/>
  <c r="AK43" i="12"/>
  <c r="AK43" i="11"/>
  <c r="AI33" i="1"/>
  <c r="AK33" i="8" s="1"/>
  <c r="AK51" i="12"/>
  <c r="AK51" i="11"/>
  <c r="AK65" i="12"/>
  <c r="AK65" i="11"/>
  <c r="AK64" i="12"/>
  <c r="AK64" i="11"/>
  <c r="AK52" i="12"/>
  <c r="AK52" i="11"/>
  <c r="AK57" i="9"/>
  <c r="AK56" i="8"/>
  <c r="AK36" i="9"/>
  <c r="AK35" i="8"/>
  <c r="AK30" i="12"/>
  <c r="AK30" i="11"/>
  <c r="AK66" i="9"/>
  <c r="AK65" i="8"/>
  <c r="AK7" i="8"/>
  <c r="AK7" i="10"/>
  <c r="AK7" i="9"/>
  <c r="AK31" i="12"/>
  <c r="AK31" i="11"/>
  <c r="AK28" i="12"/>
  <c r="AK28" i="11"/>
  <c r="AJ140" i="1"/>
  <c r="AJ144" i="1" s="1"/>
  <c r="AK47" i="12"/>
  <c r="AK47" i="11"/>
  <c r="AK21" i="8"/>
  <c r="AK21" i="10"/>
  <c r="AK21" i="9"/>
  <c r="AK15" i="8"/>
  <c r="AK15" i="9"/>
  <c r="AK15" i="10"/>
  <c r="AK39" i="9"/>
  <c r="AK39" i="10" s="1"/>
  <c r="AK38" i="8"/>
  <c r="AK3" i="8"/>
  <c r="AK3" i="10"/>
  <c r="AK3" i="9"/>
  <c r="AK4" i="8"/>
  <c r="AK4" i="10"/>
  <c r="AK4" i="9"/>
  <c r="Z155" i="1"/>
  <c r="AK32" i="1"/>
  <c r="AK34" i="1" s="1"/>
  <c r="AN142" i="1"/>
  <c r="AK58" i="9"/>
  <c r="AK57" i="8"/>
  <c r="AJ30" i="1"/>
  <c r="AK33" i="9"/>
  <c r="AK33" i="10" s="1"/>
  <c r="AK32" i="8"/>
  <c r="AK34" i="8" s="1"/>
  <c r="AK40" i="9"/>
  <c r="AK39" i="8"/>
  <c r="AK40" i="8" s="1"/>
  <c r="AK53" i="9"/>
  <c r="AK52" i="8"/>
  <c r="AK97" i="1"/>
  <c r="AK48" i="12"/>
  <c r="AK48" i="11"/>
  <c r="AK42" i="12"/>
  <c r="AK42" i="11"/>
  <c r="AJ102" i="1"/>
  <c r="AK102" i="1" s="1"/>
  <c r="AJ142" i="1"/>
  <c r="AK101" i="1"/>
  <c r="AK37" i="8"/>
  <c r="AK24" i="8"/>
  <c r="AK5" i="8"/>
  <c r="AE9" i="6"/>
  <c r="AK8" i="8"/>
  <c r="AI58" i="1"/>
  <c r="U34" i="1"/>
  <c r="AN9" i="6" s="1"/>
  <c r="AP9" i="6"/>
  <c r="AI62" i="1"/>
  <c r="AD9" i="6"/>
  <c r="AL9" i="6"/>
  <c r="AB9" i="6"/>
  <c r="M34" i="1"/>
  <c r="AF9" i="6" s="1"/>
  <c r="L34" i="1"/>
  <c r="V34" i="1"/>
  <c r="AO9" i="6" s="1"/>
  <c r="N34" i="1"/>
  <c r="AG9" i="6" s="1"/>
  <c r="AA34" i="1"/>
  <c r="AT9" i="6" s="1"/>
  <c r="J34" i="1"/>
  <c r="AC9" i="6" s="1"/>
  <c r="AI66" i="1"/>
  <c r="V155" i="1"/>
  <c r="AD154" i="1"/>
  <c r="AD153" i="1"/>
  <c r="AH155" i="1"/>
  <c r="AH157" i="1"/>
  <c r="AG155" i="1"/>
  <c r="AH154" i="1"/>
  <c r="AF154" i="1"/>
  <c r="AM101" i="1"/>
  <c r="AM99" i="1"/>
  <c r="AM97" i="1"/>
  <c r="AM98" i="1"/>
  <c r="AM102" i="1"/>
  <c r="AL98" i="1"/>
  <c r="AL97" i="1"/>
  <c r="AL96" i="1"/>
  <c r="AG154" i="1"/>
  <c r="AF157" i="1"/>
  <c r="AG152" i="1"/>
  <c r="AF153" i="1"/>
  <c r="AF156" i="1"/>
  <c r="AF155" i="1"/>
  <c r="AI75" i="1"/>
  <c r="AE154" i="1"/>
  <c r="AE155" i="1"/>
  <c r="AD155" i="1"/>
  <c r="AB154" i="1"/>
  <c r="AB153" i="1"/>
  <c r="T152" i="1"/>
  <c r="T157" i="1"/>
  <c r="T156" i="1"/>
  <c r="AD152" i="1"/>
  <c r="AD156" i="1"/>
  <c r="AD157" i="1"/>
  <c r="AI9" i="6"/>
  <c r="AJ9" i="6"/>
  <c r="Y9" i="6"/>
  <c r="T154" i="1"/>
  <c r="Z9" i="6"/>
  <c r="AE152" i="1"/>
  <c r="AE156" i="1"/>
  <c r="AE157" i="1"/>
  <c r="V153" i="1"/>
  <c r="L152" i="1"/>
  <c r="L157" i="1"/>
  <c r="L156" i="1"/>
  <c r="L155" i="1"/>
  <c r="AC157" i="1"/>
  <c r="AC156" i="1"/>
  <c r="AC154" i="1"/>
  <c r="AA9" i="6"/>
  <c r="AA152" i="1"/>
  <c r="AA157" i="1"/>
  <c r="AA156" i="1"/>
  <c r="AS9" i="6"/>
  <c r="AQ9" i="6"/>
  <c r="L154" i="1"/>
  <c r="L153" i="1"/>
  <c r="W152" i="1"/>
  <c r="W157" i="1"/>
  <c r="W156" i="1"/>
  <c r="AC152" i="1"/>
  <c r="AA155" i="1"/>
  <c r="O24" i="6"/>
  <c r="T153" i="1"/>
  <c r="V152" i="1"/>
  <c r="V156" i="1"/>
  <c r="V157" i="1"/>
  <c r="T155" i="1"/>
  <c r="AC153" i="1"/>
  <c r="AH9" i="6"/>
  <c r="AA153" i="1"/>
  <c r="AB152" i="1"/>
  <c r="AB157" i="1"/>
  <c r="AB156" i="1"/>
  <c r="AZ4" i="6"/>
  <c r="AG2" i="2"/>
  <c r="AM4" i="6"/>
  <c r="AZ7" i="6"/>
  <c r="AG5" i="2"/>
  <c r="AZ8" i="6"/>
  <c r="AG6" i="2"/>
  <c r="AT7" i="6"/>
  <c r="AS7" i="6"/>
  <c r="Z5" i="2"/>
  <c r="AR7" i="6"/>
  <c r="Y5" i="2"/>
  <c r="AY4" i="6"/>
  <c r="AF2" i="2"/>
  <c r="AS5" i="6"/>
  <c r="Z3" i="2"/>
  <c r="AU5" i="6"/>
  <c r="AB3" i="2"/>
  <c r="AR5" i="6"/>
  <c r="Y3" i="2"/>
  <c r="AP7" i="6"/>
  <c r="W5" i="2"/>
  <c r="AQ5" i="6"/>
  <c r="X3" i="2"/>
  <c r="AQ8" i="6"/>
  <c r="X6" i="2"/>
  <c r="AM9" i="6"/>
  <c r="AN7" i="6"/>
  <c r="U5" i="2"/>
  <c r="AN8" i="6"/>
  <c r="U6" i="2"/>
  <c r="AN5" i="6"/>
  <c r="U3" i="2"/>
  <c r="AN4" i="6"/>
  <c r="U2" i="2"/>
  <c r="AV8" i="6"/>
  <c r="J3" i="2"/>
  <c r="H2" i="2"/>
  <c r="BA5" i="6"/>
  <c r="O12" i="6"/>
  <c r="AI8" i="1"/>
  <c r="AI3" i="2" s="1"/>
  <c r="AY7" i="6"/>
  <c r="AI7" i="6"/>
  <c r="L3" i="2"/>
  <c r="AE7" i="6"/>
  <c r="AQ4" i="6"/>
  <c r="L49" i="1"/>
  <c r="AE17" i="6" s="1"/>
  <c r="AO5" i="6"/>
  <c r="AJ4" i="6"/>
  <c r="AB8" i="6"/>
  <c r="I5" i="2"/>
  <c r="P3" i="2"/>
  <c r="Q6" i="2"/>
  <c r="AU7" i="6"/>
  <c r="AV4" i="6"/>
  <c r="AQ7" i="6"/>
  <c r="AA5" i="6"/>
  <c r="AD5" i="6"/>
  <c r="AP5" i="6"/>
  <c r="Y5" i="6"/>
  <c r="AI16" i="1"/>
  <c r="M6" i="2"/>
  <c r="AA8" i="6"/>
  <c r="AM8" i="6"/>
  <c r="AY8" i="6"/>
  <c r="E6" i="2"/>
  <c r="E5" i="2"/>
  <c r="AV5" i="6"/>
  <c r="N3" i="2"/>
  <c r="AZ5" i="6"/>
  <c r="AH7" i="6"/>
  <c r="AD7" i="6"/>
  <c r="K5" i="2"/>
  <c r="E3" i="2"/>
  <c r="AF7" i="6"/>
  <c r="AK5" i="6"/>
  <c r="AY5" i="6"/>
  <c r="AI8" i="6"/>
  <c r="AW7" i="6"/>
  <c r="Z8" i="6"/>
  <c r="AE4" i="6"/>
  <c r="AK7" i="6"/>
  <c r="R5" i="2"/>
  <c r="AL8" i="6"/>
  <c r="M3" i="2"/>
  <c r="N5" i="2"/>
  <c r="F5" i="2"/>
  <c r="AM5" i="6"/>
  <c r="L6" i="2"/>
  <c r="AX8" i="6"/>
  <c r="AU8" i="6"/>
  <c r="H5" i="2"/>
  <c r="AW5" i="6"/>
  <c r="AL7" i="6"/>
  <c r="S5" i="2"/>
  <c r="AX7" i="6"/>
  <c r="Z7" i="6"/>
  <c r="G5" i="2"/>
  <c r="Q5" i="2"/>
  <c r="AJ7" i="6"/>
  <c r="BA7" i="6"/>
  <c r="AO7" i="6"/>
  <c r="AC7" i="6"/>
  <c r="J5" i="2"/>
  <c r="AV7" i="6"/>
  <c r="AM7" i="6"/>
  <c r="AB5" i="6"/>
  <c r="AB4" i="6"/>
  <c r="I2" i="2"/>
  <c r="S3" i="2"/>
  <c r="AL5" i="6"/>
  <c r="AP4" i="6"/>
  <c r="AH5" i="6"/>
  <c r="O3" i="2"/>
  <c r="Q3" i="2"/>
  <c r="AJ5" i="6"/>
  <c r="P2" i="2"/>
  <c r="AI4" i="6"/>
  <c r="K2" i="2"/>
  <c r="AD4" i="6"/>
  <c r="AX4" i="6"/>
  <c r="AW4" i="6"/>
  <c r="AR4" i="6"/>
  <c r="AT8" i="6"/>
  <c r="AL4" i="6"/>
  <c r="S2" i="2"/>
  <c r="O6" i="2"/>
  <c r="AH8" i="6"/>
  <c r="Z4" i="6"/>
  <c r="G2" i="2"/>
  <c r="AP8" i="6"/>
  <c r="AS8" i="6"/>
  <c r="AD8" i="6"/>
  <c r="K6" i="2"/>
  <c r="AR8" i="6"/>
  <c r="AT5" i="6"/>
  <c r="AG8" i="6"/>
  <c r="N6" i="2"/>
  <c r="BA8" i="6"/>
  <c r="G3" i="2"/>
  <c r="Z5" i="6"/>
  <c r="AK4" i="6"/>
  <c r="R2" i="2"/>
  <c r="Y4" i="6"/>
  <c r="F2" i="2"/>
  <c r="AO4" i="6"/>
  <c r="AS4" i="6"/>
  <c r="AO8" i="6"/>
  <c r="AU4" i="6"/>
  <c r="AW8" i="6"/>
  <c r="M2" i="2"/>
  <c r="AF4" i="6"/>
  <c r="O2" i="2"/>
  <c r="AH4" i="6"/>
  <c r="E2" i="2"/>
  <c r="X4" i="6"/>
  <c r="N2" i="2"/>
  <c r="AG4" i="6"/>
  <c r="AC8" i="6"/>
  <c r="J6" i="2"/>
  <c r="R6" i="2"/>
  <c r="AK8" i="6"/>
  <c r="BA4" i="6"/>
  <c r="AX5" i="6"/>
  <c r="AT4" i="6"/>
  <c r="AC4" i="6"/>
  <c r="J2" i="2"/>
  <c r="F6" i="2"/>
  <c r="AI24" i="1"/>
  <c r="AI13" i="2" s="1"/>
  <c r="AR9" i="6"/>
  <c r="AI84" i="1"/>
  <c r="AI78" i="1" s="1"/>
  <c r="E43" i="1"/>
  <c r="E151" i="1" s="1"/>
  <c r="AI105" i="1"/>
  <c r="AM100" i="1" s="1"/>
  <c r="X9" i="6"/>
  <c r="AI37" i="1"/>
  <c r="AI5" i="2" s="1"/>
  <c r="L71" i="1"/>
  <c r="L45" i="1"/>
  <c r="AE13" i="6" s="1"/>
  <c r="L76" i="1"/>
  <c r="AI70" i="1"/>
  <c r="O16" i="6"/>
  <c r="AI5" i="1"/>
  <c r="AI40" i="1"/>
  <c r="AI6" i="2" s="1"/>
  <c r="AI22" i="1"/>
  <c r="AK33" i="12" l="1"/>
  <c r="AK33" i="11"/>
  <c r="AK4" i="12"/>
  <c r="AK4" i="11"/>
  <c r="AK5" i="10"/>
  <c r="AK24" i="10"/>
  <c r="AK15" i="12"/>
  <c r="AK24" i="12" s="1"/>
  <c r="AK15" i="11"/>
  <c r="AK68" i="9"/>
  <c r="AK57" i="10"/>
  <c r="AK63" i="9"/>
  <c r="AK66" i="10"/>
  <c r="AK67" i="9"/>
  <c r="AK8" i="9"/>
  <c r="AK58" i="10"/>
  <c r="AK59" i="9"/>
  <c r="AK3" i="12"/>
  <c r="AK3" i="11"/>
  <c r="AK24" i="9"/>
  <c r="AK6" i="12"/>
  <c r="AK8" i="12" s="1"/>
  <c r="AK6" i="11"/>
  <c r="AK8" i="11" s="1"/>
  <c r="U5" i="6" s="1"/>
  <c r="AK8" i="10"/>
  <c r="AK49" i="10"/>
  <c r="AJ145" i="1"/>
  <c r="AK53" i="10"/>
  <c r="AK21" i="12"/>
  <c r="AK21" i="11"/>
  <c r="AK37" i="12"/>
  <c r="AK37" i="11"/>
  <c r="AK40" i="10"/>
  <c r="AK41" i="9"/>
  <c r="AK7" i="12"/>
  <c r="AK7" i="11"/>
  <c r="AK36" i="10"/>
  <c r="AK38" i="9"/>
  <c r="AK45" i="10"/>
  <c r="AK5" i="9"/>
  <c r="AK39" i="12"/>
  <c r="AK39" i="11"/>
  <c r="AK24" i="11"/>
  <c r="U10" i="6" s="1"/>
  <c r="AK66" i="8"/>
  <c r="AK77" i="8"/>
  <c r="AL100" i="1"/>
  <c r="AL99" i="1"/>
  <c r="AK62" i="8"/>
  <c r="O4" i="6"/>
  <c r="AI2" i="2"/>
  <c r="AK58" i="8"/>
  <c r="O22" i="6"/>
  <c r="AI17" i="2"/>
  <c r="AI34" i="1"/>
  <c r="O9" i="6" s="1"/>
  <c r="E157" i="1"/>
  <c r="E156" i="1"/>
  <c r="E155" i="1"/>
  <c r="E154" i="1"/>
  <c r="E153" i="1"/>
  <c r="E152" i="1"/>
  <c r="E49" i="1"/>
  <c r="X17" i="6" s="1"/>
  <c r="O7" i="6"/>
  <c r="O5" i="6"/>
  <c r="O21" i="6"/>
  <c r="O8" i="6"/>
  <c r="O10" i="6"/>
  <c r="AI43" i="1"/>
  <c r="E53" i="1"/>
  <c r="X15" i="6" s="1"/>
  <c r="E45" i="1"/>
  <c r="X13" i="6" s="1"/>
  <c r="E76" i="1"/>
  <c r="E71" i="1"/>
  <c r="AI151" i="1" l="1"/>
  <c r="AJ151" i="1" s="1"/>
  <c r="AL134" i="9" s="1"/>
  <c r="AK44" i="9"/>
  <c r="AK43" i="8"/>
  <c r="AK66" i="12"/>
  <c r="AK66" i="11"/>
  <c r="AK67" i="10"/>
  <c r="AK53" i="12"/>
  <c r="AK53" i="11"/>
  <c r="AK5" i="11"/>
  <c r="U4" i="6" s="1"/>
  <c r="AK41" i="10"/>
  <c r="AK40" i="12"/>
  <c r="AK41" i="12" s="1"/>
  <c r="AK40" i="11"/>
  <c r="AK41" i="11" s="1"/>
  <c r="U8" i="6" s="1"/>
  <c r="AK5" i="12"/>
  <c r="AK36" i="12"/>
  <c r="AK38" i="12" s="1"/>
  <c r="AK36" i="11"/>
  <c r="AK38" i="11" s="1"/>
  <c r="U7" i="6" s="1"/>
  <c r="AK38" i="10"/>
  <c r="AK57" i="12"/>
  <c r="AK57" i="11"/>
  <c r="AK68" i="10"/>
  <c r="AK63" i="10"/>
  <c r="AK45" i="12"/>
  <c r="AK45" i="11"/>
  <c r="AK49" i="12"/>
  <c r="AK49" i="11"/>
  <c r="AK58" i="12"/>
  <c r="AK59" i="12" s="1"/>
  <c r="AK58" i="11"/>
  <c r="AK59" i="11" s="1"/>
  <c r="U12" i="6" s="1"/>
  <c r="AK59" i="10"/>
  <c r="AI153" i="1"/>
  <c r="AK136" i="9" s="1"/>
  <c r="AI24" i="2"/>
  <c r="AI49" i="1"/>
  <c r="AI53" i="1"/>
  <c r="O15" i="6" s="1"/>
  <c r="AI45" i="1"/>
  <c r="O13" i="6" s="1"/>
  <c r="AI157" i="1"/>
  <c r="AI156" i="1"/>
  <c r="O17" i="6"/>
  <c r="AK50" i="1"/>
  <c r="O14" i="6"/>
  <c r="AI76" i="1"/>
  <c r="AI71" i="1"/>
  <c r="AK46" i="1"/>
  <c r="AK41" i="1"/>
  <c r="AK67" i="11" l="1"/>
  <c r="U14" i="6" s="1"/>
  <c r="AK68" i="11"/>
  <c r="U21" i="6" s="1"/>
  <c r="AK63" i="11"/>
  <c r="U16" i="6" s="1"/>
  <c r="AK67" i="12"/>
  <c r="AK78" i="8"/>
  <c r="AK45" i="8"/>
  <c r="AK68" i="12"/>
  <c r="AK63" i="12"/>
  <c r="AK69" i="9"/>
  <c r="AK44" i="10"/>
  <c r="AK50" i="9"/>
  <c r="AK137" i="9"/>
  <c r="AK46" i="9"/>
  <c r="AK54" i="9"/>
  <c r="AI152" i="1"/>
  <c r="AI155" i="1"/>
  <c r="AI154" i="1"/>
  <c r="AK53" i="8"/>
  <c r="AK49" i="8"/>
  <c r="F32" i="9"/>
  <c r="AK44" i="12" l="1"/>
  <c r="AK44" i="11"/>
  <c r="AK69" i="10"/>
  <c r="AK54" i="10"/>
  <c r="AK46" i="10"/>
  <c r="AK50" i="10"/>
  <c r="F34" i="9"/>
  <c r="AJ34" i="9" s="1"/>
  <c r="AJ35" i="9" s="1"/>
  <c r="AJ32" i="9"/>
  <c r="AL31" i="9" s="1"/>
  <c r="AL33" i="9" s="1"/>
  <c r="AN33" i="9" s="1"/>
  <c r="AJ120" i="9"/>
  <c r="AK32" i="9" l="1"/>
  <c r="AK32" i="10" s="1"/>
  <c r="AK69" i="11"/>
  <c r="U22" i="6" s="1"/>
  <c r="AK46" i="11"/>
  <c r="U13" i="6" s="1"/>
  <c r="AK54" i="11"/>
  <c r="U15" i="6" s="1"/>
  <c r="AK50" i="11"/>
  <c r="U17" i="6" s="1"/>
  <c r="AK69" i="12"/>
  <c r="AK46" i="12"/>
  <c r="AK54" i="12"/>
  <c r="AK50" i="12"/>
  <c r="F35" i="9"/>
  <c r="CH9" i="6" s="1"/>
  <c r="AK32" i="12" l="1"/>
  <c r="AK32" i="11"/>
  <c r="AK34" i="9"/>
  <c r="AK34" i="10" s="1"/>
  <c r="Q9" i="6"/>
  <c r="AK35" i="10" l="1"/>
  <c r="AK34" i="12"/>
  <c r="AK35" i="12" s="1"/>
  <c r="AK34" i="11"/>
  <c r="AK35" i="11" s="1"/>
  <c r="U9" i="6" s="1"/>
  <c r="AK35" i="9"/>
  <c r="AJ110" i="12"/>
  <c r="T34" i="6" l="1"/>
  <c r="FK1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Technical Head PA</author>
  </authors>
  <commentList>
    <comment ref="M5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Technical Head PA:</t>
        </r>
        <r>
          <rPr>
            <sz val="9"/>
            <color indexed="81"/>
            <rFont val="Tahoma"/>
            <family val="2"/>
          </rPr>
          <t xml:space="preserve">
392 MT LS having 7659 CV is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Technical Head PA</author>
  </authors>
  <commentList>
    <comment ref="M58" authorId="0" shapeId="0" xr:uid="{F2154C4C-4EDC-4B77-B22D-8D291798DE05}">
      <text>
        <r>
          <rPr>
            <b/>
            <sz val="9"/>
            <color indexed="81"/>
            <rFont val="Tahoma"/>
            <family val="2"/>
          </rPr>
          <t>Technical Head PA:</t>
        </r>
        <r>
          <rPr>
            <sz val="9"/>
            <color indexed="81"/>
            <rFont val="Tahoma"/>
            <family val="2"/>
          </rPr>
          <t xml:space="preserve">
392 MT LS having 7659 CV is used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Technical Head PA</author>
  </authors>
  <commentList>
    <comment ref="M59" authorId="0" shapeId="0" xr:uid="{59586B25-3F46-496C-84DA-05718BB6E50D}">
      <text>
        <r>
          <rPr>
            <b/>
            <sz val="9"/>
            <color indexed="81"/>
            <rFont val="Tahoma"/>
            <family val="2"/>
          </rPr>
          <t>Technical Head PA:</t>
        </r>
        <r>
          <rPr>
            <sz val="9"/>
            <color indexed="81"/>
            <rFont val="Tahoma"/>
            <family val="2"/>
          </rPr>
          <t xml:space="preserve">
392 MT LS having 7659 CV is used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Technical Head PA</author>
  </authors>
  <commentList>
    <comment ref="M59" authorId="0" shapeId="0" xr:uid="{31F04796-4092-4C93-9542-63511CC1B8C0}">
      <text>
        <r>
          <rPr>
            <b/>
            <sz val="9"/>
            <color indexed="81"/>
            <rFont val="Tahoma"/>
            <family val="2"/>
          </rPr>
          <t>Technical Head PA:</t>
        </r>
        <r>
          <rPr>
            <sz val="9"/>
            <color indexed="81"/>
            <rFont val="Tahoma"/>
            <family val="2"/>
          </rPr>
          <t xml:space="preserve">
392 MT LS having 7659 CV is used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Technical Head PA</author>
  </authors>
  <commentList>
    <comment ref="M59" authorId="0" shapeId="0" xr:uid="{2AFD7367-D9F5-4776-970C-8D1F3C9FD8D7}">
      <text>
        <r>
          <rPr>
            <b/>
            <sz val="9"/>
            <color indexed="81"/>
            <rFont val="Tahoma"/>
            <family val="2"/>
          </rPr>
          <t>Technical Head PA:</t>
        </r>
        <r>
          <rPr>
            <sz val="9"/>
            <color indexed="81"/>
            <rFont val="Tahoma"/>
            <family val="2"/>
          </rPr>
          <t xml:space="preserve">
392 MT LS having 7659 CV is used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Technical Head PA</author>
  </authors>
  <commentList>
    <comment ref="M59" authorId="0" shapeId="0" xr:uid="{EF9C7D82-F5CA-4651-888A-A867487C6629}">
      <text>
        <r>
          <rPr>
            <b/>
            <sz val="9"/>
            <color indexed="81"/>
            <rFont val="Tahoma"/>
            <family val="2"/>
          </rPr>
          <t>Technical Head PA:</t>
        </r>
        <r>
          <rPr>
            <sz val="9"/>
            <color indexed="81"/>
            <rFont val="Tahoma"/>
            <family val="2"/>
          </rPr>
          <t xml:space="preserve">
392 MT LS having 7659 CV is used</t>
        </r>
      </text>
    </comment>
  </commentList>
</comments>
</file>

<file path=xl/sharedStrings.xml><?xml version="1.0" encoding="utf-8"?>
<sst xmlns="http://schemas.openxmlformats.org/spreadsheetml/2006/main" count="2012" uniqueCount="399">
  <si>
    <t xml:space="preserve">Udaan initiatives dashboard </t>
  </si>
  <si>
    <t>#</t>
  </si>
  <si>
    <t xml:space="preserve">Udaan Initaitives </t>
  </si>
  <si>
    <t xml:space="preserve">Udaan Owner </t>
  </si>
  <si>
    <t>KPI</t>
  </si>
  <si>
    <t>Cement Production (PPC)</t>
  </si>
  <si>
    <t>Dinesh, Pravesh</t>
  </si>
  <si>
    <t>MT</t>
  </si>
  <si>
    <t xml:space="preserve">Actual fly ash consumption </t>
  </si>
  <si>
    <t>Increase flyash in PPC</t>
  </si>
  <si>
    <t xml:space="preserve">% of cement </t>
  </si>
  <si>
    <t>Cement Production (DT)</t>
  </si>
  <si>
    <t>Increase flyash in DT</t>
  </si>
  <si>
    <t>HP Steam Generation Line 1 (AQC-1)</t>
  </si>
  <si>
    <t>Om Prakash</t>
  </si>
  <si>
    <t>TPD</t>
  </si>
  <si>
    <t>Turbine Specific Steam Consumption</t>
  </si>
  <si>
    <t>Kg/Kwh</t>
  </si>
  <si>
    <t>Line1 WHRS Generation</t>
  </si>
  <si>
    <t>KWh</t>
  </si>
  <si>
    <t>Clinker Production</t>
  </si>
  <si>
    <t>Kiln1: WHRS generation</t>
  </si>
  <si>
    <t>kWh/ToC</t>
  </si>
  <si>
    <t>HP Steam Generation Line-2 (AQC-2)</t>
  </si>
  <si>
    <t>LP Steam Generation</t>
  </si>
  <si>
    <t>Line2 WHRS Generation</t>
  </si>
  <si>
    <t>Kiln2: WHRS generation</t>
  </si>
  <si>
    <t>WHRS Gross generation</t>
  </si>
  <si>
    <t>Kiln1 &amp; 2:WHRS generation</t>
  </si>
  <si>
    <t>HSD Rate</t>
  </si>
  <si>
    <t>Chandan, Anil</t>
  </si>
  <si>
    <t>Rs/Lit</t>
  </si>
  <si>
    <t>IO Rate</t>
  </si>
  <si>
    <t>Diesel substitution upto 50%</t>
  </si>
  <si>
    <t>KL/month</t>
  </si>
  <si>
    <t>FGD Gypsum</t>
  </si>
  <si>
    <t>Dinesh, Pravesh, Anil</t>
  </si>
  <si>
    <t>Natural Gypsum (Unit-I)</t>
  </si>
  <si>
    <t>Natural Gypsum (Unit-II)</t>
  </si>
  <si>
    <t>Natural Gypsum in Activated Gypsum</t>
  </si>
  <si>
    <t>Limestone in Activated Gypsum</t>
  </si>
  <si>
    <t>Total gypsum usage</t>
  </si>
  <si>
    <t>Alternate gypsum usage</t>
  </si>
  <si>
    <t xml:space="preserve">% substitution </t>
  </si>
  <si>
    <t>Conditioned Ash used</t>
  </si>
  <si>
    <t>Total Fly Ash used</t>
  </si>
  <si>
    <t>Conditioned Ash usage</t>
  </si>
  <si>
    <t>Total OPC Production</t>
  </si>
  <si>
    <t xml:space="preserve">PI Addition </t>
  </si>
  <si>
    <t>PI Addtion in OPC</t>
  </si>
  <si>
    <t>Imported PC Quantity</t>
  </si>
  <si>
    <t>Dinesh, Nikhil S</t>
  </si>
  <si>
    <t>Imported PC CV</t>
  </si>
  <si>
    <t>Total Heat</t>
  </si>
  <si>
    <t>Imported PC Heat</t>
  </si>
  <si>
    <t>% conversion</t>
  </si>
  <si>
    <t>Imported low S PC (US) qty</t>
  </si>
  <si>
    <t>Imported low S PC (US) CV</t>
  </si>
  <si>
    <t>Imported low S PC (US) heat</t>
  </si>
  <si>
    <t>Open market coal (by road) qty</t>
  </si>
  <si>
    <t>Open market coal (by road) CV</t>
  </si>
  <si>
    <t>Open market coal (by road) heat</t>
  </si>
  <si>
    <t>U-II Total open market coal %</t>
  </si>
  <si>
    <t>U-I Total open market coal %</t>
  </si>
  <si>
    <t>Unit-I: Imported low S (US) %</t>
  </si>
  <si>
    <t>Total imported low S (Venezuela) %</t>
  </si>
  <si>
    <t>Unit-I: Fluid Pet Coke qty</t>
  </si>
  <si>
    <t>Unit-I: Fluid Pet Coke CV</t>
  </si>
  <si>
    <t>Unit-I: Fluid Pet Coke heat</t>
  </si>
  <si>
    <t>Unit-I: Fluid Pet Coke %</t>
  </si>
  <si>
    <t>Total Fluid Petcoke %</t>
  </si>
  <si>
    <t>Unit 1: Specific Heat</t>
  </si>
  <si>
    <t>Unit 2: Specific Heat</t>
  </si>
  <si>
    <t>Unit 1: Kiln counter</t>
  </si>
  <si>
    <t>Unit 2: Kiln counter</t>
  </si>
  <si>
    <t xml:space="preserve">Unit 1: Sumproduct </t>
  </si>
  <si>
    <t>Unit 2: Sumproduct</t>
  </si>
  <si>
    <t>Unit 1: Counter Clinker</t>
  </si>
  <si>
    <t>Unit 2: Counter Clinker</t>
  </si>
  <si>
    <t>Unit 1: Actual sumproduct</t>
  </si>
  <si>
    <t>Unit 2: Actual sumproduct</t>
  </si>
  <si>
    <t>Unit-1 Clinker Production</t>
  </si>
  <si>
    <t>Unit-2 Clinker Production</t>
  </si>
  <si>
    <t>Solid AFR feeding</t>
  </si>
  <si>
    <t>Rate</t>
  </si>
  <si>
    <t>Rs/MT</t>
  </si>
  <si>
    <t>NCV ARB</t>
  </si>
  <si>
    <t>kCal/Kg</t>
  </si>
  <si>
    <t>Line 1 Cement: Champion</t>
  </si>
  <si>
    <t>Line 1 Cement: Champion +</t>
  </si>
  <si>
    <t>Line 1 Cement: Duratech</t>
  </si>
  <si>
    <t>Line 1 Cement: All Weather</t>
  </si>
  <si>
    <t>Line 1 Cement: OPC</t>
  </si>
  <si>
    <t>Line 2 Cement: Champion</t>
  </si>
  <si>
    <t>Line 2 Cement: Champion +</t>
  </si>
  <si>
    <t>Line 2 Cement: OPC</t>
  </si>
  <si>
    <t>Total Cement Production (MT)</t>
  </si>
  <si>
    <t>Fly Ash Addition</t>
  </si>
  <si>
    <t>Line 1 Cement: OPC PI</t>
  </si>
  <si>
    <t>Line 2 Cement: OPC PI</t>
  </si>
  <si>
    <t>U1</t>
  </si>
  <si>
    <t>Liquid AFR (LCV) tons</t>
  </si>
  <si>
    <t>Liquid AFR (HCV) tons</t>
  </si>
  <si>
    <t>Avg</t>
  </si>
  <si>
    <t>Liquid AFR CV</t>
  </si>
  <si>
    <t>U2</t>
  </si>
  <si>
    <t>Unit-II: Liquid AFR CV</t>
  </si>
  <si>
    <t>Mining</t>
  </si>
  <si>
    <t>Rehandling</t>
  </si>
  <si>
    <t>CS Pandit</t>
  </si>
  <si>
    <t>Sweetener</t>
  </si>
  <si>
    <t>Purchase</t>
  </si>
  <si>
    <t>Total Mining</t>
  </si>
  <si>
    <t>Total feeding</t>
  </si>
  <si>
    <t>Sweetener Consumption in Raw Mill (Unit-I)</t>
  </si>
  <si>
    <t>Raghvendra Pandey</t>
  </si>
  <si>
    <t>Sweetener Consumption in Raw Mill (Unit-II)</t>
  </si>
  <si>
    <t>U-I</t>
  </si>
  <si>
    <t>U-II</t>
  </si>
  <si>
    <t>Conditioned ash</t>
  </si>
  <si>
    <t>Dry Ash</t>
  </si>
  <si>
    <t>Outside Feeding</t>
  </si>
  <si>
    <t>Ext Clk Fresh</t>
  </si>
  <si>
    <t>Ext Clk old</t>
  </si>
  <si>
    <t>Initiative</t>
  </si>
  <si>
    <t xml:space="preserve">Unit </t>
  </si>
  <si>
    <t>Target KPI</t>
  </si>
  <si>
    <t>Increase fly Ash in PPC</t>
  </si>
  <si>
    <t xml:space="preserve">% of Cement </t>
  </si>
  <si>
    <t>Increase fly Ash in DT</t>
  </si>
  <si>
    <t>Condition ash in PPC cement</t>
  </si>
  <si>
    <t>% of Flyash used</t>
  </si>
  <si>
    <t>PI addition in OPC cement</t>
  </si>
  <si>
    <t xml:space="preserve">% of OPC cement </t>
  </si>
  <si>
    <t>Specific power reduction Line 1</t>
  </si>
  <si>
    <t>Clinkerisation
(kWh/Tmat.)</t>
  </si>
  <si>
    <t>Grnd+PP+Misc
(kWh/Tcem)</t>
  </si>
  <si>
    <t>Total</t>
  </si>
  <si>
    <t>Specific power reduction Line 2</t>
  </si>
  <si>
    <t>WHRS generation</t>
  </si>
  <si>
    <t>kWh/ToClinker</t>
  </si>
  <si>
    <t>Kiln1 Clinker Production</t>
  </si>
  <si>
    <t>Kiln2 Clinker Production</t>
  </si>
  <si>
    <t xml:space="preserve">Kiln1: Specific heat reduction </t>
  </si>
  <si>
    <t xml:space="preserve">Kcal/Kg clinker </t>
  </si>
  <si>
    <t xml:space="preserve">Kiln2: Specific heat reduction </t>
  </si>
  <si>
    <t>% of LS feeding</t>
  </si>
  <si>
    <t>HCV liquid AFR to Kiln 1 &amp; 2</t>
  </si>
  <si>
    <t>KL/day</t>
  </si>
  <si>
    <t xml:space="preserve">External Clinker </t>
  </si>
  <si>
    <t>MT/Day</t>
  </si>
  <si>
    <t>Udaan initiatives dashboard</t>
  </si>
  <si>
    <t xml:space="preserve">Baseline </t>
  </si>
  <si>
    <t>Baseline 
period</t>
  </si>
  <si>
    <t>YTD Target</t>
  </si>
  <si>
    <t>YTD Actual</t>
  </si>
  <si>
    <t>Initiative status</t>
  </si>
  <si>
    <t>Dinesh, Praveen, Pravesh</t>
  </si>
  <si>
    <t>FY21</t>
  </si>
  <si>
    <t>% of flyash used</t>
  </si>
  <si>
    <t>New</t>
  </si>
  <si>
    <t>Current unavailability of stock</t>
  </si>
  <si>
    <t>Unavailability of FDG; plan to source phospho post monsoon</t>
  </si>
  <si>
    <t>WHRS Generation</t>
  </si>
  <si>
    <t xml:space="preserve"> - Generation increase to ~17 MW observed with Unit 2 at 640 tph levels
- Focus on stable and tigther operations needed for sustained generation
- Insulation work in WHRS side (deduster, boiler, etc.) pending</t>
  </si>
  <si>
    <t>In transit dry basis loss reduction (Comulative)</t>
  </si>
  <si>
    <t>Sanjay J, Nikhil S</t>
  </si>
  <si>
    <t>% Qty fuel</t>
  </si>
  <si>
    <t>Higher losses experienced in the first two Saudi rakes; ~2% losses maintained since</t>
  </si>
  <si>
    <t>% CV (U-I)</t>
  </si>
  <si>
    <t>Rakes from new Saudi vessel started arriving at plant
All the remaining blended reakes (Venezuela &amp; fluid) also received</t>
  </si>
  <si>
    <t>% CV (U-II)</t>
  </si>
  <si>
    <t>Indian Pet Coke IOCL</t>
  </si>
  <si>
    <t>Alt Fuel- Venezuelan PC</t>
  </si>
  <si>
    <t>% CV</t>
  </si>
  <si>
    <t>Alt Fuel- Fluid PC</t>
  </si>
  <si>
    <t>Dinesh</t>
  </si>
  <si>
    <t>Kcal/Kg clinker</t>
  </si>
  <si>
    <t>Apr'21 - Feb'22</t>
  </si>
  <si>
    <t>Higher specific heat due to impact of kiln restart post breakdown</t>
  </si>
  <si>
    <t>Jan'22 - Feb'22</t>
  </si>
  <si>
    <t>Higher specific heat due to impact of kiln restart post breakdown
Two crusher operation to be maintained for better pile quality control and kiln ops</t>
  </si>
  <si>
    <t>Diesel substitution upto 50%
Own vehicles</t>
  </si>
  <si>
    <t>Manoj, Anil</t>
  </si>
  <si>
    <t>Dinesh, Anil</t>
  </si>
  <si>
    <t>Tons/Day</t>
  </si>
  <si>
    <t>Solid AFR feeding low. Must be ramped up to consume stock prior to monsoon.</t>
  </si>
  <si>
    <t>Liquid AFR feeding</t>
  </si>
  <si>
    <t>HCV feeding of ~100 TPD needs to be maintained</t>
  </si>
  <si>
    <t>Line1 : Specific power reduction</t>
  </si>
  <si>
    <t>Rajiv, Dinesh, Praveen</t>
  </si>
  <si>
    <t>Specific power higher
- Clinkerization power needs to be optimized (esp. Raw mills and Kiln section)</t>
  </si>
  <si>
    <t>Line2: Specific power reduction</t>
  </si>
  <si>
    <t>- Grinding power higher and needs to be optimized 
'Raw mill:
- CBC approval in process for wobbler installation in line 2</t>
  </si>
  <si>
    <t>Explosive cost reduction</t>
  </si>
  <si>
    <t>Shailendra</t>
  </si>
  <si>
    <t xml:space="preserve">% conversion </t>
  </si>
  <si>
    <t>Refractory vendor substitution</t>
  </si>
  <si>
    <t xml:space="preserve">Anil </t>
  </si>
  <si>
    <t>Alt vendor</t>
  </si>
  <si>
    <t>% Consumption</t>
  </si>
  <si>
    <t>Sweetener consumption maintained at 0%</t>
  </si>
  <si>
    <t>Month target
KPI Apr-24</t>
  </si>
  <si>
    <t>MTD actual 
KPI
Apr-24</t>
  </si>
  <si>
    <t>Tons/day</t>
  </si>
  <si>
    <t>Condition ash in PPC (CH, CH+, DT &amp; AW) cement</t>
  </si>
  <si>
    <t>Increase flyash in AW</t>
  </si>
  <si>
    <t>Cement Production (AW)</t>
  </si>
  <si>
    <t>Increase fly Ash in AW</t>
  </si>
  <si>
    <t>FY24 
Exit rate
KPI</t>
  </si>
  <si>
    <t>Open Mkt Coal</t>
  </si>
  <si>
    <t>Indian Coal (linkage)</t>
  </si>
  <si>
    <t>Pet Coke</t>
  </si>
  <si>
    <t>Indian Coal Linkage</t>
  </si>
  <si>
    <t>Indian Coal Linkage Heat</t>
  </si>
  <si>
    <t>Indian Coal (Linkage)</t>
  </si>
  <si>
    <t>Imported US Pet Coke</t>
  </si>
  <si>
    <t>Imported US Pet Coke CV</t>
  </si>
  <si>
    <t>Indian Coal (Linkage) CV</t>
  </si>
  <si>
    <t>Indian Coal (Linkage) Heat</t>
  </si>
  <si>
    <t>U-II Indian Coal (Linkage) %</t>
  </si>
  <si>
    <t>U-II Imported US Pet Coke %</t>
  </si>
  <si>
    <t>U-I Imported PC %</t>
  </si>
  <si>
    <t>U-I Indian Coal Linkage %</t>
  </si>
  <si>
    <t>Indian Coal Linkage CV</t>
  </si>
  <si>
    <t>FY 2023-24</t>
  </si>
  <si>
    <t>Target Apr-2024</t>
  </si>
  <si>
    <t>Target May-2024</t>
  </si>
  <si>
    <t>Target June-2024</t>
  </si>
  <si>
    <t>Target July-2024</t>
  </si>
  <si>
    <t>Target Aug-2024</t>
  </si>
  <si>
    <t>Target Sep-2024</t>
  </si>
  <si>
    <t>Target Oct-2024</t>
  </si>
  <si>
    <t>Target Nov-2024</t>
  </si>
  <si>
    <t>Target Dec-2024</t>
  </si>
  <si>
    <t>Target Jan-2025</t>
  </si>
  <si>
    <t>Target Feb-2025</t>
  </si>
  <si>
    <t>Target Mar-2025</t>
  </si>
  <si>
    <t>Responsibility</t>
  </si>
  <si>
    <t>RK Yadav</t>
  </si>
  <si>
    <t>Sanjay Singh</t>
  </si>
  <si>
    <t>Raunak Pinjarkar</t>
  </si>
  <si>
    <t>SAFR</t>
  </si>
  <si>
    <t>CV</t>
  </si>
  <si>
    <t>SAFR Heat</t>
  </si>
  <si>
    <t>TSR%</t>
  </si>
  <si>
    <t>LAFR</t>
  </si>
  <si>
    <t>LAFR Heat</t>
  </si>
  <si>
    <t>Total TSR%</t>
  </si>
  <si>
    <t>LAFR TSR%</t>
  </si>
  <si>
    <t>Indian coal %</t>
  </si>
  <si>
    <t>Domestic coal%</t>
  </si>
  <si>
    <t>Petcoke saudi%</t>
  </si>
  <si>
    <t>petcoke US %</t>
  </si>
  <si>
    <t>LAFR %</t>
  </si>
  <si>
    <t>SAFR %</t>
  </si>
  <si>
    <t>(I+II)</t>
  </si>
  <si>
    <t>Raghvendra Pandey,
Suneet Dwivedi, Ghanshyam Mishra, RK Jha, Akhilesh Singh (U-2), Sanjay Singh, RK Yadav</t>
  </si>
  <si>
    <t>MTD actual 
KPI
May-24</t>
  </si>
  <si>
    <t>Month target
KPI May-24</t>
  </si>
  <si>
    <t>Solid AFR TSR%</t>
  </si>
  <si>
    <t>%</t>
  </si>
  <si>
    <t>U1 Gypsum%</t>
  </si>
  <si>
    <t>U2 Gypsum%</t>
  </si>
  <si>
    <t>U1 CFA%</t>
  </si>
  <si>
    <t>U2 CFA%</t>
  </si>
  <si>
    <t>MTD actual 
KPI
June-24</t>
  </si>
  <si>
    <t>Month target
KPI June-24</t>
  </si>
  <si>
    <t>Bed Ash Gypsum</t>
  </si>
  <si>
    <t xml:space="preserve"> </t>
  </si>
  <si>
    <t>Petcoke US %</t>
  </si>
  <si>
    <t>MTD actual 
KPI
July-24</t>
  </si>
  <si>
    <t>Month target
KPI July-24</t>
  </si>
  <si>
    <t>Q1</t>
  </si>
  <si>
    <t>Gyp PPC</t>
  </si>
  <si>
    <t>Gyp OPC</t>
  </si>
  <si>
    <t xml:space="preserve">  -   </t>
  </si>
  <si>
    <t>MTD actual 
KPI
Aug-24</t>
  </si>
  <si>
    <t>Month target
KPI Aug-24</t>
  </si>
  <si>
    <t>Girish Singh</t>
  </si>
  <si>
    <t>NG OPC</t>
  </si>
  <si>
    <t>NG PPC</t>
  </si>
  <si>
    <t>BA TOT</t>
  </si>
  <si>
    <t>FGD TOT</t>
  </si>
  <si>
    <t xml:space="preserve">   </t>
  </si>
  <si>
    <t>Month target
KPI Sep-24</t>
  </si>
  <si>
    <t>MTD actual 
KPI
Sep-24</t>
  </si>
  <si>
    <t>Solid (Hazardous Waste)</t>
  </si>
  <si>
    <t>TSR% (Hazardous)</t>
  </si>
  <si>
    <t>SAFR TSR%</t>
  </si>
  <si>
    <t>NCV ADB</t>
  </si>
  <si>
    <r>
      <t xml:space="preserve">    </t>
    </r>
    <r>
      <rPr>
        <sz val="8"/>
        <color rgb="FFCE9178"/>
        <rFont val="Consolas"/>
        <family val="3"/>
      </rPr>
      <t>"Cement Production (PPC)"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</si>
  <si>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"Actual fly ash consumption"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</si>
  <si>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"Increase flyash in PPC"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</si>
  <si>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"Cement Production (DT)"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</si>
  <si>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"Increase flyash in DT"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</si>
  <si>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"Cement Production (AW)"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</si>
  <si>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"Increase flyash in AW"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</si>
  <si>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"HP Steam Generation Line 1 (AQC-1)"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</si>
  <si>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"Turbine Specific Steam Consumption"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</si>
  <si>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"Line1 WHRS Generation"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</si>
  <si>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"Clinker Production"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</si>
  <si>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"Kiln1: WHRS generation"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</si>
  <si>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"HP Steam Generation Line-2 (AQC-2)"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</si>
  <si>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"LP Steam Generation"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</si>
  <si>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"Line2 WHRS Generation"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</si>
  <si>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"Kiln2: WHRS generation"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</si>
  <si>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"WHRS Gross generation"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</si>
  <si>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"Kiln1 &amp; 2:WHRS generation"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</si>
  <si>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"HSD Rate"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</si>
  <si>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"IO Rate"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</si>
  <si>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"Diesel substitution upto 50%"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</si>
  <si>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"FGD Gypsum"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</si>
  <si>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"Bed Ash Gypsum"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</si>
  <si>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"Natural Gypsum (Unit-I)"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</si>
  <si>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"Natural Gypsum (Unit-II)"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</si>
  <si>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"Natural Gypsum in Activated Gypsum"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</si>
  <si>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"Limestone in Activated Gypsum"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</si>
  <si>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"Total gypsum usage"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</si>
  <si>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"Alternate gypsum usage"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</si>
  <si>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"Conditioned Ash used"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</si>
  <si>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"Total Fly Ash used"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</si>
  <si>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"Conditioned Ash usage"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</si>
  <si>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"Total OPC Production"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</si>
  <si>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"PI Addition"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</si>
  <si>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"PI Addtion in OPC"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</si>
  <si>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"Imported US Pet Coke"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</si>
  <si>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"Imported US Pet Coke CV"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</si>
  <si>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"Total Heat"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</si>
  <si>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"Imported PC Heat"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</si>
  <si>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"U-II Imported US Pet Coke %"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</si>
  <si>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"Indian Coal (Linkage)"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</si>
  <si>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"Indian Coal (Linkage) CV"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</si>
  <si>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"Indian Coal (Linkage) Heat"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</si>
  <si>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"U-II Indian Coal (Linkage) %"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</si>
  <si>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"Open market coal (by road) qty"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</si>
  <si>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"Open market coal (by road) CV"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</si>
  <si>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"Open market coal (by road) heat"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</si>
  <si>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"U-II Total open market coal %"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</si>
  <si>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"Imported PC Quantity"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</si>
  <si>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"Imported PC CV"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</si>
  <si>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"U-I Imported PC %"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</si>
  <si>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"Indian Coal Linkage"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</si>
  <si>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"Indian Coal Linkage CV"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</si>
  <si>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"Indian Coal Linkage Heat"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</si>
  <si>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"U-I Indian Coal Linkage %"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</si>
  <si>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"U-I Total open market coal %"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</si>
  <si>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"Unit 1: Specific Heat"</t>
    </r>
    <r>
      <rPr>
        <sz val="8"/>
        <color rgb="FFD4D4D4"/>
        <rFont val="Consolas"/>
        <family val="3"/>
      </rPr>
      <t>,</t>
    </r>
  </si>
  <si>
    <r>
      <t xml:space="preserve">    </t>
    </r>
    <r>
      <rPr>
        <sz val="8"/>
        <color rgb="FFCE9178"/>
        <rFont val="Consolas"/>
        <family val="3"/>
      </rPr>
      <t>"Unit 2: Specific Heat"</t>
    </r>
  </si>
  <si>
    <t>Actual fly ash consumption (PPC)</t>
  </si>
  <si>
    <t>Actual fly ash consumption (DT)</t>
  </si>
  <si>
    <t>Actual fly ash consumption (AW)</t>
  </si>
  <si>
    <t>U-II Imported US Pet Coke</t>
  </si>
  <si>
    <t>U-II Imported US Pet Coke CV</t>
  </si>
  <si>
    <t>U-II Total Heat</t>
  </si>
  <si>
    <t>U-II Imported US PC Heat</t>
  </si>
  <si>
    <t>U-II Indian Coal (Linkage)</t>
  </si>
  <si>
    <t>U-II Indian Coal (Linkage) CV</t>
  </si>
  <si>
    <t>U-II Indian Coal (Linkage) Heat</t>
  </si>
  <si>
    <t>U-II Open market coal (by road) qty</t>
  </si>
  <si>
    <t>U-II Open market coal (by road) CV</t>
  </si>
  <si>
    <t>U-II Open market coal (by road) heat</t>
  </si>
  <si>
    <t>U-I Imported PC Quantity</t>
  </si>
  <si>
    <t>U-I Imported PC CV</t>
  </si>
  <si>
    <t>U-I Total Heat</t>
  </si>
  <si>
    <t>U-I Imported PC Heat</t>
  </si>
  <si>
    <t>U-I Indian Coal Linkage</t>
  </si>
  <si>
    <t>U-I Indian Coal Linkage CV</t>
  </si>
  <si>
    <t>U-I Indian Coal Linkage Heat</t>
  </si>
  <si>
    <t>U-I Open market coal (by road) qty</t>
  </si>
  <si>
    <t>U-I Open market coal (by road) CV</t>
  </si>
  <si>
    <t>U-I Open market coal (by road) heat</t>
  </si>
  <si>
    <t>Line 1 Cement: Champion (FA)</t>
  </si>
  <si>
    <t>Line 1 Cement: Champion + (FA)</t>
  </si>
  <si>
    <t>Line 1 Cement: Duratech (FA)</t>
  </si>
  <si>
    <t>Line 1 Cement: All Weather (FA)</t>
  </si>
  <si>
    <t>Line 2 Cement: Champion (FA)</t>
  </si>
  <si>
    <t>Line 2 Cement: Champion + (FA)</t>
  </si>
  <si>
    <t>U-I Liquid AFR (LCV) tons</t>
  </si>
  <si>
    <t>U-I Liquid AFR (HCV) tons</t>
  </si>
  <si>
    <t>U-I Liquid AFR CV</t>
  </si>
  <si>
    <t>U-II Liquid AFR (LCV) tons</t>
  </si>
  <si>
    <t>U-II Liquid AFR (HCV) tons</t>
  </si>
  <si>
    <t>U-II Liquid AFR CV</t>
  </si>
  <si>
    <t>U-I Natural Gypsum in Activated Gypsum</t>
  </si>
  <si>
    <t>U-I Limestone in Activated Gypsum</t>
  </si>
  <si>
    <t>U-II Natural Gypsum in Activated Gypsum</t>
  </si>
  <si>
    <t>U-II Limestone in Activated Gypsum</t>
  </si>
  <si>
    <t>U-I Conditioned ash</t>
  </si>
  <si>
    <t>U-I Dry Ash</t>
  </si>
  <si>
    <t>U-II Conditioned ash</t>
  </si>
  <si>
    <t>U-II Dry Ash</t>
  </si>
  <si>
    <t>Ext Clk Fresh U-I</t>
  </si>
  <si>
    <t>Ext Clk old U-I</t>
  </si>
  <si>
    <t>Ext Clk old U-II</t>
  </si>
  <si>
    <t>Ext Clk Fresh U-II</t>
  </si>
  <si>
    <t>PI Addition</t>
  </si>
  <si>
    <t>Solid AFR Rate</t>
  </si>
  <si>
    <t>Solid AFR NCV ARB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</si>
</sst>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(* #,##0.00_);_(* \(#,##0.00\);_(* &quot;-&quot;??_);_(@_)"/>
    <numFmt numFmtId="164" formatCode="_ * #,##0.00_ ;_ * \-#,##0.00_ ;_ * &quot;-&quot;??_ ;_ @_ "/>
    <numFmt numFmtId="165" formatCode="0.0%"/>
    <numFmt numFmtId="166" formatCode="0.0"/>
    <numFmt numFmtId="167" formatCode="_(* #,##0_);_(* \(#,##0\);_(* &quot;-&quot;??_);_(@_)"/>
    <numFmt numFmtId="168" formatCode="_-* #,##0.00_-;\-* #,##0.00_-;_-* &quot;-&quot;??_-;_-@_-"/>
    <numFmt numFmtId="169" formatCode="_ * #,##0_ ;_ * \-#,##0_ ;_ * &quot;-&quot;??_ ;_ @_ "/>
    <numFmt numFmtId="170" formatCode="_ * #,##0.0_ ;_ * \-#,##0.0_ ;_ * &quot;-&quot;??_ ;_ @_ "/>
    <numFmt numFmtId="171" formatCode="0.0000%"/>
    <numFmt numFmtId="172" formatCode="[$-409]mmm\-yy;@"/>
    <numFmt numFmtId="173" formatCode="m/d;@"/>
    <numFmt numFmtId="174" formatCode="_(* #,##0.0_);_(* \(#,##0.0\);_(* &quot;-&quot;??_);_(@_)"/>
    <numFmt numFmtId="175" formatCode="0.000%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theme="0"/>
      <name val="Trebuchet MS"/>
      <family val="2"/>
    </font>
    <font>
      <sz val="10"/>
      <color theme="1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Trebuchet MS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6"/>
      <color theme="1"/>
      <name val="Trebuchet MS"/>
      <family val="2"/>
    </font>
    <font>
      <b/>
      <sz val="14"/>
      <color rgb="FF201E1E"/>
      <name val="Trebuchet MS"/>
      <family val="2"/>
    </font>
    <font>
      <sz val="14"/>
      <color theme="1"/>
      <name val="Trebuchet MS"/>
      <family val="2"/>
    </font>
    <font>
      <sz val="14"/>
      <name val="Trebuchet MS"/>
      <family val="2"/>
    </font>
    <font>
      <b/>
      <sz val="14"/>
      <color theme="1"/>
      <name val="Trebuchet MS"/>
      <family val="2"/>
    </font>
    <font>
      <sz val="14"/>
      <color theme="1"/>
      <name val="Calibri"/>
      <family val="2"/>
      <scheme val="minor"/>
    </font>
    <font>
      <b/>
      <sz val="14"/>
      <color theme="0"/>
      <name val="Trebuchet MS"/>
      <family val="2"/>
    </font>
    <font>
      <sz val="14"/>
      <color rgb="FF000000"/>
      <name val="Trebuchet MS"/>
      <family val="2"/>
    </font>
    <font>
      <b/>
      <sz val="14"/>
      <name val="Trebuchet MS"/>
      <family val="2"/>
    </font>
    <font>
      <sz val="14"/>
      <color rgb="FF201E1E"/>
      <name val="Trebuchet MS"/>
      <family val="2"/>
    </font>
    <font>
      <b/>
      <sz val="14"/>
      <color rgb="FFFF0000"/>
      <name val="Trebuchet MS"/>
      <family val="2"/>
    </font>
    <font>
      <sz val="8"/>
      <color rgb="FFD4D4D4"/>
      <name val="Consolas"/>
      <family val="3"/>
    </font>
    <font>
      <sz val="8"/>
      <color rgb="FFCE9178"/>
      <name val="Consolas"/>
      <family val="3"/>
    </font>
  </fonts>
  <fills count="2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168" fontId="1" fillId="0" borderId="0" applyFont="0" applyFill="0" applyBorder="0" applyAlignment="0" applyProtection="0"/>
    <xf numFmtId="0" fontId="9" fillId="0" borderId="0"/>
    <xf numFmtId="164" fontId="1" fillId="0" borderId="0" applyFont="0" applyFill="0" applyBorder="0" applyAlignment="0" applyProtection="0"/>
  </cellStyleXfs>
  <cellXfs count="371">
    <xf numFmtId="0" fontId="0" fillId="0" borderId="0" xfId="0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6" fontId="5" fillId="2" borderId="1" xfId="0" applyNumberFormat="1" applyFont="1" applyFill="1" applyBorder="1" applyAlignment="1">
      <alignment horizontal="center" vertical="center"/>
    </xf>
    <xf numFmtId="17" fontId="5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" fontId="0" fillId="0" borderId="0" xfId="0" applyNumberFormat="1"/>
    <xf numFmtId="0" fontId="6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165" fontId="0" fillId="4" borderId="1" xfId="2" applyNumberFormat="1" applyFont="1" applyFill="1" applyBorder="1" applyAlignment="1">
      <alignment horizontal="center"/>
    </xf>
    <xf numFmtId="165" fontId="0" fillId="4" borderId="1" xfId="2" applyNumberFormat="1" applyFont="1" applyFill="1" applyBorder="1" applyAlignment="1">
      <alignment horizontal="center" vertical="center"/>
    </xf>
    <xf numFmtId="165" fontId="0" fillId="3" borderId="1" xfId="2" applyNumberFormat="1" applyFont="1" applyFill="1" applyBorder="1" applyAlignment="1">
      <alignment horizontal="center"/>
    </xf>
    <xf numFmtId="0" fontId="0" fillId="4" borderId="0" xfId="0" applyFill="1"/>
    <xf numFmtId="0" fontId="0" fillId="0" borderId="2" xfId="0" applyBorder="1" applyAlignment="1">
      <alignment horizontal="center" vertical="center"/>
    </xf>
    <xf numFmtId="9" fontId="0" fillId="4" borderId="1" xfId="2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43" fontId="8" fillId="0" borderId="1" xfId="1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3" fontId="0" fillId="0" borderId="1" xfId="0" applyNumberFormat="1" applyBorder="1" applyAlignment="1">
      <alignment horizontal="center" vertical="top"/>
    </xf>
    <xf numFmtId="3" fontId="0" fillId="3" borderId="1" xfId="0" applyNumberFormat="1" applyFill="1" applyBorder="1" applyAlignment="1">
      <alignment horizontal="center"/>
    </xf>
    <xf numFmtId="3" fontId="0" fillId="0" borderId="0" xfId="0" applyNumberFormat="1"/>
    <xf numFmtId="166" fontId="0" fillId="4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66" fontId="0" fillId="4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/>
    </xf>
    <xf numFmtId="166" fontId="0" fillId="4" borderId="2" xfId="0" applyNumberForma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7" fontId="8" fillId="0" borderId="1" xfId="1" applyNumberFormat="1" applyFont="1" applyFill="1" applyBorder="1" applyAlignment="1">
      <alignment horizontal="center" vertical="center"/>
    </xf>
    <xf numFmtId="167" fontId="8" fillId="0" borderId="1" xfId="4" applyNumberFormat="1" applyFont="1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67" fontId="8" fillId="6" borderId="1" xfId="4" applyNumberFormat="1" applyFont="1" applyFill="1" applyBorder="1" applyAlignment="1">
      <alignment horizontal="center" vertical="center"/>
    </xf>
    <xf numFmtId="0" fontId="0" fillId="4" borderId="1" xfId="0" applyFill="1" applyBorder="1"/>
    <xf numFmtId="0" fontId="0" fillId="0" borderId="1" xfId="0" applyBorder="1" applyAlignment="1">
      <alignment horizontal="center" vertical="top"/>
    </xf>
    <xf numFmtId="0" fontId="2" fillId="0" borderId="0" xfId="0" applyFont="1"/>
    <xf numFmtId="0" fontId="0" fillId="0" borderId="2" xfId="0" applyBorder="1" applyAlignment="1">
      <alignment horizontal="center" vertical="top"/>
    </xf>
    <xf numFmtId="10" fontId="0" fillId="4" borderId="1" xfId="2" applyNumberFormat="1" applyFont="1" applyFill="1" applyBorder="1" applyAlignment="1">
      <alignment horizontal="center"/>
    </xf>
    <xf numFmtId="10" fontId="0" fillId="4" borderId="1" xfId="2" applyNumberFormat="1" applyFont="1" applyFill="1" applyBorder="1" applyAlignment="1">
      <alignment horizontal="center" vertical="center"/>
    </xf>
    <xf numFmtId="10" fontId="0" fillId="4" borderId="2" xfId="2" applyNumberFormat="1" applyFont="1" applyFill="1" applyBorder="1" applyAlignment="1">
      <alignment horizontal="center"/>
    </xf>
    <xf numFmtId="0" fontId="0" fillId="5" borderId="0" xfId="0" applyFill="1"/>
    <xf numFmtId="0" fontId="0" fillId="5" borderId="3" xfId="2" applyNumberFormat="1" applyFont="1" applyFill="1" applyBorder="1" applyAlignment="1">
      <alignment horizontal="center"/>
    </xf>
    <xf numFmtId="0" fontId="0" fillId="5" borderId="1" xfId="2" applyNumberFormat="1" applyFont="1" applyFill="1" applyBorder="1" applyAlignment="1">
      <alignment horizontal="center"/>
    </xf>
    <xf numFmtId="10" fontId="0" fillId="0" borderId="0" xfId="2" applyNumberFormat="1" applyFont="1"/>
    <xf numFmtId="1" fontId="0" fillId="0" borderId="1" xfId="0" applyNumberFormat="1" applyBorder="1" applyAlignment="1">
      <alignment horizontal="center" vertical="top"/>
    </xf>
    <xf numFmtId="9" fontId="0" fillId="4" borderId="1" xfId="2" applyFont="1" applyFill="1" applyBorder="1" applyAlignment="1">
      <alignment horizontal="center" vertical="top"/>
    </xf>
    <xf numFmtId="9" fontId="0" fillId="4" borderId="2" xfId="2" applyFont="1" applyFill="1" applyBorder="1" applyAlignment="1">
      <alignment horizontal="center" vertical="top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1" fontId="0" fillId="5" borderId="1" xfId="2" applyNumberFormat="1" applyFon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0" fontId="0" fillId="0" borderId="0" xfId="2" applyNumberFormat="1" applyFont="1" applyFill="1" applyBorder="1" applyAlignment="1">
      <alignment horizontal="center"/>
    </xf>
    <xf numFmtId="167" fontId="0" fillId="5" borderId="1" xfId="1" applyNumberFormat="1" applyFont="1" applyFill="1" applyBorder="1" applyAlignment="1">
      <alignment horizontal="center"/>
    </xf>
    <xf numFmtId="167" fontId="0" fillId="5" borderId="1" xfId="1" applyNumberFormat="1" applyFont="1" applyFill="1" applyBorder="1" applyAlignment="1">
      <alignment horizontal="center" vertical="center"/>
    </xf>
    <xf numFmtId="9" fontId="0" fillId="4" borderId="1" xfId="2" applyFont="1" applyFill="1" applyBorder="1" applyAlignment="1">
      <alignment horizontal="center" vertical="center"/>
    </xf>
    <xf numFmtId="1" fontId="0" fillId="0" borderId="1" xfId="2" applyNumberFormat="1" applyFont="1" applyFill="1" applyBorder="1" applyAlignment="1">
      <alignment horizontal="center"/>
    </xf>
    <xf numFmtId="1" fontId="0" fillId="5" borderId="1" xfId="0" applyNumberFormat="1" applyFill="1" applyBorder="1" applyAlignment="1">
      <alignment horizontal="center" vertical="top"/>
    </xf>
    <xf numFmtId="1" fontId="0" fillId="5" borderId="1" xfId="0" applyNumberFormat="1" applyFill="1" applyBorder="1" applyAlignment="1">
      <alignment horizontal="center" vertical="center"/>
    </xf>
    <xf numFmtId="0" fontId="0" fillId="0" borderId="1" xfId="2" applyNumberFormat="1" applyFont="1" applyFill="1" applyBorder="1" applyAlignment="1">
      <alignment horizontal="center"/>
    </xf>
    <xf numFmtId="167" fontId="0" fillId="0" borderId="1" xfId="1" applyNumberFormat="1" applyFont="1" applyFill="1" applyBorder="1" applyAlignment="1">
      <alignment horizontal="center"/>
    </xf>
    <xf numFmtId="167" fontId="0" fillId="0" borderId="1" xfId="1" applyNumberFormat="1" applyFont="1" applyFill="1" applyBorder="1" applyAlignment="1">
      <alignment horizontal="center" vertical="center"/>
    </xf>
    <xf numFmtId="2" fontId="0" fillId="5" borderId="1" xfId="2" applyNumberFormat="1" applyFont="1" applyFill="1" applyBorder="1" applyAlignment="1">
      <alignment horizontal="center"/>
    </xf>
    <xf numFmtId="167" fontId="0" fillId="5" borderId="1" xfId="1" applyNumberFormat="1" applyFont="1" applyFill="1" applyBorder="1" applyAlignment="1">
      <alignment horizontal="left"/>
    </xf>
    <xf numFmtId="167" fontId="0" fillId="5" borderId="1" xfId="4" applyNumberFormat="1" applyFont="1" applyFill="1" applyBorder="1" applyAlignment="1">
      <alignment horizontal="left"/>
    </xf>
    <xf numFmtId="164" fontId="0" fillId="0" borderId="0" xfId="0" applyNumberFormat="1"/>
    <xf numFmtId="169" fontId="0" fillId="5" borderId="1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0" fontId="0" fillId="7" borderId="1" xfId="0" applyFill="1" applyBorder="1"/>
    <xf numFmtId="3" fontId="0" fillId="0" borderId="0" xfId="0" applyNumberFormat="1" applyAlignment="1">
      <alignment horizontal="center"/>
    </xf>
    <xf numFmtId="166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10" fontId="0" fillId="0" borderId="0" xfId="2" applyNumberFormat="1" applyFont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165" fontId="0" fillId="0" borderId="0" xfId="2" applyNumberFormat="1" applyFont="1"/>
    <xf numFmtId="0" fontId="0" fillId="0" borderId="1" xfId="0" quotePrefix="1" applyBorder="1" applyAlignment="1">
      <alignment horizontal="center"/>
    </xf>
    <xf numFmtId="0" fontId="0" fillId="4" borderId="1" xfId="0" applyFill="1" applyBorder="1" applyAlignment="1">
      <alignment horizontal="right"/>
    </xf>
    <xf numFmtId="0" fontId="0" fillId="7" borderId="4" xfId="0" applyFill="1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10" fillId="7" borderId="0" xfId="0" applyFont="1" applyFill="1"/>
    <xf numFmtId="0" fontId="0" fillId="4" borderId="3" xfId="0" applyFill="1" applyBorder="1" applyAlignment="1">
      <alignment horizontal="center"/>
    </xf>
    <xf numFmtId="165" fontId="0" fillId="4" borderId="0" xfId="2" applyNumberFormat="1" applyFont="1" applyFill="1"/>
    <xf numFmtId="10" fontId="0" fillId="4" borderId="0" xfId="2" applyNumberFormat="1" applyFont="1" applyFill="1"/>
    <xf numFmtId="0" fontId="3" fillId="0" borderId="5" xfId="0" applyFont="1" applyBorder="1"/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7" borderId="7" xfId="0" applyFill="1" applyBorder="1"/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0" borderId="7" xfId="0" applyBorder="1"/>
    <xf numFmtId="0" fontId="0" fillId="0" borderId="3" xfId="0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2" fillId="0" borderId="8" xfId="0" applyFont="1" applyBorder="1" applyAlignment="1">
      <alignment horizontal="center" vertical="center" wrapText="1"/>
    </xf>
    <xf numFmtId="2" fontId="0" fillId="0" borderId="1" xfId="0" applyNumberFormat="1" applyBorder="1"/>
    <xf numFmtId="0" fontId="0" fillId="0" borderId="9" xfId="0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3" fillId="0" borderId="0" xfId="0" applyFont="1"/>
    <xf numFmtId="166" fontId="0" fillId="0" borderId="0" xfId="0" applyNumberFormat="1" applyAlignment="1">
      <alignment horizontal="center"/>
    </xf>
    <xf numFmtId="0" fontId="12" fillId="0" borderId="1" xfId="0" applyFont="1" applyBorder="1" applyAlignment="1">
      <alignment horizontal="center" vertical="center"/>
    </xf>
    <xf numFmtId="170" fontId="0" fillId="0" borderId="0" xfId="0" applyNumberFormat="1"/>
    <xf numFmtId="0" fontId="0" fillId="8" borderId="0" xfId="0" applyFill="1"/>
    <xf numFmtId="9" fontId="0" fillId="0" borderId="0" xfId="2" applyFont="1"/>
    <xf numFmtId="0" fontId="13" fillId="4" borderId="1" xfId="0" applyFont="1" applyFill="1" applyBorder="1" applyAlignment="1">
      <alignment vertical="center"/>
    </xf>
    <xf numFmtId="9" fontId="0" fillId="0" borderId="1" xfId="2" applyFont="1" applyBorder="1" applyAlignment="1">
      <alignment horizontal="center"/>
    </xf>
    <xf numFmtId="9" fontId="0" fillId="0" borderId="1" xfId="2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3" fontId="0" fillId="0" borderId="0" xfId="0" applyNumberFormat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/>
    </xf>
    <xf numFmtId="0" fontId="16" fillId="0" borderId="0" xfId="0" applyFont="1"/>
    <xf numFmtId="0" fontId="17" fillId="0" borderId="1" xfId="0" applyFont="1" applyBorder="1" applyAlignment="1">
      <alignment horizontal="center" vertical="center" wrapText="1" readingOrder="1"/>
    </xf>
    <xf numFmtId="171" fontId="16" fillId="0" borderId="0" xfId="2" applyNumberFormat="1" applyFont="1"/>
    <xf numFmtId="0" fontId="18" fillId="0" borderId="1" xfId="0" applyFont="1" applyBorder="1" applyAlignment="1">
      <alignment horizontal="center" vertical="center"/>
    </xf>
    <xf numFmtId="0" fontId="18" fillId="0" borderId="0" xfId="0" applyFont="1"/>
    <xf numFmtId="0" fontId="19" fillId="0" borderId="0" xfId="0" applyFont="1"/>
    <xf numFmtId="0" fontId="19" fillId="0" borderId="0" xfId="5" applyFont="1"/>
    <xf numFmtId="0" fontId="19" fillId="0" borderId="0" xfId="0" applyFont="1" applyAlignment="1">
      <alignment horizontal="center" vertical="center" wrapText="1" readingOrder="1"/>
    </xf>
    <xf numFmtId="9" fontId="18" fillId="0" borderId="0" xfId="0" applyNumberFormat="1" applyFont="1"/>
    <xf numFmtId="10" fontId="18" fillId="0" borderId="0" xfId="0" applyNumberFormat="1" applyFont="1"/>
    <xf numFmtId="0" fontId="18" fillId="5" borderId="0" xfId="0" applyFont="1" applyFill="1" applyAlignment="1">
      <alignment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vertical="center" wrapText="1"/>
    </xf>
    <xf numFmtId="0" fontId="18" fillId="5" borderId="0" xfId="0" applyFont="1" applyFill="1" applyAlignment="1">
      <alignment vertical="center" wrapText="1"/>
    </xf>
    <xf numFmtId="0" fontId="18" fillId="0" borderId="0" xfId="0" applyFont="1" applyAlignment="1">
      <alignment vertical="center" wrapText="1"/>
    </xf>
    <xf numFmtId="0" fontId="18" fillId="5" borderId="0" xfId="0" applyFont="1" applyFill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vertical="center"/>
    </xf>
    <xf numFmtId="0" fontId="22" fillId="2" borderId="1" xfId="0" applyFont="1" applyFill="1" applyBorder="1" applyAlignment="1">
      <alignment horizontal="center" vertical="center" wrapText="1"/>
    </xf>
    <xf numFmtId="172" fontId="22" fillId="2" borderId="1" xfId="0" applyNumberFormat="1" applyFont="1" applyFill="1" applyBorder="1" applyAlignment="1">
      <alignment horizontal="center" vertical="center" wrapText="1"/>
    </xf>
    <xf numFmtId="172" fontId="22" fillId="0" borderId="1" xfId="0" applyNumberFormat="1" applyFont="1" applyBorder="1" applyAlignment="1">
      <alignment horizontal="center" vertical="center" wrapText="1"/>
    </xf>
    <xf numFmtId="173" fontId="22" fillId="2" borderId="1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22" fillId="2" borderId="1" xfId="0" applyFont="1" applyFill="1" applyBorder="1" applyAlignment="1">
      <alignment vertical="center" wrapText="1"/>
    </xf>
    <xf numFmtId="0" fontId="22" fillId="2" borderId="9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165" fontId="18" fillId="0" borderId="1" xfId="1" applyNumberFormat="1" applyFont="1" applyBorder="1" applyAlignment="1">
      <alignment horizontal="center" vertical="center"/>
    </xf>
    <xf numFmtId="165" fontId="18" fillId="0" borderId="1" xfId="6" applyNumberFormat="1" applyFont="1" applyBorder="1" applyAlignment="1">
      <alignment horizontal="center" vertical="center"/>
    </xf>
    <xf numFmtId="165" fontId="18" fillId="11" borderId="1" xfId="0" applyNumberFormat="1" applyFont="1" applyFill="1" applyBorder="1" applyAlignment="1">
      <alignment horizontal="center" vertical="center"/>
    </xf>
    <xf numFmtId="165" fontId="19" fillId="12" borderId="1" xfId="1" applyNumberFormat="1" applyFont="1" applyFill="1" applyBorder="1" applyAlignment="1">
      <alignment horizontal="center" vertical="center"/>
    </xf>
    <xf numFmtId="165" fontId="18" fillId="0" borderId="1" xfId="2" quotePrefix="1" applyNumberFormat="1" applyFont="1" applyBorder="1" applyAlignment="1">
      <alignment horizontal="left" vertical="center" wrapText="1"/>
    </xf>
    <xf numFmtId="165" fontId="18" fillId="0" borderId="1" xfId="2" quotePrefix="1" applyNumberFormat="1" applyFont="1" applyFill="1" applyBorder="1" applyAlignment="1">
      <alignment horizontal="left" vertical="center" wrapText="1"/>
    </xf>
    <xf numFmtId="165" fontId="18" fillId="13" borderId="1" xfId="2" applyNumberFormat="1" applyFont="1" applyFill="1" applyBorder="1" applyAlignment="1">
      <alignment horizontal="center" vertical="center"/>
    </xf>
    <xf numFmtId="165" fontId="18" fillId="13" borderId="9" xfId="2" applyNumberFormat="1" applyFont="1" applyFill="1" applyBorder="1" applyAlignment="1">
      <alignment horizontal="center" vertical="center"/>
    </xf>
    <xf numFmtId="165" fontId="18" fillId="0" borderId="1" xfId="2" applyNumberFormat="1" applyFont="1" applyBorder="1" applyAlignment="1">
      <alignment vertical="center"/>
    </xf>
    <xf numFmtId="2" fontId="18" fillId="0" borderId="1" xfId="0" applyNumberFormat="1" applyFont="1" applyBorder="1" applyAlignment="1">
      <alignment horizontal="center" vertical="center"/>
    </xf>
    <xf numFmtId="165" fontId="18" fillId="0" borderId="1" xfId="6" applyNumberFormat="1" applyFont="1" applyFill="1" applyBorder="1" applyAlignment="1">
      <alignment horizontal="right" vertical="center"/>
    </xf>
    <xf numFmtId="0" fontId="18" fillId="0" borderId="1" xfId="0" applyFont="1" applyBorder="1" applyAlignment="1">
      <alignment vertical="center"/>
    </xf>
    <xf numFmtId="0" fontId="18" fillId="0" borderId="1" xfId="0" applyFont="1" applyBorder="1" applyAlignment="1">
      <alignment vertical="center" wrapText="1"/>
    </xf>
    <xf numFmtId="9" fontId="18" fillId="0" borderId="1" xfId="2" applyFont="1" applyBorder="1" applyAlignment="1">
      <alignment horizontal="center" vertical="center"/>
    </xf>
    <xf numFmtId="10" fontId="18" fillId="0" borderId="1" xfId="0" applyNumberFormat="1" applyFont="1" applyBorder="1" applyAlignment="1">
      <alignment vertical="center"/>
    </xf>
    <xf numFmtId="166" fontId="18" fillId="0" borderId="1" xfId="0" applyNumberFormat="1" applyFont="1" applyBorder="1" applyAlignment="1">
      <alignment horizontal="center" vertical="center"/>
    </xf>
    <xf numFmtId="9" fontId="18" fillId="13" borderId="1" xfId="2" applyFont="1" applyFill="1" applyBorder="1" applyAlignment="1">
      <alignment horizontal="center" vertical="center"/>
    </xf>
    <xf numFmtId="9" fontId="18" fillId="13" borderId="9" xfId="2" applyFont="1" applyFill="1" applyBorder="1" applyAlignment="1">
      <alignment horizontal="center" vertical="center"/>
    </xf>
    <xf numFmtId="166" fontId="18" fillId="0" borderId="1" xfId="1" applyNumberFormat="1" applyFont="1" applyBorder="1" applyAlignment="1">
      <alignment horizontal="center" vertical="center"/>
    </xf>
    <xf numFmtId="166" fontId="18" fillId="0" borderId="1" xfId="6" applyNumberFormat="1" applyFont="1" applyBorder="1" applyAlignment="1">
      <alignment horizontal="center" vertical="center"/>
    </xf>
    <xf numFmtId="166" fontId="23" fillId="10" borderId="1" xfId="1" applyNumberFormat="1" applyFont="1" applyFill="1" applyBorder="1" applyAlignment="1">
      <alignment horizontal="center" vertical="center"/>
    </xf>
    <xf numFmtId="166" fontId="18" fillId="13" borderId="1" xfId="1" applyNumberFormat="1" applyFont="1" applyFill="1" applyBorder="1" applyAlignment="1">
      <alignment horizontal="center" vertical="center"/>
    </xf>
    <xf numFmtId="166" fontId="18" fillId="11" borderId="1" xfId="1" applyNumberFormat="1" applyFont="1" applyFill="1" applyBorder="1" applyAlignment="1">
      <alignment horizontal="center" vertical="center"/>
    </xf>
    <xf numFmtId="166" fontId="18" fillId="13" borderId="9" xfId="1" applyNumberFormat="1" applyFont="1" applyFill="1" applyBorder="1" applyAlignment="1">
      <alignment horizontal="center" vertical="center"/>
    </xf>
    <xf numFmtId="165" fontId="18" fillId="0" borderId="1" xfId="2" applyNumberFormat="1" applyFont="1" applyFill="1" applyBorder="1" applyAlignment="1">
      <alignment horizontal="center" vertical="center"/>
    </xf>
    <xf numFmtId="165" fontId="23" fillId="0" borderId="1" xfId="0" applyNumberFormat="1" applyFont="1" applyBorder="1" applyAlignment="1">
      <alignment horizontal="center" vertical="center"/>
    </xf>
    <xf numFmtId="165" fontId="18" fillId="0" borderId="1" xfId="0" applyNumberFormat="1" applyFont="1" applyBorder="1" applyAlignment="1">
      <alignment horizontal="center" vertical="center"/>
    </xf>
    <xf numFmtId="165" fontId="23" fillId="12" borderId="1" xfId="0" applyNumberFormat="1" applyFont="1" applyFill="1" applyBorder="1" applyAlignment="1">
      <alignment horizontal="center" vertical="center"/>
    </xf>
    <xf numFmtId="9" fontId="18" fillId="0" borderId="1" xfId="2" applyFont="1" applyBorder="1" applyAlignment="1">
      <alignment horizontal="right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7" xfId="0" applyFont="1" applyFill="1" applyBorder="1" applyAlignment="1">
      <alignment horizontal="center" vertical="center"/>
    </xf>
    <xf numFmtId="166" fontId="18" fillId="0" borderId="0" xfId="1" applyNumberFormat="1" applyFont="1" applyFill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167" fontId="18" fillId="0" borderId="1" xfId="1" applyNumberFormat="1" applyFont="1" applyBorder="1" applyAlignment="1">
      <alignment horizontal="center" vertical="center"/>
    </xf>
    <xf numFmtId="0" fontId="18" fillId="0" borderId="1" xfId="1" applyNumberFormat="1" applyFont="1" applyFill="1" applyBorder="1" applyAlignment="1">
      <alignment horizontal="center" vertical="center"/>
    </xf>
    <xf numFmtId="0" fontId="18" fillId="0" borderId="1" xfId="6" applyNumberFormat="1" applyFont="1" applyFill="1" applyBorder="1" applyAlignment="1">
      <alignment horizontal="center" vertical="center"/>
    </xf>
    <xf numFmtId="1" fontId="18" fillId="0" borderId="1" xfId="0" applyNumberFormat="1" applyFont="1" applyBorder="1" applyAlignment="1">
      <alignment vertical="center"/>
    </xf>
    <xf numFmtId="174" fontId="18" fillId="0" borderId="1" xfId="1" applyNumberFormat="1" applyFont="1" applyBorder="1" applyAlignment="1">
      <alignment horizontal="center" vertical="center"/>
    </xf>
    <xf numFmtId="166" fontId="18" fillId="11" borderId="1" xfId="0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left" vertical="center" wrapText="1"/>
    </xf>
    <xf numFmtId="2" fontId="18" fillId="0" borderId="1" xfId="0" applyNumberFormat="1" applyFont="1" applyBorder="1" applyAlignment="1">
      <alignment vertical="center"/>
    </xf>
    <xf numFmtId="0" fontId="18" fillId="0" borderId="7" xfId="0" applyFont="1" applyBorder="1" applyAlignment="1">
      <alignment horizontal="center" vertical="center" wrapText="1"/>
    </xf>
    <xf numFmtId="174" fontId="18" fillId="0" borderId="7" xfId="1" applyNumberFormat="1" applyFont="1" applyBorder="1" applyAlignment="1">
      <alignment horizontal="center" vertical="center"/>
    </xf>
    <xf numFmtId="9" fontId="18" fillId="0" borderId="7" xfId="2" applyFont="1" applyBorder="1" applyAlignment="1">
      <alignment horizontal="center" vertical="center"/>
    </xf>
    <xf numFmtId="9" fontId="18" fillId="5" borderId="1" xfId="2" applyFont="1" applyFill="1" applyBorder="1" applyAlignment="1">
      <alignment horizontal="center" vertical="center"/>
    </xf>
    <xf numFmtId="9" fontId="18" fillId="5" borderId="1" xfId="0" applyNumberFormat="1" applyFont="1" applyFill="1" applyBorder="1" applyAlignment="1">
      <alignment horizontal="center" vertical="center"/>
    </xf>
    <xf numFmtId="165" fontId="23" fillId="5" borderId="1" xfId="2" quotePrefix="1" applyNumberFormat="1" applyFont="1" applyFill="1" applyBorder="1" applyAlignment="1">
      <alignment horizontal="left" vertical="center" wrapText="1"/>
    </xf>
    <xf numFmtId="165" fontId="23" fillId="0" borderId="1" xfId="2" quotePrefix="1" applyNumberFormat="1" applyFont="1" applyFill="1" applyBorder="1" applyAlignment="1">
      <alignment horizontal="left" vertical="center" wrapText="1"/>
    </xf>
    <xf numFmtId="0" fontId="18" fillId="5" borderId="1" xfId="0" applyFont="1" applyFill="1" applyBorder="1" applyAlignment="1">
      <alignment vertical="center"/>
    </xf>
    <xf numFmtId="166" fontId="18" fillId="0" borderId="1" xfId="1" applyNumberFormat="1" applyFont="1" applyFill="1" applyBorder="1" applyAlignment="1">
      <alignment horizontal="left" vertical="center" wrapText="1"/>
    </xf>
    <xf numFmtId="165" fontId="18" fillId="13" borderId="13" xfId="2" applyNumberFormat="1" applyFont="1" applyFill="1" applyBorder="1" applyAlignment="1">
      <alignment horizontal="center" vertical="center"/>
    </xf>
    <xf numFmtId="166" fontId="18" fillId="0" borderId="11" xfId="1" applyNumberFormat="1" applyFont="1" applyBorder="1" applyAlignment="1">
      <alignment vertical="center" wrapText="1"/>
    </xf>
    <xf numFmtId="166" fontId="18" fillId="0" borderId="5" xfId="1" applyNumberFormat="1" applyFont="1" applyBorder="1" applyAlignment="1">
      <alignment vertical="center" wrapText="1"/>
    </xf>
    <xf numFmtId="166" fontId="20" fillId="9" borderId="3" xfId="1" applyNumberFormat="1" applyFont="1" applyFill="1" applyBorder="1" applyAlignment="1">
      <alignment horizontal="right" vertical="center" wrapText="1"/>
    </xf>
    <xf numFmtId="166" fontId="20" fillId="0" borderId="1" xfId="1" applyNumberFormat="1" applyFont="1" applyFill="1" applyBorder="1" applyAlignment="1">
      <alignment horizontal="right" vertical="center" wrapText="1"/>
    </xf>
    <xf numFmtId="3" fontId="18" fillId="13" borderId="13" xfId="2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65" fontId="18" fillId="0" borderId="4" xfId="2" applyNumberFormat="1" applyFont="1" applyBorder="1" applyAlignment="1">
      <alignment vertical="center"/>
    </xf>
    <xf numFmtId="0" fontId="0" fillId="4" borderId="1" xfId="2" applyNumberFormat="1" applyFont="1" applyFill="1" applyBorder="1" applyAlignment="1">
      <alignment horizontal="center"/>
    </xf>
    <xf numFmtId="0" fontId="18" fillId="0" borderId="7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18" fillId="0" borderId="2" xfId="0" applyFont="1" applyBorder="1" applyAlignment="1">
      <alignment vertical="center"/>
    </xf>
    <xf numFmtId="0" fontId="18" fillId="4" borderId="1" xfId="0" applyFont="1" applyFill="1" applyBorder="1" applyAlignment="1">
      <alignment horizontal="left" vertical="center" wrapText="1"/>
    </xf>
    <xf numFmtId="0" fontId="18" fillId="4" borderId="1" xfId="0" applyFont="1" applyFill="1" applyBorder="1" applyAlignment="1">
      <alignment horizontal="center" vertical="center" wrapText="1"/>
    </xf>
    <xf numFmtId="165" fontId="0" fillId="0" borderId="0" xfId="2" applyNumberFormat="1" applyFont="1" applyFill="1" applyBorder="1" applyAlignment="1">
      <alignment horizontal="center"/>
    </xf>
    <xf numFmtId="9" fontId="0" fillId="3" borderId="1" xfId="2" applyFont="1" applyFill="1" applyBorder="1" applyAlignment="1">
      <alignment horizontal="center"/>
    </xf>
    <xf numFmtId="174" fontId="18" fillId="0" borderId="1" xfId="0" applyNumberFormat="1" applyFont="1" applyBorder="1" applyAlignment="1">
      <alignment horizontal="center" vertical="center"/>
    </xf>
    <xf numFmtId="165" fontId="19" fillId="16" borderId="1" xfId="2" applyNumberFormat="1" applyFont="1" applyFill="1" applyBorder="1" applyAlignment="1">
      <alignment horizontal="right" vertical="center"/>
    </xf>
    <xf numFmtId="165" fontId="18" fillId="16" borderId="1" xfId="6" applyNumberFormat="1" applyFont="1" applyFill="1" applyBorder="1" applyAlignment="1">
      <alignment horizontal="right" vertical="center"/>
    </xf>
    <xf numFmtId="165" fontId="18" fillId="16" borderId="1" xfId="2" applyNumberFormat="1" applyFont="1" applyFill="1" applyBorder="1" applyAlignment="1">
      <alignment horizontal="right" vertical="center"/>
    </xf>
    <xf numFmtId="166" fontId="19" fillId="16" borderId="1" xfId="6" applyNumberFormat="1" applyFont="1" applyFill="1" applyBorder="1" applyAlignment="1">
      <alignment horizontal="right" vertical="center"/>
    </xf>
    <xf numFmtId="167" fontId="18" fillId="16" borderId="1" xfId="6" applyNumberFormat="1" applyFont="1" applyFill="1" applyBorder="1" applyAlignment="1">
      <alignment horizontal="right" vertical="center"/>
    </xf>
    <xf numFmtId="166" fontId="18" fillId="16" borderId="1" xfId="6" applyNumberFormat="1" applyFont="1" applyFill="1" applyBorder="1" applyAlignment="1">
      <alignment horizontal="right" vertical="center"/>
    </xf>
    <xf numFmtId="174" fontId="18" fillId="16" borderId="1" xfId="6" applyNumberFormat="1" applyFont="1" applyFill="1" applyBorder="1" applyAlignment="1">
      <alignment horizontal="right" vertical="center"/>
    </xf>
    <xf numFmtId="9" fontId="18" fillId="16" borderId="1" xfId="2" applyFont="1" applyFill="1" applyBorder="1" applyAlignment="1">
      <alignment horizontal="right" vertical="center"/>
    </xf>
    <xf numFmtId="10" fontId="18" fillId="16" borderId="1" xfId="6" applyNumberFormat="1" applyFont="1" applyFill="1" applyBorder="1" applyAlignment="1">
      <alignment horizontal="right" vertical="center"/>
    </xf>
    <xf numFmtId="2" fontId="19" fillId="16" borderId="1" xfId="6" applyNumberFormat="1" applyFont="1" applyFill="1" applyBorder="1" applyAlignment="1">
      <alignment horizontal="right" vertical="center"/>
    </xf>
    <xf numFmtId="0" fontId="18" fillId="16" borderId="1" xfId="2" applyNumberFormat="1" applyFont="1" applyFill="1" applyBorder="1" applyAlignment="1">
      <alignment horizontal="right" vertical="center"/>
    </xf>
    <xf numFmtId="165" fontId="18" fillId="17" borderId="1" xfId="0" applyNumberFormat="1" applyFont="1" applyFill="1" applyBorder="1" applyAlignment="1">
      <alignment horizontal="center" vertical="center"/>
    </xf>
    <xf numFmtId="165" fontId="19" fillId="17" borderId="1" xfId="1" applyNumberFormat="1" applyFont="1" applyFill="1" applyBorder="1" applyAlignment="1">
      <alignment horizontal="center" vertical="center"/>
    </xf>
    <xf numFmtId="9" fontId="19" fillId="17" borderId="1" xfId="1" applyNumberFormat="1" applyFont="1" applyFill="1" applyBorder="1" applyAlignment="1">
      <alignment horizontal="center" vertical="center"/>
    </xf>
    <xf numFmtId="166" fontId="18" fillId="17" borderId="1" xfId="0" applyNumberFormat="1" applyFont="1" applyFill="1" applyBorder="1" applyAlignment="1">
      <alignment horizontal="center" vertical="center"/>
    </xf>
    <xf numFmtId="166" fontId="23" fillId="17" borderId="1" xfId="1" applyNumberFormat="1" applyFont="1" applyFill="1" applyBorder="1" applyAlignment="1">
      <alignment horizontal="center" vertical="center"/>
    </xf>
    <xf numFmtId="2" fontId="18" fillId="17" borderId="1" xfId="0" applyNumberFormat="1" applyFont="1" applyFill="1" applyBorder="1" applyAlignment="1">
      <alignment horizontal="center" vertical="center"/>
    </xf>
    <xf numFmtId="1" fontId="18" fillId="17" borderId="1" xfId="0" applyNumberFormat="1" applyFont="1" applyFill="1" applyBorder="1" applyAlignment="1">
      <alignment horizontal="center" vertical="center"/>
    </xf>
    <xf numFmtId="2" fontId="19" fillId="17" borderId="1" xfId="1" applyNumberFormat="1" applyFont="1" applyFill="1" applyBorder="1" applyAlignment="1">
      <alignment horizontal="center" vertical="center"/>
    </xf>
    <xf numFmtId="2" fontId="18" fillId="17" borderId="7" xfId="0" applyNumberFormat="1" applyFont="1" applyFill="1" applyBorder="1" applyAlignment="1">
      <alignment horizontal="center" vertical="center"/>
    </xf>
    <xf numFmtId="165" fontId="18" fillId="17" borderId="1" xfId="2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center" vertical="center" wrapText="1"/>
    </xf>
    <xf numFmtId="165" fontId="23" fillId="17" borderId="1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2" fontId="20" fillId="0" borderId="1" xfId="0" applyNumberFormat="1" applyFont="1" applyBorder="1" applyAlignment="1">
      <alignment horizontal="center" vertical="center"/>
    </xf>
    <xf numFmtId="9" fontId="18" fillId="17" borderId="1" xfId="0" applyNumberFormat="1" applyFont="1" applyFill="1" applyBorder="1" applyAlignment="1">
      <alignment horizontal="center" vertical="center"/>
    </xf>
    <xf numFmtId="1" fontId="18" fillId="11" borderId="1" xfId="0" applyNumberFormat="1" applyFont="1" applyFill="1" applyBorder="1" applyAlignment="1">
      <alignment horizontal="center" vertical="center"/>
    </xf>
    <xf numFmtId="166" fontId="23" fillId="18" borderId="1" xfId="1" applyNumberFormat="1" applyFont="1" applyFill="1" applyBorder="1" applyAlignment="1">
      <alignment horizontal="center" vertical="center"/>
    </xf>
    <xf numFmtId="2" fontId="23" fillId="18" borderId="1" xfId="1" applyNumberFormat="1" applyFont="1" applyFill="1" applyBorder="1" applyAlignment="1">
      <alignment horizontal="center" vertical="center"/>
    </xf>
    <xf numFmtId="2" fontId="18" fillId="11" borderId="1" xfId="2" applyNumberFormat="1" applyFont="1" applyFill="1" applyBorder="1" applyAlignment="1">
      <alignment horizontal="center" vertical="center"/>
    </xf>
    <xf numFmtId="166" fontId="19" fillId="18" borderId="1" xfId="1" applyNumberFormat="1" applyFont="1" applyFill="1" applyBorder="1" applyAlignment="1">
      <alignment horizontal="center" vertical="center"/>
    </xf>
    <xf numFmtId="9" fontId="18" fillId="17" borderId="1" xfId="2" applyFont="1" applyFill="1" applyBorder="1" applyAlignment="1">
      <alignment horizontal="center" vertical="center"/>
    </xf>
    <xf numFmtId="9" fontId="18" fillId="11" borderId="1" xfId="0" applyNumberFormat="1" applyFont="1" applyFill="1" applyBorder="1" applyAlignment="1">
      <alignment horizontal="center" vertical="center"/>
    </xf>
    <xf numFmtId="165" fontId="19" fillId="18" borderId="1" xfId="1" applyNumberFormat="1" applyFont="1" applyFill="1" applyBorder="1" applyAlignment="1">
      <alignment horizontal="center" vertical="center"/>
    </xf>
    <xf numFmtId="165" fontId="0" fillId="0" borderId="6" xfId="2" applyNumberFormat="1" applyFont="1" applyBorder="1" applyAlignment="1">
      <alignment horizontal="center"/>
    </xf>
    <xf numFmtId="0" fontId="0" fillId="0" borderId="14" xfId="0" applyBorder="1"/>
    <xf numFmtId="16" fontId="0" fillId="0" borderId="14" xfId="0" applyNumberFormat="1" applyBorder="1"/>
    <xf numFmtId="0" fontId="0" fillId="19" borderId="0" xfId="0" applyFill="1"/>
    <xf numFmtId="10" fontId="0" fillId="19" borderId="0" xfId="2" applyNumberFormat="1" applyFont="1" applyFill="1"/>
    <xf numFmtId="167" fontId="0" fillId="0" borderId="0" xfId="1" applyNumberFormat="1" applyFont="1"/>
    <xf numFmtId="10" fontId="0" fillId="19" borderId="0" xfId="0" applyNumberFormat="1" applyFill="1"/>
    <xf numFmtId="0" fontId="0" fillId="20" borderId="14" xfId="0" applyFill="1" applyBorder="1"/>
    <xf numFmtId="10" fontId="0" fillId="20" borderId="14" xfId="0" applyNumberFormat="1" applyFill="1" applyBorder="1"/>
    <xf numFmtId="16" fontId="0" fillId="0" borderId="0" xfId="0" applyNumberFormat="1"/>
    <xf numFmtId="0" fontId="0" fillId="19" borderId="14" xfId="0" applyFill="1" applyBorder="1"/>
    <xf numFmtId="10" fontId="0" fillId="19" borderId="14" xfId="0" applyNumberFormat="1" applyFill="1" applyBorder="1"/>
    <xf numFmtId="10" fontId="0" fillId="0" borderId="0" xfId="0" applyNumberFormat="1"/>
    <xf numFmtId="0" fontId="6" fillId="0" borderId="0" xfId="0" applyFont="1" applyAlignment="1">
      <alignment horizontal="center" vertical="center"/>
    </xf>
    <xf numFmtId="165" fontId="0" fillId="0" borderId="0" xfId="2" applyNumberFormat="1" applyFont="1" applyAlignment="1">
      <alignment horizontal="center"/>
    </xf>
    <xf numFmtId="3" fontId="18" fillId="0" borderId="0" xfId="0" applyNumberFormat="1" applyFont="1" applyAlignment="1">
      <alignment horizontal="center" vertical="center"/>
    </xf>
    <xf numFmtId="2" fontId="19" fillId="12" borderId="1" xfId="1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8" fillId="0" borderId="1" xfId="0" applyFont="1" applyBorder="1"/>
    <xf numFmtId="2" fontId="0" fillId="0" borderId="1" xfId="2" applyNumberFormat="1" applyFont="1" applyBorder="1" applyAlignment="1">
      <alignment horizontal="right"/>
    </xf>
    <xf numFmtId="3" fontId="0" fillId="0" borderId="12" xfId="0" applyNumberFormat="1" applyBorder="1" applyAlignment="1">
      <alignment horizontal="center"/>
    </xf>
    <xf numFmtId="0" fontId="0" fillId="0" borderId="0" xfId="2" applyNumberFormat="1" applyFont="1" applyAlignment="1">
      <alignment horizontal="center"/>
    </xf>
    <xf numFmtId="16" fontId="0" fillId="0" borderId="14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75" fontId="0" fillId="0" borderId="0" xfId="2" applyNumberFormat="1" applyFont="1"/>
    <xf numFmtId="3" fontId="0" fillId="4" borderId="0" xfId="0" applyNumberFormat="1" applyFill="1"/>
    <xf numFmtId="0" fontId="0" fillId="21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3" fontId="0" fillId="0" borderId="1" xfId="0" applyNumberFormat="1" applyBorder="1" applyAlignment="1">
      <alignment horizontal="right"/>
    </xf>
    <xf numFmtId="1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right"/>
    </xf>
    <xf numFmtId="165" fontId="0" fillId="0" borderId="0" xfId="0" applyNumberFormat="1"/>
    <xf numFmtId="165" fontId="0" fillId="4" borderId="2" xfId="2" applyNumberFormat="1" applyFont="1" applyFill="1" applyBorder="1" applyAlignment="1">
      <alignment horizontal="center"/>
    </xf>
    <xf numFmtId="0" fontId="0" fillId="0" borderId="2" xfId="0" applyBorder="1"/>
    <xf numFmtId="175" fontId="0" fillId="4" borderId="0" xfId="2" applyNumberFormat="1" applyFont="1" applyFill="1"/>
    <xf numFmtId="10" fontId="0" fillId="0" borderId="2" xfId="2" applyNumberFormat="1" applyFont="1" applyFill="1" applyBorder="1"/>
    <xf numFmtId="0" fontId="22" fillId="14" borderId="1" xfId="0" applyFont="1" applyFill="1" applyBorder="1" applyAlignment="1">
      <alignment horizontal="center" vertical="center"/>
    </xf>
    <xf numFmtId="0" fontId="22" fillId="15" borderId="1" xfId="0" applyFont="1" applyFill="1" applyBorder="1" applyAlignment="1">
      <alignment horizontal="center" vertical="center" wrapText="1"/>
    </xf>
    <xf numFmtId="16" fontId="22" fillId="2" borderId="1" xfId="0" applyNumberFormat="1" applyFont="1" applyFill="1" applyBorder="1" applyAlignment="1">
      <alignment horizontal="center" vertical="center" wrapText="1"/>
    </xf>
    <xf numFmtId="17" fontId="24" fillId="5" borderId="1" xfId="0" applyNumberFormat="1" applyFont="1" applyFill="1" applyBorder="1" applyAlignment="1">
      <alignment horizontal="center" vertical="center" wrapText="1"/>
    </xf>
    <xf numFmtId="165" fontId="18" fillId="0" borderId="1" xfId="2" applyNumberFormat="1" applyFont="1" applyBorder="1" applyAlignment="1">
      <alignment horizontal="center" vertical="center" wrapText="1"/>
    </xf>
    <xf numFmtId="10" fontId="20" fillId="0" borderId="1" xfId="0" applyNumberFormat="1" applyFont="1" applyBorder="1" applyAlignment="1">
      <alignment horizontal="center" vertical="center"/>
    </xf>
    <xf numFmtId="165" fontId="24" fillId="0" borderId="1" xfId="0" applyNumberFormat="1" applyFont="1" applyBorder="1" applyAlignment="1">
      <alignment horizontal="center" vertical="center" wrapText="1" readingOrder="1"/>
    </xf>
    <xf numFmtId="10" fontId="18" fillId="0" borderId="1" xfId="0" applyNumberFormat="1" applyFont="1" applyBorder="1" applyAlignment="1">
      <alignment horizontal="center" vertical="center" wrapText="1"/>
    </xf>
    <xf numFmtId="10" fontId="18" fillId="0" borderId="1" xfId="2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 readingOrder="1"/>
    </xf>
    <xf numFmtId="43" fontId="24" fillId="0" borderId="1" xfId="0" applyNumberFormat="1" applyFont="1" applyBorder="1" applyAlignment="1">
      <alignment horizontal="center" vertical="center" wrapText="1" readingOrder="1"/>
    </xf>
    <xf numFmtId="2" fontId="24" fillId="0" borderId="1" xfId="0" applyNumberFormat="1" applyFont="1" applyBorder="1" applyAlignment="1">
      <alignment horizontal="center" vertical="center" wrapText="1" readingOrder="1"/>
    </xf>
    <xf numFmtId="2" fontId="26" fillId="0" borderId="1" xfId="0" applyNumberFormat="1" applyFont="1" applyBorder="1" applyAlignment="1">
      <alignment horizontal="center" vertical="center" wrapText="1" readingOrder="1"/>
    </xf>
    <xf numFmtId="0" fontId="23" fillId="0" borderId="1" xfId="0" applyFont="1" applyBorder="1" applyAlignment="1">
      <alignment horizontal="center" vertical="center" wrapText="1" readingOrder="1"/>
    </xf>
    <xf numFmtId="2" fontId="23" fillId="0" borderId="1" xfId="0" applyNumberFormat="1" applyFont="1" applyBorder="1" applyAlignment="1">
      <alignment horizontal="center" vertical="center" wrapText="1" readingOrder="1"/>
    </xf>
    <xf numFmtId="1" fontId="20" fillId="0" borderId="1" xfId="0" applyNumberFormat="1" applyFont="1" applyBorder="1" applyAlignment="1">
      <alignment horizontal="center" vertical="center"/>
    </xf>
    <xf numFmtId="167" fontId="20" fillId="5" borderId="1" xfId="0" applyNumberFormat="1" applyFont="1" applyFill="1" applyBorder="1" applyAlignment="1">
      <alignment horizontal="center" vertical="center"/>
    </xf>
    <xf numFmtId="1" fontId="23" fillId="0" borderId="1" xfId="0" applyNumberFormat="1" applyFont="1" applyBorder="1" applyAlignment="1">
      <alignment horizontal="center" vertical="center" wrapText="1" readingOrder="1"/>
    </xf>
    <xf numFmtId="1" fontId="17" fillId="0" borderId="1" xfId="0" applyNumberFormat="1" applyFont="1" applyBorder="1" applyAlignment="1">
      <alignment horizontal="center" vertical="center" wrapText="1" readingOrder="1"/>
    </xf>
    <xf numFmtId="167" fontId="24" fillId="0" borderId="1" xfId="0" applyNumberFormat="1" applyFont="1" applyBorder="1" applyAlignment="1">
      <alignment horizontal="center" vertical="center" wrapText="1" readingOrder="1"/>
    </xf>
    <xf numFmtId="10" fontId="23" fillId="0" borderId="1" xfId="0" applyNumberFormat="1" applyFont="1" applyBorder="1" applyAlignment="1">
      <alignment horizontal="center" vertical="center" wrapText="1" readingOrder="1"/>
    </xf>
    <xf numFmtId="9" fontId="20" fillId="0" borderId="1" xfId="2" applyFont="1" applyBorder="1" applyAlignment="1">
      <alignment horizontal="center" vertical="center"/>
    </xf>
    <xf numFmtId="165" fontId="20" fillId="0" borderId="1" xfId="2" applyNumberFormat="1" applyFont="1" applyBorder="1" applyAlignment="1">
      <alignment horizontal="center" vertical="center"/>
    </xf>
    <xf numFmtId="1" fontId="18" fillId="0" borderId="1" xfId="0" applyNumberFormat="1" applyFont="1" applyBorder="1" applyAlignment="1">
      <alignment horizontal="center" vertical="center"/>
    </xf>
    <xf numFmtId="1" fontId="23" fillId="0" borderId="1" xfId="0" applyNumberFormat="1" applyFont="1" applyBorder="1" applyAlignment="1">
      <alignment horizontal="center" vertical="center" wrapText="1"/>
    </xf>
    <xf numFmtId="166" fontId="23" fillId="0" borderId="1" xfId="0" applyNumberFormat="1" applyFont="1" applyBorder="1" applyAlignment="1">
      <alignment horizontal="center" vertical="center" wrapText="1"/>
    </xf>
    <xf numFmtId="2" fontId="0" fillId="0" borderId="0" xfId="0" applyNumberFormat="1"/>
    <xf numFmtId="0" fontId="0" fillId="0" borderId="14" xfId="0" applyBorder="1" applyAlignment="1">
      <alignment horizontal="center"/>
    </xf>
    <xf numFmtId="1" fontId="0" fillId="0" borderId="1" xfId="0" applyNumberFormat="1" applyBorder="1" applyAlignment="1">
      <alignment horizontal="right" vertical="top"/>
    </xf>
    <xf numFmtId="167" fontId="0" fillId="5" borderId="1" xfId="1" applyNumberFormat="1" applyFont="1" applyFill="1" applyBorder="1" applyAlignment="1">
      <alignment horizontal="right"/>
    </xf>
    <xf numFmtId="165" fontId="18" fillId="0" borderId="4" xfId="2" applyNumberFormat="1" applyFont="1" applyBorder="1" applyAlignment="1">
      <alignment horizontal="center" vertical="center"/>
    </xf>
    <xf numFmtId="165" fontId="18" fillId="0" borderId="1" xfId="2" applyNumberFormat="1" applyFont="1" applyBorder="1" applyAlignment="1">
      <alignment horizontal="center" vertical="center"/>
    </xf>
    <xf numFmtId="10" fontId="18" fillId="0" borderId="1" xfId="0" applyNumberFormat="1" applyFont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7" fontId="0" fillId="3" borderId="1" xfId="0" applyNumberFormat="1" applyFill="1" applyBorder="1" applyAlignment="1">
      <alignment horizontal="center"/>
    </xf>
    <xf numFmtId="9" fontId="24" fillId="0" borderId="1" xfId="2" applyFont="1" applyBorder="1" applyAlignment="1">
      <alignment horizontal="center" vertical="center" wrapText="1" readingOrder="1"/>
    </xf>
    <xf numFmtId="10" fontId="0" fillId="0" borderId="0" xfId="2" applyNumberFormat="1" applyFont="1" applyFill="1"/>
    <xf numFmtId="0" fontId="0" fillId="11" borderId="0" xfId="0" applyFill="1"/>
    <xf numFmtId="167" fontId="0" fillId="11" borderId="0" xfId="1" applyNumberFormat="1" applyFont="1" applyFill="1"/>
    <xf numFmtId="10" fontId="0" fillId="11" borderId="0" xfId="0" applyNumberFormat="1" applyFill="1"/>
    <xf numFmtId="10" fontId="23" fillId="0" borderId="1" xfId="2" applyNumberFormat="1" applyFont="1" applyBorder="1" applyAlignment="1">
      <alignment horizontal="center" vertical="center" wrapText="1"/>
    </xf>
    <xf numFmtId="0" fontId="0" fillId="19" borderId="0" xfId="0" applyFill="1" applyAlignment="1">
      <alignment horizontal="right"/>
    </xf>
    <xf numFmtId="10" fontId="0" fillId="19" borderId="0" xfId="2" applyNumberFormat="1" applyFont="1" applyFill="1" applyAlignment="1">
      <alignment horizontal="right"/>
    </xf>
    <xf numFmtId="0" fontId="0" fillId="19" borderId="0" xfId="0" applyFill="1" applyAlignment="1">
      <alignment horizontal="left"/>
    </xf>
    <xf numFmtId="165" fontId="0" fillId="0" borderId="1" xfId="2" applyNumberFormat="1" applyFont="1" applyBorder="1" applyAlignment="1">
      <alignment horizontal="center"/>
    </xf>
    <xf numFmtId="43" fontId="0" fillId="0" borderId="0" xfId="0" applyNumberFormat="1"/>
    <xf numFmtId="0" fontId="27" fillId="0" borderId="0" xfId="0" applyFont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 readingOrder="1"/>
    </xf>
    <xf numFmtId="165" fontId="18" fillId="0" borderId="1" xfId="2" quotePrefix="1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4" xfId="0" applyFont="1" applyBorder="1" applyAlignment="1">
      <alignment vertical="center" wrapText="1"/>
    </xf>
    <xf numFmtId="0" fontId="18" fillId="0" borderId="7" xfId="0" applyFont="1" applyBorder="1" applyAlignment="1">
      <alignment vertical="center" wrapText="1"/>
    </xf>
    <xf numFmtId="165" fontId="18" fillId="0" borderId="11" xfId="2" quotePrefix="1" applyNumberFormat="1" applyFont="1" applyFill="1" applyBorder="1" applyAlignment="1">
      <alignment horizontal="left" vertical="center" wrapText="1"/>
    </xf>
    <xf numFmtId="165" fontId="18" fillId="0" borderId="12" xfId="2" quotePrefix="1" applyNumberFormat="1" applyFont="1" applyFill="1" applyBorder="1" applyAlignment="1">
      <alignment horizontal="left" vertical="center" wrapText="1"/>
    </xf>
    <xf numFmtId="165" fontId="18" fillId="0" borderId="5" xfId="2" quotePrefix="1" applyNumberFormat="1" applyFont="1" applyFill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/>
    </xf>
    <xf numFmtId="0" fontId="18" fillId="5" borderId="7" xfId="0" applyFont="1" applyFill="1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165" fontId="18" fillId="0" borderId="1" xfId="2" quotePrefix="1" applyNumberFormat="1" applyFont="1" applyFill="1" applyBorder="1" applyAlignment="1">
      <alignment horizontal="left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</cellXfs>
  <cellStyles count="7">
    <cellStyle name="Comma" xfId="1" builtinId="3"/>
    <cellStyle name="Comma 10" xfId="4" xr:uid="{00000000-0005-0000-0000-000001000000}"/>
    <cellStyle name="Comma 2" xfId="6" xr:uid="{00000000-0005-0000-0000-000002000000}"/>
    <cellStyle name="Normal" xfId="0" builtinId="0"/>
    <cellStyle name="Normal 6" xfId="3" xr:uid="{00000000-0005-0000-0000-000004000000}"/>
    <cellStyle name="Normal 8" xfId="5" xr:uid="{00000000-0005-0000-0000-000005000000}"/>
    <cellStyle name="Percent" xfId="2" builtinId="5"/>
  </cellStyles>
  <dxfs count="118">
    <dxf>
      <font>
        <color theme="1"/>
      </font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</dxf>
    <dxf>
      <font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7.xml"/><Relationship Id="rId21" Type="http://schemas.openxmlformats.org/officeDocument/2006/relationships/externalLink" Target="externalLinks/externalLink12.xml"/><Relationship Id="rId42" Type="http://schemas.openxmlformats.org/officeDocument/2006/relationships/externalLink" Target="externalLinks/externalLink33.xml"/><Relationship Id="rId47" Type="http://schemas.openxmlformats.org/officeDocument/2006/relationships/externalLink" Target="externalLinks/externalLink38.xml"/><Relationship Id="rId63" Type="http://schemas.openxmlformats.org/officeDocument/2006/relationships/externalLink" Target="externalLinks/externalLink54.xml"/><Relationship Id="rId68" Type="http://schemas.openxmlformats.org/officeDocument/2006/relationships/externalLink" Target="externalLinks/externalLink59.xml"/><Relationship Id="rId84" Type="http://schemas.openxmlformats.org/officeDocument/2006/relationships/externalLink" Target="externalLinks/externalLink75.xml"/><Relationship Id="rId89" Type="http://schemas.openxmlformats.org/officeDocument/2006/relationships/externalLink" Target="externalLinks/externalLink80.xml"/><Relationship Id="rId112" Type="http://schemas.openxmlformats.org/officeDocument/2006/relationships/externalLink" Target="externalLinks/externalLink103.xml"/><Relationship Id="rId16" Type="http://schemas.openxmlformats.org/officeDocument/2006/relationships/externalLink" Target="externalLinks/externalLink7.xml"/><Relationship Id="rId107" Type="http://schemas.openxmlformats.org/officeDocument/2006/relationships/externalLink" Target="externalLinks/externalLink98.xml"/><Relationship Id="rId11" Type="http://schemas.openxmlformats.org/officeDocument/2006/relationships/externalLink" Target="externalLinks/externalLink2.xml"/><Relationship Id="rId32" Type="http://schemas.openxmlformats.org/officeDocument/2006/relationships/externalLink" Target="externalLinks/externalLink23.xml"/><Relationship Id="rId37" Type="http://schemas.openxmlformats.org/officeDocument/2006/relationships/externalLink" Target="externalLinks/externalLink28.xml"/><Relationship Id="rId53" Type="http://schemas.openxmlformats.org/officeDocument/2006/relationships/externalLink" Target="externalLinks/externalLink44.xml"/><Relationship Id="rId58" Type="http://schemas.openxmlformats.org/officeDocument/2006/relationships/externalLink" Target="externalLinks/externalLink49.xml"/><Relationship Id="rId74" Type="http://schemas.openxmlformats.org/officeDocument/2006/relationships/externalLink" Target="externalLinks/externalLink65.xml"/><Relationship Id="rId79" Type="http://schemas.openxmlformats.org/officeDocument/2006/relationships/externalLink" Target="externalLinks/externalLink70.xml"/><Relationship Id="rId102" Type="http://schemas.openxmlformats.org/officeDocument/2006/relationships/externalLink" Target="externalLinks/externalLink93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81.xml"/><Relationship Id="rId95" Type="http://schemas.openxmlformats.org/officeDocument/2006/relationships/externalLink" Target="externalLinks/externalLink86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43" Type="http://schemas.openxmlformats.org/officeDocument/2006/relationships/externalLink" Target="externalLinks/externalLink34.xml"/><Relationship Id="rId48" Type="http://schemas.openxmlformats.org/officeDocument/2006/relationships/externalLink" Target="externalLinks/externalLink39.xml"/><Relationship Id="rId64" Type="http://schemas.openxmlformats.org/officeDocument/2006/relationships/externalLink" Target="externalLinks/externalLink55.xml"/><Relationship Id="rId69" Type="http://schemas.openxmlformats.org/officeDocument/2006/relationships/externalLink" Target="externalLinks/externalLink60.xml"/><Relationship Id="rId113" Type="http://schemas.openxmlformats.org/officeDocument/2006/relationships/theme" Target="theme/theme1.xml"/><Relationship Id="rId80" Type="http://schemas.openxmlformats.org/officeDocument/2006/relationships/externalLink" Target="externalLinks/externalLink71.xml"/><Relationship Id="rId85" Type="http://schemas.openxmlformats.org/officeDocument/2006/relationships/externalLink" Target="externalLinks/externalLink76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33" Type="http://schemas.openxmlformats.org/officeDocument/2006/relationships/externalLink" Target="externalLinks/externalLink24.xml"/><Relationship Id="rId38" Type="http://schemas.openxmlformats.org/officeDocument/2006/relationships/externalLink" Target="externalLinks/externalLink29.xml"/><Relationship Id="rId59" Type="http://schemas.openxmlformats.org/officeDocument/2006/relationships/externalLink" Target="externalLinks/externalLink50.xml"/><Relationship Id="rId103" Type="http://schemas.openxmlformats.org/officeDocument/2006/relationships/externalLink" Target="externalLinks/externalLink94.xml"/><Relationship Id="rId108" Type="http://schemas.openxmlformats.org/officeDocument/2006/relationships/externalLink" Target="externalLinks/externalLink99.xml"/><Relationship Id="rId54" Type="http://schemas.openxmlformats.org/officeDocument/2006/relationships/externalLink" Target="externalLinks/externalLink45.xml"/><Relationship Id="rId70" Type="http://schemas.openxmlformats.org/officeDocument/2006/relationships/externalLink" Target="externalLinks/externalLink61.xml"/><Relationship Id="rId75" Type="http://schemas.openxmlformats.org/officeDocument/2006/relationships/externalLink" Target="externalLinks/externalLink66.xml"/><Relationship Id="rId91" Type="http://schemas.openxmlformats.org/officeDocument/2006/relationships/externalLink" Target="externalLinks/externalLink82.xml"/><Relationship Id="rId96" Type="http://schemas.openxmlformats.org/officeDocument/2006/relationships/externalLink" Target="externalLinks/externalLink8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0.xml"/><Relationship Id="rId57" Type="http://schemas.openxmlformats.org/officeDocument/2006/relationships/externalLink" Target="externalLinks/externalLink48.xml"/><Relationship Id="rId106" Type="http://schemas.openxmlformats.org/officeDocument/2006/relationships/externalLink" Target="externalLinks/externalLink97.xml"/><Relationship Id="rId114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31" Type="http://schemas.openxmlformats.org/officeDocument/2006/relationships/externalLink" Target="externalLinks/externalLink22.xml"/><Relationship Id="rId44" Type="http://schemas.openxmlformats.org/officeDocument/2006/relationships/externalLink" Target="externalLinks/externalLink35.xml"/><Relationship Id="rId52" Type="http://schemas.openxmlformats.org/officeDocument/2006/relationships/externalLink" Target="externalLinks/externalLink43.xml"/><Relationship Id="rId60" Type="http://schemas.openxmlformats.org/officeDocument/2006/relationships/externalLink" Target="externalLinks/externalLink51.xml"/><Relationship Id="rId65" Type="http://schemas.openxmlformats.org/officeDocument/2006/relationships/externalLink" Target="externalLinks/externalLink56.xml"/><Relationship Id="rId73" Type="http://schemas.openxmlformats.org/officeDocument/2006/relationships/externalLink" Target="externalLinks/externalLink64.xml"/><Relationship Id="rId78" Type="http://schemas.openxmlformats.org/officeDocument/2006/relationships/externalLink" Target="externalLinks/externalLink69.xml"/><Relationship Id="rId81" Type="http://schemas.openxmlformats.org/officeDocument/2006/relationships/externalLink" Target="externalLinks/externalLink72.xml"/><Relationship Id="rId86" Type="http://schemas.openxmlformats.org/officeDocument/2006/relationships/externalLink" Target="externalLinks/externalLink77.xml"/><Relationship Id="rId94" Type="http://schemas.openxmlformats.org/officeDocument/2006/relationships/externalLink" Target="externalLinks/externalLink85.xml"/><Relationship Id="rId99" Type="http://schemas.openxmlformats.org/officeDocument/2006/relationships/externalLink" Target="externalLinks/externalLink90.xml"/><Relationship Id="rId101" Type="http://schemas.openxmlformats.org/officeDocument/2006/relationships/externalLink" Target="externalLinks/externalLink9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39" Type="http://schemas.openxmlformats.org/officeDocument/2006/relationships/externalLink" Target="externalLinks/externalLink30.xml"/><Relationship Id="rId109" Type="http://schemas.openxmlformats.org/officeDocument/2006/relationships/externalLink" Target="externalLinks/externalLink100.xml"/><Relationship Id="rId34" Type="http://schemas.openxmlformats.org/officeDocument/2006/relationships/externalLink" Target="externalLinks/externalLink25.xml"/><Relationship Id="rId50" Type="http://schemas.openxmlformats.org/officeDocument/2006/relationships/externalLink" Target="externalLinks/externalLink41.xml"/><Relationship Id="rId55" Type="http://schemas.openxmlformats.org/officeDocument/2006/relationships/externalLink" Target="externalLinks/externalLink46.xml"/><Relationship Id="rId76" Type="http://schemas.openxmlformats.org/officeDocument/2006/relationships/externalLink" Target="externalLinks/externalLink67.xml"/><Relationship Id="rId97" Type="http://schemas.openxmlformats.org/officeDocument/2006/relationships/externalLink" Target="externalLinks/externalLink88.xml"/><Relationship Id="rId104" Type="http://schemas.openxmlformats.org/officeDocument/2006/relationships/externalLink" Target="externalLinks/externalLink95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2.xml"/><Relationship Id="rId92" Type="http://schemas.openxmlformats.org/officeDocument/2006/relationships/externalLink" Target="externalLinks/externalLink83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0.xml"/><Relationship Id="rId24" Type="http://schemas.openxmlformats.org/officeDocument/2006/relationships/externalLink" Target="externalLinks/externalLink15.xml"/><Relationship Id="rId40" Type="http://schemas.openxmlformats.org/officeDocument/2006/relationships/externalLink" Target="externalLinks/externalLink31.xml"/><Relationship Id="rId45" Type="http://schemas.openxmlformats.org/officeDocument/2006/relationships/externalLink" Target="externalLinks/externalLink36.xml"/><Relationship Id="rId66" Type="http://schemas.openxmlformats.org/officeDocument/2006/relationships/externalLink" Target="externalLinks/externalLink57.xml"/><Relationship Id="rId87" Type="http://schemas.openxmlformats.org/officeDocument/2006/relationships/externalLink" Target="externalLinks/externalLink78.xml"/><Relationship Id="rId110" Type="http://schemas.openxmlformats.org/officeDocument/2006/relationships/externalLink" Target="externalLinks/externalLink101.xml"/><Relationship Id="rId115" Type="http://schemas.openxmlformats.org/officeDocument/2006/relationships/sharedStrings" Target="sharedStrings.xml"/><Relationship Id="rId61" Type="http://schemas.openxmlformats.org/officeDocument/2006/relationships/externalLink" Target="externalLinks/externalLink52.xml"/><Relationship Id="rId82" Type="http://schemas.openxmlformats.org/officeDocument/2006/relationships/externalLink" Target="externalLinks/externalLink73.xml"/><Relationship Id="rId19" Type="http://schemas.openxmlformats.org/officeDocument/2006/relationships/externalLink" Target="externalLinks/externalLink10.xml"/><Relationship Id="rId14" Type="http://schemas.openxmlformats.org/officeDocument/2006/relationships/externalLink" Target="externalLinks/externalLink5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Relationship Id="rId56" Type="http://schemas.openxmlformats.org/officeDocument/2006/relationships/externalLink" Target="externalLinks/externalLink47.xml"/><Relationship Id="rId77" Type="http://schemas.openxmlformats.org/officeDocument/2006/relationships/externalLink" Target="externalLinks/externalLink68.xml"/><Relationship Id="rId100" Type="http://schemas.openxmlformats.org/officeDocument/2006/relationships/externalLink" Target="externalLinks/externalLink91.xml"/><Relationship Id="rId105" Type="http://schemas.openxmlformats.org/officeDocument/2006/relationships/externalLink" Target="externalLinks/externalLink96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2.xml"/><Relationship Id="rId72" Type="http://schemas.openxmlformats.org/officeDocument/2006/relationships/externalLink" Target="externalLinks/externalLink63.xml"/><Relationship Id="rId93" Type="http://schemas.openxmlformats.org/officeDocument/2006/relationships/externalLink" Target="externalLinks/externalLink84.xml"/><Relationship Id="rId98" Type="http://schemas.openxmlformats.org/officeDocument/2006/relationships/externalLink" Target="externalLinks/externalLink89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6.xml"/><Relationship Id="rId46" Type="http://schemas.openxmlformats.org/officeDocument/2006/relationships/externalLink" Target="externalLinks/externalLink37.xml"/><Relationship Id="rId67" Type="http://schemas.openxmlformats.org/officeDocument/2006/relationships/externalLink" Target="externalLinks/externalLink58.xml"/><Relationship Id="rId116" Type="http://schemas.openxmlformats.org/officeDocument/2006/relationships/calcChain" Target="calcChain.xml"/><Relationship Id="rId20" Type="http://schemas.openxmlformats.org/officeDocument/2006/relationships/externalLink" Target="externalLinks/externalLink11.xml"/><Relationship Id="rId41" Type="http://schemas.openxmlformats.org/officeDocument/2006/relationships/externalLink" Target="externalLinks/externalLink32.xml"/><Relationship Id="rId62" Type="http://schemas.openxmlformats.org/officeDocument/2006/relationships/externalLink" Target="externalLinks/externalLink53.xml"/><Relationship Id="rId83" Type="http://schemas.openxmlformats.org/officeDocument/2006/relationships/externalLink" Target="externalLinks/externalLink74.xml"/><Relationship Id="rId88" Type="http://schemas.openxmlformats.org/officeDocument/2006/relationships/externalLink" Target="externalLinks/externalLink79.xml"/><Relationship Id="rId111" Type="http://schemas.openxmlformats.org/officeDocument/2006/relationships/externalLink" Target="externalLinks/externalLink10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mk123\vol1\VOL2\PAWANDHM\PAWANDHM\2004\AC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oj\c\manoj\kunigal\KBS08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\outsource\Documents%20and%20Settings\Hitesh\Local%20Settings\Temporary%20Internet%20Files\Content.Outlook\K9N9LZDM\DezinerFINALFinancials%2009-10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\outsource\Documents%20and%20Settings\Hitesh\Local%20Settings\Temporary%20Internet%20Files\Content.Outlook\K9N9LZDM\F%20A%20schedule-%20TBK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rj_server\Finance\FOREX\2005-06\ANNUAL\TL-INTT-05-06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va\c\DEVARAJAN\MNLY%20ACS%202001\TRENDS9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raveen/Desktop/FINANCIALS%20-%20APR02-MAR03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Annual%20details/07-08/Fx-Exposures-05-06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\outsource\hitesh\FY0708\statutory%20Audit\fy0708\RP07-08(final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Annual%20details/07-08/790100-MAR-08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rj_server\niranjan\FOREX\KESHAV\CFLOW\79010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rj_server\finance\annual05-06\FC-TL-INTT-05-06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\outsource\hitesh\FY0708\statutory%20Audit\fy0708\RP-06-07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Documents%20and%20Settings\administrator\Local%20Settings\Temporary%20Internet%20Files\Content.IE5\7C88GHDK\march2002-tax%20accounts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79\working\for\SENTINI\PURCHASE-2006-07\APR-0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\outsource\hitesh\FY0910\Balance%20Sheet\notes%20to%20accounts\relevant%20files\LC-BG-OUTSTANDING%20-31-03-2010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vol2\user\Desai\BS\20052006\31032006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\outsource\hitesh\income%20tax\advance%20Tax\ay0708\dec\capilize%20upto%2030.09.2006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Outsource/DOCUME~1/Pravins/LOCALS~1/Temp/Rar$DI00.890/Anuradha/Audit/2005/TAX%20AUDIT%2004-05/DEVARAJAN/Audit%20March%202003/RMCFinalsets/My%20Documents/RMC%20310301/STOCKSEC145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INDOWS\TEMP\pca0106bs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50\Bellacasa%20Commom%20Folder\Harshal\TBK%20Deepgiri%20FS%2009-10-Final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in2k\G\DEVARAJAN\MNLY%20ACS%202002\AUGUST%20200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vol2\Documents%20and%20Settings\auditor\Local%20Settings\Temp\Final%2024-07-08\Final%20BS%2024-07-08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in2k\G\DOCUME~1\RAJESH~1\LOCALS~1\Temp\kp\excel\finalac\tbsep2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in2k\G\Anuradha\MIS%2010\may09\Work_bs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jain\c\Documents%20and%20Settings\easwarj\My%20Documents\Income%20Tax\Taxation\Tax%20Audit%20Details-FY-%202003-04\Taxaudit%20Details%2004-05-30.10.2004-fin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eetendra\jeetuc\ACCOUNTS\DBSLEAS\97\BAL969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ilblrnt\bnzfoods\windows\TEMP\windows\TEMP\calnsvaproct0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ERVER\USER\NEWLINE\SRP\XLS\SRP\XLS\OCTPRI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iti/Local%20Settings/Temporary%20Internet%20Files/Content.IE5/MXC1I9CN/mrunal/PP_Master%20Template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Narayan\AppData\Local\Temp\wzaf70\XBRL_template.xlsm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b\ballal\New%20Folder\eo\primary%20freight%202000-2001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punemeyin09\Audit\Amit\pbc\STAFF\MAHDAIRY\1997\MAR97\STAT\FINREP\leads0397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vinodr\LOCALS~1\Temp\Rar$DI00.562\1st%20Quater%20BS%20-%20Small%20Final%2030-08-12-1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opal\c\My%20Documents\data\My%20Documents\data\accounts\2003\FY%202002-03\FY%202002-03_03060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arayan\AppData\Local\Temp\wzaf70\XBRL_template.xlsm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Outsource/A_VIKRAM/BRIT/FY07-08/12-Mar-08/Tbc/TBC%20Mar-0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Documents%20and%20Settings\pravin\Desktop\Budget%2007-08\Budget%2007-08\Rev\rev170307\353%20days\Ex%20Com\Budget%20Summary-%20Operating%20Budget-07-08_Final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CCOUNT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ilblrnt\bnzfoods\sivaram\COST%20SHEET\DAIRY%20COSTSHEETJAN%2002%20r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l_pdc\muralidhar\DOCUME~1\vjm\LOCALS~1\Temp\MIS%20MAR%202005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mk123\vol3\USER\VOL2\BACKOFFI\ARCHSONE\ETDS\5-6\MARCH\ARCHSONE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raghwendragarg\Desktop\3CD_AY%202016-17-Divisionwise%20dt%2010.11.16%20final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cdpl\Deepak\2006-07\Hathway%20group\channel%205\itr6_HN18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aditi\Local%20Settings\Temporary%20Internet%20Files\Content.IE5\MXC1I9CN\mrunal\PP_Master%20Template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EMP\Coal%20Mill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Prism\Desktop\Pcl%20lnp\092016%20Dec%202016\FAR\7.%20Ind%20AS%20Balance%20sheet%20Template%20-%20Prism%20Standalone%20%20(1)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\outsource\Documents%20and%20Settings\vaishanavi\My%20Documents\JULYSTK200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sk1\c\Documents%20and%20Settings\dilip\Desktop\Budget%2006-07\Budget%2006-07\Sales%20Overall%20MIS%20200506%20Planning%20Data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rish\mis%202005-06\DEVARAJAN\MNLY%20ACS%202002\AUGUST%202002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2231%20Financial%20Statements%20-%20single%20company,%20format%201%20P&amp;L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g\8%20inv\D%20G\6Customer%20Care\Receivables\Receivables%2003-04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2252%20Cash%20Flow%20Statement%20-%20single%20company,%20format%201%20P&amp;L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avi\c\WINDOWS\TEMP\Kunigal%20budget%202004-floor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11.249\mca\Users\cpdaudit\Desktop\Sec.%2043B%20workings%20(Sch.10%20to%203CD)%20-%20FINAL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avi\c\Documents%20and%20Settings\cskulkarni\Local%20Settings\Temp\Temporary%20Directory%201%20for%20budget.zip\Dewas%20VC%20Budget0405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ntique\2010\Reconcialiation%2009-10\04%20July%2009%20Reco\Purchase%20July%2009%20ant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a-india\d1\d1\Audit%2007-08%20-%20MCA\BGR\Statutory%20dues\FBT\Audit\Fbt%20SANDEEP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xmipayasi/Desktop/Pcl%20lnp/Tax%20Audit%2015-16/3CD%2014-15%2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avi\c\Documents%20and%20Settings\vinit\My%20Documents\MORBI\M.I.S\Antique%20MIS\MIS%20MAR05%20-%20MAY05\FINAL%20%20Antique%20MIS(SQ01)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laxmipayasi\Desktop\New%20folder%20LNP\LNP%20PCL\Tax%20Audit\Tax%20Audit%2015-16\FINAL\FINAL%2030.11.16\Pcl%20lnp\Tax%20Audit%2015-16\Tax%20Audit%20Form%20No.%203CD-Cemen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Q4/antique%2031-12-2012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omesh\2014%20-%2015\Q4\Consolidation%2014%20-15\Final%20-%20Balance%20sheet%20for%20conso\Antique\Antique%20Consolidated%2031-03-2015%20(%20Mineral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Jayesh\Desktop\Antique%20mar%2014%2030.04.2014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sk1\c\EXCEL%20FILES\My%20Documents\MIS%2005-06\FEB-06\dbs%20FEB%2006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2014-15/Mar-15/HRJ/conso/26052015/Final%20HRJ-Conso%20Financial%20-2014-15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ilblrnt\bnzfoods\WINDOWS\TEMP\dist%20nbd%20jan%2000%20to%20mar%200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shav\c\Keshav\CAPEX\KUNIGAL\CAPEX-KUNIGAL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mtiaz\c\audit\GMKCO\Final%20Audit%202004-2005\Blore\Hath%20Soft\final\Final%20Accounts%20-%20Hw%20Software%20-%2031.03.2005%20latest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Somesh/2014%20-%2015/Q4/Consolidation%2014%20-15/Final%20-%20Balance%20sheet%20for%20conso/Antique/Antique%20Consolidated%2031-03-2015%20(%20Mineral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jesh\D\Development\DCF%20XYZ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deepak\deepak\Amit\pbc\STAFF\MAHDAIRY\1997\MAR97\STAT\FINREP\leads0397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jain\c\My%20Documents\deferred%20tax\assets%20Apr-sept05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in2k\G\Anuradha\MIS%2010\Jun09\Work_b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Hitesh\Desktop\Tax%20Audit_3CD-Cement-Final-AY%2014-15\Tax%20Audit_3CD-Cement-Final-AY%2014-15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shav\C\BHATT\KESHAV\HYP\OCTSTK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ilblrnt\bnzfoods\Feb02%20primary\Feb02Primary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in2k\G\DEVARAJAN\MNLY%20ACS%202003\CONSO%20SEPTEMBER%202003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ERVER\USER\NEWLINE\Accounts\Debtor's%20Ageing%20Analysis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ilblrnt\bnzfoods\SRP\Xls\Goldmine\PrimaryDec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ilblrnt\bnzfoods\WINDOWS\TEMP\consolidatio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\outsource\Documents%20and%20Settings\pravin\Local%20Settings\Temporary%20Internet%20Files\OLK1D3\SCHEDULE-5%2009-10%20final%2021.04.2010%20(4)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2\gjco\Statutory%20Audit\TBK%20-%20Tile%20Bath%20Kitchen\TBK%20-%20Tile%20Bath%20Kitchen\FY%202009-2010\TBK%20Deziner\Working_Files\Backup%20of%20financials%20sent%20to%20TBK%20on%2029.04.10\Printout%20Sub%20Sch%20Financial%20Statements%20%2009-10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Gururaj\AppData\Local\Microsoft\Windows\Temporary%20Internet%20Files\Content.Outlook\ATSOSI68\RS%20VI_Final%20(3)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avi\c\PBS\0304\PBUD0304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tor/Application%20Data/Microsoft/Excel/Packing%20Material.xlsx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in2k\G\DOCUME~1\MURALI~1\LOCALS~1\Temp\My%20Documents\Bud_2002\BoD_meet\Aug01\SIPL-17AB-Aug01-fnl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in2k\g\Girish\IT%20Audit%20Mar%2004\Tax%20Audit%20March%2004\Form%203CD%20&amp;%20Annexures\Annex%20Final\DEVARAJAN\Audit%20March%202003\RMCFinalsets\My%20Documents\RMC%20310301\STOCKSEC145A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ilblrnt\bnzfoods\sivaram\COST%20SHEET\DAIRY%20COSTSHEET%20FEB02r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Gururaj\AppData\Local\Microsoft\Windows\Temporary%20Internet%20Files\Content.Outlook\ATSOSI68\RS%20VI_Final%20(3).xlsx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ghwendragarg/AppData/Local/Microsoft/Windows/INetCache/Content.Outlook/FY3FQUQT/0304cementdivINDASBS.XLSX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ilblrnt\bnzfoods\siva\cust1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in2k\g\DEVARAJAN\Audit%20March%202003\RMCFinalsets\My%20Documents\RMC%20310301\STOCKSEC145A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mhnh\My%20Documents\2001\Asia%20Pacific\Plan\5Y_v2.14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THWAY_NT\USR\FILING\HATHINV\ACCS9596\JAYESH\DEL1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estop%20kk%20files%2014.04.14\31.03.14%20BS\Calculation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rayan\d\Audit%202003-04\bhawani\final%20accounts%20-%2031.03.2004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-463-surendran\e\jaidev\2003-04\Qtr1-2003-04\TBC\Cash_Flow\Copy%20of%20cashflow_31_3_2003_3may_5pm_after_VP(F)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50\Bellacasa%20Commom%20Folder\Documents%20and%20Settings\Ganesham\Local%20Settings\Temporary%20Internet%20Files\OLK25\Printout%20Sub%20Sch%20Financial%20Statements%20%2009-10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\outsource\Imports\LC\LC-CAL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nil\c\2002\BASIC%20SAL%20CALCULATION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\Finance\DOCUME~1\Gogate\LOCALS~1\Temp\Temporary%20Directory%201%20for%20final%20bank%20reco%20oct%2008.zip\vijaya%20oct%2008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ilblrnt\bnzfoods\SRP\Xls\STOCK\STKREC\t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15JB"/>
      <sheetName val="IT2004"/>
      <sheetName val="As22"/>
      <sheetName val="valuation of shares"/>
      <sheetName val="Sheet1"/>
      <sheetName val="long capt gain "/>
      <sheetName val="Queries"/>
      <sheetName val="BALANCE SHEET"/>
      <sheetName val="BS SCH"/>
      <sheetName val="P &amp; L"/>
      <sheetName val="T.B."/>
      <sheetName val="abstract"/>
      <sheetName val="P&amp;L SCH"/>
      <sheetName val="fixed asse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TB"/>
      <sheetName val="PNLBS"/>
      <sheetName val="SCH"/>
      <sheetName val="Sheet1"/>
      <sheetName val="DEPRECIATIOIN"/>
      <sheetName val="KUNIGAL"/>
      <sheetName val="CF.FF"/>
      <sheetName val="VARA"/>
      <sheetName val="A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ial Balance"/>
      <sheetName val="B S"/>
      <sheetName val="PL"/>
      <sheetName val="SCH 1-3"/>
      <sheetName val="SCH 4"/>
      <sheetName val="SCH 5-10"/>
      <sheetName val="Sch 11-15"/>
      <sheetName val="Sub-Sch"/>
      <sheetName val="CFS"/>
      <sheetName val="Dep"/>
      <sheetName val="NA"/>
      <sheetName val="Computation"/>
      <sheetName val="Salary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idated- TBK"/>
      <sheetName val="TBK"/>
      <sheetName val="TBK Deziner"/>
      <sheetName val="TBK Deepgiri"/>
      <sheetName val="TBK PB Shah"/>
      <sheetName val="TBK Samiyaz"/>
      <sheetName val="TBK Shriram"/>
      <sheetName val="TBK Uniqu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T"/>
      <sheetName val="TL-CLOSING"/>
      <sheetName val="REPAYMENT"/>
      <sheetName val="PROV-FCL-INTT"/>
      <sheetName val="IRS"/>
      <sheetName val="FCL INT -05-06"/>
      <sheetName val="INTT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NSITY"/>
      <sheetName val="TALOJA"/>
      <sheetName val="BANDRA"/>
      <sheetName val="MAHAPE"/>
      <sheetName val="THIRU"/>
      <sheetName val="RATE"/>
      <sheetName val="VALUE"/>
      <sheetName val="COMPARI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ated Parties"/>
      <sheetName val="P&amp;L"/>
      <sheetName val="BS"/>
      <sheetName val="VARIANCE ANALYSIS "/>
      <sheetName val="Sch 1-4"/>
      <sheetName val="Sch-5"/>
      <sheetName val="Sch-6-11"/>
      <sheetName val="Sch 12 &amp;13"/>
      <sheetName val="P&amp;L Sch 14-16"/>
      <sheetName val="P&amp;L Sch 17-19"/>
      <sheetName val="Data Entry"/>
      <sheetName val="TRIAL BALANCE (2)"/>
      <sheetName val="TRIAL BALANCE"/>
      <sheetName val="TB Download"/>
      <sheetName val="TBdownload-2002"/>
      <sheetName val="CC wise Download"/>
      <sheetName val="SIF P&amp;L BS"/>
      <sheetName val="SIF P&amp;L"/>
      <sheetName val="SIF Workings"/>
      <sheetName val="SIF Results Back up"/>
      <sheetName val="PROVISIONS"/>
      <sheetName val="Pl-Incl"/>
      <sheetName val="pl-Excl"/>
      <sheetName val="sch-I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BP-USD"/>
      <sheetName val="PEN-EURO"/>
      <sheetName val="DEWAS-EURO"/>
      <sheetName val="790100"/>
      <sheetName val="SUMMARY"/>
      <sheetName val="DAILY"/>
      <sheetName val="CHF-USD"/>
      <sheetName val="STATUS-HRJ"/>
      <sheetName val="EURO-SENTINI"/>
      <sheetName val="EXPORT-SELL"/>
      <sheetName val="USD-INR-BUY"/>
      <sheetName val="YEN-JPY"/>
      <sheetName val="EURO"/>
      <sheetName val="RECON."/>
      <sheetName val="WCFC-CLOSING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P(3)"/>
      <sheetName val="RP(final)"/>
      <sheetName val="RP(1)"/>
      <sheetName val="RP (rev)"/>
      <sheetName val="JV (Rev)"/>
      <sheetName val="RP"/>
      <sheetName val="Fer Fl Sh Sent"/>
      <sheetName val="windsor"/>
      <sheetName val="div paid 07-08"/>
      <sheetName val="EXP SALE"/>
      <sheetName val="Bella Casa Vendor"/>
      <sheetName val="GLOBUS"/>
      <sheetName val="Antique Apr-Mar08"/>
      <sheetName val="SOA-Antique Mar 08 "/>
      <sheetName val="Milano Bathroom fit"/>
      <sheetName val="Shine Ceramic 07-08"/>
      <sheetName val="bella casa - Customer"/>
      <sheetName val="MILANO BATH LUXURIES"/>
      <sheetName val="SILICA"/>
      <sheetName val="antique0607"/>
      <sheetName val="sentinit 060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BP-USD"/>
      <sheetName val="Sheet1"/>
      <sheetName val="FOREX-RATES"/>
      <sheetName val="DAILY"/>
      <sheetName val="DETAILS"/>
      <sheetName val="SUMMARY"/>
      <sheetName val="CHF-USD"/>
      <sheetName val="STATUS-HRJ"/>
      <sheetName val="EXPORTS"/>
      <sheetName val="IMPORTS-USD"/>
      <sheetName val="YEN-JPY"/>
      <sheetName val="EURO-USD"/>
      <sheetName val="FWD-CONTRACTS"/>
      <sheetName val="ENTRY"/>
      <sheetName val="FWD-CONT-REV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90100"/>
      <sheetName val="Sheet1"/>
    </sheetNames>
    <sheetDataSet>
      <sheetData sheetId="0"/>
      <sheetData sheetId="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T"/>
      <sheetName val="05-06"/>
      <sheetName val="TL-CLOSING"/>
      <sheetName val="Repayment 06-07"/>
      <sheetName val="REPAYMENT"/>
      <sheetName val="PROV-FCL-INTT"/>
      <sheetName val="IRS"/>
      <sheetName val="FCL INT -05-06"/>
      <sheetName val="INT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P (FINAL) (2)"/>
      <sheetName val="RP (FINAL)"/>
      <sheetName val="RP (Mayank)"/>
      <sheetName val="RP (2)"/>
      <sheetName val="SVUPL"/>
      <sheetName val="Emgeen"/>
      <sheetName val="Sale to  H&amp;R,UK"/>
      <sheetName val="Sheet1"/>
      <sheetName val="Sale Globus"/>
      <sheetName val="SALE TO Philkeram"/>
      <sheetName val="PHILKERAM"/>
      <sheetName val="Milano Sales"/>
      <sheetName val="MILANO-MBLIPL"/>
      <sheetName val="Oth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&amp;l"/>
      <sheetName val="bs"/>
      <sheetName val="sch 5"/>
      <sheetName val=" BS-sch 1-4"/>
      <sheetName val="BS-sch 6 &amp; 7"/>
      <sheetName val="BS-sch 8 &amp; 9"/>
      <sheetName val="PL-sch 10, 11 &amp; 12"/>
      <sheetName val="PL-sch 13, 14 &amp; 15"/>
      <sheetName val="GP Margin"/>
      <sheetName val="TRIAL BALANCE"/>
      <sheetName val="Clause 12 (b)"/>
      <sheetName val="pl-excl"/>
      <sheetName val="pl-incl"/>
      <sheetName val="download"/>
      <sheetName val="sch_5"/>
      <sheetName val="_BS-sch_1-4"/>
      <sheetName val="BS-sch_6_&amp;_7"/>
      <sheetName val="BS-sch_8_&amp;_9"/>
      <sheetName val="PL-sch_10,_11_&amp;_12"/>
      <sheetName val="PL-sch_13,_14_&amp;_15"/>
      <sheetName val="GP_Margin"/>
      <sheetName val="TRIAL_BALANCE"/>
      <sheetName val="Clause_12_(b)"/>
      <sheetName val="Validation"/>
      <sheetName val="Sheet1"/>
      <sheetName val="working"/>
      <sheetName val="#REF"/>
      <sheetName val="TB WORLI"/>
      <sheetName val="TB APJ"/>
      <sheetName val="Mappings"/>
      <sheetName val="Mapping"/>
      <sheetName val="Gap Analysis "/>
      <sheetName val="REFERENCES"/>
      <sheetName val="variables"/>
      <sheetName val="FINAL"/>
      <sheetName val="Mappings 2015-16"/>
      <sheetName val="B"/>
      <sheetName val="PBC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RJ-100"/>
      <sheetName val="sq01"/>
      <sheetName val="HRJ-1000"/>
      <sheetName val="ZSTAX"/>
      <sheetName val="RPD Apr 17 - Mar 18"/>
      <sheetName val="Ed &amp; ST  "/>
      <sheetName val="Conformation"/>
      <sheetName val="U1 Summry"/>
      <sheetName val="Unit 1 Data"/>
      <sheetName val="WT Sales Sumry"/>
      <sheetName val="GVT Sales Sumry"/>
      <sheetName val="Pivot"/>
      <sheetName val="Customer Com"/>
      <sheetName val="Sales Data"/>
      <sheetName val="Payment"/>
      <sheetName val="CN DN"/>
      <sheetName val="Prism Loan Ac"/>
      <sheetName val="HRJ Main Ac. As Per Tally-U2"/>
      <sheetName val="HRJ Main Ac As Per Tally-U3"/>
      <sheetName val="Vander Ac"/>
      <sheetName val="Vender Pivot"/>
      <sheetName val="Pur Pivot"/>
      <sheetName val="HRJ and Prism Pur Ac"/>
      <sheetName val="Annexture of BLS C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overed_Sheet1"/>
      <sheetName val="LG-GIVEN"/>
      <sheetName val="IDBI BANK, MUMBAI"/>
      <sheetName val="IOB-THANE"/>
      <sheetName val="VIJAYA-BANK, MUMBAI"/>
      <sheetName val="SUMMARY"/>
    </sheetNames>
    <sheetDataSet>
      <sheetData sheetId="0" refreshError="1"/>
      <sheetData sheetId="1"/>
      <sheetData sheetId="2"/>
      <sheetData sheetId="3"/>
      <sheetData sheetId="4"/>
      <sheetData sheetId="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SPL"/>
      <sheetName val="sch1,2,3"/>
      <sheetName val="sch4"/>
      <sheetName val="sch5"/>
      <sheetName val="sch6"/>
      <sheetName val="sch7,8,9,10"/>
      <sheetName val="sch11"/>
      <sheetName val="sch12"/>
      <sheetName val="tb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NEX 3"/>
      <sheetName val="total fa group"/>
      <sheetName val="total fixed assets"/>
      <sheetName val="upto3.10.2006"/>
      <sheetName val="fixed group3.10.2006"/>
      <sheetName val="after4.10.2006"/>
      <sheetName val="fixed group after sep"/>
    </sheetNames>
    <sheetDataSet>
      <sheetData sheetId="0" refreshError="1"/>
      <sheetData sheetId="1" refreshError="1"/>
      <sheetData sheetId="2" refreshError="1">
        <row r="2">
          <cell r="A2" t="str">
            <v>1100002</v>
          </cell>
          <cell r="Q2">
            <v>-90000</v>
          </cell>
          <cell r="T2">
            <v>0</v>
          </cell>
        </row>
        <row r="3">
          <cell r="A3" t="str">
            <v>1100001</v>
          </cell>
          <cell r="Q3">
            <v>-6461529.9000000004</v>
          </cell>
          <cell r="T3">
            <v>0</v>
          </cell>
        </row>
        <row r="4">
          <cell r="A4" t="str">
            <v>1200001</v>
          </cell>
          <cell r="Q4">
            <v>0</v>
          </cell>
          <cell r="T4">
            <v>0</v>
          </cell>
        </row>
        <row r="5">
          <cell r="A5" t="str">
            <v>1200002</v>
          </cell>
          <cell r="Q5">
            <v>-172051.6</v>
          </cell>
          <cell r="T5">
            <v>0</v>
          </cell>
        </row>
        <row r="6">
          <cell r="A6" t="str">
            <v>1200004</v>
          </cell>
          <cell r="Q6">
            <v>0</v>
          </cell>
          <cell r="T6">
            <v>0</v>
          </cell>
        </row>
        <row r="7">
          <cell r="A7" t="str">
            <v>1200005</v>
          </cell>
          <cell r="Q7">
            <v>0</v>
          </cell>
          <cell r="T7">
            <v>0</v>
          </cell>
        </row>
        <row r="8">
          <cell r="A8" t="str">
            <v>1200006</v>
          </cell>
          <cell r="Q8">
            <v>0</v>
          </cell>
          <cell r="T8">
            <v>0</v>
          </cell>
        </row>
        <row r="9">
          <cell r="A9" t="str">
            <v>1200007</v>
          </cell>
          <cell r="Q9">
            <v>0</v>
          </cell>
          <cell r="T9">
            <v>0</v>
          </cell>
        </row>
        <row r="10">
          <cell r="A10" t="str">
            <v>1200008</v>
          </cell>
          <cell r="Q10">
            <v>0</v>
          </cell>
          <cell r="T10">
            <v>0</v>
          </cell>
        </row>
        <row r="11">
          <cell r="A11" t="str">
            <v>1200009</v>
          </cell>
          <cell r="Q11">
            <v>0</v>
          </cell>
          <cell r="T11">
            <v>0</v>
          </cell>
        </row>
        <row r="12">
          <cell r="A12" t="str">
            <v>1200010</v>
          </cell>
          <cell r="Q12">
            <v>0</v>
          </cell>
          <cell r="T12">
            <v>0</v>
          </cell>
        </row>
        <row r="13">
          <cell r="A13" t="str">
            <v>1200011</v>
          </cell>
          <cell r="Q13">
            <v>0</v>
          </cell>
          <cell r="T13">
            <v>0</v>
          </cell>
        </row>
        <row r="14">
          <cell r="A14" t="str">
            <v>1200012</v>
          </cell>
          <cell r="Q14">
            <v>0</v>
          </cell>
          <cell r="T14">
            <v>0</v>
          </cell>
        </row>
        <row r="15">
          <cell r="A15" t="str">
            <v>1200013</v>
          </cell>
          <cell r="Q15">
            <v>0</v>
          </cell>
          <cell r="T15">
            <v>0</v>
          </cell>
        </row>
        <row r="16">
          <cell r="A16" t="str">
            <v>1200014</v>
          </cell>
          <cell r="Q16">
            <v>0</v>
          </cell>
          <cell r="T16">
            <v>0</v>
          </cell>
        </row>
        <row r="17">
          <cell r="A17" t="str">
            <v>1200015</v>
          </cell>
          <cell r="Q17">
            <v>0</v>
          </cell>
          <cell r="T17">
            <v>0</v>
          </cell>
        </row>
        <row r="18">
          <cell r="A18" t="str">
            <v>1200016</v>
          </cell>
          <cell r="Q18">
            <v>0</v>
          </cell>
          <cell r="T18">
            <v>0</v>
          </cell>
        </row>
        <row r="19">
          <cell r="A19" t="str">
            <v>1200017</v>
          </cell>
          <cell r="Q19">
            <v>0</v>
          </cell>
          <cell r="T19">
            <v>0</v>
          </cell>
        </row>
        <row r="20">
          <cell r="A20" t="str">
            <v>1200018</v>
          </cell>
          <cell r="Q20">
            <v>0</v>
          </cell>
          <cell r="T20">
            <v>0</v>
          </cell>
        </row>
        <row r="21">
          <cell r="A21" t="str">
            <v>1200019</v>
          </cell>
          <cell r="Q21">
            <v>0</v>
          </cell>
          <cell r="T21">
            <v>0</v>
          </cell>
        </row>
        <row r="22">
          <cell r="A22" t="str">
            <v>1200020</v>
          </cell>
          <cell r="Q22">
            <v>0</v>
          </cell>
          <cell r="T22">
            <v>0</v>
          </cell>
        </row>
        <row r="23">
          <cell r="A23" t="str">
            <v>1200021</v>
          </cell>
          <cell r="Q23">
            <v>0</v>
          </cell>
          <cell r="T23">
            <v>0</v>
          </cell>
        </row>
        <row r="24">
          <cell r="A24" t="str">
            <v>1200022</v>
          </cell>
          <cell r="Q24">
            <v>0</v>
          </cell>
          <cell r="T24">
            <v>0</v>
          </cell>
        </row>
        <row r="25">
          <cell r="A25" t="str">
            <v>1200023</v>
          </cell>
          <cell r="Q25">
            <v>0</v>
          </cell>
          <cell r="T25">
            <v>0</v>
          </cell>
        </row>
        <row r="26">
          <cell r="A26" t="str">
            <v>1200024</v>
          </cell>
          <cell r="Q26">
            <v>0</v>
          </cell>
          <cell r="T26">
            <v>0</v>
          </cell>
        </row>
        <row r="27">
          <cell r="A27" t="str">
            <v>1200025</v>
          </cell>
          <cell r="Q27">
            <v>0</v>
          </cell>
          <cell r="T27">
            <v>0</v>
          </cell>
        </row>
        <row r="28">
          <cell r="A28" t="str">
            <v>1200026</v>
          </cell>
          <cell r="Q28">
            <v>0</v>
          </cell>
          <cell r="T28">
            <v>0</v>
          </cell>
        </row>
        <row r="29">
          <cell r="A29" t="str">
            <v>1200027</v>
          </cell>
          <cell r="Q29">
            <v>0</v>
          </cell>
          <cell r="T29">
            <v>0</v>
          </cell>
        </row>
        <row r="30">
          <cell r="A30" t="str">
            <v>1200028</v>
          </cell>
          <cell r="Q30">
            <v>0</v>
          </cell>
          <cell r="T30">
            <v>0</v>
          </cell>
        </row>
        <row r="31">
          <cell r="A31" t="str">
            <v>1200029</v>
          </cell>
          <cell r="Q31">
            <v>0</v>
          </cell>
          <cell r="T31">
            <v>0</v>
          </cell>
        </row>
        <row r="32">
          <cell r="A32" t="str">
            <v>1200030</v>
          </cell>
          <cell r="Q32">
            <v>0</v>
          </cell>
          <cell r="T32">
            <v>0</v>
          </cell>
        </row>
        <row r="33">
          <cell r="A33" t="str">
            <v>1200031</v>
          </cell>
          <cell r="Q33">
            <v>0</v>
          </cell>
          <cell r="T33">
            <v>0</v>
          </cell>
        </row>
        <row r="34">
          <cell r="A34" t="str">
            <v>1200032</v>
          </cell>
          <cell r="Q34">
            <v>0</v>
          </cell>
          <cell r="T34">
            <v>0</v>
          </cell>
        </row>
        <row r="35">
          <cell r="A35" t="str">
            <v>1200033</v>
          </cell>
          <cell r="Q35">
            <v>0</v>
          </cell>
          <cell r="T35">
            <v>0</v>
          </cell>
        </row>
        <row r="36">
          <cell r="A36" t="str">
            <v>1200034</v>
          </cell>
          <cell r="Q36">
            <v>0</v>
          </cell>
          <cell r="T36">
            <v>0</v>
          </cell>
        </row>
        <row r="37">
          <cell r="A37" t="str">
            <v>1200035</v>
          </cell>
          <cell r="Q37">
            <v>0</v>
          </cell>
          <cell r="T37">
            <v>0</v>
          </cell>
        </row>
        <row r="38">
          <cell r="A38" t="str">
            <v>1200036</v>
          </cell>
          <cell r="Q38">
            <v>0</v>
          </cell>
          <cell r="T38">
            <v>0</v>
          </cell>
        </row>
        <row r="39">
          <cell r="A39" t="str">
            <v>1200037</v>
          </cell>
          <cell r="Q39">
            <v>0</v>
          </cell>
          <cell r="T39">
            <v>0</v>
          </cell>
        </row>
        <row r="40">
          <cell r="A40" t="str">
            <v>1200038</v>
          </cell>
          <cell r="Q40">
            <v>0</v>
          </cell>
          <cell r="T40">
            <v>0</v>
          </cell>
        </row>
        <row r="41">
          <cell r="A41" t="str">
            <v>1200039</v>
          </cell>
          <cell r="Q41">
            <v>0</v>
          </cell>
          <cell r="T41">
            <v>0</v>
          </cell>
        </row>
        <row r="42">
          <cell r="A42" t="str">
            <v>1200040</v>
          </cell>
          <cell r="Q42">
            <v>0</v>
          </cell>
          <cell r="T42">
            <v>0</v>
          </cell>
        </row>
        <row r="43">
          <cell r="A43" t="str">
            <v>1200041</v>
          </cell>
          <cell r="Q43">
            <v>0</v>
          </cell>
          <cell r="T43">
            <v>0</v>
          </cell>
        </row>
        <row r="44">
          <cell r="A44" t="str">
            <v>1200042</v>
          </cell>
          <cell r="Q44">
            <v>0</v>
          </cell>
          <cell r="T44">
            <v>0</v>
          </cell>
        </row>
        <row r="45">
          <cell r="A45" t="str">
            <v>1200043</v>
          </cell>
          <cell r="Q45">
            <v>0</v>
          </cell>
          <cell r="T45">
            <v>0</v>
          </cell>
        </row>
        <row r="46">
          <cell r="A46" t="str">
            <v>1200044</v>
          </cell>
          <cell r="Q46">
            <v>0</v>
          </cell>
          <cell r="T46">
            <v>0</v>
          </cell>
        </row>
        <row r="47">
          <cell r="A47" t="str">
            <v>1200045</v>
          </cell>
          <cell r="Q47">
            <v>0</v>
          </cell>
          <cell r="T47">
            <v>0</v>
          </cell>
        </row>
        <row r="48">
          <cell r="A48" t="str">
            <v>1200046</v>
          </cell>
          <cell r="Q48">
            <v>0</v>
          </cell>
          <cell r="T48">
            <v>0</v>
          </cell>
        </row>
        <row r="49">
          <cell r="A49" t="str">
            <v>1200047</v>
          </cell>
          <cell r="Q49">
            <v>0</v>
          </cell>
          <cell r="T49">
            <v>0</v>
          </cell>
        </row>
        <row r="50">
          <cell r="A50" t="str">
            <v>1200048</v>
          </cell>
          <cell r="Q50">
            <v>0</v>
          </cell>
          <cell r="T50">
            <v>0</v>
          </cell>
        </row>
        <row r="51">
          <cell r="A51" t="str">
            <v>1200049</v>
          </cell>
          <cell r="Q51">
            <v>0</v>
          </cell>
          <cell r="T51">
            <v>0</v>
          </cell>
        </row>
        <row r="52">
          <cell r="A52" t="str">
            <v>1200050</v>
          </cell>
          <cell r="Q52">
            <v>0</v>
          </cell>
          <cell r="T52">
            <v>0</v>
          </cell>
        </row>
        <row r="53">
          <cell r="A53" t="str">
            <v>1200051</v>
          </cell>
          <cell r="Q53">
            <v>0</v>
          </cell>
          <cell r="T53">
            <v>0</v>
          </cell>
        </row>
        <row r="54">
          <cell r="A54" t="str">
            <v>1200052</v>
          </cell>
          <cell r="Q54">
            <v>0</v>
          </cell>
          <cell r="T54">
            <v>0</v>
          </cell>
        </row>
        <row r="55">
          <cell r="A55" t="str">
            <v>1200053</v>
          </cell>
          <cell r="Q55">
            <v>0</v>
          </cell>
          <cell r="T55">
            <v>0</v>
          </cell>
        </row>
        <row r="56">
          <cell r="A56" t="str">
            <v>1200054</v>
          </cell>
          <cell r="Q56">
            <v>0</v>
          </cell>
          <cell r="T56">
            <v>0</v>
          </cell>
        </row>
        <row r="57">
          <cell r="A57" t="str">
            <v>1200055</v>
          </cell>
          <cell r="Q57">
            <v>0</v>
          </cell>
          <cell r="T57">
            <v>0</v>
          </cell>
        </row>
        <row r="58">
          <cell r="A58" t="str">
            <v>1200056</v>
          </cell>
          <cell r="Q58">
            <v>0</v>
          </cell>
          <cell r="T58">
            <v>0</v>
          </cell>
        </row>
        <row r="59">
          <cell r="A59" t="str">
            <v>1200057</v>
          </cell>
          <cell r="Q59">
            <v>0</v>
          </cell>
          <cell r="T59">
            <v>0</v>
          </cell>
        </row>
        <row r="60">
          <cell r="A60" t="str">
            <v>1200058</v>
          </cell>
          <cell r="Q60">
            <v>0</v>
          </cell>
          <cell r="T60">
            <v>0</v>
          </cell>
        </row>
        <row r="61">
          <cell r="A61" t="str">
            <v>1200059</v>
          </cell>
          <cell r="Q61">
            <v>0</v>
          </cell>
          <cell r="T61">
            <v>0</v>
          </cell>
        </row>
        <row r="62">
          <cell r="A62" t="str">
            <v>1200060</v>
          </cell>
          <cell r="Q62">
            <v>0</v>
          </cell>
          <cell r="T62">
            <v>0</v>
          </cell>
        </row>
        <row r="63">
          <cell r="A63" t="str">
            <v>1200061</v>
          </cell>
          <cell r="Q63">
            <v>0</v>
          </cell>
          <cell r="T63">
            <v>0</v>
          </cell>
        </row>
        <row r="64">
          <cell r="A64" t="str">
            <v>1200062</v>
          </cell>
          <cell r="Q64">
            <v>0</v>
          </cell>
          <cell r="T64">
            <v>0</v>
          </cell>
        </row>
        <row r="65">
          <cell r="A65" t="str">
            <v>1200063</v>
          </cell>
          <cell r="Q65">
            <v>0</v>
          </cell>
          <cell r="T65">
            <v>0</v>
          </cell>
        </row>
        <row r="66">
          <cell r="A66" t="str">
            <v>1200064</v>
          </cell>
          <cell r="Q66">
            <v>0</v>
          </cell>
          <cell r="T66">
            <v>0</v>
          </cell>
        </row>
        <row r="67">
          <cell r="A67" t="str">
            <v>1200065</v>
          </cell>
          <cell r="Q67">
            <v>0</v>
          </cell>
          <cell r="T67">
            <v>0</v>
          </cell>
        </row>
        <row r="68">
          <cell r="A68" t="str">
            <v>1200066</v>
          </cell>
          <cell r="Q68">
            <v>0</v>
          </cell>
          <cell r="T68">
            <v>0</v>
          </cell>
        </row>
        <row r="69">
          <cell r="A69" t="str">
            <v>1200067</v>
          </cell>
          <cell r="Q69">
            <v>0</v>
          </cell>
          <cell r="T69">
            <v>0</v>
          </cell>
        </row>
        <row r="70">
          <cell r="A70" t="str">
            <v>1200068</v>
          </cell>
          <cell r="Q70">
            <v>0</v>
          </cell>
          <cell r="T70">
            <v>0</v>
          </cell>
        </row>
        <row r="71">
          <cell r="A71" t="str">
            <v>1200069</v>
          </cell>
          <cell r="Q71">
            <v>0</v>
          </cell>
          <cell r="T71">
            <v>0</v>
          </cell>
        </row>
        <row r="72">
          <cell r="A72" t="str">
            <v>1200070</v>
          </cell>
          <cell r="Q72">
            <v>0</v>
          </cell>
          <cell r="T72">
            <v>0</v>
          </cell>
        </row>
        <row r="73">
          <cell r="A73" t="str">
            <v>1200077</v>
          </cell>
          <cell r="Q73">
            <v>0</v>
          </cell>
          <cell r="T73">
            <v>0</v>
          </cell>
        </row>
        <row r="74">
          <cell r="A74" t="str">
            <v>1200078</v>
          </cell>
          <cell r="Q74">
            <v>0</v>
          </cell>
          <cell r="T74">
            <v>0</v>
          </cell>
        </row>
        <row r="75">
          <cell r="A75" t="str">
            <v>1200079</v>
          </cell>
          <cell r="Q75">
            <v>0</v>
          </cell>
          <cell r="T75">
            <v>0</v>
          </cell>
        </row>
        <row r="76">
          <cell r="A76" t="str">
            <v>1200080</v>
          </cell>
          <cell r="Q76">
            <v>0</v>
          </cell>
          <cell r="T76">
            <v>0</v>
          </cell>
        </row>
        <row r="77">
          <cell r="A77" t="str">
            <v>1200081</v>
          </cell>
          <cell r="Q77">
            <v>0</v>
          </cell>
          <cell r="T77">
            <v>0</v>
          </cell>
        </row>
        <row r="78">
          <cell r="A78" t="str">
            <v>1200082</v>
          </cell>
          <cell r="Q78">
            <v>0</v>
          </cell>
          <cell r="T78">
            <v>0</v>
          </cell>
        </row>
        <row r="79">
          <cell r="A79" t="str">
            <v>1200083</v>
          </cell>
          <cell r="Q79">
            <v>0</v>
          </cell>
          <cell r="T79">
            <v>0</v>
          </cell>
        </row>
        <row r="80">
          <cell r="A80" t="str">
            <v>1200084</v>
          </cell>
          <cell r="Q80">
            <v>0</v>
          </cell>
          <cell r="T80">
            <v>0</v>
          </cell>
        </row>
        <row r="81">
          <cell r="A81" t="str">
            <v>1200085</v>
          </cell>
          <cell r="Q81">
            <v>0</v>
          </cell>
          <cell r="T81">
            <v>0</v>
          </cell>
        </row>
        <row r="82">
          <cell r="A82" t="str">
            <v>1200086</v>
          </cell>
          <cell r="Q82">
            <v>0</v>
          </cell>
          <cell r="T82">
            <v>0</v>
          </cell>
        </row>
        <row r="83">
          <cell r="A83" t="str">
            <v>1200087</v>
          </cell>
          <cell r="Q83">
            <v>0</v>
          </cell>
          <cell r="T83">
            <v>0</v>
          </cell>
        </row>
        <row r="84">
          <cell r="A84" t="str">
            <v>1200088</v>
          </cell>
          <cell r="Q84">
            <v>0</v>
          </cell>
          <cell r="T84">
            <v>0</v>
          </cell>
        </row>
        <row r="85">
          <cell r="A85" t="str">
            <v>1200089</v>
          </cell>
          <cell r="Q85">
            <v>0</v>
          </cell>
          <cell r="T85">
            <v>0</v>
          </cell>
        </row>
        <row r="86">
          <cell r="A86" t="str">
            <v>1200090</v>
          </cell>
          <cell r="Q86">
            <v>0</v>
          </cell>
          <cell r="T86">
            <v>0</v>
          </cell>
        </row>
        <row r="87">
          <cell r="A87" t="str">
            <v>1200093</v>
          </cell>
          <cell r="Q87">
            <v>0</v>
          </cell>
          <cell r="T87">
            <v>0</v>
          </cell>
        </row>
        <row r="88">
          <cell r="A88" t="str">
            <v>1200094</v>
          </cell>
          <cell r="Q88">
            <v>0</v>
          </cell>
          <cell r="T88">
            <v>0</v>
          </cell>
        </row>
        <row r="89">
          <cell r="A89" t="str">
            <v>1200098</v>
          </cell>
          <cell r="Q89">
            <v>0</v>
          </cell>
          <cell r="T89">
            <v>0</v>
          </cell>
        </row>
        <row r="90">
          <cell r="A90" t="str">
            <v>1200100</v>
          </cell>
          <cell r="Q90">
            <v>0</v>
          </cell>
          <cell r="T90">
            <v>0</v>
          </cell>
        </row>
        <row r="91">
          <cell r="A91" t="str">
            <v>1200101</v>
          </cell>
          <cell r="Q91">
            <v>0</v>
          </cell>
          <cell r="T91">
            <v>0</v>
          </cell>
        </row>
        <row r="92">
          <cell r="A92" t="str">
            <v>1200108</v>
          </cell>
          <cell r="Q92">
            <v>0</v>
          </cell>
          <cell r="T92">
            <v>0</v>
          </cell>
        </row>
        <row r="93">
          <cell r="A93" t="str">
            <v>1200109</v>
          </cell>
          <cell r="Q93">
            <v>0</v>
          </cell>
          <cell r="T93">
            <v>0</v>
          </cell>
        </row>
        <row r="94">
          <cell r="A94" t="str">
            <v>1200071</v>
          </cell>
          <cell r="Q94">
            <v>0</v>
          </cell>
          <cell r="T94">
            <v>0</v>
          </cell>
        </row>
        <row r="95">
          <cell r="A95" t="str">
            <v>1200072</v>
          </cell>
          <cell r="Q95">
            <v>0</v>
          </cell>
          <cell r="T95">
            <v>0</v>
          </cell>
        </row>
        <row r="96">
          <cell r="A96" t="str">
            <v>1200073</v>
          </cell>
          <cell r="Q96">
            <v>0</v>
          </cell>
          <cell r="T96">
            <v>0</v>
          </cell>
        </row>
        <row r="97">
          <cell r="A97" t="str">
            <v>1200074</v>
          </cell>
          <cell r="Q97">
            <v>0</v>
          </cell>
          <cell r="T97">
            <v>0</v>
          </cell>
        </row>
        <row r="98">
          <cell r="A98" t="str">
            <v>1200075</v>
          </cell>
          <cell r="Q98">
            <v>0</v>
          </cell>
          <cell r="T98">
            <v>0</v>
          </cell>
        </row>
        <row r="99">
          <cell r="A99" t="str">
            <v>1200091</v>
          </cell>
          <cell r="Q99">
            <v>0</v>
          </cell>
          <cell r="T99">
            <v>0</v>
          </cell>
        </row>
        <row r="100">
          <cell r="A100" t="str">
            <v>1200097</v>
          </cell>
          <cell r="Q100">
            <v>0</v>
          </cell>
          <cell r="T100">
            <v>0</v>
          </cell>
        </row>
        <row r="101">
          <cell r="A101" t="str">
            <v>1200092</v>
          </cell>
          <cell r="Q101">
            <v>0</v>
          </cell>
          <cell r="T101">
            <v>0</v>
          </cell>
        </row>
        <row r="102">
          <cell r="A102" t="str">
            <v>1200103</v>
          </cell>
          <cell r="Q102">
            <v>0</v>
          </cell>
          <cell r="T102">
            <v>0</v>
          </cell>
        </row>
        <row r="103">
          <cell r="A103" t="str">
            <v>1300015</v>
          </cell>
          <cell r="Q103">
            <v>-64148400.32</v>
          </cell>
          <cell r="T103">
            <v>0</v>
          </cell>
        </row>
        <row r="104">
          <cell r="A104" t="str">
            <v>1300016</v>
          </cell>
          <cell r="Q104">
            <v>-9892030.7799999993</v>
          </cell>
          <cell r="T104">
            <v>0</v>
          </cell>
        </row>
        <row r="105">
          <cell r="A105" t="str">
            <v>1300019</v>
          </cell>
          <cell r="Q105">
            <v>-12673269.380000001</v>
          </cell>
          <cell r="T105">
            <v>0</v>
          </cell>
        </row>
        <row r="106">
          <cell r="A106" t="str">
            <v>1300020</v>
          </cell>
          <cell r="Q106">
            <v>-17683.03</v>
          </cell>
          <cell r="T106">
            <v>0</v>
          </cell>
        </row>
        <row r="107">
          <cell r="A107" t="str">
            <v>1300021</v>
          </cell>
          <cell r="Q107">
            <v>-22672.28</v>
          </cell>
          <cell r="T107">
            <v>0</v>
          </cell>
        </row>
        <row r="108">
          <cell r="A108" t="str">
            <v>1300022</v>
          </cell>
          <cell r="Q108">
            <v>-93197.13</v>
          </cell>
          <cell r="T108">
            <v>0</v>
          </cell>
        </row>
        <row r="109">
          <cell r="A109" t="str">
            <v>1300023</v>
          </cell>
          <cell r="Q109">
            <v>-3920546.71</v>
          </cell>
          <cell r="T109">
            <v>0</v>
          </cell>
        </row>
        <row r="110">
          <cell r="A110" t="str">
            <v>1300024</v>
          </cell>
          <cell r="Q110">
            <v>-392837.26</v>
          </cell>
          <cell r="T110">
            <v>0</v>
          </cell>
        </row>
        <row r="111">
          <cell r="A111" t="str">
            <v>1300025</v>
          </cell>
          <cell r="Q111">
            <v>-974114.97</v>
          </cell>
          <cell r="T111">
            <v>0</v>
          </cell>
        </row>
        <row r="112">
          <cell r="A112" t="str">
            <v>1300026</v>
          </cell>
          <cell r="Q112">
            <v>-522208.7</v>
          </cell>
          <cell r="T112">
            <v>0</v>
          </cell>
        </row>
        <row r="113">
          <cell r="A113" t="str">
            <v>1300027</v>
          </cell>
          <cell r="Q113">
            <v>-468188.48</v>
          </cell>
          <cell r="T113">
            <v>0</v>
          </cell>
        </row>
        <row r="114">
          <cell r="A114" t="str">
            <v>1300028</v>
          </cell>
          <cell r="Q114">
            <v>-27961.02</v>
          </cell>
          <cell r="T114">
            <v>0</v>
          </cell>
        </row>
        <row r="115">
          <cell r="A115" t="str">
            <v>1300030</v>
          </cell>
          <cell r="Q115">
            <v>-22167815.149999999</v>
          </cell>
          <cell r="T115">
            <v>0</v>
          </cell>
        </row>
        <row r="116">
          <cell r="A116" t="str">
            <v>1300031</v>
          </cell>
          <cell r="Q116">
            <v>-30650708.030000001</v>
          </cell>
          <cell r="T116">
            <v>0</v>
          </cell>
        </row>
        <row r="117">
          <cell r="A117" t="str">
            <v>1300044</v>
          </cell>
          <cell r="Q117">
            <v>-31002186.399999999</v>
          </cell>
          <cell r="T117">
            <v>0</v>
          </cell>
        </row>
        <row r="118">
          <cell r="A118" t="str">
            <v>1300045</v>
          </cell>
          <cell r="Q118">
            <v>-10513328.24</v>
          </cell>
          <cell r="T118">
            <v>0</v>
          </cell>
        </row>
        <row r="119">
          <cell r="A119" t="str">
            <v>1300046</v>
          </cell>
          <cell r="Q119">
            <v>-8627136.5399999991</v>
          </cell>
          <cell r="T119">
            <v>0</v>
          </cell>
        </row>
        <row r="120">
          <cell r="A120" t="str">
            <v>1300047</v>
          </cell>
          <cell r="Q120">
            <v>-15267216.779999999</v>
          </cell>
          <cell r="T120">
            <v>0</v>
          </cell>
        </row>
        <row r="121">
          <cell r="A121" t="str">
            <v>1300048</v>
          </cell>
          <cell r="Q121">
            <v>-36681616.640000001</v>
          </cell>
          <cell r="T121">
            <v>0</v>
          </cell>
        </row>
        <row r="122">
          <cell r="A122" t="str">
            <v>1300050</v>
          </cell>
          <cell r="Q122">
            <v>-20623519.829999998</v>
          </cell>
          <cell r="T122">
            <v>0</v>
          </cell>
        </row>
        <row r="123">
          <cell r="A123" t="str">
            <v>1300051</v>
          </cell>
          <cell r="Q123">
            <v>-2001574.17</v>
          </cell>
          <cell r="T123">
            <v>0</v>
          </cell>
        </row>
        <row r="124">
          <cell r="A124" t="str">
            <v>1300052</v>
          </cell>
          <cell r="Q124">
            <v>-337085.14</v>
          </cell>
          <cell r="T124">
            <v>0</v>
          </cell>
        </row>
        <row r="125">
          <cell r="A125" t="str">
            <v>1300053</v>
          </cell>
          <cell r="Q125">
            <v>-7995797.0800000001</v>
          </cell>
          <cell r="T125">
            <v>0</v>
          </cell>
        </row>
        <row r="126">
          <cell r="A126" t="str">
            <v>1300054</v>
          </cell>
          <cell r="Q126">
            <v>-800097.01</v>
          </cell>
          <cell r="T126">
            <v>0</v>
          </cell>
        </row>
        <row r="127">
          <cell r="A127" t="str">
            <v>1300055</v>
          </cell>
          <cell r="Q127">
            <v>-502537.51</v>
          </cell>
          <cell r="T127">
            <v>0</v>
          </cell>
        </row>
        <row r="128">
          <cell r="A128" t="str">
            <v>1300056</v>
          </cell>
          <cell r="Q128">
            <v>-1143975.53</v>
          </cell>
          <cell r="T128">
            <v>0</v>
          </cell>
        </row>
        <row r="129">
          <cell r="A129" t="str">
            <v>1300060</v>
          </cell>
          <cell r="Q129">
            <v>-68191.8</v>
          </cell>
          <cell r="T129">
            <v>0</v>
          </cell>
        </row>
        <row r="130">
          <cell r="A130" t="str">
            <v>1300061</v>
          </cell>
          <cell r="Q130">
            <v>-307652.86</v>
          </cell>
          <cell r="T130">
            <v>0</v>
          </cell>
        </row>
        <row r="131">
          <cell r="A131" t="str">
            <v>1300063</v>
          </cell>
          <cell r="Q131">
            <v>-52404.5</v>
          </cell>
          <cell r="T131">
            <v>0</v>
          </cell>
        </row>
        <row r="132">
          <cell r="A132" t="str">
            <v>1300064</v>
          </cell>
          <cell r="Q132">
            <v>-32003.5</v>
          </cell>
          <cell r="T132">
            <v>0</v>
          </cell>
        </row>
        <row r="133">
          <cell r="A133" t="str">
            <v>1300065</v>
          </cell>
          <cell r="Q133">
            <v>-18608.11</v>
          </cell>
          <cell r="T133">
            <v>0</v>
          </cell>
        </row>
        <row r="134">
          <cell r="A134" t="str">
            <v>1300066</v>
          </cell>
          <cell r="Q134">
            <v>-40261.51</v>
          </cell>
          <cell r="T134">
            <v>0</v>
          </cell>
        </row>
        <row r="135">
          <cell r="A135" t="str">
            <v>1300067</v>
          </cell>
          <cell r="Q135">
            <v>-10798.88</v>
          </cell>
          <cell r="T135">
            <v>0</v>
          </cell>
        </row>
        <row r="136">
          <cell r="A136" t="str">
            <v>1300068</v>
          </cell>
          <cell r="Q136">
            <v>-37879.01</v>
          </cell>
          <cell r="T136">
            <v>0</v>
          </cell>
        </row>
        <row r="137">
          <cell r="A137" t="str">
            <v>1300069</v>
          </cell>
          <cell r="Q137">
            <v>-39303.64</v>
          </cell>
          <cell r="T137">
            <v>0</v>
          </cell>
        </row>
        <row r="138">
          <cell r="A138" t="str">
            <v>1300070</v>
          </cell>
          <cell r="Q138">
            <v>-18978.5</v>
          </cell>
          <cell r="T138">
            <v>0</v>
          </cell>
        </row>
        <row r="139">
          <cell r="A139" t="str">
            <v>1300071</v>
          </cell>
          <cell r="Q139">
            <v>-9179.8700000000008</v>
          </cell>
          <cell r="T139">
            <v>0</v>
          </cell>
        </row>
        <row r="140">
          <cell r="A140" t="str">
            <v>1300072</v>
          </cell>
          <cell r="Q140">
            <v>-13321.43</v>
          </cell>
          <cell r="T140">
            <v>0</v>
          </cell>
        </row>
        <row r="141">
          <cell r="A141" t="str">
            <v>1300073</v>
          </cell>
          <cell r="Q141">
            <v>-9497.5</v>
          </cell>
          <cell r="T141">
            <v>0</v>
          </cell>
        </row>
        <row r="142">
          <cell r="A142" t="str">
            <v>1300074</v>
          </cell>
          <cell r="Q142">
            <v>-122287.55</v>
          </cell>
          <cell r="T142">
            <v>0</v>
          </cell>
        </row>
        <row r="143">
          <cell r="A143" t="str">
            <v>1300075</v>
          </cell>
          <cell r="Q143">
            <v>-16259.23</v>
          </cell>
          <cell r="T143">
            <v>0</v>
          </cell>
        </row>
        <row r="144">
          <cell r="A144" t="str">
            <v>1300076</v>
          </cell>
          <cell r="Q144">
            <v>-66347.09</v>
          </cell>
          <cell r="T144">
            <v>0</v>
          </cell>
        </row>
        <row r="145">
          <cell r="A145" t="str">
            <v>1300077</v>
          </cell>
          <cell r="Q145">
            <v>-7891.33</v>
          </cell>
          <cell r="T145">
            <v>0</v>
          </cell>
        </row>
        <row r="146">
          <cell r="A146" t="str">
            <v>1300078</v>
          </cell>
          <cell r="Q146">
            <v>-4503.25</v>
          </cell>
          <cell r="T146">
            <v>0</v>
          </cell>
        </row>
        <row r="147">
          <cell r="A147" t="str">
            <v>1300079</v>
          </cell>
          <cell r="Q147">
            <v>-16756.68</v>
          </cell>
          <cell r="T147">
            <v>0</v>
          </cell>
        </row>
        <row r="148">
          <cell r="A148" t="str">
            <v>1300080</v>
          </cell>
          <cell r="Q148">
            <v>-38871.26</v>
          </cell>
          <cell r="T148">
            <v>0</v>
          </cell>
        </row>
        <row r="149">
          <cell r="A149" t="str">
            <v>1300081</v>
          </cell>
          <cell r="Q149">
            <v>-107760.47</v>
          </cell>
          <cell r="T149">
            <v>0</v>
          </cell>
        </row>
        <row r="150">
          <cell r="A150" t="str">
            <v>1300082</v>
          </cell>
          <cell r="Q150">
            <v>-29257.9</v>
          </cell>
          <cell r="T150">
            <v>0</v>
          </cell>
        </row>
        <row r="151">
          <cell r="A151" t="str">
            <v>1300083</v>
          </cell>
          <cell r="Q151">
            <v>-34989.32</v>
          </cell>
          <cell r="T151">
            <v>0</v>
          </cell>
        </row>
        <row r="152">
          <cell r="A152" t="str">
            <v>1300084</v>
          </cell>
          <cell r="Q152">
            <v>-52333.79</v>
          </cell>
          <cell r="T152">
            <v>0</v>
          </cell>
        </row>
        <row r="153">
          <cell r="A153" t="str">
            <v>1300115</v>
          </cell>
          <cell r="Q153">
            <v>-13992.65</v>
          </cell>
          <cell r="T153">
            <v>0</v>
          </cell>
        </row>
        <row r="154">
          <cell r="A154" t="str">
            <v>1300116</v>
          </cell>
          <cell r="Q154">
            <v>-11680.64</v>
          </cell>
          <cell r="T154">
            <v>0</v>
          </cell>
        </row>
        <row r="155">
          <cell r="A155" t="str">
            <v>1300117</v>
          </cell>
          <cell r="Q155">
            <v>-158106.59</v>
          </cell>
          <cell r="T155">
            <v>0</v>
          </cell>
        </row>
        <row r="156">
          <cell r="A156" t="str">
            <v>1300118</v>
          </cell>
          <cell r="Q156">
            <v>-111388.04</v>
          </cell>
          <cell r="T156">
            <v>0</v>
          </cell>
        </row>
        <row r="157">
          <cell r="A157" t="str">
            <v>1300119</v>
          </cell>
          <cell r="Q157">
            <v>-20932.75</v>
          </cell>
          <cell r="T157">
            <v>0</v>
          </cell>
        </row>
        <row r="158">
          <cell r="A158" t="str">
            <v>1300120</v>
          </cell>
          <cell r="Q158">
            <v>-186542.07</v>
          </cell>
          <cell r="T158">
            <v>0</v>
          </cell>
        </row>
        <row r="159">
          <cell r="A159" t="str">
            <v>1300121</v>
          </cell>
          <cell r="Q159">
            <v>-39335.769999999997</v>
          </cell>
          <cell r="T159">
            <v>0</v>
          </cell>
        </row>
        <row r="160">
          <cell r="A160" t="str">
            <v>1300122</v>
          </cell>
          <cell r="Q160">
            <v>-42698.58</v>
          </cell>
          <cell r="T160">
            <v>0</v>
          </cell>
        </row>
        <row r="161">
          <cell r="A161" t="str">
            <v>1300123</v>
          </cell>
          <cell r="Q161">
            <v>-10166.99</v>
          </cell>
          <cell r="T161">
            <v>0</v>
          </cell>
        </row>
        <row r="162">
          <cell r="A162" t="str">
            <v>1300124</v>
          </cell>
          <cell r="Q162">
            <v>-3912.57</v>
          </cell>
          <cell r="T162">
            <v>0</v>
          </cell>
        </row>
        <row r="163">
          <cell r="A163" t="str">
            <v>1300125</v>
          </cell>
          <cell r="Q163">
            <v>-8099.04</v>
          </cell>
          <cell r="T163">
            <v>0</v>
          </cell>
        </row>
        <row r="164">
          <cell r="A164" t="str">
            <v>1300126</v>
          </cell>
          <cell r="Q164">
            <v>-4067.59</v>
          </cell>
          <cell r="T164">
            <v>0</v>
          </cell>
        </row>
        <row r="165">
          <cell r="A165" t="str">
            <v>1300127</v>
          </cell>
          <cell r="Q165">
            <v>-2906.51</v>
          </cell>
          <cell r="T165">
            <v>0</v>
          </cell>
        </row>
        <row r="166">
          <cell r="A166" t="str">
            <v>1300128</v>
          </cell>
          <cell r="Q166">
            <v>-248152.16</v>
          </cell>
          <cell r="T166">
            <v>0</v>
          </cell>
        </row>
        <row r="167">
          <cell r="A167" t="str">
            <v>1300129</v>
          </cell>
          <cell r="Q167">
            <v>-10854.5</v>
          </cell>
          <cell r="T167">
            <v>0</v>
          </cell>
        </row>
        <row r="168">
          <cell r="A168" t="str">
            <v>1300130</v>
          </cell>
          <cell r="Q168">
            <v>-12074.99</v>
          </cell>
          <cell r="T168">
            <v>0</v>
          </cell>
        </row>
        <row r="169">
          <cell r="A169" t="str">
            <v>1300131</v>
          </cell>
          <cell r="Q169">
            <v>-26034.91</v>
          </cell>
          <cell r="T169">
            <v>0</v>
          </cell>
        </row>
        <row r="170">
          <cell r="A170" t="str">
            <v>1300132</v>
          </cell>
          <cell r="Q170">
            <v>-118990.31</v>
          </cell>
          <cell r="T170">
            <v>0</v>
          </cell>
        </row>
        <row r="171">
          <cell r="A171" t="str">
            <v>1300133</v>
          </cell>
          <cell r="Q171">
            <v>-13518.96</v>
          </cell>
          <cell r="T171">
            <v>0</v>
          </cell>
        </row>
        <row r="172">
          <cell r="A172" t="str">
            <v>1300134</v>
          </cell>
          <cell r="Q172">
            <v>-12373.4</v>
          </cell>
          <cell r="T172">
            <v>0</v>
          </cell>
        </row>
        <row r="173">
          <cell r="A173" t="str">
            <v>1300135</v>
          </cell>
          <cell r="Q173">
            <v>-8598.3799999999992</v>
          </cell>
          <cell r="T173">
            <v>0</v>
          </cell>
        </row>
        <row r="174">
          <cell r="A174" t="str">
            <v>1300136</v>
          </cell>
          <cell r="Q174">
            <v>-4339.6899999999996</v>
          </cell>
          <cell r="T174">
            <v>0</v>
          </cell>
        </row>
        <row r="175">
          <cell r="A175" t="str">
            <v>1300137</v>
          </cell>
          <cell r="Q175">
            <v>-5820.53</v>
          </cell>
          <cell r="T175">
            <v>0</v>
          </cell>
        </row>
        <row r="176">
          <cell r="A176" t="str">
            <v>1300138</v>
          </cell>
          <cell r="Q176">
            <v>-64889.05</v>
          </cell>
          <cell r="T176">
            <v>0</v>
          </cell>
        </row>
        <row r="177">
          <cell r="A177" t="str">
            <v>1300139</v>
          </cell>
          <cell r="Q177">
            <v>-93837.26</v>
          </cell>
          <cell r="T177">
            <v>0</v>
          </cell>
        </row>
        <row r="178">
          <cell r="A178" t="str">
            <v>1300140</v>
          </cell>
          <cell r="Q178">
            <v>-40693.019999999997</v>
          </cell>
          <cell r="T178">
            <v>0</v>
          </cell>
        </row>
        <row r="179">
          <cell r="A179" t="str">
            <v>1300141</v>
          </cell>
          <cell r="Q179">
            <v>-5946.65</v>
          </cell>
          <cell r="T179">
            <v>0</v>
          </cell>
        </row>
        <row r="180">
          <cell r="A180" t="str">
            <v>1300142</v>
          </cell>
          <cell r="Q180">
            <v>-23575.59</v>
          </cell>
          <cell r="T180">
            <v>0</v>
          </cell>
        </row>
        <row r="181">
          <cell r="A181" t="str">
            <v>1300143</v>
          </cell>
          <cell r="Q181">
            <v>-9782.83</v>
          </cell>
          <cell r="T181">
            <v>0</v>
          </cell>
        </row>
        <row r="182">
          <cell r="A182" t="str">
            <v>1300144</v>
          </cell>
          <cell r="Q182">
            <v>-174353.4</v>
          </cell>
          <cell r="T182">
            <v>0</v>
          </cell>
        </row>
        <row r="183">
          <cell r="A183" t="str">
            <v>1300145</v>
          </cell>
          <cell r="Q183">
            <v>-55282.53</v>
          </cell>
          <cell r="T183">
            <v>0</v>
          </cell>
        </row>
        <row r="184">
          <cell r="A184" t="str">
            <v>1300146</v>
          </cell>
          <cell r="Q184">
            <v>-49192.07</v>
          </cell>
          <cell r="T184">
            <v>0</v>
          </cell>
        </row>
        <row r="185">
          <cell r="A185" t="str">
            <v>1300147</v>
          </cell>
          <cell r="Q185">
            <v>-5527.55</v>
          </cell>
          <cell r="T185">
            <v>0</v>
          </cell>
        </row>
        <row r="186">
          <cell r="A186" t="str">
            <v>1300148</v>
          </cell>
          <cell r="Q186">
            <v>-15984.72</v>
          </cell>
          <cell r="T186">
            <v>0</v>
          </cell>
        </row>
        <row r="187">
          <cell r="A187" t="str">
            <v>1300149</v>
          </cell>
          <cell r="Q187">
            <v>-6647.6</v>
          </cell>
          <cell r="T187">
            <v>0</v>
          </cell>
        </row>
        <row r="188">
          <cell r="A188" t="str">
            <v>1300150</v>
          </cell>
          <cell r="Q188">
            <v>-5805.43</v>
          </cell>
          <cell r="T188">
            <v>0</v>
          </cell>
        </row>
        <row r="189">
          <cell r="A189" t="str">
            <v>1300151</v>
          </cell>
          <cell r="Q189">
            <v>-18523.740000000002</v>
          </cell>
          <cell r="T189">
            <v>0</v>
          </cell>
        </row>
        <row r="190">
          <cell r="A190" t="str">
            <v>1300152</v>
          </cell>
          <cell r="Q190">
            <v>-3888.22</v>
          </cell>
          <cell r="T190">
            <v>0</v>
          </cell>
        </row>
        <row r="191">
          <cell r="A191" t="str">
            <v>1300153</v>
          </cell>
          <cell r="Q191">
            <v>-17146.45</v>
          </cell>
          <cell r="T191">
            <v>0</v>
          </cell>
        </row>
        <row r="192">
          <cell r="A192" t="str">
            <v>1300154</v>
          </cell>
          <cell r="Q192">
            <v>-8763.59</v>
          </cell>
          <cell r="T192">
            <v>0</v>
          </cell>
        </row>
        <row r="193">
          <cell r="A193" t="str">
            <v>1300155</v>
          </cell>
          <cell r="Q193">
            <v>-133815.18</v>
          </cell>
          <cell r="T193">
            <v>0</v>
          </cell>
        </row>
        <row r="194">
          <cell r="A194" t="str">
            <v>1300156</v>
          </cell>
          <cell r="Q194">
            <v>-36916.31</v>
          </cell>
          <cell r="T194">
            <v>0</v>
          </cell>
        </row>
        <row r="195">
          <cell r="A195" t="str">
            <v>1300192</v>
          </cell>
          <cell r="Q195">
            <v>-8543.49</v>
          </cell>
          <cell r="T195">
            <v>0</v>
          </cell>
        </row>
        <row r="196">
          <cell r="A196" t="str">
            <v>1300193</v>
          </cell>
          <cell r="Q196">
            <v>-3131969.49</v>
          </cell>
          <cell r="T196">
            <v>0</v>
          </cell>
        </row>
        <row r="197">
          <cell r="A197" t="str">
            <v>1300195</v>
          </cell>
          <cell r="Q197">
            <v>-257156.72</v>
          </cell>
          <cell r="T197">
            <v>0</v>
          </cell>
        </row>
        <row r="198">
          <cell r="A198" t="str">
            <v>1300197</v>
          </cell>
          <cell r="Q198">
            <v>-7979810.0899999999</v>
          </cell>
          <cell r="T198">
            <v>0</v>
          </cell>
        </row>
        <row r="199">
          <cell r="A199" t="str">
            <v>1300198</v>
          </cell>
          <cell r="Q199">
            <v>-3360910.53</v>
          </cell>
          <cell r="T199">
            <v>0</v>
          </cell>
        </row>
        <row r="200">
          <cell r="A200" t="str">
            <v>1300199</v>
          </cell>
          <cell r="Q200">
            <v>-1069027.8899999999</v>
          </cell>
          <cell r="T200">
            <v>0</v>
          </cell>
        </row>
        <row r="201">
          <cell r="A201" t="str">
            <v>1300201</v>
          </cell>
          <cell r="Q201">
            <v>-562126.02</v>
          </cell>
          <cell r="T201">
            <v>0</v>
          </cell>
        </row>
        <row r="202">
          <cell r="A202" t="str">
            <v>1300202</v>
          </cell>
          <cell r="Q202">
            <v>-3330391.11</v>
          </cell>
          <cell r="T202">
            <v>0</v>
          </cell>
        </row>
        <row r="203">
          <cell r="A203" t="str">
            <v>1300203</v>
          </cell>
          <cell r="Q203">
            <v>-277038.71000000002</v>
          </cell>
          <cell r="T203">
            <v>0</v>
          </cell>
        </row>
        <row r="204">
          <cell r="A204" t="str">
            <v>1300204</v>
          </cell>
          <cell r="Q204">
            <v>-423798.69</v>
          </cell>
          <cell r="T204">
            <v>0</v>
          </cell>
        </row>
        <row r="205">
          <cell r="A205" t="str">
            <v>1300205</v>
          </cell>
          <cell r="Q205">
            <v>-31495.71</v>
          </cell>
          <cell r="T205">
            <v>0</v>
          </cell>
        </row>
        <row r="206">
          <cell r="A206" t="str">
            <v>1300206</v>
          </cell>
          <cell r="Q206">
            <v>-41994.26</v>
          </cell>
          <cell r="T206">
            <v>0</v>
          </cell>
        </row>
        <row r="207">
          <cell r="A207" t="str">
            <v>1300207</v>
          </cell>
          <cell r="Q207">
            <v>-181018.25</v>
          </cell>
          <cell r="T207">
            <v>0</v>
          </cell>
        </row>
        <row r="208">
          <cell r="A208" t="str">
            <v>1300208</v>
          </cell>
          <cell r="Q208">
            <v>-120538.97</v>
          </cell>
          <cell r="T208">
            <v>0</v>
          </cell>
        </row>
        <row r="209">
          <cell r="A209" t="str">
            <v>1300209</v>
          </cell>
          <cell r="Q209">
            <v>-154812.01999999999</v>
          </cell>
          <cell r="T209">
            <v>0</v>
          </cell>
        </row>
        <row r="210">
          <cell r="A210" t="str">
            <v>1300210</v>
          </cell>
          <cell r="Q210">
            <v>-27488.14</v>
          </cell>
          <cell r="T210">
            <v>0</v>
          </cell>
        </row>
        <row r="211">
          <cell r="A211" t="str">
            <v>1300211</v>
          </cell>
          <cell r="Q211">
            <v>-182013.63</v>
          </cell>
          <cell r="T211">
            <v>0</v>
          </cell>
        </row>
        <row r="212">
          <cell r="A212" t="str">
            <v>1300213</v>
          </cell>
          <cell r="Q212">
            <v>-51051.15</v>
          </cell>
          <cell r="T212">
            <v>0</v>
          </cell>
        </row>
        <row r="213">
          <cell r="A213" t="str">
            <v>1300216</v>
          </cell>
          <cell r="Q213">
            <v>-12388.16</v>
          </cell>
          <cell r="T213">
            <v>0</v>
          </cell>
        </row>
        <row r="214">
          <cell r="A214" t="str">
            <v>1300218</v>
          </cell>
          <cell r="Q214">
            <v>-1541.62</v>
          </cell>
          <cell r="T214">
            <v>0</v>
          </cell>
        </row>
        <row r="215">
          <cell r="A215" t="str">
            <v>1300222</v>
          </cell>
          <cell r="Q215">
            <v>-161081.25</v>
          </cell>
          <cell r="T215">
            <v>0</v>
          </cell>
        </row>
        <row r="216">
          <cell r="A216" t="str">
            <v>1300223</v>
          </cell>
          <cell r="Q216">
            <v>-32146.97</v>
          </cell>
          <cell r="T216">
            <v>0</v>
          </cell>
        </row>
        <row r="217">
          <cell r="A217" t="str">
            <v>1300224</v>
          </cell>
          <cell r="Q217">
            <v>-746981.95</v>
          </cell>
          <cell r="T217">
            <v>0</v>
          </cell>
        </row>
        <row r="218">
          <cell r="A218" t="str">
            <v>1300227</v>
          </cell>
          <cell r="Q218">
            <v>-1376.38</v>
          </cell>
          <cell r="T218">
            <v>0</v>
          </cell>
        </row>
        <row r="219">
          <cell r="A219" t="str">
            <v>1300230</v>
          </cell>
          <cell r="Q219">
            <v>-182977.19</v>
          </cell>
          <cell r="T219">
            <v>0</v>
          </cell>
        </row>
        <row r="220">
          <cell r="A220" t="str">
            <v>1300239</v>
          </cell>
          <cell r="Q220">
            <v>-220356.16</v>
          </cell>
          <cell r="T220">
            <v>0</v>
          </cell>
        </row>
        <row r="221">
          <cell r="A221" t="str">
            <v>1300240</v>
          </cell>
          <cell r="Q221">
            <v>-491856.64000000001</v>
          </cell>
          <cell r="T221">
            <v>0</v>
          </cell>
        </row>
        <row r="222">
          <cell r="A222" t="str">
            <v>1300242</v>
          </cell>
          <cell r="Q222">
            <v>-50230.93</v>
          </cell>
          <cell r="T222">
            <v>0</v>
          </cell>
        </row>
        <row r="223">
          <cell r="A223" t="str">
            <v>1300244</v>
          </cell>
          <cell r="Q223">
            <v>-184446.16</v>
          </cell>
          <cell r="T223">
            <v>0</v>
          </cell>
        </row>
        <row r="224">
          <cell r="A224" t="str">
            <v>1300245</v>
          </cell>
          <cell r="Q224">
            <v>-5410.35</v>
          </cell>
          <cell r="T224">
            <v>0</v>
          </cell>
        </row>
        <row r="225">
          <cell r="A225" t="str">
            <v>1300248</v>
          </cell>
          <cell r="Q225">
            <v>-210436.23</v>
          </cell>
          <cell r="T225">
            <v>0</v>
          </cell>
        </row>
        <row r="226">
          <cell r="A226" t="str">
            <v>1300250</v>
          </cell>
          <cell r="Q226">
            <v>-31104.95</v>
          </cell>
          <cell r="T226">
            <v>0</v>
          </cell>
        </row>
        <row r="227">
          <cell r="A227" t="str">
            <v>1300251</v>
          </cell>
          <cell r="Q227">
            <v>-12982.84</v>
          </cell>
          <cell r="T227">
            <v>0</v>
          </cell>
        </row>
        <row r="228">
          <cell r="A228" t="str">
            <v>1300252</v>
          </cell>
          <cell r="Q228">
            <v>-2500675.5699999998</v>
          </cell>
          <cell r="T228">
            <v>0</v>
          </cell>
        </row>
        <row r="229">
          <cell r="A229" t="str">
            <v>1300253</v>
          </cell>
          <cell r="Q229">
            <v>-2803760.69</v>
          </cell>
          <cell r="T229">
            <v>0</v>
          </cell>
        </row>
        <row r="230">
          <cell r="A230" t="str">
            <v>1300254</v>
          </cell>
          <cell r="Q230">
            <v>-2158757.5699999998</v>
          </cell>
          <cell r="T230">
            <v>0</v>
          </cell>
        </row>
        <row r="231">
          <cell r="A231" t="str">
            <v>1300255</v>
          </cell>
          <cell r="Q231">
            <v>-4529390.2</v>
          </cell>
          <cell r="T231">
            <v>0</v>
          </cell>
        </row>
        <row r="232">
          <cell r="A232" t="str">
            <v>1300256</v>
          </cell>
          <cell r="Q232">
            <v>-348236.99</v>
          </cell>
          <cell r="T232">
            <v>0</v>
          </cell>
        </row>
        <row r="233">
          <cell r="A233" t="str">
            <v>1300257</v>
          </cell>
          <cell r="Q233">
            <v>-583155.93999999994</v>
          </cell>
          <cell r="T233">
            <v>0</v>
          </cell>
        </row>
        <row r="234">
          <cell r="A234" t="str">
            <v>1300258</v>
          </cell>
          <cell r="Q234">
            <v>-7274505.1399999997</v>
          </cell>
          <cell r="T234">
            <v>0</v>
          </cell>
        </row>
        <row r="235">
          <cell r="A235" t="str">
            <v>1300259</v>
          </cell>
          <cell r="Q235">
            <v>-262791.90000000002</v>
          </cell>
          <cell r="T235">
            <v>0</v>
          </cell>
        </row>
        <row r="236">
          <cell r="A236" t="str">
            <v>1300260</v>
          </cell>
          <cell r="Q236">
            <v>-49326.21</v>
          </cell>
          <cell r="T236">
            <v>0</v>
          </cell>
        </row>
        <row r="237">
          <cell r="A237" t="str">
            <v>1300261</v>
          </cell>
          <cell r="Q237">
            <v>-56392.7</v>
          </cell>
          <cell r="T237">
            <v>0</v>
          </cell>
        </row>
        <row r="238">
          <cell r="A238" t="str">
            <v>1300262</v>
          </cell>
          <cell r="Q238">
            <v>-11824.93</v>
          </cell>
          <cell r="T238">
            <v>0</v>
          </cell>
        </row>
        <row r="239">
          <cell r="A239" t="str">
            <v>1300263</v>
          </cell>
          <cell r="Q239">
            <v>-33718.85</v>
          </cell>
          <cell r="T239">
            <v>0</v>
          </cell>
        </row>
        <row r="240">
          <cell r="A240" t="str">
            <v>1300276</v>
          </cell>
          <cell r="Q240">
            <v>-8733.52</v>
          </cell>
          <cell r="T240">
            <v>0</v>
          </cell>
        </row>
        <row r="241">
          <cell r="A241" t="str">
            <v>1300277</v>
          </cell>
          <cell r="Q241">
            <v>-9869.99</v>
          </cell>
          <cell r="T241">
            <v>0</v>
          </cell>
        </row>
        <row r="242">
          <cell r="A242" t="str">
            <v>1300281</v>
          </cell>
          <cell r="Q242">
            <v>-7886.96</v>
          </cell>
          <cell r="T242">
            <v>0</v>
          </cell>
        </row>
        <row r="243">
          <cell r="A243" t="str">
            <v>1300282</v>
          </cell>
          <cell r="Q243">
            <v>-50548.36</v>
          </cell>
          <cell r="T243">
            <v>0</v>
          </cell>
        </row>
        <row r="244">
          <cell r="A244" t="str">
            <v>1300283</v>
          </cell>
          <cell r="Q244">
            <v>-14561.87</v>
          </cell>
          <cell r="T244">
            <v>0</v>
          </cell>
        </row>
        <row r="245">
          <cell r="A245" t="str">
            <v>1300284</v>
          </cell>
          <cell r="Q245">
            <v>-24419.439999999999</v>
          </cell>
          <cell r="T245">
            <v>0</v>
          </cell>
        </row>
        <row r="246">
          <cell r="A246" t="str">
            <v>1300285</v>
          </cell>
          <cell r="Q246">
            <v>-24800.77</v>
          </cell>
          <cell r="T246">
            <v>0</v>
          </cell>
        </row>
        <row r="247">
          <cell r="A247" t="str">
            <v>1300286</v>
          </cell>
          <cell r="Q247">
            <v>-7895.74</v>
          </cell>
          <cell r="T247">
            <v>0</v>
          </cell>
        </row>
        <row r="248">
          <cell r="A248" t="str">
            <v>1300287</v>
          </cell>
          <cell r="Q248">
            <v>-26313.94</v>
          </cell>
          <cell r="T248">
            <v>0</v>
          </cell>
        </row>
        <row r="249">
          <cell r="A249" t="str">
            <v>1300290</v>
          </cell>
          <cell r="Q249">
            <v>-30591.360000000001</v>
          </cell>
          <cell r="T249">
            <v>0</v>
          </cell>
        </row>
        <row r="250">
          <cell r="A250" t="str">
            <v>1300292</v>
          </cell>
          <cell r="Q250">
            <v>-1547765.4</v>
          </cell>
          <cell r="T250">
            <v>0</v>
          </cell>
        </row>
        <row r="251">
          <cell r="A251" t="str">
            <v>1300293</v>
          </cell>
          <cell r="Q251">
            <v>-56590.48</v>
          </cell>
          <cell r="T251">
            <v>0</v>
          </cell>
        </row>
        <row r="252">
          <cell r="A252" t="str">
            <v>1300299</v>
          </cell>
          <cell r="Q252">
            <v>-8930.93</v>
          </cell>
          <cell r="T252">
            <v>0</v>
          </cell>
        </row>
        <row r="253">
          <cell r="A253" t="str">
            <v>1300303</v>
          </cell>
          <cell r="Q253">
            <v>-6.03</v>
          </cell>
          <cell r="T253">
            <v>0</v>
          </cell>
        </row>
        <row r="254">
          <cell r="A254" t="str">
            <v>1300304</v>
          </cell>
          <cell r="Q254">
            <v>-164.72</v>
          </cell>
          <cell r="T254">
            <v>0</v>
          </cell>
        </row>
        <row r="255">
          <cell r="A255" t="str">
            <v>1300306</v>
          </cell>
          <cell r="Q255">
            <v>-7046.87</v>
          </cell>
          <cell r="T255">
            <v>0</v>
          </cell>
        </row>
        <row r="256">
          <cell r="A256" t="str">
            <v>1300310</v>
          </cell>
          <cell r="Q256">
            <v>0</v>
          </cell>
          <cell r="T256">
            <v>0</v>
          </cell>
        </row>
        <row r="257">
          <cell r="A257" t="str">
            <v>1300311</v>
          </cell>
          <cell r="Q257">
            <v>0</v>
          </cell>
          <cell r="T257">
            <v>0</v>
          </cell>
        </row>
        <row r="258">
          <cell r="A258" t="str">
            <v>1300312</v>
          </cell>
          <cell r="Q258">
            <v>0</v>
          </cell>
          <cell r="T258">
            <v>0</v>
          </cell>
        </row>
        <row r="259">
          <cell r="A259" t="str">
            <v>1300314</v>
          </cell>
          <cell r="Q259">
            <v>0</v>
          </cell>
          <cell r="T259">
            <v>0</v>
          </cell>
        </row>
        <row r="260">
          <cell r="A260" t="str">
            <v>1300315</v>
          </cell>
          <cell r="Q260">
            <v>0</v>
          </cell>
          <cell r="T260">
            <v>0</v>
          </cell>
        </row>
        <row r="261">
          <cell r="A261" t="str">
            <v>1300018</v>
          </cell>
          <cell r="Q261">
            <v>-216822.03</v>
          </cell>
          <cell r="T261">
            <v>0</v>
          </cell>
        </row>
        <row r="262">
          <cell r="A262" t="str">
            <v>1300038</v>
          </cell>
          <cell r="Q262">
            <v>-32715.75</v>
          </cell>
          <cell r="T262">
            <v>0</v>
          </cell>
        </row>
        <row r="263">
          <cell r="A263" t="str">
            <v>1300041</v>
          </cell>
          <cell r="Q263">
            <v>-82847.070000000007</v>
          </cell>
          <cell r="T263">
            <v>0</v>
          </cell>
        </row>
        <row r="264">
          <cell r="A264" t="str">
            <v>1300049</v>
          </cell>
          <cell r="Q264">
            <v>-2405084.17</v>
          </cell>
          <cell r="T264">
            <v>0</v>
          </cell>
        </row>
        <row r="265">
          <cell r="A265" t="str">
            <v>1300057</v>
          </cell>
          <cell r="Q265">
            <v>-297105.93</v>
          </cell>
          <cell r="T265">
            <v>0</v>
          </cell>
        </row>
        <row r="266">
          <cell r="A266" t="str">
            <v>1300058</v>
          </cell>
          <cell r="Q266">
            <v>-500925.14</v>
          </cell>
          <cell r="T266">
            <v>0</v>
          </cell>
        </row>
        <row r="267">
          <cell r="A267" t="str">
            <v>1300059</v>
          </cell>
          <cell r="Q267">
            <v>-147592.20000000001</v>
          </cell>
          <cell r="T267">
            <v>0</v>
          </cell>
        </row>
        <row r="268">
          <cell r="A268" t="str">
            <v>1300114</v>
          </cell>
          <cell r="Q268">
            <v>-344946.4</v>
          </cell>
          <cell r="T268">
            <v>0</v>
          </cell>
        </row>
        <row r="269">
          <cell r="A269" t="str">
            <v>1300157</v>
          </cell>
          <cell r="Q269">
            <v>-28411.439999999999</v>
          </cell>
          <cell r="T269">
            <v>0</v>
          </cell>
        </row>
        <row r="270">
          <cell r="A270" t="str">
            <v>1300190</v>
          </cell>
          <cell r="Q270">
            <v>-527850.68000000005</v>
          </cell>
          <cell r="T270">
            <v>0</v>
          </cell>
        </row>
        <row r="271">
          <cell r="A271" t="str">
            <v>1300212</v>
          </cell>
          <cell r="Q271">
            <v>-23638.51</v>
          </cell>
          <cell r="T271">
            <v>0</v>
          </cell>
        </row>
        <row r="272">
          <cell r="A272" t="str">
            <v>1300231</v>
          </cell>
          <cell r="Q272">
            <v>-46827.87</v>
          </cell>
          <cell r="T272">
            <v>0</v>
          </cell>
        </row>
        <row r="273">
          <cell r="A273" t="str">
            <v>1300233</v>
          </cell>
          <cell r="Q273">
            <v>-33446.75</v>
          </cell>
          <cell r="T273">
            <v>0</v>
          </cell>
        </row>
        <row r="274">
          <cell r="A274" t="str">
            <v>1300234</v>
          </cell>
          <cell r="Q274">
            <v>-47812.160000000003</v>
          </cell>
          <cell r="T274">
            <v>0</v>
          </cell>
        </row>
        <row r="275">
          <cell r="A275" t="str">
            <v>1300235</v>
          </cell>
          <cell r="Q275">
            <v>-17450.12</v>
          </cell>
          <cell r="T275">
            <v>0</v>
          </cell>
        </row>
        <row r="276">
          <cell r="A276" t="str">
            <v>1300238</v>
          </cell>
          <cell r="Q276">
            <v>-100555.98</v>
          </cell>
          <cell r="T276">
            <v>0</v>
          </cell>
        </row>
        <row r="277">
          <cell r="A277" t="str">
            <v>1300241</v>
          </cell>
          <cell r="Q277">
            <v>-4763.18</v>
          </cell>
          <cell r="T277">
            <v>0</v>
          </cell>
        </row>
        <row r="278">
          <cell r="A278" t="str">
            <v>1300280</v>
          </cell>
          <cell r="Q278">
            <v>-363596.36</v>
          </cell>
          <cell r="T278">
            <v>0</v>
          </cell>
        </row>
        <row r="279">
          <cell r="A279" t="str">
            <v>1300298</v>
          </cell>
          <cell r="Q279">
            <v>-15181.97</v>
          </cell>
          <cell r="T279">
            <v>0</v>
          </cell>
        </row>
        <row r="280">
          <cell r="A280" t="str">
            <v>1300301</v>
          </cell>
          <cell r="Q280">
            <v>0</v>
          </cell>
          <cell r="T280">
            <v>0</v>
          </cell>
        </row>
        <row r="281">
          <cell r="A281" t="str">
            <v>1300305</v>
          </cell>
          <cell r="Q281">
            <v>-1194.93</v>
          </cell>
          <cell r="T281">
            <v>0</v>
          </cell>
        </row>
        <row r="282">
          <cell r="A282" t="str">
            <v>1300307</v>
          </cell>
          <cell r="Q282">
            <v>-5125.83</v>
          </cell>
          <cell r="T282">
            <v>0</v>
          </cell>
        </row>
        <row r="283">
          <cell r="A283" t="str">
            <v>1300062</v>
          </cell>
          <cell r="Q283">
            <v>-7139352.4500000002</v>
          </cell>
          <cell r="T283">
            <v>0</v>
          </cell>
        </row>
        <row r="284">
          <cell r="A284" t="str">
            <v>1300017</v>
          </cell>
          <cell r="Q284">
            <v>-1803663.52</v>
          </cell>
          <cell r="T284">
            <v>0</v>
          </cell>
        </row>
        <row r="285">
          <cell r="A285" t="str">
            <v>1300032</v>
          </cell>
          <cell r="Q285">
            <v>-1339951.81</v>
          </cell>
          <cell r="T285">
            <v>0</v>
          </cell>
        </row>
        <row r="286">
          <cell r="A286" t="str">
            <v>1300085</v>
          </cell>
          <cell r="Q286">
            <v>-1899167.13</v>
          </cell>
          <cell r="T286">
            <v>0</v>
          </cell>
        </row>
        <row r="287">
          <cell r="A287" t="str">
            <v>1300086</v>
          </cell>
          <cell r="Q287">
            <v>-368582.73</v>
          </cell>
          <cell r="T287">
            <v>0</v>
          </cell>
        </row>
        <row r="288">
          <cell r="A288" t="str">
            <v>1300087</v>
          </cell>
          <cell r="Q288">
            <v>-176283.15</v>
          </cell>
          <cell r="T288">
            <v>0</v>
          </cell>
        </row>
        <row r="289">
          <cell r="A289" t="str">
            <v>1300088</v>
          </cell>
          <cell r="Q289">
            <v>-121127.36</v>
          </cell>
          <cell r="T289">
            <v>0</v>
          </cell>
        </row>
        <row r="290">
          <cell r="A290" t="str">
            <v>1300089</v>
          </cell>
          <cell r="Q290">
            <v>-221057.17</v>
          </cell>
          <cell r="T290">
            <v>0</v>
          </cell>
        </row>
        <row r="291">
          <cell r="A291" t="str">
            <v>1300090</v>
          </cell>
          <cell r="Q291">
            <v>-41933.83</v>
          </cell>
          <cell r="T291">
            <v>0</v>
          </cell>
        </row>
        <row r="292">
          <cell r="A292" t="str">
            <v>1300091</v>
          </cell>
          <cell r="Q292">
            <v>-6377.76</v>
          </cell>
          <cell r="T292">
            <v>0</v>
          </cell>
        </row>
        <row r="293">
          <cell r="A293" t="str">
            <v>1300092</v>
          </cell>
          <cell r="Q293">
            <v>-6282.78</v>
          </cell>
          <cell r="T293">
            <v>0</v>
          </cell>
        </row>
        <row r="294">
          <cell r="A294" t="str">
            <v>1300093</v>
          </cell>
          <cell r="Q294">
            <v>-6916.96</v>
          </cell>
          <cell r="T294">
            <v>0</v>
          </cell>
        </row>
        <row r="295">
          <cell r="A295" t="str">
            <v>1300094</v>
          </cell>
          <cell r="Q295">
            <v>-15115.55</v>
          </cell>
          <cell r="T295">
            <v>0</v>
          </cell>
        </row>
        <row r="296">
          <cell r="A296" t="str">
            <v>1300095</v>
          </cell>
          <cell r="Q296">
            <v>-24054.49</v>
          </cell>
          <cell r="T296">
            <v>0</v>
          </cell>
        </row>
        <row r="297">
          <cell r="A297" t="str">
            <v>1300096</v>
          </cell>
          <cell r="Q297">
            <v>-2304.84</v>
          </cell>
          <cell r="T297">
            <v>0</v>
          </cell>
        </row>
        <row r="298">
          <cell r="A298" t="str">
            <v>1300097</v>
          </cell>
          <cell r="Q298">
            <v>-3434.75</v>
          </cell>
          <cell r="T298">
            <v>0</v>
          </cell>
        </row>
        <row r="299">
          <cell r="A299" t="str">
            <v>1300098</v>
          </cell>
          <cell r="Q299">
            <v>-3383.36</v>
          </cell>
          <cell r="T299">
            <v>0</v>
          </cell>
        </row>
        <row r="300">
          <cell r="A300" t="str">
            <v>1300099</v>
          </cell>
          <cell r="Q300">
            <v>-9915.75</v>
          </cell>
          <cell r="T300">
            <v>0</v>
          </cell>
        </row>
        <row r="301">
          <cell r="A301" t="str">
            <v>1300100</v>
          </cell>
          <cell r="Q301">
            <v>-4879.2700000000004</v>
          </cell>
          <cell r="T301">
            <v>0</v>
          </cell>
        </row>
        <row r="302">
          <cell r="A302" t="str">
            <v>1300158</v>
          </cell>
          <cell r="Q302">
            <v>-17076.849999999999</v>
          </cell>
          <cell r="T302">
            <v>0</v>
          </cell>
        </row>
        <row r="303">
          <cell r="A303" t="str">
            <v>1300159</v>
          </cell>
          <cell r="Q303">
            <v>-10915.81</v>
          </cell>
          <cell r="T303">
            <v>0</v>
          </cell>
        </row>
        <row r="304">
          <cell r="A304" t="str">
            <v>1300160</v>
          </cell>
          <cell r="Q304">
            <v>-62800.18</v>
          </cell>
          <cell r="T304">
            <v>0</v>
          </cell>
        </row>
        <row r="305">
          <cell r="A305" t="str">
            <v>1300161</v>
          </cell>
          <cell r="Q305">
            <v>-14576.62</v>
          </cell>
          <cell r="T305">
            <v>0</v>
          </cell>
        </row>
        <row r="306">
          <cell r="A306" t="str">
            <v>1300162</v>
          </cell>
          <cell r="Q306">
            <v>-22630.2</v>
          </cell>
          <cell r="T306">
            <v>0</v>
          </cell>
        </row>
        <row r="307">
          <cell r="A307" t="str">
            <v>1300173</v>
          </cell>
          <cell r="Q307">
            <v>-18133.84</v>
          </cell>
          <cell r="T307">
            <v>0</v>
          </cell>
        </row>
        <row r="308">
          <cell r="A308" t="str">
            <v>1300174</v>
          </cell>
          <cell r="Q308">
            <v>-76308.800000000003</v>
          </cell>
          <cell r="T308">
            <v>0</v>
          </cell>
        </row>
        <row r="309">
          <cell r="A309" t="str">
            <v>1300175</v>
          </cell>
          <cell r="Q309">
            <v>-26253.99</v>
          </cell>
          <cell r="T309">
            <v>0</v>
          </cell>
        </row>
        <row r="310">
          <cell r="A310" t="str">
            <v>1300176</v>
          </cell>
          <cell r="Q310">
            <v>-7628.85</v>
          </cell>
          <cell r="T310">
            <v>0</v>
          </cell>
        </row>
        <row r="311">
          <cell r="A311" t="str">
            <v>1300177</v>
          </cell>
          <cell r="Q311">
            <v>-2660.28</v>
          </cell>
          <cell r="T311">
            <v>0</v>
          </cell>
        </row>
        <row r="312">
          <cell r="A312" t="str">
            <v>1300178</v>
          </cell>
          <cell r="Q312">
            <v>-4331.33</v>
          </cell>
          <cell r="T312">
            <v>0</v>
          </cell>
        </row>
        <row r="313">
          <cell r="A313" t="str">
            <v>1300179</v>
          </cell>
          <cell r="Q313">
            <v>-8735.5499999999993</v>
          </cell>
          <cell r="T313">
            <v>0</v>
          </cell>
        </row>
        <row r="314">
          <cell r="A314" t="str">
            <v>1300180</v>
          </cell>
          <cell r="Q314">
            <v>-2283.7199999999998</v>
          </cell>
          <cell r="T314">
            <v>0</v>
          </cell>
        </row>
        <row r="315">
          <cell r="A315" t="str">
            <v>1300181</v>
          </cell>
          <cell r="Q315">
            <v>-1368.07</v>
          </cell>
          <cell r="T315">
            <v>0</v>
          </cell>
        </row>
        <row r="316">
          <cell r="A316" t="str">
            <v>1300215</v>
          </cell>
          <cell r="Q316">
            <v>-18398.14</v>
          </cell>
          <cell r="T316">
            <v>0</v>
          </cell>
        </row>
        <row r="317">
          <cell r="A317" t="str">
            <v>1300217</v>
          </cell>
          <cell r="Q317">
            <v>-7300.89</v>
          </cell>
          <cell r="T317">
            <v>0</v>
          </cell>
        </row>
        <row r="318">
          <cell r="A318" t="str">
            <v>1300220</v>
          </cell>
          <cell r="Q318">
            <v>-114424.44</v>
          </cell>
          <cell r="T318">
            <v>0</v>
          </cell>
        </row>
        <row r="319">
          <cell r="A319" t="str">
            <v>1300221</v>
          </cell>
          <cell r="Q319">
            <v>-33675.56</v>
          </cell>
          <cell r="T319">
            <v>0</v>
          </cell>
        </row>
        <row r="320">
          <cell r="A320" t="str">
            <v>1300228</v>
          </cell>
          <cell r="Q320">
            <v>-4640.62</v>
          </cell>
          <cell r="T320">
            <v>0</v>
          </cell>
        </row>
        <row r="321">
          <cell r="A321" t="str">
            <v>1300246</v>
          </cell>
          <cell r="Q321">
            <v>-46225.24</v>
          </cell>
          <cell r="T321">
            <v>0</v>
          </cell>
        </row>
        <row r="322">
          <cell r="A322" t="str">
            <v>1300279</v>
          </cell>
          <cell r="Q322">
            <v>-4107.33</v>
          </cell>
          <cell r="T322">
            <v>0</v>
          </cell>
        </row>
        <row r="323">
          <cell r="A323" t="str">
            <v>1300297</v>
          </cell>
          <cell r="Q323">
            <v>-4486333.6900000004</v>
          </cell>
          <cell r="T323">
            <v>0</v>
          </cell>
        </row>
        <row r="324">
          <cell r="A324" t="str">
            <v>1300300</v>
          </cell>
          <cell r="Q324">
            <v>-113111.08</v>
          </cell>
          <cell r="T324">
            <v>0</v>
          </cell>
        </row>
        <row r="325">
          <cell r="A325" t="str">
            <v>1300001</v>
          </cell>
          <cell r="Q325">
            <v>-308748.64</v>
          </cell>
          <cell r="T325">
            <v>0</v>
          </cell>
        </row>
        <row r="326">
          <cell r="A326" t="str">
            <v>1300002</v>
          </cell>
          <cell r="Q326">
            <v>-311768.78000000003</v>
          </cell>
          <cell r="T326">
            <v>0</v>
          </cell>
        </row>
        <row r="327">
          <cell r="A327" t="str">
            <v>1300003</v>
          </cell>
          <cell r="Q327">
            <v>-311769.71000000002</v>
          </cell>
          <cell r="T327">
            <v>0</v>
          </cell>
        </row>
        <row r="328">
          <cell r="A328" t="str">
            <v>1300004</v>
          </cell>
          <cell r="Q328">
            <v>-349511.07</v>
          </cell>
          <cell r="T328">
            <v>0</v>
          </cell>
        </row>
        <row r="329">
          <cell r="A329" t="str">
            <v>1300005</v>
          </cell>
          <cell r="Q329">
            <v>-349511.07</v>
          </cell>
          <cell r="T329">
            <v>0</v>
          </cell>
        </row>
        <row r="330">
          <cell r="A330" t="str">
            <v>1300006</v>
          </cell>
          <cell r="Q330">
            <v>-28122.45</v>
          </cell>
          <cell r="T330">
            <v>0</v>
          </cell>
        </row>
        <row r="331">
          <cell r="A331" t="str">
            <v>1300007</v>
          </cell>
          <cell r="Q331">
            <v>-417169.77</v>
          </cell>
          <cell r="T331">
            <v>0</v>
          </cell>
        </row>
        <row r="332">
          <cell r="A332" t="str">
            <v>1300008</v>
          </cell>
          <cell r="Q332">
            <v>-417169.81</v>
          </cell>
          <cell r="T332">
            <v>0</v>
          </cell>
        </row>
        <row r="333">
          <cell r="A333" t="str">
            <v>1300009</v>
          </cell>
          <cell r="Q333">
            <v>-417170.13</v>
          </cell>
          <cell r="T333">
            <v>0</v>
          </cell>
        </row>
        <row r="334">
          <cell r="A334" t="str">
            <v>1300010</v>
          </cell>
          <cell r="Q334">
            <v>-417170.07</v>
          </cell>
          <cell r="T334">
            <v>0</v>
          </cell>
        </row>
        <row r="335">
          <cell r="A335" t="str">
            <v>1300040</v>
          </cell>
          <cell r="Q335">
            <v>-554363.85</v>
          </cell>
          <cell r="T335">
            <v>0</v>
          </cell>
        </row>
        <row r="336">
          <cell r="A336" t="str">
            <v>1300040</v>
          </cell>
          <cell r="Q336">
            <v>-3489.36</v>
          </cell>
          <cell r="T336">
            <v>0</v>
          </cell>
        </row>
        <row r="337">
          <cell r="A337" t="str">
            <v>1300183</v>
          </cell>
          <cell r="Q337">
            <v>-582126.98</v>
          </cell>
          <cell r="T337">
            <v>0</v>
          </cell>
        </row>
        <row r="338">
          <cell r="A338" t="str">
            <v>1300184</v>
          </cell>
          <cell r="Q338">
            <v>-761800</v>
          </cell>
          <cell r="T338">
            <v>0</v>
          </cell>
        </row>
        <row r="339">
          <cell r="A339" t="str">
            <v>1300185</v>
          </cell>
          <cell r="Q339">
            <v>-126214</v>
          </cell>
          <cell r="T339">
            <v>0</v>
          </cell>
        </row>
        <row r="340">
          <cell r="A340" t="str">
            <v>1300200</v>
          </cell>
          <cell r="Q340">
            <v>-15216.75</v>
          </cell>
          <cell r="T340">
            <v>0</v>
          </cell>
        </row>
        <row r="341">
          <cell r="A341" t="str">
            <v>1300029</v>
          </cell>
          <cell r="Q341">
            <v>-3227780.75</v>
          </cell>
          <cell r="T341">
            <v>0</v>
          </cell>
        </row>
        <row r="342">
          <cell r="A342" t="str">
            <v>1300039</v>
          </cell>
          <cell r="Q342">
            <v>-14115.69</v>
          </cell>
          <cell r="T342">
            <v>0</v>
          </cell>
        </row>
        <row r="343">
          <cell r="A343" t="str">
            <v>1300042</v>
          </cell>
          <cell r="Q343">
            <v>-12978.43</v>
          </cell>
          <cell r="T343">
            <v>0</v>
          </cell>
        </row>
        <row r="344">
          <cell r="A344" t="str">
            <v>1300043</v>
          </cell>
          <cell r="Q344">
            <v>-5997.97</v>
          </cell>
          <cell r="T344">
            <v>0</v>
          </cell>
        </row>
        <row r="345">
          <cell r="A345" t="str">
            <v>1300101</v>
          </cell>
          <cell r="Q345">
            <v>-4143666.05</v>
          </cell>
          <cell r="T345">
            <v>0</v>
          </cell>
        </row>
        <row r="346">
          <cell r="A346" t="str">
            <v>1300102</v>
          </cell>
          <cell r="Q346">
            <v>-1704546.86</v>
          </cell>
          <cell r="T346">
            <v>0</v>
          </cell>
        </row>
        <row r="347">
          <cell r="A347" t="str">
            <v>1300103</v>
          </cell>
          <cell r="Q347">
            <v>-41311.800000000003</v>
          </cell>
          <cell r="T347">
            <v>0</v>
          </cell>
        </row>
        <row r="348">
          <cell r="A348" t="str">
            <v>1300104</v>
          </cell>
          <cell r="Q348">
            <v>-78103.289999999994</v>
          </cell>
          <cell r="T348">
            <v>0</v>
          </cell>
        </row>
        <row r="349">
          <cell r="A349" t="str">
            <v>1300105</v>
          </cell>
          <cell r="Q349">
            <v>-219881.93</v>
          </cell>
          <cell r="T349">
            <v>0</v>
          </cell>
        </row>
        <row r="350">
          <cell r="A350" t="str">
            <v>1300106</v>
          </cell>
          <cell r="Q350">
            <v>-347022.34</v>
          </cell>
          <cell r="T350">
            <v>0</v>
          </cell>
        </row>
        <row r="351">
          <cell r="A351" t="str">
            <v>1300107</v>
          </cell>
          <cell r="Q351">
            <v>-39336.82</v>
          </cell>
          <cell r="T351">
            <v>0</v>
          </cell>
        </row>
        <row r="352">
          <cell r="A352" t="str">
            <v>1300108</v>
          </cell>
          <cell r="Q352">
            <v>-33096.53</v>
          </cell>
          <cell r="T352">
            <v>0</v>
          </cell>
        </row>
        <row r="353">
          <cell r="A353" t="str">
            <v>1300109</v>
          </cell>
          <cell r="Q353">
            <v>-3922.21</v>
          </cell>
          <cell r="T353">
            <v>0</v>
          </cell>
        </row>
        <row r="354">
          <cell r="A354" t="str">
            <v>1300110</v>
          </cell>
          <cell r="Q354">
            <v>-4199.87</v>
          </cell>
          <cell r="T354">
            <v>0</v>
          </cell>
        </row>
        <row r="355">
          <cell r="A355" t="str">
            <v>1300111</v>
          </cell>
          <cell r="Q355">
            <v>-4724.3100000000004</v>
          </cell>
          <cell r="T355">
            <v>0</v>
          </cell>
        </row>
        <row r="356">
          <cell r="A356" t="str">
            <v>1300112</v>
          </cell>
          <cell r="Q356">
            <v>-63434.13</v>
          </cell>
          <cell r="T356">
            <v>0</v>
          </cell>
        </row>
        <row r="357">
          <cell r="A357" t="str">
            <v>1300113</v>
          </cell>
          <cell r="Q357">
            <v>-13776.74</v>
          </cell>
          <cell r="T357">
            <v>0</v>
          </cell>
        </row>
        <row r="358">
          <cell r="A358" t="str">
            <v>1300186</v>
          </cell>
          <cell r="Q358">
            <v>-108076.34</v>
          </cell>
          <cell r="T358">
            <v>0</v>
          </cell>
        </row>
        <row r="359">
          <cell r="A359" t="str">
            <v>1300187</v>
          </cell>
          <cell r="Q359">
            <v>-44548.5</v>
          </cell>
          <cell r="T359">
            <v>0</v>
          </cell>
        </row>
        <row r="360">
          <cell r="A360" t="str">
            <v>1300188</v>
          </cell>
          <cell r="Q360">
            <v>-2682.63</v>
          </cell>
          <cell r="T360">
            <v>0</v>
          </cell>
        </row>
        <row r="361">
          <cell r="A361" t="str">
            <v>1300189</v>
          </cell>
          <cell r="Q361">
            <v>-10120.969999999999</v>
          </cell>
          <cell r="T361">
            <v>0</v>
          </cell>
        </row>
        <row r="362">
          <cell r="A362" t="str">
            <v>1300196</v>
          </cell>
          <cell r="Q362">
            <v>-1457926.13</v>
          </cell>
          <cell r="T362">
            <v>0</v>
          </cell>
        </row>
        <row r="363">
          <cell r="A363" t="str">
            <v>1300219</v>
          </cell>
          <cell r="Q363">
            <v>-10763.27</v>
          </cell>
          <cell r="T363">
            <v>0</v>
          </cell>
        </row>
        <row r="364">
          <cell r="A364" t="str">
            <v>1300225</v>
          </cell>
          <cell r="Q364">
            <v>-169807.84</v>
          </cell>
          <cell r="T364">
            <v>0</v>
          </cell>
        </row>
        <row r="365">
          <cell r="A365" t="str">
            <v>1300229</v>
          </cell>
          <cell r="Q365">
            <v>-111726.58</v>
          </cell>
          <cell r="T365">
            <v>0</v>
          </cell>
        </row>
        <row r="366">
          <cell r="A366" t="str">
            <v>1300232</v>
          </cell>
          <cell r="Q366">
            <v>-47295.79</v>
          </cell>
          <cell r="T366">
            <v>0</v>
          </cell>
        </row>
        <row r="367">
          <cell r="A367" t="str">
            <v>1300236</v>
          </cell>
          <cell r="Q367">
            <v>-2484.92</v>
          </cell>
          <cell r="T367">
            <v>0</v>
          </cell>
        </row>
        <row r="368">
          <cell r="A368" t="str">
            <v>1300243</v>
          </cell>
          <cell r="Q368">
            <v>-49046.87</v>
          </cell>
          <cell r="T368">
            <v>0</v>
          </cell>
        </row>
        <row r="369">
          <cell r="A369" t="str">
            <v>1300247</v>
          </cell>
          <cell r="Q369">
            <v>-35941.83</v>
          </cell>
          <cell r="T369">
            <v>0</v>
          </cell>
        </row>
        <row r="370">
          <cell r="A370" t="str">
            <v>1300249</v>
          </cell>
          <cell r="Q370">
            <v>-15799.97</v>
          </cell>
          <cell r="T370">
            <v>0</v>
          </cell>
        </row>
        <row r="371">
          <cell r="A371" t="str">
            <v>1300278</v>
          </cell>
          <cell r="Q371">
            <v>0</v>
          </cell>
          <cell r="T371">
            <v>0</v>
          </cell>
        </row>
        <row r="372">
          <cell r="A372" t="str">
            <v>1300289</v>
          </cell>
          <cell r="Q372">
            <v>-1602.74</v>
          </cell>
          <cell r="T372">
            <v>0</v>
          </cell>
        </row>
        <row r="373">
          <cell r="A373" t="str">
            <v>1300308</v>
          </cell>
          <cell r="Q373">
            <v>-992.33</v>
          </cell>
          <cell r="T373">
            <v>0</v>
          </cell>
        </row>
        <row r="374">
          <cell r="A374" t="str">
            <v>1400067</v>
          </cell>
          <cell r="Q374">
            <v>-262656.87</v>
          </cell>
          <cell r="T374">
            <v>0</v>
          </cell>
        </row>
        <row r="375">
          <cell r="A375" t="str">
            <v>1400068</v>
          </cell>
          <cell r="Q375">
            <v>-384975.5</v>
          </cell>
          <cell r="T375">
            <v>0</v>
          </cell>
        </row>
        <row r="376">
          <cell r="A376" t="str">
            <v>1400069</v>
          </cell>
          <cell r="Q376">
            <v>-11883</v>
          </cell>
          <cell r="T376">
            <v>0</v>
          </cell>
        </row>
        <row r="377">
          <cell r="A377" t="str">
            <v>1400070</v>
          </cell>
          <cell r="Q377">
            <v>-87444.34</v>
          </cell>
          <cell r="T377">
            <v>0</v>
          </cell>
        </row>
        <row r="378">
          <cell r="A378" t="str">
            <v>1400071</v>
          </cell>
          <cell r="Q378">
            <v>-2182.98</v>
          </cell>
          <cell r="T378">
            <v>0</v>
          </cell>
        </row>
        <row r="379">
          <cell r="A379" t="str">
            <v>1400072</v>
          </cell>
          <cell r="Q379">
            <v>-4690437.78</v>
          </cell>
          <cell r="T379">
            <v>0</v>
          </cell>
        </row>
        <row r="380">
          <cell r="A380" t="str">
            <v>1400073</v>
          </cell>
          <cell r="Q380">
            <v>-11883</v>
          </cell>
          <cell r="T380">
            <v>0</v>
          </cell>
        </row>
        <row r="381">
          <cell r="A381" t="str">
            <v>1400074</v>
          </cell>
          <cell r="Q381">
            <v>-59427.47</v>
          </cell>
          <cell r="T381">
            <v>0</v>
          </cell>
        </row>
        <row r="382">
          <cell r="A382" t="str">
            <v>1400075</v>
          </cell>
          <cell r="Q382">
            <v>-7134.65</v>
          </cell>
          <cell r="T382">
            <v>0</v>
          </cell>
        </row>
        <row r="383">
          <cell r="A383" t="str">
            <v>1400076</v>
          </cell>
          <cell r="Q383">
            <v>-5717620.4199999999</v>
          </cell>
          <cell r="T383">
            <v>0</v>
          </cell>
        </row>
        <row r="384">
          <cell r="A384" t="str">
            <v>1400077</v>
          </cell>
          <cell r="Q384">
            <v>-1435910.25</v>
          </cell>
          <cell r="T384">
            <v>0</v>
          </cell>
        </row>
        <row r="385">
          <cell r="A385" t="str">
            <v>1400078</v>
          </cell>
          <cell r="Q385">
            <v>-54657.58</v>
          </cell>
          <cell r="T385">
            <v>0</v>
          </cell>
        </row>
        <row r="386">
          <cell r="A386" t="str">
            <v>1400079</v>
          </cell>
          <cell r="Q386">
            <v>-1130092.32</v>
          </cell>
          <cell r="T386">
            <v>0</v>
          </cell>
        </row>
        <row r="387">
          <cell r="A387" t="str">
            <v>1400080</v>
          </cell>
          <cell r="Q387">
            <v>-4705118.17</v>
          </cell>
          <cell r="T387">
            <v>0</v>
          </cell>
        </row>
        <row r="388">
          <cell r="A388" t="str">
            <v>1400081</v>
          </cell>
          <cell r="Q388">
            <v>-4204843.2</v>
          </cell>
          <cell r="T388">
            <v>0</v>
          </cell>
        </row>
        <row r="389">
          <cell r="A389" t="str">
            <v>1400082</v>
          </cell>
          <cell r="Q389">
            <v>-7134.65</v>
          </cell>
          <cell r="T389">
            <v>0</v>
          </cell>
        </row>
        <row r="390">
          <cell r="A390" t="str">
            <v>1400083</v>
          </cell>
          <cell r="Q390">
            <v>-13668.82</v>
          </cell>
          <cell r="T390">
            <v>0</v>
          </cell>
        </row>
        <row r="391">
          <cell r="A391" t="str">
            <v>1400084</v>
          </cell>
          <cell r="Q391">
            <v>-2373.75</v>
          </cell>
          <cell r="T391">
            <v>0</v>
          </cell>
        </row>
        <row r="392">
          <cell r="A392" t="str">
            <v>1400085</v>
          </cell>
          <cell r="Q392">
            <v>-8903747.6500000004</v>
          </cell>
          <cell r="T392">
            <v>0</v>
          </cell>
        </row>
        <row r="393">
          <cell r="A393" t="str">
            <v>1400086</v>
          </cell>
          <cell r="Q393">
            <v>-135107.67000000001</v>
          </cell>
          <cell r="T393">
            <v>0</v>
          </cell>
        </row>
        <row r="394">
          <cell r="A394" t="str">
            <v>1400087</v>
          </cell>
          <cell r="Q394">
            <v>-4016238.59</v>
          </cell>
          <cell r="T394">
            <v>0</v>
          </cell>
        </row>
        <row r="395">
          <cell r="A395" t="str">
            <v>1400088</v>
          </cell>
          <cell r="Q395">
            <v>-440693.62</v>
          </cell>
          <cell r="T395">
            <v>0</v>
          </cell>
        </row>
        <row r="396">
          <cell r="A396" t="str">
            <v>1400089</v>
          </cell>
          <cell r="Q396">
            <v>-347182.02</v>
          </cell>
          <cell r="T396">
            <v>0</v>
          </cell>
        </row>
        <row r="397">
          <cell r="A397" t="str">
            <v>1400090</v>
          </cell>
          <cell r="Q397">
            <v>-3193845.35</v>
          </cell>
          <cell r="T397">
            <v>0</v>
          </cell>
        </row>
        <row r="398">
          <cell r="A398" t="str">
            <v>1400091</v>
          </cell>
          <cell r="Q398">
            <v>-2182.98</v>
          </cell>
          <cell r="T398">
            <v>0</v>
          </cell>
        </row>
        <row r="399">
          <cell r="A399" t="str">
            <v>1400092</v>
          </cell>
          <cell r="Q399">
            <v>-8315.3799999999992</v>
          </cell>
          <cell r="T399">
            <v>0</v>
          </cell>
        </row>
        <row r="400">
          <cell r="A400" t="str">
            <v>1400093</v>
          </cell>
          <cell r="Q400">
            <v>-4549407.45</v>
          </cell>
          <cell r="T400">
            <v>0</v>
          </cell>
        </row>
        <row r="401">
          <cell r="A401" t="str">
            <v>1400094</v>
          </cell>
          <cell r="Q401">
            <v>-4112160.12</v>
          </cell>
          <cell r="T401">
            <v>0</v>
          </cell>
        </row>
        <row r="402">
          <cell r="A402" t="str">
            <v>1400095</v>
          </cell>
          <cell r="Q402">
            <v>-650791.34</v>
          </cell>
          <cell r="T402">
            <v>0</v>
          </cell>
        </row>
        <row r="403">
          <cell r="A403" t="str">
            <v>1400096</v>
          </cell>
          <cell r="Q403">
            <v>-139404.92000000001</v>
          </cell>
          <cell r="T403">
            <v>0</v>
          </cell>
        </row>
        <row r="404">
          <cell r="A404" t="str">
            <v>1400097</v>
          </cell>
          <cell r="Q404">
            <v>-21117.74</v>
          </cell>
          <cell r="T404">
            <v>0</v>
          </cell>
        </row>
        <row r="405">
          <cell r="A405" t="str">
            <v>1400098</v>
          </cell>
          <cell r="Q405">
            <v>-1051162.3400000001</v>
          </cell>
          <cell r="T405">
            <v>0</v>
          </cell>
        </row>
        <row r="406">
          <cell r="A406" t="str">
            <v>1400099</v>
          </cell>
          <cell r="Q406">
            <v>-4175.1400000000003</v>
          </cell>
          <cell r="T406">
            <v>0</v>
          </cell>
        </row>
        <row r="407">
          <cell r="A407" t="str">
            <v>1400100</v>
          </cell>
          <cell r="Q407">
            <v>-4350578.09</v>
          </cell>
          <cell r="T407">
            <v>0</v>
          </cell>
        </row>
        <row r="408">
          <cell r="A408" t="str">
            <v>1400101</v>
          </cell>
          <cell r="Q408">
            <v>-540430.9</v>
          </cell>
          <cell r="T408">
            <v>0</v>
          </cell>
        </row>
        <row r="409">
          <cell r="A409" t="str">
            <v>1400102</v>
          </cell>
          <cell r="Q409">
            <v>-270215.59000000003</v>
          </cell>
          <cell r="T409">
            <v>0</v>
          </cell>
        </row>
        <row r="410">
          <cell r="A410" t="str">
            <v>1400103</v>
          </cell>
          <cell r="Q410">
            <v>-84169.49</v>
          </cell>
          <cell r="T410">
            <v>0</v>
          </cell>
        </row>
        <row r="411">
          <cell r="A411" t="str">
            <v>1400104</v>
          </cell>
          <cell r="Q411">
            <v>-63659.27</v>
          </cell>
          <cell r="T411">
            <v>0</v>
          </cell>
        </row>
        <row r="412">
          <cell r="A412" t="str">
            <v>1400105</v>
          </cell>
          <cell r="Q412">
            <v>-1699058.5</v>
          </cell>
          <cell r="T412">
            <v>0</v>
          </cell>
        </row>
        <row r="413">
          <cell r="A413" t="str">
            <v>1400106</v>
          </cell>
          <cell r="Q413">
            <v>-62084.15</v>
          </cell>
          <cell r="T413">
            <v>0</v>
          </cell>
        </row>
        <row r="414">
          <cell r="A414" t="str">
            <v>1400107</v>
          </cell>
          <cell r="Q414">
            <v>-26834.5</v>
          </cell>
          <cell r="T414">
            <v>0</v>
          </cell>
        </row>
        <row r="415">
          <cell r="A415" t="str">
            <v>1400108</v>
          </cell>
          <cell r="Q415">
            <v>-8685.25</v>
          </cell>
          <cell r="T415">
            <v>0</v>
          </cell>
        </row>
        <row r="416">
          <cell r="A416" t="str">
            <v>1400109</v>
          </cell>
          <cell r="Q416">
            <v>-48551.62</v>
          </cell>
          <cell r="T416">
            <v>0</v>
          </cell>
        </row>
        <row r="417">
          <cell r="A417" t="str">
            <v>1400110</v>
          </cell>
          <cell r="Q417">
            <v>-334336.06</v>
          </cell>
          <cell r="T417">
            <v>0</v>
          </cell>
        </row>
        <row r="418">
          <cell r="A418" t="str">
            <v>1400154</v>
          </cell>
          <cell r="Q418">
            <v>-401680.6</v>
          </cell>
          <cell r="T418">
            <v>0</v>
          </cell>
        </row>
        <row r="419">
          <cell r="A419" t="str">
            <v>1400155</v>
          </cell>
          <cell r="Q419">
            <v>-372790.01</v>
          </cell>
          <cell r="T419">
            <v>0</v>
          </cell>
        </row>
        <row r="420">
          <cell r="A420" t="str">
            <v>1400156</v>
          </cell>
          <cell r="Q420">
            <v>-827735.48</v>
          </cell>
          <cell r="T420">
            <v>0</v>
          </cell>
        </row>
        <row r="421">
          <cell r="A421" t="str">
            <v>1400157</v>
          </cell>
          <cell r="Q421">
            <v>-35638.15</v>
          </cell>
          <cell r="T421">
            <v>0</v>
          </cell>
        </row>
        <row r="422">
          <cell r="A422" t="str">
            <v>1400158</v>
          </cell>
          <cell r="Q422">
            <v>-698148.24</v>
          </cell>
          <cell r="T422">
            <v>0</v>
          </cell>
        </row>
        <row r="423">
          <cell r="A423" t="str">
            <v>1400159</v>
          </cell>
          <cell r="Q423">
            <v>-246634.1</v>
          </cell>
          <cell r="T423">
            <v>0</v>
          </cell>
        </row>
        <row r="424">
          <cell r="A424" t="str">
            <v>1400160</v>
          </cell>
          <cell r="Q424">
            <v>-422627.16</v>
          </cell>
          <cell r="T424">
            <v>0</v>
          </cell>
        </row>
        <row r="425">
          <cell r="A425" t="str">
            <v>1400161</v>
          </cell>
          <cell r="Q425">
            <v>-239629.87</v>
          </cell>
          <cell r="T425">
            <v>0</v>
          </cell>
        </row>
        <row r="426">
          <cell r="A426" t="str">
            <v>1400162</v>
          </cell>
          <cell r="Q426">
            <v>-7160.41</v>
          </cell>
          <cell r="T426">
            <v>0</v>
          </cell>
        </row>
        <row r="427">
          <cell r="A427" t="str">
            <v>1400163</v>
          </cell>
          <cell r="Q427">
            <v>-191552.76</v>
          </cell>
          <cell r="T427">
            <v>0</v>
          </cell>
        </row>
        <row r="428">
          <cell r="A428" t="str">
            <v>1400164</v>
          </cell>
          <cell r="Q428">
            <v>-287875.94</v>
          </cell>
          <cell r="T428">
            <v>0</v>
          </cell>
        </row>
        <row r="429">
          <cell r="A429" t="str">
            <v>1400165</v>
          </cell>
          <cell r="Q429">
            <v>-61323.24</v>
          </cell>
          <cell r="T429">
            <v>0</v>
          </cell>
        </row>
        <row r="430">
          <cell r="A430" t="str">
            <v>1400166</v>
          </cell>
          <cell r="Q430">
            <v>-46457.18</v>
          </cell>
          <cell r="T430">
            <v>0</v>
          </cell>
        </row>
        <row r="431">
          <cell r="A431" t="str">
            <v>1400167</v>
          </cell>
          <cell r="Q431">
            <v>-5183.38</v>
          </cell>
          <cell r="T431">
            <v>0</v>
          </cell>
        </row>
        <row r="432">
          <cell r="A432" t="str">
            <v>1400168</v>
          </cell>
          <cell r="Q432">
            <v>-190634.23</v>
          </cell>
          <cell r="T432">
            <v>0</v>
          </cell>
        </row>
        <row r="433">
          <cell r="A433" t="str">
            <v>1400169</v>
          </cell>
          <cell r="Q433">
            <v>-239711.03</v>
          </cell>
          <cell r="T433">
            <v>0</v>
          </cell>
        </row>
        <row r="434">
          <cell r="A434" t="str">
            <v>1400170</v>
          </cell>
          <cell r="Q434">
            <v>-26925.15</v>
          </cell>
          <cell r="T434">
            <v>0</v>
          </cell>
        </row>
        <row r="435">
          <cell r="A435" t="str">
            <v>1400171</v>
          </cell>
          <cell r="Q435">
            <v>-13373.09</v>
          </cell>
          <cell r="T435">
            <v>0</v>
          </cell>
        </row>
        <row r="436">
          <cell r="A436" t="str">
            <v>1400172</v>
          </cell>
          <cell r="Q436">
            <v>-15392.1</v>
          </cell>
          <cell r="T436">
            <v>0</v>
          </cell>
        </row>
        <row r="437">
          <cell r="A437" t="str">
            <v>1400211</v>
          </cell>
          <cell r="Q437">
            <v>-18396.400000000001</v>
          </cell>
          <cell r="T437">
            <v>0</v>
          </cell>
        </row>
        <row r="438">
          <cell r="A438" t="str">
            <v>1400212</v>
          </cell>
          <cell r="Q438">
            <v>-170296.24</v>
          </cell>
          <cell r="T438">
            <v>0</v>
          </cell>
        </row>
        <row r="439">
          <cell r="A439" t="str">
            <v>1400213</v>
          </cell>
          <cell r="Q439">
            <v>-10628.38</v>
          </cell>
          <cell r="T439">
            <v>0</v>
          </cell>
        </row>
        <row r="440">
          <cell r="A440" t="str">
            <v>1400214</v>
          </cell>
          <cell r="Q440">
            <v>-134699.41</v>
          </cell>
          <cell r="T440">
            <v>0</v>
          </cell>
        </row>
        <row r="441">
          <cell r="A441" t="str">
            <v>1400445</v>
          </cell>
          <cell r="Q441">
            <v>-147779</v>
          </cell>
          <cell r="T441">
            <v>0</v>
          </cell>
        </row>
        <row r="442">
          <cell r="A442" t="str">
            <v>1400446</v>
          </cell>
          <cell r="Q442">
            <v>-64157.7</v>
          </cell>
          <cell r="T442">
            <v>0</v>
          </cell>
        </row>
        <row r="443">
          <cell r="A443" t="str">
            <v>1400447</v>
          </cell>
          <cell r="Q443">
            <v>-61514.52</v>
          </cell>
          <cell r="T443">
            <v>0</v>
          </cell>
        </row>
        <row r="444">
          <cell r="A444" t="str">
            <v>1400448</v>
          </cell>
          <cell r="Q444">
            <v>-11774305.470000001</v>
          </cell>
          <cell r="T444">
            <v>0</v>
          </cell>
        </row>
        <row r="445">
          <cell r="A445" t="str">
            <v>1400449</v>
          </cell>
          <cell r="Q445">
            <v>-138167.37</v>
          </cell>
          <cell r="T445">
            <v>0</v>
          </cell>
        </row>
        <row r="446">
          <cell r="A446" t="str">
            <v>1400450</v>
          </cell>
          <cell r="Q446">
            <v>-5078570.32</v>
          </cell>
          <cell r="T446">
            <v>0</v>
          </cell>
        </row>
        <row r="447">
          <cell r="A447" t="str">
            <v>1400451</v>
          </cell>
          <cell r="Q447">
            <v>-172288.68</v>
          </cell>
          <cell r="T447">
            <v>0</v>
          </cell>
        </row>
        <row r="448">
          <cell r="A448" t="str">
            <v>1400452</v>
          </cell>
          <cell r="Q448">
            <v>-611781.04</v>
          </cell>
          <cell r="T448">
            <v>0</v>
          </cell>
        </row>
        <row r="449">
          <cell r="A449" t="str">
            <v>1400453</v>
          </cell>
          <cell r="Q449">
            <v>-611781.04</v>
          </cell>
          <cell r="T449">
            <v>0</v>
          </cell>
        </row>
        <row r="450">
          <cell r="A450" t="str">
            <v>1400454</v>
          </cell>
          <cell r="Q450">
            <v>-557475.24</v>
          </cell>
          <cell r="T450">
            <v>0</v>
          </cell>
        </row>
        <row r="451">
          <cell r="A451" t="str">
            <v>1400455</v>
          </cell>
          <cell r="Q451">
            <v>-557475.24</v>
          </cell>
          <cell r="T451">
            <v>0</v>
          </cell>
        </row>
        <row r="452">
          <cell r="A452" t="str">
            <v>1400456</v>
          </cell>
          <cell r="Q452">
            <v>-557475.24</v>
          </cell>
          <cell r="T452">
            <v>0</v>
          </cell>
        </row>
        <row r="453">
          <cell r="A453" t="str">
            <v>1400457</v>
          </cell>
          <cell r="Q453">
            <v>-209774.09</v>
          </cell>
          <cell r="T453">
            <v>0</v>
          </cell>
        </row>
        <row r="454">
          <cell r="A454" t="str">
            <v>1400458</v>
          </cell>
          <cell r="Q454">
            <v>-94914.97</v>
          </cell>
          <cell r="T454">
            <v>0</v>
          </cell>
        </row>
        <row r="455">
          <cell r="A455" t="str">
            <v>1400459</v>
          </cell>
          <cell r="Q455">
            <v>-209774.09</v>
          </cell>
          <cell r="T455">
            <v>0</v>
          </cell>
        </row>
        <row r="456">
          <cell r="A456" t="str">
            <v>1400460</v>
          </cell>
          <cell r="Q456">
            <v>-229718.24</v>
          </cell>
          <cell r="T456">
            <v>0</v>
          </cell>
        </row>
        <row r="457">
          <cell r="A457" t="str">
            <v>1400461</v>
          </cell>
          <cell r="Q457">
            <v>-434205.93</v>
          </cell>
          <cell r="T457">
            <v>0</v>
          </cell>
        </row>
        <row r="458">
          <cell r="A458" t="str">
            <v>1400462</v>
          </cell>
          <cell r="Q458">
            <v>-14034456.890000001</v>
          </cell>
          <cell r="T458">
            <v>0</v>
          </cell>
        </row>
        <row r="459">
          <cell r="A459" t="str">
            <v>1400463</v>
          </cell>
          <cell r="Q459">
            <v>-576698.53</v>
          </cell>
          <cell r="T459">
            <v>0</v>
          </cell>
        </row>
        <row r="460">
          <cell r="A460" t="str">
            <v>1400464</v>
          </cell>
          <cell r="Q460">
            <v>-76412.539999999994</v>
          </cell>
          <cell r="T460">
            <v>0</v>
          </cell>
        </row>
        <row r="461">
          <cell r="A461" t="str">
            <v>1400465</v>
          </cell>
          <cell r="Q461">
            <v>-81698.95</v>
          </cell>
          <cell r="T461">
            <v>0</v>
          </cell>
        </row>
        <row r="462">
          <cell r="A462" t="str">
            <v>1400466</v>
          </cell>
          <cell r="Q462">
            <v>-418106.45</v>
          </cell>
          <cell r="T462">
            <v>0</v>
          </cell>
        </row>
        <row r="463">
          <cell r="A463" t="str">
            <v>1400467</v>
          </cell>
          <cell r="Q463">
            <v>-897487.09</v>
          </cell>
          <cell r="T463">
            <v>0</v>
          </cell>
        </row>
        <row r="464">
          <cell r="A464" t="str">
            <v>1400468</v>
          </cell>
          <cell r="Q464">
            <v>-127354.28</v>
          </cell>
          <cell r="T464">
            <v>0</v>
          </cell>
        </row>
        <row r="465">
          <cell r="A465" t="str">
            <v>1400469</v>
          </cell>
          <cell r="Q465">
            <v>-439011.77</v>
          </cell>
          <cell r="T465">
            <v>0</v>
          </cell>
        </row>
        <row r="466">
          <cell r="A466" t="str">
            <v>1400470</v>
          </cell>
          <cell r="Q466">
            <v>-296999.73</v>
          </cell>
          <cell r="T466">
            <v>0</v>
          </cell>
        </row>
        <row r="467">
          <cell r="A467" t="str">
            <v>1400471</v>
          </cell>
          <cell r="Q467">
            <v>-38446.58</v>
          </cell>
          <cell r="T467">
            <v>0</v>
          </cell>
        </row>
        <row r="468">
          <cell r="A468" t="str">
            <v>1400472</v>
          </cell>
          <cell r="Q468">
            <v>-589674.23999999999</v>
          </cell>
          <cell r="T468">
            <v>0</v>
          </cell>
        </row>
        <row r="469">
          <cell r="A469" t="str">
            <v>1400473</v>
          </cell>
          <cell r="Q469">
            <v>-21403959.890000001</v>
          </cell>
          <cell r="T469">
            <v>0</v>
          </cell>
        </row>
        <row r="470">
          <cell r="A470" t="str">
            <v>1400474</v>
          </cell>
          <cell r="Q470">
            <v>-84822.74</v>
          </cell>
          <cell r="T470">
            <v>0</v>
          </cell>
        </row>
        <row r="471">
          <cell r="A471" t="str">
            <v>1400475</v>
          </cell>
          <cell r="Q471">
            <v>-37965.99</v>
          </cell>
          <cell r="T471">
            <v>0</v>
          </cell>
        </row>
        <row r="472">
          <cell r="A472" t="str">
            <v>1400476</v>
          </cell>
          <cell r="Q472">
            <v>-1600338.41</v>
          </cell>
          <cell r="T472">
            <v>0</v>
          </cell>
        </row>
        <row r="473">
          <cell r="A473" t="str">
            <v>1400477</v>
          </cell>
          <cell r="Q473">
            <v>-299402.65000000002</v>
          </cell>
          <cell r="T473">
            <v>0</v>
          </cell>
        </row>
        <row r="474">
          <cell r="A474" t="str">
            <v>1400478</v>
          </cell>
          <cell r="Q474">
            <v>-3326829.64</v>
          </cell>
          <cell r="T474">
            <v>0</v>
          </cell>
        </row>
        <row r="475">
          <cell r="A475" t="str">
            <v>1400479</v>
          </cell>
          <cell r="Q475">
            <v>-521912.16</v>
          </cell>
          <cell r="T475">
            <v>0</v>
          </cell>
        </row>
        <row r="476">
          <cell r="A476" t="str">
            <v>1400480</v>
          </cell>
          <cell r="Q476">
            <v>-519028.67</v>
          </cell>
          <cell r="T476">
            <v>0</v>
          </cell>
        </row>
        <row r="477">
          <cell r="A477" t="str">
            <v>1400481</v>
          </cell>
          <cell r="Q477">
            <v>-334485.14</v>
          </cell>
          <cell r="T477">
            <v>0</v>
          </cell>
        </row>
        <row r="478">
          <cell r="A478" t="str">
            <v>1400482</v>
          </cell>
          <cell r="Q478">
            <v>-15859.21</v>
          </cell>
          <cell r="T478">
            <v>0</v>
          </cell>
        </row>
        <row r="479">
          <cell r="A479" t="str">
            <v>1400483</v>
          </cell>
          <cell r="Q479">
            <v>-2694143.28</v>
          </cell>
          <cell r="T479">
            <v>0</v>
          </cell>
        </row>
        <row r="480">
          <cell r="A480" t="str">
            <v>1400484</v>
          </cell>
          <cell r="Q480">
            <v>-29075.21</v>
          </cell>
          <cell r="T480">
            <v>0</v>
          </cell>
        </row>
        <row r="481">
          <cell r="A481" t="str">
            <v>1400485</v>
          </cell>
          <cell r="Q481">
            <v>-774698.35</v>
          </cell>
          <cell r="T481">
            <v>0</v>
          </cell>
        </row>
        <row r="482">
          <cell r="A482" t="str">
            <v>1400486</v>
          </cell>
          <cell r="Q482">
            <v>-338329.81</v>
          </cell>
          <cell r="T482">
            <v>0</v>
          </cell>
        </row>
        <row r="483">
          <cell r="A483" t="str">
            <v>1400487</v>
          </cell>
          <cell r="Q483">
            <v>-363320.08</v>
          </cell>
          <cell r="T483">
            <v>0</v>
          </cell>
        </row>
        <row r="484">
          <cell r="A484" t="str">
            <v>1400488</v>
          </cell>
          <cell r="Q484">
            <v>-1995376.91</v>
          </cell>
          <cell r="T484">
            <v>0</v>
          </cell>
        </row>
        <row r="485">
          <cell r="A485" t="str">
            <v>1400489</v>
          </cell>
          <cell r="Q485">
            <v>-34842.21</v>
          </cell>
          <cell r="T485">
            <v>0</v>
          </cell>
        </row>
        <row r="486">
          <cell r="A486" t="str">
            <v>1400490</v>
          </cell>
          <cell r="Q486">
            <v>-346019.12</v>
          </cell>
          <cell r="T486">
            <v>0</v>
          </cell>
        </row>
        <row r="487">
          <cell r="A487" t="str">
            <v>1400491</v>
          </cell>
          <cell r="Q487">
            <v>-170126.07</v>
          </cell>
          <cell r="T487">
            <v>0</v>
          </cell>
        </row>
        <row r="488">
          <cell r="A488" t="str">
            <v>1400492</v>
          </cell>
          <cell r="Q488">
            <v>-77774.509999999995</v>
          </cell>
          <cell r="T488">
            <v>0</v>
          </cell>
        </row>
        <row r="489">
          <cell r="A489" t="str">
            <v>1400493</v>
          </cell>
          <cell r="Q489">
            <v>-35803.35</v>
          </cell>
          <cell r="T489">
            <v>0</v>
          </cell>
        </row>
        <row r="490">
          <cell r="A490" t="str">
            <v>1400494</v>
          </cell>
          <cell r="Q490">
            <v>-156189.18</v>
          </cell>
          <cell r="T490">
            <v>0</v>
          </cell>
        </row>
        <row r="491">
          <cell r="A491" t="str">
            <v>1400495</v>
          </cell>
          <cell r="Q491">
            <v>-1871146.43</v>
          </cell>
          <cell r="T491">
            <v>0</v>
          </cell>
        </row>
        <row r="492">
          <cell r="A492" t="str">
            <v>1400496</v>
          </cell>
          <cell r="Q492">
            <v>-7332454.9500000002</v>
          </cell>
          <cell r="T492">
            <v>0</v>
          </cell>
        </row>
        <row r="493">
          <cell r="A493" t="str">
            <v>1400497</v>
          </cell>
          <cell r="Q493">
            <v>-232361.45</v>
          </cell>
          <cell r="T493">
            <v>0</v>
          </cell>
        </row>
        <row r="494">
          <cell r="A494" t="str">
            <v>1400498</v>
          </cell>
          <cell r="Q494">
            <v>-314060.40999999997</v>
          </cell>
          <cell r="T494">
            <v>0</v>
          </cell>
        </row>
        <row r="495">
          <cell r="A495" t="str">
            <v>1400499</v>
          </cell>
          <cell r="Q495">
            <v>-52143.15</v>
          </cell>
          <cell r="T495">
            <v>0</v>
          </cell>
        </row>
        <row r="496">
          <cell r="A496" t="str">
            <v>1400500</v>
          </cell>
          <cell r="Q496">
            <v>-2194818.4900000002</v>
          </cell>
          <cell r="T496">
            <v>0</v>
          </cell>
        </row>
        <row r="497">
          <cell r="A497" t="str">
            <v>1400501</v>
          </cell>
          <cell r="Q497">
            <v>-775178.93</v>
          </cell>
          <cell r="T497">
            <v>0</v>
          </cell>
        </row>
        <row r="498">
          <cell r="A498" t="str">
            <v>1400502</v>
          </cell>
          <cell r="Q498">
            <v>-1836063.95</v>
          </cell>
          <cell r="T498">
            <v>0</v>
          </cell>
        </row>
        <row r="499">
          <cell r="A499" t="str">
            <v>1400503</v>
          </cell>
          <cell r="Q499">
            <v>-528400.03</v>
          </cell>
          <cell r="T499">
            <v>0</v>
          </cell>
        </row>
        <row r="500">
          <cell r="A500" t="str">
            <v>1400504</v>
          </cell>
          <cell r="Q500">
            <v>-1061846.1599999999</v>
          </cell>
          <cell r="T500">
            <v>0</v>
          </cell>
        </row>
        <row r="501">
          <cell r="A501" t="str">
            <v>1400505</v>
          </cell>
          <cell r="Q501">
            <v>-317184.19</v>
          </cell>
          <cell r="T501">
            <v>0</v>
          </cell>
        </row>
        <row r="502">
          <cell r="A502" t="str">
            <v>1400506</v>
          </cell>
          <cell r="Q502">
            <v>-759079.43</v>
          </cell>
          <cell r="T502">
            <v>0</v>
          </cell>
        </row>
        <row r="503">
          <cell r="A503" t="str">
            <v>1400507</v>
          </cell>
          <cell r="Q503">
            <v>-176613.94</v>
          </cell>
          <cell r="T503">
            <v>0</v>
          </cell>
        </row>
        <row r="504">
          <cell r="A504" t="str">
            <v>1400508</v>
          </cell>
          <cell r="Q504">
            <v>-256390.57</v>
          </cell>
          <cell r="T504">
            <v>0</v>
          </cell>
        </row>
        <row r="505">
          <cell r="A505" t="str">
            <v>1400509</v>
          </cell>
          <cell r="Q505">
            <v>-40128.6</v>
          </cell>
          <cell r="T505">
            <v>0</v>
          </cell>
        </row>
        <row r="506">
          <cell r="A506" t="str">
            <v>1400510</v>
          </cell>
          <cell r="Q506">
            <v>-227795.92</v>
          </cell>
          <cell r="T506">
            <v>0</v>
          </cell>
        </row>
        <row r="507">
          <cell r="A507" t="str">
            <v>1400511</v>
          </cell>
          <cell r="Q507">
            <v>-229718.24</v>
          </cell>
          <cell r="T507">
            <v>0</v>
          </cell>
        </row>
        <row r="508">
          <cell r="A508" t="str">
            <v>1400512</v>
          </cell>
          <cell r="Q508">
            <v>-2142915.63</v>
          </cell>
          <cell r="T508">
            <v>0</v>
          </cell>
        </row>
        <row r="509">
          <cell r="A509" t="str">
            <v>1400513</v>
          </cell>
          <cell r="Q509">
            <v>-711261.52</v>
          </cell>
          <cell r="T509">
            <v>0</v>
          </cell>
        </row>
        <row r="510">
          <cell r="A510" t="str">
            <v>1400514</v>
          </cell>
          <cell r="Q510">
            <v>-521912.16</v>
          </cell>
          <cell r="T510">
            <v>0</v>
          </cell>
        </row>
        <row r="511">
          <cell r="A511" t="str">
            <v>1400515</v>
          </cell>
          <cell r="Q511">
            <v>-229718.24</v>
          </cell>
          <cell r="T511">
            <v>0</v>
          </cell>
        </row>
        <row r="512">
          <cell r="A512" t="str">
            <v>1400516</v>
          </cell>
          <cell r="Q512">
            <v>-445019.04</v>
          </cell>
          <cell r="T512">
            <v>0</v>
          </cell>
        </row>
        <row r="513">
          <cell r="A513" t="str">
            <v>1400517</v>
          </cell>
          <cell r="Q513">
            <v>-374854.04</v>
          </cell>
          <cell r="T513">
            <v>0</v>
          </cell>
        </row>
        <row r="514">
          <cell r="A514" t="str">
            <v>1400518</v>
          </cell>
          <cell r="Q514">
            <v>-4019524.31</v>
          </cell>
          <cell r="T514">
            <v>0</v>
          </cell>
        </row>
        <row r="515">
          <cell r="A515" t="str">
            <v>1400519</v>
          </cell>
          <cell r="Q515">
            <v>-4761144.6500000004</v>
          </cell>
          <cell r="T515">
            <v>0</v>
          </cell>
        </row>
        <row r="516">
          <cell r="A516" t="str">
            <v>1400520</v>
          </cell>
          <cell r="Q516">
            <v>-1095727.2</v>
          </cell>
          <cell r="T516">
            <v>0</v>
          </cell>
        </row>
        <row r="517">
          <cell r="A517" t="str">
            <v>1400521</v>
          </cell>
          <cell r="Q517">
            <v>-142732.89000000001</v>
          </cell>
          <cell r="T517">
            <v>0</v>
          </cell>
        </row>
        <row r="518">
          <cell r="A518" t="str">
            <v>1400522</v>
          </cell>
          <cell r="Q518">
            <v>-168684.32</v>
          </cell>
          <cell r="T518">
            <v>0</v>
          </cell>
        </row>
        <row r="519">
          <cell r="A519" t="str">
            <v>1400523</v>
          </cell>
          <cell r="Q519">
            <v>-908300.18</v>
          </cell>
          <cell r="T519">
            <v>0</v>
          </cell>
        </row>
        <row r="520">
          <cell r="A520" t="str">
            <v>1400524</v>
          </cell>
          <cell r="Q520">
            <v>-1263690.6399999999</v>
          </cell>
          <cell r="T520">
            <v>0</v>
          </cell>
        </row>
        <row r="521">
          <cell r="A521" t="str">
            <v>1400525</v>
          </cell>
          <cell r="Q521">
            <v>-449175.92</v>
          </cell>
          <cell r="T521">
            <v>0</v>
          </cell>
        </row>
        <row r="522">
          <cell r="A522" t="str">
            <v>1400526</v>
          </cell>
          <cell r="Q522">
            <v>-243655.12</v>
          </cell>
          <cell r="T522">
            <v>0</v>
          </cell>
        </row>
        <row r="523">
          <cell r="A523" t="str">
            <v>1400527</v>
          </cell>
          <cell r="Q523">
            <v>-519028.67</v>
          </cell>
          <cell r="T523">
            <v>0</v>
          </cell>
        </row>
        <row r="524">
          <cell r="A524" t="str">
            <v>1400528</v>
          </cell>
          <cell r="Q524">
            <v>-86504.77</v>
          </cell>
          <cell r="T524">
            <v>0</v>
          </cell>
        </row>
        <row r="525">
          <cell r="A525" t="str">
            <v>1400529</v>
          </cell>
          <cell r="Q525">
            <v>-121106.7</v>
          </cell>
          <cell r="T525">
            <v>0</v>
          </cell>
        </row>
        <row r="526">
          <cell r="A526" t="str">
            <v>1400530</v>
          </cell>
          <cell r="Q526">
            <v>-219385.74</v>
          </cell>
          <cell r="T526">
            <v>0</v>
          </cell>
        </row>
        <row r="527">
          <cell r="A527" t="str">
            <v>1400531</v>
          </cell>
          <cell r="Q527">
            <v>-256390.57</v>
          </cell>
          <cell r="T527">
            <v>0</v>
          </cell>
        </row>
        <row r="528">
          <cell r="A528" t="str">
            <v>1400532</v>
          </cell>
          <cell r="Q528">
            <v>-1281472.19</v>
          </cell>
          <cell r="T528">
            <v>0</v>
          </cell>
        </row>
        <row r="529">
          <cell r="A529" t="str">
            <v>1400533</v>
          </cell>
          <cell r="Q529">
            <v>-28995308.510000002</v>
          </cell>
          <cell r="T529">
            <v>0</v>
          </cell>
        </row>
        <row r="530">
          <cell r="A530" t="str">
            <v>1400534</v>
          </cell>
          <cell r="Q530">
            <v>-493317.54</v>
          </cell>
          <cell r="T530">
            <v>0</v>
          </cell>
        </row>
        <row r="531">
          <cell r="A531" t="str">
            <v>1400535</v>
          </cell>
          <cell r="Q531">
            <v>-342895.32</v>
          </cell>
          <cell r="T531">
            <v>0</v>
          </cell>
        </row>
        <row r="532">
          <cell r="A532" t="str">
            <v>1400536</v>
          </cell>
          <cell r="Q532">
            <v>-365242.4</v>
          </cell>
          <cell r="T532">
            <v>0</v>
          </cell>
        </row>
        <row r="533">
          <cell r="A533" t="str">
            <v>1400537</v>
          </cell>
          <cell r="Q533">
            <v>-288349.28000000003</v>
          </cell>
          <cell r="T533">
            <v>0</v>
          </cell>
        </row>
        <row r="534">
          <cell r="A534" t="str">
            <v>1400538</v>
          </cell>
          <cell r="Q534">
            <v>-320307.96999999997</v>
          </cell>
          <cell r="T534">
            <v>0</v>
          </cell>
        </row>
        <row r="535">
          <cell r="A535" t="str">
            <v>1400539</v>
          </cell>
          <cell r="Q535">
            <v>-1441265.75</v>
          </cell>
          <cell r="T535">
            <v>0</v>
          </cell>
        </row>
        <row r="536">
          <cell r="A536" t="str">
            <v>1400540</v>
          </cell>
          <cell r="Q536">
            <v>-1488362.79</v>
          </cell>
          <cell r="T536">
            <v>0</v>
          </cell>
        </row>
        <row r="537">
          <cell r="A537" t="str">
            <v>1400541</v>
          </cell>
          <cell r="Q537">
            <v>-1416996.33</v>
          </cell>
          <cell r="T537">
            <v>0</v>
          </cell>
        </row>
        <row r="538">
          <cell r="A538" t="str">
            <v>1400542</v>
          </cell>
          <cell r="Q538">
            <v>-333043.38</v>
          </cell>
          <cell r="T538">
            <v>0</v>
          </cell>
        </row>
        <row r="539">
          <cell r="A539" t="str">
            <v>1400543</v>
          </cell>
          <cell r="Q539">
            <v>-608657.23</v>
          </cell>
          <cell r="T539">
            <v>0</v>
          </cell>
        </row>
        <row r="540">
          <cell r="A540" t="str">
            <v>1400544</v>
          </cell>
          <cell r="Q540">
            <v>-1477069.09</v>
          </cell>
          <cell r="T540">
            <v>0</v>
          </cell>
        </row>
        <row r="541">
          <cell r="A541" t="str">
            <v>1400545</v>
          </cell>
          <cell r="Q541">
            <v>-525516.52</v>
          </cell>
          <cell r="T541">
            <v>0</v>
          </cell>
        </row>
        <row r="542">
          <cell r="A542" t="str">
            <v>1400546</v>
          </cell>
          <cell r="Q542">
            <v>-5231395.99</v>
          </cell>
          <cell r="T542">
            <v>0</v>
          </cell>
        </row>
        <row r="543">
          <cell r="A543" t="str">
            <v>1400547</v>
          </cell>
          <cell r="Q543">
            <v>-6097167.8899999997</v>
          </cell>
          <cell r="T543">
            <v>0</v>
          </cell>
        </row>
        <row r="544">
          <cell r="A544" t="str">
            <v>1400548</v>
          </cell>
          <cell r="Q544">
            <v>-141483.37</v>
          </cell>
          <cell r="T544">
            <v>0</v>
          </cell>
        </row>
        <row r="545">
          <cell r="A545" t="str">
            <v>1400549</v>
          </cell>
          <cell r="Q545">
            <v>-41618.410000000003</v>
          </cell>
          <cell r="T545">
            <v>0</v>
          </cell>
        </row>
        <row r="546">
          <cell r="A546" t="str">
            <v>1400550</v>
          </cell>
          <cell r="Q546">
            <v>-2530985.6800000002</v>
          </cell>
          <cell r="T546">
            <v>0</v>
          </cell>
        </row>
        <row r="547">
          <cell r="A547" t="str">
            <v>1400551</v>
          </cell>
          <cell r="Q547">
            <v>-994804.96</v>
          </cell>
          <cell r="T547">
            <v>0</v>
          </cell>
        </row>
        <row r="548">
          <cell r="A548" t="str">
            <v>1400552</v>
          </cell>
          <cell r="Q548">
            <v>-594720.34</v>
          </cell>
          <cell r="T548">
            <v>0</v>
          </cell>
        </row>
        <row r="549">
          <cell r="A549" t="str">
            <v>1400553</v>
          </cell>
          <cell r="Q549">
            <v>-17300.95</v>
          </cell>
          <cell r="T549">
            <v>0</v>
          </cell>
        </row>
        <row r="550">
          <cell r="A550" t="str">
            <v>1400558</v>
          </cell>
          <cell r="Q550">
            <v>-142492.6</v>
          </cell>
          <cell r="T550">
            <v>0</v>
          </cell>
        </row>
        <row r="551">
          <cell r="A551" t="str">
            <v>1400604</v>
          </cell>
          <cell r="Q551">
            <v>-229023.55</v>
          </cell>
          <cell r="T551">
            <v>0</v>
          </cell>
        </row>
        <row r="552">
          <cell r="A552" t="str">
            <v>1400605</v>
          </cell>
          <cell r="Q552">
            <v>-156244.03</v>
          </cell>
          <cell r="T552">
            <v>0</v>
          </cell>
        </row>
        <row r="553">
          <cell r="A553" t="str">
            <v>1400606</v>
          </cell>
          <cell r="Q553">
            <v>-67832.77</v>
          </cell>
          <cell r="T553">
            <v>0</v>
          </cell>
        </row>
        <row r="554">
          <cell r="A554" t="str">
            <v>1400607</v>
          </cell>
          <cell r="Q554">
            <v>-121438.44</v>
          </cell>
          <cell r="T554">
            <v>0</v>
          </cell>
        </row>
        <row r="555">
          <cell r="A555" t="str">
            <v>1400608</v>
          </cell>
          <cell r="Q555">
            <v>-1293649.72</v>
          </cell>
          <cell r="T555">
            <v>0</v>
          </cell>
        </row>
        <row r="556">
          <cell r="A556" t="str">
            <v>1400609</v>
          </cell>
          <cell r="Q556">
            <v>-1178816.7</v>
          </cell>
          <cell r="T556">
            <v>0</v>
          </cell>
        </row>
        <row r="557">
          <cell r="A557" t="str">
            <v>1400610</v>
          </cell>
          <cell r="Q557">
            <v>-589408.35</v>
          </cell>
          <cell r="T557">
            <v>0</v>
          </cell>
        </row>
        <row r="558">
          <cell r="A558" t="str">
            <v>1400611</v>
          </cell>
          <cell r="Q558">
            <v>-221790.29</v>
          </cell>
          <cell r="T558">
            <v>0</v>
          </cell>
        </row>
        <row r="559">
          <cell r="A559" t="str">
            <v>1400612</v>
          </cell>
          <cell r="Q559">
            <v>-100351.85</v>
          </cell>
          <cell r="T559">
            <v>0</v>
          </cell>
        </row>
        <row r="560">
          <cell r="A560" t="str">
            <v>1400613</v>
          </cell>
          <cell r="Q560">
            <v>-221790.29</v>
          </cell>
          <cell r="T560">
            <v>0</v>
          </cell>
        </row>
        <row r="561">
          <cell r="A561" t="str">
            <v>1400614</v>
          </cell>
          <cell r="Q561">
            <v>-121438.44</v>
          </cell>
          <cell r="T561">
            <v>0</v>
          </cell>
        </row>
        <row r="562">
          <cell r="A562" t="str">
            <v>1400615</v>
          </cell>
          <cell r="Q562">
            <v>-14774241.380000001</v>
          </cell>
          <cell r="T562">
            <v>0</v>
          </cell>
        </row>
        <row r="563">
          <cell r="A563" t="str">
            <v>1400616</v>
          </cell>
          <cell r="Q563">
            <v>-609759.31999999995</v>
          </cell>
          <cell r="T563">
            <v>0</v>
          </cell>
        </row>
        <row r="564">
          <cell r="A564" t="str">
            <v>1400617</v>
          </cell>
          <cell r="Q564">
            <v>-80789.59</v>
          </cell>
          <cell r="T564">
            <v>0</v>
          </cell>
        </row>
        <row r="565">
          <cell r="A565" t="str">
            <v>1400618</v>
          </cell>
          <cell r="Q565">
            <v>-948896.62</v>
          </cell>
          <cell r="T565">
            <v>0</v>
          </cell>
        </row>
        <row r="566">
          <cell r="A566" t="str">
            <v>1400619</v>
          </cell>
          <cell r="Q566">
            <v>-134649.32</v>
          </cell>
          <cell r="T566">
            <v>0</v>
          </cell>
        </row>
        <row r="567">
          <cell r="A567" t="str">
            <v>1400620</v>
          </cell>
          <cell r="Q567">
            <v>-464159.07</v>
          </cell>
          <cell r="T567">
            <v>0</v>
          </cell>
        </row>
        <row r="568">
          <cell r="A568" t="str">
            <v>1400621</v>
          </cell>
          <cell r="Q568">
            <v>-623451.77</v>
          </cell>
          <cell r="T568">
            <v>0</v>
          </cell>
        </row>
        <row r="569">
          <cell r="A569" t="str">
            <v>1400622</v>
          </cell>
          <cell r="Q569">
            <v>-22593096.039999999</v>
          </cell>
          <cell r="T569">
            <v>0</v>
          </cell>
        </row>
        <row r="570">
          <cell r="A570" t="str">
            <v>1400623</v>
          </cell>
          <cell r="Q570">
            <v>-40140.74</v>
          </cell>
          <cell r="T570">
            <v>0</v>
          </cell>
        </row>
        <row r="571">
          <cell r="A571" t="str">
            <v>1400624</v>
          </cell>
          <cell r="Q571">
            <v>-1128005.6399999999</v>
          </cell>
          <cell r="T571">
            <v>0</v>
          </cell>
        </row>
        <row r="572">
          <cell r="A572" t="str">
            <v>1400625</v>
          </cell>
          <cell r="Q572">
            <v>-316552.94</v>
          </cell>
          <cell r="T572">
            <v>0</v>
          </cell>
        </row>
        <row r="573">
          <cell r="A573" t="str">
            <v>1400626</v>
          </cell>
          <cell r="Q573">
            <v>-1854603.86</v>
          </cell>
          <cell r="T573">
            <v>0</v>
          </cell>
        </row>
        <row r="574">
          <cell r="A574" t="str">
            <v>1400627</v>
          </cell>
          <cell r="Q574">
            <v>-16767.64</v>
          </cell>
          <cell r="T574">
            <v>0</v>
          </cell>
        </row>
        <row r="575">
          <cell r="A575" t="str">
            <v>1400628</v>
          </cell>
          <cell r="Q575">
            <v>-176822.51</v>
          </cell>
          <cell r="T575">
            <v>0</v>
          </cell>
        </row>
        <row r="576">
          <cell r="A576" t="str">
            <v>1400629</v>
          </cell>
          <cell r="Q576">
            <v>-353644.99</v>
          </cell>
          <cell r="T576">
            <v>0</v>
          </cell>
        </row>
        <row r="577">
          <cell r="A577" t="str">
            <v>1400630</v>
          </cell>
          <cell r="Q577">
            <v>-3150286.02</v>
          </cell>
          <cell r="T577">
            <v>0</v>
          </cell>
        </row>
        <row r="578">
          <cell r="A578" t="str">
            <v>1400631</v>
          </cell>
          <cell r="Q578">
            <v>-26675.79</v>
          </cell>
          <cell r="T578">
            <v>0</v>
          </cell>
        </row>
        <row r="579">
          <cell r="A579" t="str">
            <v>1400632</v>
          </cell>
          <cell r="Q579">
            <v>-240844.46</v>
          </cell>
          <cell r="T579">
            <v>0</v>
          </cell>
        </row>
        <row r="580">
          <cell r="A580" t="str">
            <v>1400633</v>
          </cell>
          <cell r="Q580">
            <v>-481688.89</v>
          </cell>
          <cell r="T580">
            <v>0</v>
          </cell>
        </row>
        <row r="581">
          <cell r="A581" t="str">
            <v>1400634</v>
          </cell>
          <cell r="Q581">
            <v>-1351574.32</v>
          </cell>
          <cell r="T581">
            <v>0</v>
          </cell>
        </row>
        <row r="582">
          <cell r="A582" t="str">
            <v>1400635</v>
          </cell>
          <cell r="Q582">
            <v>-19562.259999999998</v>
          </cell>
          <cell r="T582">
            <v>0</v>
          </cell>
        </row>
        <row r="583">
          <cell r="A583" t="str">
            <v>1400636</v>
          </cell>
          <cell r="Q583">
            <v>-108227.57</v>
          </cell>
          <cell r="T583">
            <v>0</v>
          </cell>
        </row>
        <row r="584">
          <cell r="A584" t="str">
            <v>1400637</v>
          </cell>
          <cell r="Q584">
            <v>-216455.13</v>
          </cell>
          <cell r="T584">
            <v>0</v>
          </cell>
        </row>
        <row r="585">
          <cell r="A585" t="str">
            <v>1400638</v>
          </cell>
          <cell r="Q585">
            <v>-1321087.7</v>
          </cell>
          <cell r="T585">
            <v>0</v>
          </cell>
        </row>
        <row r="586">
          <cell r="A586" t="str">
            <v>1400639</v>
          </cell>
          <cell r="Q586">
            <v>-26675.79</v>
          </cell>
          <cell r="T586">
            <v>0</v>
          </cell>
        </row>
        <row r="587">
          <cell r="A587" t="str">
            <v>1400640</v>
          </cell>
          <cell r="Q587">
            <v>-137189.87</v>
          </cell>
          <cell r="T587">
            <v>0</v>
          </cell>
        </row>
        <row r="588">
          <cell r="A588" t="str">
            <v>1400641</v>
          </cell>
          <cell r="Q588">
            <v>-137189.87</v>
          </cell>
          <cell r="T588">
            <v>0</v>
          </cell>
        </row>
        <row r="589">
          <cell r="A589" t="str">
            <v>1400642</v>
          </cell>
          <cell r="Q589">
            <v>-165135.97</v>
          </cell>
          <cell r="T589">
            <v>0</v>
          </cell>
        </row>
        <row r="590">
          <cell r="A590" t="str">
            <v>1400643</v>
          </cell>
          <cell r="Q590">
            <v>-165135.97</v>
          </cell>
          <cell r="T590">
            <v>0</v>
          </cell>
        </row>
        <row r="591">
          <cell r="A591" t="str">
            <v>1400644</v>
          </cell>
          <cell r="Q591">
            <v>-165135.97</v>
          </cell>
          <cell r="T591">
            <v>0</v>
          </cell>
        </row>
        <row r="592">
          <cell r="A592" t="str">
            <v>1400645</v>
          </cell>
          <cell r="Q592">
            <v>-82567.98</v>
          </cell>
          <cell r="T592">
            <v>0</v>
          </cell>
        </row>
        <row r="593">
          <cell r="A593" t="str">
            <v>1400646</v>
          </cell>
          <cell r="Q593">
            <v>-1978328.8</v>
          </cell>
          <cell r="T593">
            <v>0</v>
          </cell>
        </row>
        <row r="594">
          <cell r="A594" t="str">
            <v>1400647</v>
          </cell>
          <cell r="Q594">
            <v>-7803823.0599999996</v>
          </cell>
          <cell r="T594">
            <v>0</v>
          </cell>
        </row>
        <row r="595">
          <cell r="A595" t="str">
            <v>1400648</v>
          </cell>
          <cell r="Q595">
            <v>-245671.48</v>
          </cell>
          <cell r="T595">
            <v>0</v>
          </cell>
        </row>
        <row r="596">
          <cell r="A596" t="str">
            <v>1400649</v>
          </cell>
          <cell r="Q596">
            <v>-3937772.84</v>
          </cell>
          <cell r="T596">
            <v>0</v>
          </cell>
        </row>
        <row r="597">
          <cell r="A597" t="str">
            <v>1400650</v>
          </cell>
          <cell r="Q597">
            <v>-4903495.7</v>
          </cell>
          <cell r="T597">
            <v>0</v>
          </cell>
        </row>
        <row r="598">
          <cell r="A598" t="str">
            <v>1400651</v>
          </cell>
          <cell r="Q598">
            <v>-1158492.28</v>
          </cell>
          <cell r="T598">
            <v>0</v>
          </cell>
        </row>
        <row r="599">
          <cell r="A599" t="str">
            <v>1400652</v>
          </cell>
          <cell r="Q599">
            <v>-150908.85</v>
          </cell>
          <cell r="T599">
            <v>0</v>
          </cell>
        </row>
        <row r="600">
          <cell r="A600" t="str">
            <v>1400653</v>
          </cell>
          <cell r="Q600">
            <v>-178346.85</v>
          </cell>
          <cell r="T600">
            <v>0</v>
          </cell>
        </row>
        <row r="601">
          <cell r="A601" t="str">
            <v>1400654</v>
          </cell>
          <cell r="Q601">
            <v>-960329.12</v>
          </cell>
          <cell r="T601">
            <v>0</v>
          </cell>
        </row>
        <row r="602">
          <cell r="A602" t="str">
            <v>1400655</v>
          </cell>
          <cell r="Q602">
            <v>-1337435.06</v>
          </cell>
          <cell r="T602">
            <v>0</v>
          </cell>
        </row>
        <row r="603">
          <cell r="A603" t="str">
            <v>1400656</v>
          </cell>
          <cell r="Q603">
            <v>-1428625.19</v>
          </cell>
          <cell r="T603">
            <v>0</v>
          </cell>
        </row>
        <row r="604">
          <cell r="A604" t="str">
            <v>1400657</v>
          </cell>
          <cell r="Q604">
            <v>-257612.08</v>
          </cell>
          <cell r="T604">
            <v>0</v>
          </cell>
        </row>
        <row r="605">
          <cell r="A605" t="str">
            <v>1400658</v>
          </cell>
          <cell r="Q605">
            <v>-274379.77</v>
          </cell>
          <cell r="T605">
            <v>0</v>
          </cell>
        </row>
        <row r="606">
          <cell r="A606" t="str">
            <v>1400659</v>
          </cell>
          <cell r="Q606">
            <v>-128043.88</v>
          </cell>
          <cell r="T606">
            <v>0</v>
          </cell>
        </row>
        <row r="607">
          <cell r="A607" t="str">
            <v>1400660</v>
          </cell>
          <cell r="Q607">
            <v>-1354877.05</v>
          </cell>
          <cell r="T607">
            <v>0</v>
          </cell>
        </row>
        <row r="608">
          <cell r="A608" t="str">
            <v>1400661</v>
          </cell>
          <cell r="Q608">
            <v>-30656211.260000002</v>
          </cell>
          <cell r="T608">
            <v>0</v>
          </cell>
        </row>
        <row r="609">
          <cell r="A609" t="str">
            <v>1400662</v>
          </cell>
          <cell r="Q609">
            <v>-521575.59</v>
          </cell>
          <cell r="T609">
            <v>0</v>
          </cell>
        </row>
        <row r="610">
          <cell r="A610" t="str">
            <v>1400663</v>
          </cell>
          <cell r="Q610">
            <v>-362536.94</v>
          </cell>
          <cell r="T610">
            <v>0</v>
          </cell>
        </row>
        <row r="611">
          <cell r="A611" t="str">
            <v>1400664</v>
          </cell>
          <cell r="Q611">
            <v>-386164.1</v>
          </cell>
          <cell r="T611">
            <v>0</v>
          </cell>
        </row>
        <row r="612">
          <cell r="A612" t="str">
            <v>1400665</v>
          </cell>
          <cell r="Q612">
            <v>-304866.38</v>
          </cell>
          <cell r="T612">
            <v>0</v>
          </cell>
        </row>
        <row r="613">
          <cell r="A613" t="str">
            <v>1400666</v>
          </cell>
          <cell r="Q613">
            <v>-1523823.83</v>
          </cell>
          <cell r="T613">
            <v>0</v>
          </cell>
        </row>
        <row r="614">
          <cell r="A614" t="str">
            <v>1400667</v>
          </cell>
          <cell r="Q614">
            <v>-1573618.69</v>
          </cell>
          <cell r="T614">
            <v>0</v>
          </cell>
        </row>
        <row r="615">
          <cell r="A615" t="str">
            <v>1400668</v>
          </cell>
          <cell r="Q615">
            <v>-1448623.47</v>
          </cell>
          <cell r="T615">
            <v>0</v>
          </cell>
        </row>
        <row r="616">
          <cell r="A616" t="str">
            <v>1400669</v>
          </cell>
          <cell r="Q616">
            <v>-305882.62</v>
          </cell>
          <cell r="T616">
            <v>0</v>
          </cell>
        </row>
        <row r="617">
          <cell r="A617" t="str">
            <v>1400670</v>
          </cell>
          <cell r="Q617">
            <v>-641997.80000000005</v>
          </cell>
          <cell r="T617">
            <v>0</v>
          </cell>
        </row>
        <row r="618">
          <cell r="A618" t="str">
            <v>1400671</v>
          </cell>
          <cell r="Q618">
            <v>-1554818.59</v>
          </cell>
          <cell r="T618">
            <v>0</v>
          </cell>
        </row>
        <row r="619">
          <cell r="A619" t="str">
            <v>1400672</v>
          </cell>
          <cell r="Q619">
            <v>-555619.02</v>
          </cell>
          <cell r="T619">
            <v>0</v>
          </cell>
        </row>
        <row r="620">
          <cell r="A620" t="str">
            <v>1400673</v>
          </cell>
          <cell r="Q620">
            <v>-5531059.6600000001</v>
          </cell>
          <cell r="T620">
            <v>0</v>
          </cell>
        </row>
        <row r="621">
          <cell r="A621" t="str">
            <v>1400674</v>
          </cell>
          <cell r="Q621">
            <v>-3223199.91</v>
          </cell>
          <cell r="T621">
            <v>0</v>
          </cell>
        </row>
        <row r="622">
          <cell r="A622" t="str">
            <v>1400675</v>
          </cell>
          <cell r="Q622">
            <v>-74793.89</v>
          </cell>
          <cell r="T622">
            <v>0</v>
          </cell>
        </row>
        <row r="623">
          <cell r="A623" t="str">
            <v>1400676</v>
          </cell>
          <cell r="Q623">
            <v>-22001.19</v>
          </cell>
          <cell r="T623">
            <v>0</v>
          </cell>
        </row>
        <row r="624">
          <cell r="A624" t="str">
            <v>1400677</v>
          </cell>
          <cell r="Q624">
            <v>-525894.51</v>
          </cell>
          <cell r="T624">
            <v>0</v>
          </cell>
        </row>
        <row r="625">
          <cell r="A625" t="str">
            <v>1400678</v>
          </cell>
          <cell r="Q625">
            <v>-628786.93000000005</v>
          </cell>
          <cell r="T625">
            <v>0</v>
          </cell>
        </row>
        <row r="626">
          <cell r="A626" t="str">
            <v>1400679</v>
          </cell>
          <cell r="Q626">
            <v>-2201897.5099999998</v>
          </cell>
          <cell r="T626">
            <v>0</v>
          </cell>
        </row>
        <row r="627">
          <cell r="A627" t="str">
            <v>1400680</v>
          </cell>
          <cell r="Q627">
            <v>-928064.09</v>
          </cell>
          <cell r="T627">
            <v>0</v>
          </cell>
        </row>
        <row r="628">
          <cell r="A628" t="str">
            <v>1400681</v>
          </cell>
          <cell r="Q628">
            <v>-53351.62</v>
          </cell>
          <cell r="T628">
            <v>0</v>
          </cell>
        </row>
        <row r="629">
          <cell r="A629" t="str">
            <v>1400682</v>
          </cell>
          <cell r="Q629">
            <v>-150654.79999999999</v>
          </cell>
          <cell r="T629">
            <v>0</v>
          </cell>
        </row>
        <row r="630">
          <cell r="A630" t="str">
            <v>1400683</v>
          </cell>
          <cell r="Q630">
            <v>-243893.11</v>
          </cell>
          <cell r="T630">
            <v>0</v>
          </cell>
        </row>
        <row r="631">
          <cell r="A631" t="str">
            <v>1400687</v>
          </cell>
          <cell r="Q631">
            <v>-1930133.89</v>
          </cell>
          <cell r="T631">
            <v>0</v>
          </cell>
        </row>
        <row r="632">
          <cell r="A632" t="str">
            <v>1400688</v>
          </cell>
          <cell r="Q632">
            <v>-86490</v>
          </cell>
          <cell r="T632">
            <v>0</v>
          </cell>
        </row>
        <row r="633">
          <cell r="A633" t="str">
            <v>1400689</v>
          </cell>
          <cell r="Q633">
            <v>-1040200.78</v>
          </cell>
          <cell r="T633">
            <v>0</v>
          </cell>
        </row>
        <row r="634">
          <cell r="A634" t="str">
            <v>1400690</v>
          </cell>
          <cell r="Q634">
            <v>-10307.549999999999</v>
          </cell>
          <cell r="T634">
            <v>0</v>
          </cell>
        </row>
        <row r="635">
          <cell r="A635" t="str">
            <v>1400691</v>
          </cell>
          <cell r="Q635">
            <v>-31802.82</v>
          </cell>
          <cell r="T635">
            <v>0</v>
          </cell>
        </row>
        <row r="636">
          <cell r="A636" t="str">
            <v>1400692</v>
          </cell>
          <cell r="Q636">
            <v>-23133.66</v>
          </cell>
          <cell r="T636">
            <v>0</v>
          </cell>
        </row>
        <row r="637">
          <cell r="A637" t="str">
            <v>1400694</v>
          </cell>
          <cell r="Q637">
            <v>-2432.9299999999998</v>
          </cell>
          <cell r="T637">
            <v>0</v>
          </cell>
        </row>
        <row r="638">
          <cell r="A638" t="str">
            <v>1400699</v>
          </cell>
          <cell r="Q638">
            <v>-11580.36</v>
          </cell>
          <cell r="T638">
            <v>0</v>
          </cell>
        </row>
        <row r="639">
          <cell r="A639" t="str">
            <v>1400702</v>
          </cell>
          <cell r="Q639">
            <v>-30656</v>
          </cell>
          <cell r="T639">
            <v>0</v>
          </cell>
        </row>
        <row r="640">
          <cell r="A640" t="str">
            <v>1400706</v>
          </cell>
          <cell r="Q640">
            <v>-33778.07</v>
          </cell>
          <cell r="T640">
            <v>0</v>
          </cell>
        </row>
        <row r="641">
          <cell r="A641" t="str">
            <v>1400707</v>
          </cell>
          <cell r="Q641">
            <v>-456644.1</v>
          </cell>
          <cell r="T641">
            <v>0</v>
          </cell>
        </row>
        <row r="642">
          <cell r="A642" t="str">
            <v>1400709</v>
          </cell>
          <cell r="Q642">
            <v>-15949.52</v>
          </cell>
          <cell r="T642">
            <v>0</v>
          </cell>
        </row>
        <row r="643">
          <cell r="A643" t="str">
            <v>1400710</v>
          </cell>
          <cell r="Q643">
            <v>-47848.55</v>
          </cell>
          <cell r="T643">
            <v>0</v>
          </cell>
        </row>
        <row r="644">
          <cell r="A644" t="str">
            <v>1400713</v>
          </cell>
          <cell r="Q644">
            <v>-49486.52</v>
          </cell>
          <cell r="T644">
            <v>0</v>
          </cell>
        </row>
        <row r="645">
          <cell r="A645" t="str">
            <v>1400715</v>
          </cell>
          <cell r="Q645">
            <v>-101727.67</v>
          </cell>
          <cell r="T645">
            <v>0</v>
          </cell>
        </row>
        <row r="646">
          <cell r="A646" t="str">
            <v>1400717</v>
          </cell>
          <cell r="Q646">
            <v>-2381.29</v>
          </cell>
          <cell r="T646">
            <v>0</v>
          </cell>
        </row>
        <row r="647">
          <cell r="A647" t="str">
            <v>1400718</v>
          </cell>
          <cell r="Q647">
            <v>-48009.13</v>
          </cell>
          <cell r="T647">
            <v>0</v>
          </cell>
        </row>
        <row r="648">
          <cell r="A648" t="str">
            <v>1400720</v>
          </cell>
          <cell r="Q648">
            <v>-18734.36</v>
          </cell>
          <cell r="T648">
            <v>0</v>
          </cell>
        </row>
        <row r="649">
          <cell r="A649" t="str">
            <v>1400731</v>
          </cell>
          <cell r="Q649">
            <v>-16177.9</v>
          </cell>
          <cell r="T649">
            <v>0</v>
          </cell>
        </row>
        <row r="650">
          <cell r="A650" t="str">
            <v>1400732</v>
          </cell>
          <cell r="Q650">
            <v>-6408.16</v>
          </cell>
          <cell r="T650">
            <v>0</v>
          </cell>
        </row>
        <row r="651">
          <cell r="A651" t="str">
            <v>1400733</v>
          </cell>
          <cell r="Q651">
            <v>-557856.23</v>
          </cell>
          <cell r="T651">
            <v>0</v>
          </cell>
        </row>
        <row r="652">
          <cell r="A652" t="str">
            <v>1400734</v>
          </cell>
          <cell r="Q652">
            <v>-524498.13</v>
          </cell>
          <cell r="T652">
            <v>0</v>
          </cell>
        </row>
        <row r="653">
          <cell r="A653" t="str">
            <v>1400735</v>
          </cell>
          <cell r="Q653">
            <v>-990627.43</v>
          </cell>
          <cell r="T653">
            <v>0</v>
          </cell>
        </row>
        <row r="654">
          <cell r="A654" t="str">
            <v>1400742</v>
          </cell>
          <cell r="Q654">
            <v>-163059.72</v>
          </cell>
          <cell r="T654">
            <v>0</v>
          </cell>
        </row>
        <row r="655">
          <cell r="A655" t="str">
            <v>1400743</v>
          </cell>
          <cell r="Q655">
            <v>-349706.66</v>
          </cell>
          <cell r="T655">
            <v>0</v>
          </cell>
        </row>
        <row r="656">
          <cell r="A656" t="str">
            <v>1400749</v>
          </cell>
          <cell r="Q656">
            <v>-14397943.09</v>
          </cell>
          <cell r="T656">
            <v>0</v>
          </cell>
        </row>
        <row r="657">
          <cell r="A657" t="str">
            <v>1400750</v>
          </cell>
          <cell r="Q657">
            <v>-667500.80000000005</v>
          </cell>
          <cell r="T657">
            <v>0</v>
          </cell>
        </row>
        <row r="658">
          <cell r="A658" t="str">
            <v>1400751</v>
          </cell>
          <cell r="Q658">
            <v>-893767.91</v>
          </cell>
          <cell r="T658">
            <v>0</v>
          </cell>
        </row>
        <row r="659">
          <cell r="A659" t="str">
            <v>1400752</v>
          </cell>
          <cell r="Q659">
            <v>-896849.87</v>
          </cell>
          <cell r="T659">
            <v>0</v>
          </cell>
        </row>
        <row r="660">
          <cell r="A660" t="str">
            <v>1400753</v>
          </cell>
          <cell r="Q660">
            <v>-184147.01</v>
          </cell>
          <cell r="T660">
            <v>0</v>
          </cell>
        </row>
        <row r="661">
          <cell r="A661" t="str">
            <v>1400754</v>
          </cell>
          <cell r="Q661">
            <v>-1307777.6499999999</v>
          </cell>
          <cell r="T661">
            <v>0</v>
          </cell>
        </row>
        <row r="662">
          <cell r="A662" t="str">
            <v>1400755</v>
          </cell>
          <cell r="Q662">
            <v>-215737.08</v>
          </cell>
          <cell r="T662">
            <v>0</v>
          </cell>
        </row>
        <row r="663">
          <cell r="A663" t="str">
            <v>1400756</v>
          </cell>
          <cell r="Q663">
            <v>-224212.47</v>
          </cell>
          <cell r="T663">
            <v>0</v>
          </cell>
        </row>
        <row r="664">
          <cell r="A664" t="str">
            <v>1400757</v>
          </cell>
          <cell r="Q664">
            <v>-8062950.8600000003</v>
          </cell>
          <cell r="T664">
            <v>0</v>
          </cell>
        </row>
        <row r="665">
          <cell r="A665" t="str">
            <v>1400758</v>
          </cell>
          <cell r="Q665">
            <v>-482840.14</v>
          </cell>
          <cell r="T665">
            <v>0</v>
          </cell>
        </row>
        <row r="666">
          <cell r="A666" t="str">
            <v>1400759</v>
          </cell>
          <cell r="Q666">
            <v>-270441.84000000003</v>
          </cell>
          <cell r="T666">
            <v>0</v>
          </cell>
        </row>
        <row r="667">
          <cell r="A667" t="str">
            <v>1400760</v>
          </cell>
          <cell r="Q667">
            <v>-81671.899999999994</v>
          </cell>
          <cell r="T667">
            <v>0</v>
          </cell>
        </row>
        <row r="668">
          <cell r="A668" t="str">
            <v>1400761</v>
          </cell>
          <cell r="Q668">
            <v>-264534.75</v>
          </cell>
          <cell r="T668">
            <v>0</v>
          </cell>
        </row>
        <row r="669">
          <cell r="A669" t="str">
            <v>1400762</v>
          </cell>
          <cell r="Q669">
            <v>-78589.929999999993</v>
          </cell>
          <cell r="T669">
            <v>0</v>
          </cell>
        </row>
        <row r="670">
          <cell r="A670" t="str">
            <v>1400763</v>
          </cell>
          <cell r="Q670">
            <v>-205463.89</v>
          </cell>
          <cell r="T670">
            <v>0</v>
          </cell>
        </row>
        <row r="671">
          <cell r="A671" t="str">
            <v>1400764</v>
          </cell>
          <cell r="Q671">
            <v>-2342288.35</v>
          </cell>
          <cell r="T671">
            <v>0</v>
          </cell>
        </row>
        <row r="672">
          <cell r="A672" t="str">
            <v>1400765</v>
          </cell>
          <cell r="Q672">
            <v>-204334.74</v>
          </cell>
          <cell r="T672">
            <v>0</v>
          </cell>
        </row>
        <row r="673">
          <cell r="A673" t="str">
            <v>1400766</v>
          </cell>
          <cell r="Q673">
            <v>-1969114.54</v>
          </cell>
          <cell r="T673">
            <v>0</v>
          </cell>
        </row>
        <row r="674">
          <cell r="A674" t="str">
            <v>1400767</v>
          </cell>
          <cell r="Q674">
            <v>-159491.35</v>
          </cell>
          <cell r="T674">
            <v>0</v>
          </cell>
        </row>
        <row r="675">
          <cell r="A675" t="str">
            <v>1400770</v>
          </cell>
          <cell r="Q675">
            <v>-52906.95</v>
          </cell>
          <cell r="T675">
            <v>0</v>
          </cell>
        </row>
        <row r="676">
          <cell r="A676" t="str">
            <v>1400771</v>
          </cell>
          <cell r="Q676">
            <v>-1171144.1499999999</v>
          </cell>
          <cell r="T676">
            <v>0</v>
          </cell>
        </row>
        <row r="677">
          <cell r="A677" t="str">
            <v>1400772</v>
          </cell>
          <cell r="Q677">
            <v>-20546.39</v>
          </cell>
          <cell r="T677">
            <v>0</v>
          </cell>
        </row>
        <row r="678">
          <cell r="A678" t="str">
            <v>1400773</v>
          </cell>
          <cell r="Q678">
            <v>-1540979.16</v>
          </cell>
          <cell r="T678">
            <v>0</v>
          </cell>
        </row>
        <row r="679">
          <cell r="A679" t="str">
            <v>1400779</v>
          </cell>
          <cell r="Q679">
            <v>-265860.98</v>
          </cell>
          <cell r="T679">
            <v>0</v>
          </cell>
        </row>
        <row r="680">
          <cell r="A680" t="str">
            <v>1400781</v>
          </cell>
          <cell r="Q680">
            <v>-3736890.33</v>
          </cell>
          <cell r="T680">
            <v>0</v>
          </cell>
        </row>
        <row r="681">
          <cell r="A681" t="str">
            <v>1400782</v>
          </cell>
          <cell r="Q681">
            <v>-166425.75</v>
          </cell>
          <cell r="T681">
            <v>0</v>
          </cell>
        </row>
        <row r="682">
          <cell r="A682" t="str">
            <v>1400783</v>
          </cell>
          <cell r="Q682">
            <v>-278917.23</v>
          </cell>
          <cell r="T682">
            <v>0</v>
          </cell>
        </row>
        <row r="683">
          <cell r="A683" t="str">
            <v>1400784</v>
          </cell>
          <cell r="Q683">
            <v>-277376.25</v>
          </cell>
          <cell r="T683">
            <v>0</v>
          </cell>
        </row>
        <row r="684">
          <cell r="A684" t="str">
            <v>1400785</v>
          </cell>
          <cell r="Q684">
            <v>-20546.39</v>
          </cell>
          <cell r="T684">
            <v>0</v>
          </cell>
        </row>
        <row r="685">
          <cell r="A685" t="str">
            <v>1400786</v>
          </cell>
          <cell r="Q685">
            <v>-3081958.34</v>
          </cell>
          <cell r="T685">
            <v>0</v>
          </cell>
        </row>
        <row r="686">
          <cell r="A686" t="str">
            <v>1400787</v>
          </cell>
          <cell r="Q686">
            <v>-582490.13</v>
          </cell>
          <cell r="T686">
            <v>0</v>
          </cell>
        </row>
        <row r="687">
          <cell r="A687" t="str">
            <v>1400788</v>
          </cell>
          <cell r="Q687">
            <v>-616391.67000000004</v>
          </cell>
          <cell r="T687">
            <v>0</v>
          </cell>
        </row>
        <row r="688">
          <cell r="A688" t="str">
            <v>1400789</v>
          </cell>
          <cell r="Q688">
            <v>-203409.25</v>
          </cell>
          <cell r="T688">
            <v>0</v>
          </cell>
        </row>
        <row r="689">
          <cell r="A689" t="str">
            <v>1400790</v>
          </cell>
          <cell r="Q689">
            <v>-31590.07</v>
          </cell>
          <cell r="T689">
            <v>0</v>
          </cell>
        </row>
        <row r="690">
          <cell r="A690" t="str">
            <v>1400792</v>
          </cell>
          <cell r="Q690">
            <v>-181321.89</v>
          </cell>
          <cell r="T690">
            <v>0</v>
          </cell>
        </row>
        <row r="691">
          <cell r="A691" t="str">
            <v>1400796</v>
          </cell>
          <cell r="Q691">
            <v>-2229283.2000000002</v>
          </cell>
          <cell r="T691">
            <v>0</v>
          </cell>
        </row>
        <row r="692">
          <cell r="A692" t="str">
            <v>1400797</v>
          </cell>
          <cell r="Q692">
            <v>-419146.34</v>
          </cell>
          <cell r="T692">
            <v>0</v>
          </cell>
        </row>
        <row r="693">
          <cell r="A693" t="str">
            <v>1400798</v>
          </cell>
          <cell r="Q693">
            <v>-241420.09</v>
          </cell>
          <cell r="T693">
            <v>0</v>
          </cell>
        </row>
        <row r="694">
          <cell r="A694" t="str">
            <v>1400799</v>
          </cell>
          <cell r="Q694">
            <v>-108895.85</v>
          </cell>
          <cell r="T694">
            <v>0</v>
          </cell>
        </row>
        <row r="695">
          <cell r="A695" t="str">
            <v>1400800</v>
          </cell>
          <cell r="Q695">
            <v>-82185.570000000007</v>
          </cell>
          <cell r="T695">
            <v>0</v>
          </cell>
        </row>
        <row r="696">
          <cell r="A696" t="str">
            <v>1400801</v>
          </cell>
          <cell r="Q696">
            <v>-213168.77</v>
          </cell>
          <cell r="T696">
            <v>0</v>
          </cell>
        </row>
        <row r="697">
          <cell r="A697" t="str">
            <v>1400802</v>
          </cell>
          <cell r="Q697">
            <v>-1453657.02</v>
          </cell>
          <cell r="T697">
            <v>0</v>
          </cell>
        </row>
        <row r="698">
          <cell r="A698" t="str">
            <v>1400803</v>
          </cell>
          <cell r="Q698">
            <v>-126360.3</v>
          </cell>
          <cell r="T698">
            <v>0</v>
          </cell>
        </row>
        <row r="699">
          <cell r="A699" t="str">
            <v>1400804</v>
          </cell>
          <cell r="Q699">
            <v>-6343724.4800000004</v>
          </cell>
          <cell r="T699">
            <v>0</v>
          </cell>
        </row>
        <row r="700">
          <cell r="A700" t="str">
            <v>1400805</v>
          </cell>
          <cell r="Q700">
            <v>-3889367.4</v>
          </cell>
          <cell r="T700">
            <v>0</v>
          </cell>
        </row>
        <row r="701">
          <cell r="A701" t="str">
            <v>1400806</v>
          </cell>
          <cell r="Q701">
            <v>-1171144.1499999999</v>
          </cell>
          <cell r="T701">
            <v>0</v>
          </cell>
        </row>
        <row r="702">
          <cell r="A702" t="str">
            <v>1400807</v>
          </cell>
          <cell r="Q702">
            <v>-152556.92000000001</v>
          </cell>
          <cell r="T702">
            <v>0</v>
          </cell>
        </row>
        <row r="703">
          <cell r="A703" t="str">
            <v>1400808</v>
          </cell>
          <cell r="Q703">
            <v>-288163.09999999998</v>
          </cell>
          <cell r="T703">
            <v>0</v>
          </cell>
        </row>
        <row r="704">
          <cell r="A704" t="str">
            <v>1400809</v>
          </cell>
          <cell r="Q704">
            <v>-485408.43</v>
          </cell>
          <cell r="T704">
            <v>0</v>
          </cell>
        </row>
        <row r="705">
          <cell r="A705" t="str">
            <v>1400810</v>
          </cell>
          <cell r="Q705">
            <v>-577867.18000000005</v>
          </cell>
          <cell r="T705">
            <v>0</v>
          </cell>
        </row>
        <row r="706">
          <cell r="A706" t="str">
            <v>1400811</v>
          </cell>
          <cell r="Q706">
            <v>-1350668.24</v>
          </cell>
          <cell r="T706">
            <v>0</v>
          </cell>
        </row>
        <row r="707">
          <cell r="A707" t="str">
            <v>1400812</v>
          </cell>
          <cell r="Q707">
            <v>-1656552.61</v>
          </cell>
          <cell r="T707">
            <v>0</v>
          </cell>
        </row>
        <row r="708">
          <cell r="A708" t="str">
            <v>1400813</v>
          </cell>
          <cell r="Q708">
            <v>-260425.48</v>
          </cell>
          <cell r="T708">
            <v>0</v>
          </cell>
        </row>
        <row r="709">
          <cell r="A709" t="str">
            <v>1400814</v>
          </cell>
          <cell r="Q709">
            <v>-129442.25</v>
          </cell>
          <cell r="T709">
            <v>0</v>
          </cell>
        </row>
        <row r="710">
          <cell r="A710" t="str">
            <v>1400815</v>
          </cell>
          <cell r="Q710">
            <v>-1030658.24</v>
          </cell>
          <cell r="T710">
            <v>0</v>
          </cell>
        </row>
        <row r="711">
          <cell r="A711" t="str">
            <v>1400816</v>
          </cell>
          <cell r="Q711">
            <v>-1261805.1200000001</v>
          </cell>
          <cell r="T711">
            <v>0</v>
          </cell>
        </row>
        <row r="712">
          <cell r="A712" t="str">
            <v>1400817</v>
          </cell>
          <cell r="Q712">
            <v>-3253263.84</v>
          </cell>
          <cell r="T712">
            <v>0</v>
          </cell>
        </row>
        <row r="713">
          <cell r="A713" t="str">
            <v>1400818</v>
          </cell>
          <cell r="Q713">
            <v>-1409225.46</v>
          </cell>
          <cell r="T713">
            <v>0</v>
          </cell>
        </row>
        <row r="714">
          <cell r="A714" t="str">
            <v>1400819</v>
          </cell>
          <cell r="Q714">
            <v>-260939.13</v>
          </cell>
          <cell r="T714">
            <v>0</v>
          </cell>
        </row>
        <row r="715">
          <cell r="A715" t="str">
            <v>1400820</v>
          </cell>
          <cell r="Q715">
            <v>-30991020.329999998</v>
          </cell>
          <cell r="T715">
            <v>0</v>
          </cell>
        </row>
        <row r="716">
          <cell r="A716" t="str">
            <v>1400821</v>
          </cell>
          <cell r="Q716">
            <v>-527271.71</v>
          </cell>
          <cell r="T716">
            <v>0</v>
          </cell>
        </row>
        <row r="717">
          <cell r="A717" t="str">
            <v>1400822</v>
          </cell>
          <cell r="Q717">
            <v>-366496.23</v>
          </cell>
          <cell r="T717">
            <v>0</v>
          </cell>
        </row>
        <row r="718">
          <cell r="A718" t="str">
            <v>1400823</v>
          </cell>
          <cell r="Q718">
            <v>-390381.37</v>
          </cell>
          <cell r="T718">
            <v>0</v>
          </cell>
        </row>
        <row r="719">
          <cell r="A719" t="str">
            <v>1400824</v>
          </cell>
          <cell r="Q719">
            <v>-308195.83</v>
          </cell>
          <cell r="T719">
            <v>0</v>
          </cell>
        </row>
        <row r="720">
          <cell r="A720" t="str">
            <v>1400825</v>
          </cell>
          <cell r="Q720">
            <v>-1540465.51</v>
          </cell>
          <cell r="T720">
            <v>0</v>
          </cell>
        </row>
        <row r="721">
          <cell r="A721" t="str">
            <v>1400826</v>
          </cell>
          <cell r="Q721">
            <v>-1689940.47</v>
          </cell>
          <cell r="T721">
            <v>0</v>
          </cell>
        </row>
        <row r="722">
          <cell r="A722" t="str">
            <v>1400827</v>
          </cell>
          <cell r="Q722">
            <v>-1702781.99</v>
          </cell>
          <cell r="T722">
            <v>0</v>
          </cell>
        </row>
        <row r="723">
          <cell r="A723" t="str">
            <v>1400828</v>
          </cell>
          <cell r="Q723">
            <v>-344152.01</v>
          </cell>
          <cell r="T723">
            <v>0</v>
          </cell>
        </row>
        <row r="724">
          <cell r="A724" t="str">
            <v>1400829</v>
          </cell>
          <cell r="Q724">
            <v>-860380.05</v>
          </cell>
          <cell r="T724">
            <v>0</v>
          </cell>
        </row>
        <row r="725">
          <cell r="A725" t="str">
            <v>1400830</v>
          </cell>
          <cell r="Q725">
            <v>-1610323.24</v>
          </cell>
          <cell r="T725">
            <v>0</v>
          </cell>
        </row>
        <row r="726">
          <cell r="A726" t="str">
            <v>1400831</v>
          </cell>
          <cell r="Q726">
            <v>-561686.91</v>
          </cell>
          <cell r="T726">
            <v>0</v>
          </cell>
        </row>
        <row r="727">
          <cell r="A727" t="str">
            <v>1400832</v>
          </cell>
          <cell r="Q727">
            <v>-635653.91</v>
          </cell>
          <cell r="T727">
            <v>0</v>
          </cell>
        </row>
        <row r="728">
          <cell r="A728" t="str">
            <v>1400833</v>
          </cell>
          <cell r="Q728">
            <v>-2225944.42</v>
          </cell>
          <cell r="T728">
            <v>0</v>
          </cell>
        </row>
        <row r="729">
          <cell r="A729" t="str">
            <v>1400834</v>
          </cell>
          <cell r="Q729">
            <v>-218305.41</v>
          </cell>
          <cell r="T729">
            <v>0</v>
          </cell>
        </row>
        <row r="730">
          <cell r="A730" t="str">
            <v>1400835</v>
          </cell>
          <cell r="Q730">
            <v>-11248985.699999999</v>
          </cell>
          <cell r="T730">
            <v>0</v>
          </cell>
        </row>
        <row r="731">
          <cell r="A731" t="str">
            <v>1400836</v>
          </cell>
          <cell r="Q731">
            <v>-1027319.44</v>
          </cell>
          <cell r="T731">
            <v>0</v>
          </cell>
        </row>
        <row r="732">
          <cell r="A732" t="str">
            <v>1400837</v>
          </cell>
          <cell r="Q732">
            <v>-54371.58</v>
          </cell>
          <cell r="T732">
            <v>0</v>
          </cell>
        </row>
        <row r="733">
          <cell r="A733" t="str">
            <v>1400838</v>
          </cell>
          <cell r="Q733">
            <v>-283125.06</v>
          </cell>
          <cell r="T733">
            <v>0</v>
          </cell>
        </row>
        <row r="734">
          <cell r="A734" t="str">
            <v>1400839</v>
          </cell>
          <cell r="Q734">
            <v>-45696428.960000001</v>
          </cell>
          <cell r="T734">
            <v>0</v>
          </cell>
        </row>
        <row r="735">
          <cell r="A735" t="str">
            <v>1400854</v>
          </cell>
          <cell r="Q735">
            <v>-322269.58</v>
          </cell>
          <cell r="T735">
            <v>0</v>
          </cell>
        </row>
        <row r="736">
          <cell r="A736" t="str">
            <v>1400855</v>
          </cell>
          <cell r="Q736">
            <v>-66017.59</v>
          </cell>
          <cell r="T736">
            <v>0</v>
          </cell>
        </row>
        <row r="737">
          <cell r="A737" t="str">
            <v>1400856</v>
          </cell>
          <cell r="Q737">
            <v>-27152.13</v>
          </cell>
          <cell r="T737">
            <v>0</v>
          </cell>
        </row>
        <row r="738">
          <cell r="A738" t="str">
            <v>1400860</v>
          </cell>
          <cell r="Q738">
            <v>-31816.05</v>
          </cell>
          <cell r="T738">
            <v>0</v>
          </cell>
        </row>
        <row r="739">
          <cell r="A739" t="str">
            <v>1400865</v>
          </cell>
          <cell r="Q739">
            <v>-75967.12</v>
          </cell>
          <cell r="T739">
            <v>0</v>
          </cell>
        </row>
        <row r="740">
          <cell r="A740" t="str">
            <v>1400866</v>
          </cell>
          <cell r="Q740">
            <v>-81401.62</v>
          </cell>
          <cell r="T740">
            <v>0</v>
          </cell>
        </row>
        <row r="741">
          <cell r="A741" t="str">
            <v>1400868</v>
          </cell>
          <cell r="Q741">
            <v>-22370.82</v>
          </cell>
          <cell r="T741">
            <v>0</v>
          </cell>
        </row>
        <row r="742">
          <cell r="A742" t="str">
            <v>1400869</v>
          </cell>
          <cell r="Q742">
            <v>-89109.87</v>
          </cell>
          <cell r="T742">
            <v>0</v>
          </cell>
        </row>
        <row r="743">
          <cell r="A743" t="str">
            <v>1400870</v>
          </cell>
          <cell r="Q743">
            <v>-7938.93</v>
          </cell>
          <cell r="T743">
            <v>0</v>
          </cell>
        </row>
        <row r="744">
          <cell r="A744" t="str">
            <v>1400873</v>
          </cell>
          <cell r="Q744">
            <v>-47542.17</v>
          </cell>
          <cell r="T744">
            <v>0</v>
          </cell>
        </row>
        <row r="745">
          <cell r="A745" t="str">
            <v>1400874</v>
          </cell>
          <cell r="Q745">
            <v>-35698.97</v>
          </cell>
          <cell r="T745">
            <v>0</v>
          </cell>
        </row>
        <row r="746">
          <cell r="A746" t="str">
            <v>1400875</v>
          </cell>
          <cell r="Q746">
            <v>-8569.2000000000007</v>
          </cell>
          <cell r="T746">
            <v>0</v>
          </cell>
        </row>
        <row r="747">
          <cell r="A747" t="str">
            <v>1400880</v>
          </cell>
          <cell r="Q747">
            <v>-132653.18</v>
          </cell>
          <cell r="T747">
            <v>0</v>
          </cell>
        </row>
        <row r="748">
          <cell r="A748" t="str">
            <v>1400881</v>
          </cell>
          <cell r="Q748">
            <v>-33437.35</v>
          </cell>
          <cell r="T748">
            <v>0</v>
          </cell>
        </row>
        <row r="749">
          <cell r="A749" t="str">
            <v>1400883</v>
          </cell>
          <cell r="Q749">
            <v>-16262.03</v>
          </cell>
          <cell r="T749">
            <v>0</v>
          </cell>
        </row>
        <row r="750">
          <cell r="A750" t="str">
            <v>1400886</v>
          </cell>
          <cell r="Q750">
            <v>-2621.04</v>
          </cell>
          <cell r="T750">
            <v>0</v>
          </cell>
        </row>
        <row r="751">
          <cell r="A751" t="str">
            <v>1400890</v>
          </cell>
          <cell r="Q751">
            <v>-6049.2</v>
          </cell>
          <cell r="T751">
            <v>0</v>
          </cell>
        </row>
        <row r="752">
          <cell r="A752" t="str">
            <v>1400891</v>
          </cell>
          <cell r="Q752">
            <v>-7035.41</v>
          </cell>
          <cell r="T752">
            <v>0</v>
          </cell>
        </row>
        <row r="753">
          <cell r="A753" t="str">
            <v>1400892</v>
          </cell>
          <cell r="Q753">
            <v>-10701.33</v>
          </cell>
          <cell r="T753">
            <v>0</v>
          </cell>
        </row>
        <row r="754">
          <cell r="A754" t="str">
            <v>1400895</v>
          </cell>
          <cell r="Q754">
            <v>-39371.870000000003</v>
          </cell>
          <cell r="T754">
            <v>0</v>
          </cell>
        </row>
        <row r="755">
          <cell r="A755" t="str">
            <v>1400897</v>
          </cell>
          <cell r="Q755">
            <v>-71447.320000000007</v>
          </cell>
          <cell r="T755">
            <v>0</v>
          </cell>
        </row>
        <row r="756">
          <cell r="A756" t="str">
            <v>1400899</v>
          </cell>
          <cell r="Q756">
            <v>-249107.27</v>
          </cell>
          <cell r="T756">
            <v>0</v>
          </cell>
        </row>
        <row r="757">
          <cell r="A757" t="str">
            <v>1400901</v>
          </cell>
          <cell r="Q757">
            <v>-5939.31</v>
          </cell>
          <cell r="T757">
            <v>0</v>
          </cell>
        </row>
        <row r="758">
          <cell r="A758" t="str">
            <v>1400902</v>
          </cell>
          <cell r="Q758">
            <v>-83924.11</v>
          </cell>
          <cell r="T758">
            <v>0</v>
          </cell>
        </row>
        <row r="759">
          <cell r="A759" t="str">
            <v>1400903</v>
          </cell>
          <cell r="Q759">
            <v>-4092.6</v>
          </cell>
          <cell r="T759">
            <v>0</v>
          </cell>
        </row>
        <row r="760">
          <cell r="A760" t="str">
            <v>1400904</v>
          </cell>
          <cell r="Q760">
            <v>-49452.36</v>
          </cell>
          <cell r="T760">
            <v>0</v>
          </cell>
        </row>
        <row r="761">
          <cell r="A761" t="str">
            <v>1400905</v>
          </cell>
          <cell r="Q761">
            <v>-3896.42</v>
          </cell>
          <cell r="T761">
            <v>0</v>
          </cell>
        </row>
        <row r="762">
          <cell r="A762" t="str">
            <v>1400906</v>
          </cell>
          <cell r="Q762">
            <v>-3896.42</v>
          </cell>
          <cell r="T762">
            <v>0</v>
          </cell>
        </row>
        <row r="763">
          <cell r="A763" t="str">
            <v>1400907</v>
          </cell>
          <cell r="Q763">
            <v>-322747.26</v>
          </cell>
          <cell r="T763">
            <v>0</v>
          </cell>
        </row>
        <row r="764">
          <cell r="A764" t="str">
            <v>1400909</v>
          </cell>
          <cell r="Q764">
            <v>-1381.92</v>
          </cell>
          <cell r="T764">
            <v>0</v>
          </cell>
        </row>
        <row r="765">
          <cell r="A765" t="str">
            <v>1400910</v>
          </cell>
          <cell r="Q765">
            <v>-3164.89</v>
          </cell>
          <cell r="T765">
            <v>0</v>
          </cell>
        </row>
        <row r="766">
          <cell r="A766" t="str">
            <v>1400911</v>
          </cell>
          <cell r="Q766">
            <v>-5833.77</v>
          </cell>
          <cell r="T766">
            <v>0</v>
          </cell>
        </row>
        <row r="767">
          <cell r="A767" t="str">
            <v>1400912</v>
          </cell>
          <cell r="Q767">
            <v>-232074.88</v>
          </cell>
          <cell r="T767">
            <v>0</v>
          </cell>
        </row>
        <row r="768">
          <cell r="A768" t="str">
            <v>1400916</v>
          </cell>
          <cell r="Q768">
            <v>-2338.5</v>
          </cell>
          <cell r="T768">
            <v>0</v>
          </cell>
        </row>
        <row r="769">
          <cell r="A769" t="str">
            <v>1400917</v>
          </cell>
          <cell r="Q769">
            <v>-3481.89</v>
          </cell>
          <cell r="T769">
            <v>0</v>
          </cell>
        </row>
        <row r="770">
          <cell r="A770" t="str">
            <v>1400918</v>
          </cell>
          <cell r="Q770">
            <v>-272488.05</v>
          </cell>
          <cell r="T770">
            <v>0</v>
          </cell>
        </row>
        <row r="771">
          <cell r="A771" t="str">
            <v>1400919</v>
          </cell>
          <cell r="Q771">
            <v>-24934.43</v>
          </cell>
          <cell r="T771">
            <v>0</v>
          </cell>
        </row>
        <row r="772">
          <cell r="A772" t="str">
            <v>1400920</v>
          </cell>
          <cell r="Q772">
            <v>-1009.67</v>
          </cell>
          <cell r="T772">
            <v>0</v>
          </cell>
        </row>
        <row r="773">
          <cell r="A773" t="str">
            <v>1400921</v>
          </cell>
          <cell r="Q773">
            <v>-102575.58</v>
          </cell>
          <cell r="T773">
            <v>0</v>
          </cell>
        </row>
        <row r="774">
          <cell r="A774" t="str">
            <v>1400922</v>
          </cell>
          <cell r="Q774">
            <v>-312137.96999999997</v>
          </cell>
          <cell r="T774">
            <v>0</v>
          </cell>
        </row>
        <row r="775">
          <cell r="A775" t="str">
            <v>1400923</v>
          </cell>
          <cell r="Q775">
            <v>-80640.89</v>
          </cell>
          <cell r="T775">
            <v>0</v>
          </cell>
        </row>
        <row r="776">
          <cell r="A776" t="str">
            <v>1400924</v>
          </cell>
          <cell r="Q776">
            <v>-71142.350000000006</v>
          </cell>
          <cell r="T776">
            <v>0</v>
          </cell>
        </row>
        <row r="777">
          <cell r="A777" t="str">
            <v>1400925</v>
          </cell>
          <cell r="Q777">
            <v>-1463.4</v>
          </cell>
          <cell r="T777">
            <v>0</v>
          </cell>
        </row>
        <row r="778">
          <cell r="A778" t="str">
            <v>1400926</v>
          </cell>
          <cell r="Q778">
            <v>-4365.05</v>
          </cell>
          <cell r="T778">
            <v>0</v>
          </cell>
        </row>
        <row r="779">
          <cell r="A779" t="str">
            <v>1400927</v>
          </cell>
          <cell r="Q779">
            <v>-9989.74</v>
          </cell>
          <cell r="T779">
            <v>0</v>
          </cell>
        </row>
        <row r="780">
          <cell r="A780" t="str">
            <v>1400928</v>
          </cell>
          <cell r="Q780">
            <v>-7767.87</v>
          </cell>
          <cell r="T780">
            <v>0</v>
          </cell>
        </row>
        <row r="781">
          <cell r="A781" t="str">
            <v>1400930</v>
          </cell>
          <cell r="Q781">
            <v>-5455.11</v>
          </cell>
          <cell r="T781">
            <v>0</v>
          </cell>
        </row>
        <row r="782">
          <cell r="A782" t="str">
            <v>1400931</v>
          </cell>
          <cell r="Q782">
            <v>-13850.45</v>
          </cell>
          <cell r="T782">
            <v>0</v>
          </cell>
        </row>
        <row r="783">
          <cell r="A783" t="str">
            <v>1400933</v>
          </cell>
          <cell r="Q783">
            <v>-5946.13</v>
          </cell>
          <cell r="T783">
            <v>0</v>
          </cell>
        </row>
        <row r="784">
          <cell r="A784" t="str">
            <v>1400934</v>
          </cell>
          <cell r="Q784">
            <v>-5946.13</v>
          </cell>
          <cell r="T784">
            <v>0</v>
          </cell>
        </row>
        <row r="785">
          <cell r="A785" t="str">
            <v>1400935</v>
          </cell>
          <cell r="Q785">
            <v>-5946.13</v>
          </cell>
          <cell r="T785">
            <v>0</v>
          </cell>
        </row>
        <row r="786">
          <cell r="A786" t="str">
            <v>1400936</v>
          </cell>
          <cell r="Q786">
            <v>-5946.13</v>
          </cell>
          <cell r="T786">
            <v>0</v>
          </cell>
        </row>
        <row r="787">
          <cell r="A787" t="str">
            <v>1400937</v>
          </cell>
          <cell r="Q787">
            <v>-8772.08</v>
          </cell>
          <cell r="T787">
            <v>0</v>
          </cell>
        </row>
        <row r="788">
          <cell r="A788" t="str">
            <v>1400941</v>
          </cell>
          <cell r="Q788">
            <v>-10345.23</v>
          </cell>
          <cell r="T788">
            <v>0</v>
          </cell>
        </row>
        <row r="789">
          <cell r="A789" t="str">
            <v>1400946</v>
          </cell>
          <cell r="Q789">
            <v>-126839.63</v>
          </cell>
          <cell r="T789">
            <v>0</v>
          </cell>
        </row>
        <row r="790">
          <cell r="A790" t="str">
            <v>1400947</v>
          </cell>
          <cell r="Q790">
            <v>-2009.41</v>
          </cell>
          <cell r="T790">
            <v>0</v>
          </cell>
        </row>
        <row r="791">
          <cell r="A791" t="str">
            <v>1400948</v>
          </cell>
          <cell r="Q791">
            <v>-54713.58</v>
          </cell>
          <cell r="T791">
            <v>0</v>
          </cell>
        </row>
        <row r="792">
          <cell r="A792" t="str">
            <v>1400949</v>
          </cell>
          <cell r="Q792">
            <v>-392031.24</v>
          </cell>
          <cell r="T792">
            <v>0</v>
          </cell>
        </row>
        <row r="793">
          <cell r="A793" t="str">
            <v>1400950</v>
          </cell>
          <cell r="Q793">
            <v>-115369.64</v>
          </cell>
          <cell r="T793">
            <v>0</v>
          </cell>
        </row>
        <row r="794">
          <cell r="A794" t="str">
            <v>1400954</v>
          </cell>
          <cell r="Q794">
            <v>-42198.91</v>
          </cell>
          <cell r="T794">
            <v>0</v>
          </cell>
        </row>
        <row r="795">
          <cell r="A795" t="str">
            <v>1401103</v>
          </cell>
          <cell r="Q795">
            <v>-499424.22</v>
          </cell>
          <cell r="T795">
            <v>0</v>
          </cell>
        </row>
        <row r="796">
          <cell r="A796" t="str">
            <v>1401104</v>
          </cell>
          <cell r="Q796">
            <v>-19113.03</v>
          </cell>
          <cell r="T796">
            <v>0</v>
          </cell>
        </row>
        <row r="797">
          <cell r="A797" t="str">
            <v>1401105</v>
          </cell>
          <cell r="Q797">
            <v>-5230.6899999999996</v>
          </cell>
          <cell r="T797">
            <v>0</v>
          </cell>
        </row>
        <row r="798">
          <cell r="A798" t="str">
            <v>1401106</v>
          </cell>
          <cell r="Q798">
            <v>-363660.97</v>
          </cell>
          <cell r="T798">
            <v>0</v>
          </cell>
        </row>
        <row r="799">
          <cell r="A799" t="str">
            <v>1401110</v>
          </cell>
          <cell r="Q799">
            <v>-9899.9</v>
          </cell>
          <cell r="T799">
            <v>0</v>
          </cell>
        </row>
        <row r="800">
          <cell r="A800" t="str">
            <v>1401116</v>
          </cell>
          <cell r="Q800">
            <v>-702559.24</v>
          </cell>
          <cell r="T800">
            <v>0</v>
          </cell>
        </row>
        <row r="801">
          <cell r="A801" t="str">
            <v>1401212</v>
          </cell>
          <cell r="Q801">
            <v>-144285.35999999999</v>
          </cell>
          <cell r="T801">
            <v>0</v>
          </cell>
        </row>
        <row r="802">
          <cell r="A802" t="str">
            <v>1401213</v>
          </cell>
          <cell r="Q802">
            <v>-67919.09</v>
          </cell>
          <cell r="T802">
            <v>0</v>
          </cell>
        </row>
        <row r="803">
          <cell r="A803" t="str">
            <v>1401214</v>
          </cell>
          <cell r="Q803">
            <v>-144198.71</v>
          </cell>
          <cell r="T803">
            <v>0</v>
          </cell>
        </row>
        <row r="804">
          <cell r="A804" t="str">
            <v>1401215</v>
          </cell>
          <cell r="Q804">
            <v>-140249.88</v>
          </cell>
          <cell r="T804">
            <v>0</v>
          </cell>
        </row>
        <row r="805">
          <cell r="A805" t="str">
            <v>1401216</v>
          </cell>
          <cell r="Q805">
            <v>-1706.23</v>
          </cell>
          <cell r="T805">
            <v>0</v>
          </cell>
        </row>
        <row r="806">
          <cell r="A806" t="str">
            <v>1401217</v>
          </cell>
          <cell r="Q806">
            <v>-839.93</v>
          </cell>
          <cell r="T806">
            <v>0</v>
          </cell>
        </row>
        <row r="807">
          <cell r="A807" t="str">
            <v>1401218</v>
          </cell>
          <cell r="Q807">
            <v>-3242.46</v>
          </cell>
          <cell r="T807">
            <v>0</v>
          </cell>
        </row>
        <row r="808">
          <cell r="A808" t="str">
            <v>1401219</v>
          </cell>
          <cell r="Q808">
            <v>-72938.87</v>
          </cell>
          <cell r="T808">
            <v>0</v>
          </cell>
        </row>
        <row r="809">
          <cell r="A809" t="str">
            <v>1401220</v>
          </cell>
          <cell r="Q809">
            <v>-18614.009999999998</v>
          </cell>
          <cell r="T809">
            <v>0</v>
          </cell>
        </row>
        <row r="810">
          <cell r="A810" t="str">
            <v>1401221</v>
          </cell>
          <cell r="Q810">
            <v>-3538214.18</v>
          </cell>
          <cell r="T810">
            <v>0</v>
          </cell>
        </row>
        <row r="811">
          <cell r="A811" t="str">
            <v>1401222</v>
          </cell>
          <cell r="Q811">
            <v>-634337.82999999996</v>
          </cell>
          <cell r="T811">
            <v>0</v>
          </cell>
        </row>
        <row r="812">
          <cell r="A812" t="str">
            <v>1401223</v>
          </cell>
          <cell r="Q812">
            <v>-1303022.19</v>
          </cell>
          <cell r="T812">
            <v>0</v>
          </cell>
        </row>
        <row r="813">
          <cell r="A813" t="str">
            <v>1401224</v>
          </cell>
          <cell r="Q813">
            <v>-6312.8</v>
          </cell>
          <cell r="T813">
            <v>0</v>
          </cell>
        </row>
        <row r="814">
          <cell r="A814" t="str">
            <v>1401225</v>
          </cell>
          <cell r="Q814">
            <v>-539308.41</v>
          </cell>
          <cell r="T814">
            <v>0</v>
          </cell>
        </row>
        <row r="815">
          <cell r="A815" t="str">
            <v>1401226</v>
          </cell>
          <cell r="Q815">
            <v>-239354.58</v>
          </cell>
          <cell r="T815">
            <v>0</v>
          </cell>
        </row>
        <row r="816">
          <cell r="A816" t="str">
            <v>1401227</v>
          </cell>
          <cell r="Q816">
            <v>-3451.1</v>
          </cell>
          <cell r="T816">
            <v>0</v>
          </cell>
        </row>
        <row r="817">
          <cell r="A817" t="str">
            <v>1401228</v>
          </cell>
          <cell r="Q817">
            <v>-8295.73</v>
          </cell>
          <cell r="T817">
            <v>0</v>
          </cell>
        </row>
        <row r="818">
          <cell r="A818" t="str">
            <v>1401229</v>
          </cell>
          <cell r="Q818">
            <v>-5669.23</v>
          </cell>
          <cell r="T818">
            <v>0</v>
          </cell>
        </row>
        <row r="819">
          <cell r="A819" t="str">
            <v>1401230</v>
          </cell>
          <cell r="Q819">
            <v>-40519.81</v>
          </cell>
          <cell r="T819">
            <v>0</v>
          </cell>
        </row>
        <row r="820">
          <cell r="A820" t="str">
            <v>1401231</v>
          </cell>
          <cell r="Q820">
            <v>-65141.68</v>
          </cell>
          <cell r="T820">
            <v>0</v>
          </cell>
        </row>
        <row r="821">
          <cell r="A821" t="str">
            <v>1401232</v>
          </cell>
          <cell r="Q821">
            <v>-5520.99</v>
          </cell>
          <cell r="T821">
            <v>0</v>
          </cell>
        </row>
        <row r="822">
          <cell r="A822" t="str">
            <v>1401233</v>
          </cell>
          <cell r="Q822">
            <v>-31696.76</v>
          </cell>
          <cell r="T822">
            <v>0</v>
          </cell>
        </row>
        <row r="823">
          <cell r="A823" t="str">
            <v>1401234</v>
          </cell>
          <cell r="Q823">
            <v>-2918.46</v>
          </cell>
          <cell r="T823">
            <v>0</v>
          </cell>
        </row>
        <row r="824">
          <cell r="A824" t="str">
            <v>1401235</v>
          </cell>
          <cell r="Q824">
            <v>-256143.23</v>
          </cell>
          <cell r="T824">
            <v>0</v>
          </cell>
        </row>
        <row r="825">
          <cell r="A825" t="str">
            <v>1401236</v>
          </cell>
          <cell r="Q825">
            <v>-189541.4</v>
          </cell>
          <cell r="T825">
            <v>0</v>
          </cell>
        </row>
        <row r="826">
          <cell r="A826" t="str">
            <v>1401237</v>
          </cell>
          <cell r="Q826">
            <v>-269778.18</v>
          </cell>
          <cell r="T826">
            <v>0</v>
          </cell>
        </row>
        <row r="827">
          <cell r="A827" t="str">
            <v>1401238</v>
          </cell>
          <cell r="Q827">
            <v>-206304.28</v>
          </cell>
          <cell r="T827">
            <v>0</v>
          </cell>
        </row>
        <row r="828">
          <cell r="A828" t="str">
            <v>1401239</v>
          </cell>
          <cell r="Q828">
            <v>-210314.64</v>
          </cell>
          <cell r="T828">
            <v>0</v>
          </cell>
        </row>
        <row r="829">
          <cell r="A829" t="str">
            <v>1401304</v>
          </cell>
          <cell r="Q829">
            <v>-3314483.16</v>
          </cell>
          <cell r="T829">
            <v>0</v>
          </cell>
        </row>
        <row r="830">
          <cell r="A830" t="str">
            <v>1401305</v>
          </cell>
          <cell r="Q830">
            <v>-5683667.5199999996</v>
          </cell>
          <cell r="T830">
            <v>0</v>
          </cell>
        </row>
        <row r="831">
          <cell r="A831" t="str">
            <v>1401312</v>
          </cell>
          <cell r="Q831">
            <v>-125047.66</v>
          </cell>
          <cell r="T831">
            <v>0</v>
          </cell>
        </row>
        <row r="832">
          <cell r="A832" t="str">
            <v>1401314</v>
          </cell>
          <cell r="Q832">
            <v>-178043.69</v>
          </cell>
          <cell r="T832">
            <v>0</v>
          </cell>
        </row>
        <row r="833">
          <cell r="A833" t="str">
            <v>1401339</v>
          </cell>
          <cell r="Q833">
            <v>-191065.5</v>
          </cell>
          <cell r="T833">
            <v>0</v>
          </cell>
        </row>
        <row r="834">
          <cell r="A834" t="str">
            <v>1401340</v>
          </cell>
          <cell r="Q834">
            <v>-73173.45</v>
          </cell>
          <cell r="T834">
            <v>0</v>
          </cell>
        </row>
        <row r="835">
          <cell r="A835" t="str">
            <v>1401341</v>
          </cell>
          <cell r="Q835">
            <v>-54040.35</v>
          </cell>
          <cell r="T835">
            <v>0</v>
          </cell>
        </row>
        <row r="836">
          <cell r="A836" t="str">
            <v>1401342</v>
          </cell>
          <cell r="Q836">
            <v>-14457.15</v>
          </cell>
          <cell r="T836">
            <v>0</v>
          </cell>
        </row>
        <row r="837">
          <cell r="A837" t="str">
            <v>1401344</v>
          </cell>
          <cell r="Q837">
            <v>-14458.13</v>
          </cell>
          <cell r="T837">
            <v>0</v>
          </cell>
        </row>
        <row r="838">
          <cell r="A838" t="str">
            <v>1401351</v>
          </cell>
          <cell r="Q838">
            <v>-167010.65</v>
          </cell>
          <cell r="T838">
            <v>0</v>
          </cell>
        </row>
        <row r="839">
          <cell r="A839" t="str">
            <v>1401363</v>
          </cell>
          <cell r="Q839">
            <v>-12577.1</v>
          </cell>
          <cell r="T839">
            <v>0</v>
          </cell>
        </row>
        <row r="840">
          <cell r="A840" t="str">
            <v>1401368</v>
          </cell>
          <cell r="Q840">
            <v>-4491.82</v>
          </cell>
          <cell r="T840">
            <v>0</v>
          </cell>
        </row>
        <row r="841">
          <cell r="A841" t="str">
            <v>1401369</v>
          </cell>
          <cell r="Q841">
            <v>-14373.83</v>
          </cell>
          <cell r="T841">
            <v>0</v>
          </cell>
        </row>
        <row r="842">
          <cell r="A842" t="str">
            <v>1401372</v>
          </cell>
          <cell r="Q842">
            <v>-4491.82</v>
          </cell>
          <cell r="T842">
            <v>0</v>
          </cell>
        </row>
        <row r="843">
          <cell r="A843" t="str">
            <v>1401375</v>
          </cell>
          <cell r="Q843">
            <v>-35934.57</v>
          </cell>
          <cell r="T843">
            <v>0</v>
          </cell>
        </row>
        <row r="844">
          <cell r="A844" t="str">
            <v>1401376</v>
          </cell>
          <cell r="Q844">
            <v>-22459.11</v>
          </cell>
          <cell r="T844">
            <v>0</v>
          </cell>
        </row>
        <row r="845">
          <cell r="A845" t="str">
            <v>1401379</v>
          </cell>
          <cell r="Q845">
            <v>-1796.73</v>
          </cell>
          <cell r="T845">
            <v>0</v>
          </cell>
        </row>
        <row r="846">
          <cell r="A846" t="str">
            <v>1401380</v>
          </cell>
          <cell r="Q846">
            <v>-22459.11</v>
          </cell>
          <cell r="T846">
            <v>0</v>
          </cell>
        </row>
        <row r="847">
          <cell r="A847" t="str">
            <v>1401382</v>
          </cell>
          <cell r="Q847">
            <v>-4491.82</v>
          </cell>
          <cell r="T847">
            <v>0</v>
          </cell>
        </row>
        <row r="848">
          <cell r="A848" t="str">
            <v>1401385</v>
          </cell>
          <cell r="Q848">
            <v>-2630958.4500000002</v>
          </cell>
          <cell r="T848">
            <v>0</v>
          </cell>
        </row>
        <row r="849">
          <cell r="A849" t="str">
            <v>1401386</v>
          </cell>
          <cell r="Q849">
            <v>-6993335.0499999998</v>
          </cell>
          <cell r="T849">
            <v>0</v>
          </cell>
        </row>
        <row r="850">
          <cell r="A850" t="str">
            <v>1401387</v>
          </cell>
          <cell r="Q850">
            <v>-1103731.32</v>
          </cell>
          <cell r="T850">
            <v>0</v>
          </cell>
        </row>
        <row r="851">
          <cell r="A851" t="str">
            <v>1401388</v>
          </cell>
          <cell r="Q851">
            <v>-272523.83</v>
          </cell>
          <cell r="T851">
            <v>0</v>
          </cell>
        </row>
        <row r="852">
          <cell r="A852" t="str">
            <v>1401389</v>
          </cell>
          <cell r="Q852">
            <v>-132419.06</v>
          </cell>
          <cell r="T852">
            <v>0</v>
          </cell>
        </row>
        <row r="853">
          <cell r="A853" t="str">
            <v>1401391</v>
          </cell>
          <cell r="Q853">
            <v>-212344.64</v>
          </cell>
          <cell r="T853">
            <v>0</v>
          </cell>
        </row>
        <row r="854">
          <cell r="A854" t="str">
            <v>1401392</v>
          </cell>
          <cell r="Q854">
            <v>-127973.23</v>
          </cell>
          <cell r="T854">
            <v>0</v>
          </cell>
        </row>
        <row r="855">
          <cell r="A855" t="str">
            <v>1401393</v>
          </cell>
          <cell r="Q855">
            <v>-17808483.079999998</v>
          </cell>
          <cell r="T855">
            <v>0</v>
          </cell>
        </row>
        <row r="856">
          <cell r="A856" t="str">
            <v>1401394</v>
          </cell>
          <cell r="Q856">
            <v>-10705890.58</v>
          </cell>
          <cell r="T856">
            <v>0</v>
          </cell>
        </row>
        <row r="857">
          <cell r="A857" t="str">
            <v>1401395</v>
          </cell>
          <cell r="Q857">
            <v>-15024981.359999999</v>
          </cell>
          <cell r="T857">
            <v>0</v>
          </cell>
        </row>
        <row r="858">
          <cell r="A858" t="str">
            <v>1401396</v>
          </cell>
          <cell r="Q858">
            <v>-1205507.03</v>
          </cell>
          <cell r="T858">
            <v>0</v>
          </cell>
        </row>
        <row r="859">
          <cell r="A859" t="str">
            <v>1401397</v>
          </cell>
          <cell r="Q859">
            <v>-8938409.4600000009</v>
          </cell>
          <cell r="T859">
            <v>0</v>
          </cell>
        </row>
        <row r="860">
          <cell r="A860" t="str">
            <v>1401398</v>
          </cell>
          <cell r="Q860">
            <v>-427360.09</v>
          </cell>
          <cell r="T860">
            <v>0</v>
          </cell>
        </row>
        <row r="861">
          <cell r="A861" t="str">
            <v>1401409</v>
          </cell>
          <cell r="Q861">
            <v>-666392.05000000005</v>
          </cell>
          <cell r="T861">
            <v>0</v>
          </cell>
        </row>
        <row r="862">
          <cell r="A862" t="str">
            <v>1401410</v>
          </cell>
          <cell r="Q862">
            <v>-601201.52</v>
          </cell>
          <cell r="T862">
            <v>0</v>
          </cell>
        </row>
        <row r="863">
          <cell r="A863" t="str">
            <v>1401411</v>
          </cell>
          <cell r="Q863">
            <v>-115894.26</v>
          </cell>
          <cell r="T863">
            <v>0</v>
          </cell>
        </row>
        <row r="864">
          <cell r="A864" t="str">
            <v>1401413</v>
          </cell>
          <cell r="Q864">
            <v>-72433.919999999998</v>
          </cell>
          <cell r="T864">
            <v>0</v>
          </cell>
        </row>
        <row r="865">
          <cell r="A865" t="str">
            <v>1401414</v>
          </cell>
          <cell r="Q865">
            <v>-144920.89000000001</v>
          </cell>
          <cell r="T865">
            <v>0</v>
          </cell>
        </row>
        <row r="866">
          <cell r="A866" t="str">
            <v>1401415</v>
          </cell>
          <cell r="Q866">
            <v>-1397974.58</v>
          </cell>
          <cell r="T866">
            <v>0</v>
          </cell>
        </row>
        <row r="867">
          <cell r="A867" t="str">
            <v>1401416</v>
          </cell>
          <cell r="Q867">
            <v>-1195159.6299999999</v>
          </cell>
          <cell r="T867">
            <v>0</v>
          </cell>
        </row>
        <row r="868">
          <cell r="A868" t="str">
            <v>1401417</v>
          </cell>
          <cell r="Q868">
            <v>-3775344.91</v>
          </cell>
          <cell r="T868">
            <v>0</v>
          </cell>
        </row>
        <row r="869">
          <cell r="A869" t="str">
            <v>1401418</v>
          </cell>
          <cell r="Q869">
            <v>-28973.56</v>
          </cell>
          <cell r="T869">
            <v>0</v>
          </cell>
        </row>
        <row r="870">
          <cell r="A870" t="str">
            <v>1401419</v>
          </cell>
          <cell r="Q870">
            <v>-456333.68</v>
          </cell>
          <cell r="T870">
            <v>0</v>
          </cell>
        </row>
        <row r="871">
          <cell r="A871" t="str">
            <v>1401420</v>
          </cell>
          <cell r="Q871">
            <v>-43460.36</v>
          </cell>
          <cell r="T871">
            <v>0</v>
          </cell>
        </row>
        <row r="872">
          <cell r="A872" t="str">
            <v>1401421</v>
          </cell>
          <cell r="Q872">
            <v>-314259.89</v>
          </cell>
          <cell r="T872">
            <v>0</v>
          </cell>
        </row>
        <row r="873">
          <cell r="A873" t="str">
            <v>1401422</v>
          </cell>
          <cell r="Q873">
            <v>-99242.75</v>
          </cell>
          <cell r="T873">
            <v>0</v>
          </cell>
        </row>
        <row r="874">
          <cell r="A874" t="str">
            <v>1401423</v>
          </cell>
          <cell r="Q874">
            <v>-90220.7</v>
          </cell>
          <cell r="T874">
            <v>0</v>
          </cell>
        </row>
        <row r="875">
          <cell r="A875" t="str">
            <v>1401424</v>
          </cell>
          <cell r="Q875">
            <v>-387419</v>
          </cell>
          <cell r="T875">
            <v>0</v>
          </cell>
        </row>
        <row r="876">
          <cell r="A876" t="str">
            <v>1401427</v>
          </cell>
          <cell r="Q876">
            <v>-86920.71</v>
          </cell>
          <cell r="T876">
            <v>0</v>
          </cell>
        </row>
        <row r="877">
          <cell r="A877" t="str">
            <v>1401428</v>
          </cell>
          <cell r="Q877">
            <v>-27066.21</v>
          </cell>
          <cell r="T877">
            <v>0</v>
          </cell>
        </row>
        <row r="878">
          <cell r="A878" t="str">
            <v>1401431</v>
          </cell>
          <cell r="Q878">
            <v>-45391.15</v>
          </cell>
          <cell r="T878">
            <v>0</v>
          </cell>
        </row>
        <row r="879">
          <cell r="A879" t="str">
            <v>1401432</v>
          </cell>
          <cell r="Q879">
            <v>-57947.15</v>
          </cell>
          <cell r="T879">
            <v>0</v>
          </cell>
        </row>
        <row r="880">
          <cell r="A880" t="str">
            <v>1401436</v>
          </cell>
          <cell r="Q880">
            <v>-164849.85999999999</v>
          </cell>
          <cell r="T880">
            <v>0</v>
          </cell>
        </row>
        <row r="881">
          <cell r="A881" t="str">
            <v>1401438</v>
          </cell>
          <cell r="Q881">
            <v>-8983.64</v>
          </cell>
          <cell r="T881">
            <v>0</v>
          </cell>
        </row>
        <row r="882">
          <cell r="A882" t="str">
            <v>1401439</v>
          </cell>
          <cell r="Q882">
            <v>-1347.55</v>
          </cell>
          <cell r="T882">
            <v>0</v>
          </cell>
        </row>
        <row r="883">
          <cell r="A883" t="str">
            <v>1401440</v>
          </cell>
          <cell r="Q883">
            <v>-3143828.71</v>
          </cell>
          <cell r="T883">
            <v>0</v>
          </cell>
        </row>
        <row r="884">
          <cell r="A884" t="str">
            <v>1401443</v>
          </cell>
          <cell r="Q884">
            <v>-28350.36</v>
          </cell>
          <cell r="T884">
            <v>0</v>
          </cell>
        </row>
        <row r="885">
          <cell r="A885" t="str">
            <v>1401444</v>
          </cell>
          <cell r="Q885">
            <v>-32377.62</v>
          </cell>
          <cell r="T885">
            <v>0</v>
          </cell>
        </row>
        <row r="886">
          <cell r="A886" t="str">
            <v>1401446</v>
          </cell>
          <cell r="Q886">
            <v>-75454.47</v>
          </cell>
          <cell r="T886">
            <v>0</v>
          </cell>
        </row>
        <row r="887">
          <cell r="A887" t="str">
            <v>1401447</v>
          </cell>
          <cell r="Q887">
            <v>-55844.75</v>
          </cell>
          <cell r="T887">
            <v>0</v>
          </cell>
        </row>
        <row r="888">
          <cell r="A888" t="str">
            <v>1401457</v>
          </cell>
          <cell r="Q888">
            <v>-13609.08</v>
          </cell>
          <cell r="T888">
            <v>0</v>
          </cell>
        </row>
        <row r="889">
          <cell r="A889" t="str">
            <v>1401460</v>
          </cell>
          <cell r="Q889">
            <v>-14659.31</v>
          </cell>
          <cell r="T889">
            <v>0</v>
          </cell>
        </row>
        <row r="890">
          <cell r="A890" t="str">
            <v>1401472</v>
          </cell>
          <cell r="Q890">
            <v>-12672.67</v>
          </cell>
          <cell r="T890">
            <v>0</v>
          </cell>
        </row>
        <row r="891">
          <cell r="A891" t="str">
            <v>1401473</v>
          </cell>
          <cell r="Q891">
            <v>-7331.27</v>
          </cell>
          <cell r="T891">
            <v>0</v>
          </cell>
        </row>
        <row r="892">
          <cell r="A892" t="str">
            <v>1401474</v>
          </cell>
          <cell r="Q892">
            <v>-3409.89</v>
          </cell>
          <cell r="T892">
            <v>0</v>
          </cell>
        </row>
        <row r="893">
          <cell r="A893" t="str">
            <v>1401487</v>
          </cell>
          <cell r="Q893">
            <v>-11258.94</v>
          </cell>
          <cell r="T893">
            <v>0</v>
          </cell>
        </row>
        <row r="894">
          <cell r="A894" t="str">
            <v>1401488</v>
          </cell>
          <cell r="Q894">
            <v>-20612.39</v>
          </cell>
          <cell r="T894">
            <v>0</v>
          </cell>
        </row>
        <row r="895">
          <cell r="A895" t="str">
            <v>1401489</v>
          </cell>
          <cell r="Q895">
            <v>-324351.13</v>
          </cell>
          <cell r="T895">
            <v>0</v>
          </cell>
        </row>
        <row r="896">
          <cell r="A896" t="str">
            <v>1401490</v>
          </cell>
          <cell r="Q896">
            <v>-82788.08</v>
          </cell>
          <cell r="T896">
            <v>0</v>
          </cell>
        </row>
        <row r="897">
          <cell r="A897" t="str">
            <v>1401500</v>
          </cell>
          <cell r="Q897">
            <v>-79627.94</v>
          </cell>
          <cell r="T897">
            <v>0</v>
          </cell>
        </row>
        <row r="898">
          <cell r="A898" t="str">
            <v>1401501</v>
          </cell>
          <cell r="Q898">
            <v>-123113.95</v>
          </cell>
          <cell r="T898">
            <v>0</v>
          </cell>
        </row>
        <row r="899">
          <cell r="A899" t="str">
            <v>1401505</v>
          </cell>
          <cell r="Q899">
            <v>-174146.87</v>
          </cell>
          <cell r="T899">
            <v>0</v>
          </cell>
        </row>
        <row r="900">
          <cell r="A900" t="str">
            <v>1401510</v>
          </cell>
          <cell r="Q900">
            <v>-252791.65</v>
          </cell>
          <cell r="T900">
            <v>0</v>
          </cell>
        </row>
        <row r="901">
          <cell r="A901" t="str">
            <v>1401511</v>
          </cell>
          <cell r="Q901">
            <v>-349191.75</v>
          </cell>
          <cell r="T901">
            <v>0</v>
          </cell>
        </row>
        <row r="902">
          <cell r="A902" t="str">
            <v>1401512</v>
          </cell>
          <cell r="Q902">
            <v>-128273.99</v>
          </cell>
          <cell r="T902">
            <v>0</v>
          </cell>
        </row>
        <row r="903">
          <cell r="A903" t="str">
            <v>1401519</v>
          </cell>
          <cell r="Q903">
            <v>-185.11</v>
          </cell>
          <cell r="T903">
            <v>0</v>
          </cell>
        </row>
        <row r="904">
          <cell r="A904" t="str">
            <v>1401520</v>
          </cell>
          <cell r="Q904">
            <v>-31535.21</v>
          </cell>
          <cell r="T904">
            <v>0</v>
          </cell>
        </row>
        <row r="905">
          <cell r="A905" t="str">
            <v>1401521</v>
          </cell>
          <cell r="Q905">
            <v>-4059.2</v>
          </cell>
          <cell r="T905">
            <v>0</v>
          </cell>
        </row>
        <row r="906">
          <cell r="A906" t="str">
            <v>1401522</v>
          </cell>
          <cell r="Q906">
            <v>-658.35</v>
          </cell>
          <cell r="T906">
            <v>0</v>
          </cell>
        </row>
        <row r="907">
          <cell r="A907" t="str">
            <v>1401523</v>
          </cell>
          <cell r="Q907">
            <v>-13321.59</v>
          </cell>
          <cell r="T907">
            <v>0</v>
          </cell>
        </row>
        <row r="908">
          <cell r="A908" t="str">
            <v>1401540</v>
          </cell>
          <cell r="Q908">
            <v>-10051.02</v>
          </cell>
          <cell r="T908">
            <v>0</v>
          </cell>
        </row>
        <row r="909">
          <cell r="A909" t="str">
            <v>1401543</v>
          </cell>
          <cell r="Q909">
            <v>-209813.47</v>
          </cell>
          <cell r="T909">
            <v>0</v>
          </cell>
        </row>
        <row r="910">
          <cell r="A910" t="str">
            <v>1401547</v>
          </cell>
          <cell r="Q910">
            <v>-204795.24</v>
          </cell>
          <cell r="T910">
            <v>0</v>
          </cell>
        </row>
        <row r="911">
          <cell r="A911" t="str">
            <v>1401548</v>
          </cell>
          <cell r="Q911">
            <v>-449071.24</v>
          </cell>
          <cell r="T911">
            <v>0</v>
          </cell>
        </row>
        <row r="912">
          <cell r="A912" t="str">
            <v>1401549</v>
          </cell>
          <cell r="Q912">
            <v>-451443.32</v>
          </cell>
          <cell r="T912">
            <v>0</v>
          </cell>
        </row>
        <row r="913">
          <cell r="A913" t="str">
            <v>1401556</v>
          </cell>
          <cell r="Q913">
            <v>-2116.2199999999998</v>
          </cell>
          <cell r="T913">
            <v>0</v>
          </cell>
        </row>
        <row r="914">
          <cell r="A914" t="str">
            <v>1401557</v>
          </cell>
          <cell r="Q914">
            <v>-3042</v>
          </cell>
          <cell r="T914">
            <v>0</v>
          </cell>
        </row>
        <row r="915">
          <cell r="A915" t="str">
            <v>1401558</v>
          </cell>
          <cell r="Q915">
            <v>-3478.35</v>
          </cell>
          <cell r="T915">
            <v>0</v>
          </cell>
        </row>
        <row r="916">
          <cell r="A916" t="str">
            <v>1401561</v>
          </cell>
          <cell r="Q916">
            <v>-5141.04</v>
          </cell>
          <cell r="T916">
            <v>0</v>
          </cell>
        </row>
        <row r="917">
          <cell r="A917" t="str">
            <v>1401562</v>
          </cell>
          <cell r="Q917">
            <v>-1348556.78</v>
          </cell>
          <cell r="T917">
            <v>0</v>
          </cell>
        </row>
        <row r="918">
          <cell r="A918" t="str">
            <v>1401563</v>
          </cell>
          <cell r="Q918">
            <v>-1535838.78</v>
          </cell>
          <cell r="T918">
            <v>0</v>
          </cell>
        </row>
        <row r="919">
          <cell r="A919" t="str">
            <v>1401564</v>
          </cell>
          <cell r="Q919">
            <v>-311829.15000000002</v>
          </cell>
          <cell r="T919">
            <v>0</v>
          </cell>
        </row>
        <row r="920">
          <cell r="A920" t="str">
            <v>1401565</v>
          </cell>
          <cell r="Q920">
            <v>-90900.79</v>
          </cell>
          <cell r="T920">
            <v>0</v>
          </cell>
        </row>
        <row r="921">
          <cell r="A921" t="str">
            <v>1401566</v>
          </cell>
          <cell r="Q921">
            <v>-365974.34</v>
          </cell>
          <cell r="T921">
            <v>0</v>
          </cell>
        </row>
        <row r="922">
          <cell r="A922" t="str">
            <v>1401567</v>
          </cell>
          <cell r="Q922">
            <v>-14099.58</v>
          </cell>
          <cell r="T922">
            <v>0</v>
          </cell>
        </row>
        <row r="923">
          <cell r="A923" t="str">
            <v>1401568</v>
          </cell>
          <cell r="Q923">
            <v>-31050.21</v>
          </cell>
          <cell r="T923">
            <v>0</v>
          </cell>
        </row>
        <row r="924">
          <cell r="A924" t="str">
            <v>1401569</v>
          </cell>
          <cell r="Q924">
            <v>-42407.16</v>
          </cell>
          <cell r="T924">
            <v>0</v>
          </cell>
        </row>
        <row r="925">
          <cell r="A925" t="str">
            <v>1401570</v>
          </cell>
          <cell r="Q925">
            <v>-124453.28</v>
          </cell>
          <cell r="T925">
            <v>0</v>
          </cell>
        </row>
        <row r="926">
          <cell r="A926" t="str">
            <v>1401572</v>
          </cell>
          <cell r="Q926">
            <v>-1629.22</v>
          </cell>
          <cell r="T926">
            <v>0</v>
          </cell>
        </row>
        <row r="927">
          <cell r="A927" t="str">
            <v>1401573</v>
          </cell>
          <cell r="Q927">
            <v>-1629.22</v>
          </cell>
          <cell r="T927">
            <v>0</v>
          </cell>
        </row>
        <row r="928">
          <cell r="A928" t="str">
            <v>1401574</v>
          </cell>
          <cell r="Q928">
            <v>-1629.22</v>
          </cell>
          <cell r="T928">
            <v>0</v>
          </cell>
        </row>
        <row r="929">
          <cell r="A929" t="str">
            <v>1401575</v>
          </cell>
          <cell r="Q929">
            <v>-1629.22</v>
          </cell>
          <cell r="T929">
            <v>0</v>
          </cell>
        </row>
        <row r="930">
          <cell r="A930" t="str">
            <v>1401576</v>
          </cell>
          <cell r="Q930">
            <v>-1631.68</v>
          </cell>
          <cell r="T930">
            <v>0</v>
          </cell>
        </row>
        <row r="931">
          <cell r="A931" t="str">
            <v>1401577</v>
          </cell>
          <cell r="Q931">
            <v>-1631.68</v>
          </cell>
          <cell r="T931">
            <v>0</v>
          </cell>
        </row>
        <row r="932">
          <cell r="A932" t="str">
            <v>1401578</v>
          </cell>
          <cell r="Q932">
            <v>-1631.68</v>
          </cell>
          <cell r="T932">
            <v>0</v>
          </cell>
        </row>
        <row r="933">
          <cell r="A933" t="str">
            <v>1401579</v>
          </cell>
          <cell r="Q933">
            <v>-1631.68</v>
          </cell>
          <cell r="T933">
            <v>0</v>
          </cell>
        </row>
        <row r="934">
          <cell r="A934" t="str">
            <v>1401580</v>
          </cell>
          <cell r="Q934">
            <v>-1631.68</v>
          </cell>
          <cell r="T934">
            <v>0</v>
          </cell>
        </row>
        <row r="935">
          <cell r="A935" t="str">
            <v>1401581</v>
          </cell>
          <cell r="Q935">
            <v>-1629.22</v>
          </cell>
          <cell r="T935">
            <v>0</v>
          </cell>
        </row>
        <row r="936">
          <cell r="A936" t="str">
            <v>1401582</v>
          </cell>
          <cell r="Q936">
            <v>-1629.22</v>
          </cell>
          <cell r="T936">
            <v>0</v>
          </cell>
        </row>
        <row r="937">
          <cell r="A937" t="str">
            <v>1401583</v>
          </cell>
          <cell r="Q937">
            <v>-1629.22</v>
          </cell>
          <cell r="T937">
            <v>0</v>
          </cell>
        </row>
        <row r="938">
          <cell r="A938" t="str">
            <v>1401584</v>
          </cell>
          <cell r="Q938">
            <v>-1629.22</v>
          </cell>
          <cell r="T938">
            <v>0</v>
          </cell>
        </row>
        <row r="939">
          <cell r="A939" t="str">
            <v>1401585</v>
          </cell>
          <cell r="Q939">
            <v>-1629.22</v>
          </cell>
          <cell r="T939">
            <v>0</v>
          </cell>
        </row>
        <row r="940">
          <cell r="A940" t="str">
            <v>1401586</v>
          </cell>
          <cell r="Q940">
            <v>-1629.22</v>
          </cell>
          <cell r="T940">
            <v>0</v>
          </cell>
        </row>
        <row r="941">
          <cell r="A941" t="str">
            <v>1401587</v>
          </cell>
          <cell r="Q941">
            <v>-1629.22</v>
          </cell>
          <cell r="T941">
            <v>0</v>
          </cell>
        </row>
        <row r="942">
          <cell r="A942" t="str">
            <v>1401588</v>
          </cell>
          <cell r="Q942">
            <v>-1629.22</v>
          </cell>
          <cell r="T942">
            <v>0</v>
          </cell>
        </row>
        <row r="943">
          <cell r="A943" t="str">
            <v>1401589</v>
          </cell>
          <cell r="Q943">
            <v>-1629.22</v>
          </cell>
          <cell r="T943">
            <v>0</v>
          </cell>
        </row>
        <row r="944">
          <cell r="A944" t="str">
            <v>1401590</v>
          </cell>
          <cell r="Q944">
            <v>-1629.22</v>
          </cell>
          <cell r="T944">
            <v>0</v>
          </cell>
        </row>
        <row r="945">
          <cell r="A945" t="str">
            <v>1401595</v>
          </cell>
          <cell r="Q945">
            <v>-634.59</v>
          </cell>
          <cell r="T945">
            <v>0</v>
          </cell>
        </row>
        <row r="946">
          <cell r="A946" t="str">
            <v>1401596</v>
          </cell>
          <cell r="Q946">
            <v>-12212.66</v>
          </cell>
          <cell r="T946">
            <v>0</v>
          </cell>
        </row>
        <row r="947">
          <cell r="A947" t="str">
            <v>1401598</v>
          </cell>
          <cell r="Q947">
            <v>-187925.22</v>
          </cell>
          <cell r="T947">
            <v>0</v>
          </cell>
        </row>
        <row r="948">
          <cell r="A948" t="str">
            <v>1401604</v>
          </cell>
          <cell r="Q948">
            <v>-2084659.95</v>
          </cell>
          <cell r="T948">
            <v>0</v>
          </cell>
        </row>
        <row r="949">
          <cell r="A949" t="str">
            <v>1401605</v>
          </cell>
          <cell r="Q949">
            <v>-4428025.8499999996</v>
          </cell>
          <cell r="T949">
            <v>0</v>
          </cell>
        </row>
        <row r="950">
          <cell r="A950" t="str">
            <v>1401606</v>
          </cell>
          <cell r="Q950">
            <v>-878650.38</v>
          </cell>
          <cell r="T950">
            <v>0</v>
          </cell>
        </row>
        <row r="951">
          <cell r="A951" t="str">
            <v>1401607</v>
          </cell>
          <cell r="Q951">
            <v>-50510.98</v>
          </cell>
          <cell r="T951">
            <v>0</v>
          </cell>
        </row>
        <row r="952">
          <cell r="A952" t="str">
            <v>1401608</v>
          </cell>
          <cell r="Q952">
            <v>-36800.86</v>
          </cell>
          <cell r="T952">
            <v>0</v>
          </cell>
        </row>
        <row r="953">
          <cell r="A953" t="str">
            <v>1401609</v>
          </cell>
          <cell r="Q953">
            <v>-230907.3</v>
          </cell>
          <cell r="T953">
            <v>0</v>
          </cell>
        </row>
        <row r="954">
          <cell r="A954" t="str">
            <v>1401619</v>
          </cell>
          <cell r="Q954">
            <v>-10195.950000000001</v>
          </cell>
          <cell r="T954">
            <v>0</v>
          </cell>
        </row>
        <row r="955">
          <cell r="A955" t="str">
            <v>1401620</v>
          </cell>
          <cell r="Q955">
            <v>-12501.36</v>
          </cell>
          <cell r="T955">
            <v>0</v>
          </cell>
        </row>
        <row r="956">
          <cell r="A956" t="str">
            <v>1401621</v>
          </cell>
          <cell r="Q956">
            <v>-379032.45</v>
          </cell>
          <cell r="T956">
            <v>0</v>
          </cell>
        </row>
        <row r="957">
          <cell r="A957" t="str">
            <v>1401624</v>
          </cell>
          <cell r="Q957">
            <v>-180049.96</v>
          </cell>
          <cell r="T957">
            <v>0</v>
          </cell>
        </row>
        <row r="958">
          <cell r="A958" t="str">
            <v>1401625</v>
          </cell>
          <cell r="Q958">
            <v>-1569928.5</v>
          </cell>
          <cell r="T958">
            <v>0</v>
          </cell>
        </row>
        <row r="959">
          <cell r="A959" t="str">
            <v>1401627</v>
          </cell>
          <cell r="Q959">
            <v>-64867.839999999997</v>
          </cell>
          <cell r="T959">
            <v>0</v>
          </cell>
        </row>
        <row r="960">
          <cell r="A960" t="str">
            <v>1401628</v>
          </cell>
          <cell r="Q960">
            <v>-18642.11</v>
          </cell>
          <cell r="T960">
            <v>0</v>
          </cell>
        </row>
        <row r="961">
          <cell r="A961" t="str">
            <v>1401629</v>
          </cell>
          <cell r="Q961">
            <v>-13691.76</v>
          </cell>
          <cell r="T961">
            <v>0</v>
          </cell>
        </row>
        <row r="962">
          <cell r="A962" t="str">
            <v>1401630</v>
          </cell>
          <cell r="Q962">
            <v>-28388.82</v>
          </cell>
          <cell r="T962">
            <v>0</v>
          </cell>
        </row>
        <row r="963">
          <cell r="A963" t="str">
            <v>1401638</v>
          </cell>
          <cell r="Q963">
            <v>-428862.07</v>
          </cell>
          <cell r="T963">
            <v>0</v>
          </cell>
        </row>
        <row r="964">
          <cell r="A964" t="str">
            <v>1401639</v>
          </cell>
          <cell r="Q964">
            <v>-1082088.77</v>
          </cell>
          <cell r="T964">
            <v>0</v>
          </cell>
        </row>
        <row r="965">
          <cell r="A965" t="str">
            <v>1401640</v>
          </cell>
          <cell r="Q965">
            <v>-2970483.82</v>
          </cell>
          <cell r="T965">
            <v>0</v>
          </cell>
        </row>
        <row r="966">
          <cell r="A966" t="str">
            <v>1401641</v>
          </cell>
          <cell r="Q966">
            <v>-1844782.44</v>
          </cell>
          <cell r="T966">
            <v>0</v>
          </cell>
        </row>
        <row r="967">
          <cell r="A967" t="str">
            <v>1401642</v>
          </cell>
          <cell r="Q967">
            <v>-1512534.32</v>
          </cell>
          <cell r="T967">
            <v>0</v>
          </cell>
        </row>
        <row r="968">
          <cell r="A968" t="str">
            <v>1401643</v>
          </cell>
          <cell r="Q968">
            <v>-162660.03</v>
          </cell>
          <cell r="T968">
            <v>0</v>
          </cell>
        </row>
        <row r="969">
          <cell r="A969" t="str">
            <v>1401644</v>
          </cell>
          <cell r="Q969">
            <v>-142665.38</v>
          </cell>
          <cell r="T969">
            <v>0</v>
          </cell>
        </row>
        <row r="970">
          <cell r="A970" t="str">
            <v>1401645</v>
          </cell>
          <cell r="Q970">
            <v>-1668947.86</v>
          </cell>
          <cell r="T970">
            <v>0</v>
          </cell>
        </row>
        <row r="971">
          <cell r="A971" t="str">
            <v>1401646</v>
          </cell>
          <cell r="Q971">
            <v>-2580803.7400000002</v>
          </cell>
          <cell r="T971">
            <v>0</v>
          </cell>
        </row>
        <row r="972">
          <cell r="A972" t="str">
            <v>1401648</v>
          </cell>
          <cell r="Q972">
            <v>-10441891.390000001</v>
          </cell>
          <cell r="T972">
            <v>0</v>
          </cell>
        </row>
        <row r="973">
          <cell r="A973" t="str">
            <v>1401649</v>
          </cell>
          <cell r="Q973">
            <v>-4589662.03</v>
          </cell>
          <cell r="T973">
            <v>0</v>
          </cell>
        </row>
        <row r="974">
          <cell r="A974" t="str">
            <v>1401650</v>
          </cell>
          <cell r="Q974">
            <v>-4450932.8899999997</v>
          </cell>
          <cell r="T974">
            <v>0</v>
          </cell>
        </row>
        <row r="975">
          <cell r="A975" t="str">
            <v>1401651</v>
          </cell>
          <cell r="Q975">
            <v>-3339184.79</v>
          </cell>
          <cell r="T975">
            <v>0</v>
          </cell>
        </row>
        <row r="976">
          <cell r="A976" t="str">
            <v>1401652</v>
          </cell>
          <cell r="Q976">
            <v>-4874102.3099999996</v>
          </cell>
          <cell r="T976">
            <v>0</v>
          </cell>
        </row>
        <row r="977">
          <cell r="A977" t="str">
            <v>1401653</v>
          </cell>
          <cell r="Q977">
            <v>-9819293.25</v>
          </cell>
          <cell r="T977">
            <v>0</v>
          </cell>
        </row>
        <row r="978">
          <cell r="A978" t="str">
            <v>1401654</v>
          </cell>
          <cell r="Q978">
            <v>-869849.03</v>
          </cell>
          <cell r="T978">
            <v>0</v>
          </cell>
        </row>
        <row r="979">
          <cell r="A979" t="str">
            <v>1401655</v>
          </cell>
          <cell r="Q979">
            <v>-283897.53999999998</v>
          </cell>
          <cell r="T979">
            <v>0</v>
          </cell>
        </row>
        <row r="980">
          <cell r="A980" t="str">
            <v>1401656</v>
          </cell>
          <cell r="Q980">
            <v>-1006346.49</v>
          </cell>
          <cell r="T980">
            <v>0</v>
          </cell>
        </row>
        <row r="981">
          <cell r="A981" t="str">
            <v>1401657</v>
          </cell>
          <cell r="Q981">
            <v>-1006346.49</v>
          </cell>
          <cell r="T981">
            <v>0</v>
          </cell>
        </row>
        <row r="982">
          <cell r="A982" t="str">
            <v>1401658</v>
          </cell>
          <cell r="Q982">
            <v>-756791.24</v>
          </cell>
          <cell r="T982">
            <v>0</v>
          </cell>
        </row>
        <row r="983">
          <cell r="A983" t="str">
            <v>1401659</v>
          </cell>
          <cell r="Q983">
            <v>-602807.6</v>
          </cell>
          <cell r="T983">
            <v>0</v>
          </cell>
        </row>
        <row r="984">
          <cell r="A984" t="str">
            <v>1401660</v>
          </cell>
          <cell r="Q984">
            <v>-298448.71999999997</v>
          </cell>
          <cell r="T984">
            <v>0</v>
          </cell>
        </row>
        <row r="985">
          <cell r="A985" t="str">
            <v>1401661</v>
          </cell>
          <cell r="Q985">
            <v>-1095974.2</v>
          </cell>
          <cell r="T985">
            <v>0</v>
          </cell>
        </row>
        <row r="986">
          <cell r="A986" t="str">
            <v>1401662</v>
          </cell>
          <cell r="Q986">
            <v>-2474336.38</v>
          </cell>
          <cell r="T986">
            <v>0</v>
          </cell>
        </row>
        <row r="987">
          <cell r="A987" t="str">
            <v>1401663</v>
          </cell>
          <cell r="Q987">
            <v>-151410.12</v>
          </cell>
          <cell r="T987">
            <v>0</v>
          </cell>
        </row>
        <row r="988">
          <cell r="A988" t="str">
            <v>1401664</v>
          </cell>
          <cell r="Q988">
            <v>-1661836.08</v>
          </cell>
          <cell r="T988">
            <v>0</v>
          </cell>
        </row>
        <row r="989">
          <cell r="A989" t="str">
            <v>1401665</v>
          </cell>
          <cell r="Q989">
            <v>-186474.94</v>
          </cell>
          <cell r="T989">
            <v>0</v>
          </cell>
        </row>
        <row r="990">
          <cell r="A990" t="str">
            <v>1401666</v>
          </cell>
          <cell r="Q990">
            <v>-419124.4</v>
          </cell>
          <cell r="T990">
            <v>0</v>
          </cell>
        </row>
        <row r="991">
          <cell r="A991" t="str">
            <v>1401668</v>
          </cell>
          <cell r="Q991">
            <v>-27582.85</v>
          </cell>
          <cell r="T991">
            <v>0</v>
          </cell>
        </row>
        <row r="992">
          <cell r="A992" t="str">
            <v>1401669</v>
          </cell>
          <cell r="Q992">
            <v>-796963.74</v>
          </cell>
          <cell r="T992">
            <v>0</v>
          </cell>
        </row>
        <row r="993">
          <cell r="A993" t="str">
            <v>1401670</v>
          </cell>
          <cell r="Q993">
            <v>-596471.96</v>
          </cell>
          <cell r="T993">
            <v>0</v>
          </cell>
        </row>
        <row r="994">
          <cell r="A994" t="str">
            <v>1401671</v>
          </cell>
          <cell r="Q994">
            <v>-850654.66</v>
          </cell>
          <cell r="T994">
            <v>0</v>
          </cell>
        </row>
        <row r="995">
          <cell r="A995" t="str">
            <v>1401672</v>
          </cell>
          <cell r="Q995">
            <v>-192197.66</v>
          </cell>
          <cell r="T995">
            <v>0</v>
          </cell>
        </row>
        <row r="996">
          <cell r="A996" t="str">
            <v>1401673</v>
          </cell>
          <cell r="Q996">
            <v>-254939.18</v>
          </cell>
          <cell r="T996">
            <v>0</v>
          </cell>
        </row>
        <row r="997">
          <cell r="A997" t="str">
            <v>1401674</v>
          </cell>
          <cell r="Q997">
            <v>-293846.09000000003</v>
          </cell>
          <cell r="T997">
            <v>0</v>
          </cell>
        </row>
        <row r="998">
          <cell r="A998" t="str">
            <v>1401675</v>
          </cell>
          <cell r="Q998">
            <v>-839761.96</v>
          </cell>
          <cell r="T998">
            <v>0</v>
          </cell>
        </row>
        <row r="999">
          <cell r="A999" t="str">
            <v>1401676</v>
          </cell>
          <cell r="Q999">
            <v>-492790.17</v>
          </cell>
          <cell r="T999">
            <v>0</v>
          </cell>
        </row>
        <row r="1000">
          <cell r="A1000" t="str">
            <v>1401677</v>
          </cell>
          <cell r="Q1000">
            <v>-57989.03</v>
          </cell>
          <cell r="T1000">
            <v>0</v>
          </cell>
        </row>
        <row r="1001">
          <cell r="A1001" t="str">
            <v>1401679</v>
          </cell>
          <cell r="Q1001">
            <v>-11923442.35</v>
          </cell>
          <cell r="T1001">
            <v>0</v>
          </cell>
        </row>
        <row r="1002">
          <cell r="A1002" t="str">
            <v>1401680</v>
          </cell>
          <cell r="Q1002">
            <v>-201563.27</v>
          </cell>
          <cell r="T1002">
            <v>0</v>
          </cell>
        </row>
        <row r="1003">
          <cell r="A1003" t="str">
            <v>1401681</v>
          </cell>
          <cell r="Q1003">
            <v>-196057.01</v>
          </cell>
          <cell r="T1003">
            <v>0</v>
          </cell>
        </row>
        <row r="1004">
          <cell r="A1004" t="str">
            <v>1401682</v>
          </cell>
          <cell r="Q1004">
            <v>-114928.83</v>
          </cell>
          <cell r="T1004">
            <v>0</v>
          </cell>
        </row>
        <row r="1005">
          <cell r="A1005" t="str">
            <v>1401683</v>
          </cell>
          <cell r="Q1005">
            <v>-26094.55</v>
          </cell>
          <cell r="T1005">
            <v>0</v>
          </cell>
        </row>
        <row r="1006">
          <cell r="A1006" t="str">
            <v>1401684</v>
          </cell>
          <cell r="Q1006">
            <v>-46685.09</v>
          </cell>
          <cell r="T1006">
            <v>0</v>
          </cell>
        </row>
        <row r="1007">
          <cell r="A1007" t="str">
            <v>1401687</v>
          </cell>
          <cell r="Q1007">
            <v>-699445.63</v>
          </cell>
          <cell r="T1007">
            <v>0</v>
          </cell>
        </row>
        <row r="1008">
          <cell r="A1008" t="str">
            <v>1401688</v>
          </cell>
          <cell r="Q1008">
            <v>-147117.79</v>
          </cell>
          <cell r="T1008">
            <v>0</v>
          </cell>
        </row>
        <row r="1009">
          <cell r="A1009" t="str">
            <v>1401689</v>
          </cell>
          <cell r="Q1009">
            <v>-45088.45</v>
          </cell>
          <cell r="T1009">
            <v>0</v>
          </cell>
        </row>
        <row r="1010">
          <cell r="A1010" t="str">
            <v>1401690</v>
          </cell>
          <cell r="Q1010">
            <v>-165600.92000000001</v>
          </cell>
          <cell r="T1010">
            <v>0</v>
          </cell>
        </row>
        <row r="1011">
          <cell r="A1011" t="str">
            <v>1401691</v>
          </cell>
          <cell r="Q1011">
            <v>-238403.66</v>
          </cell>
          <cell r="T1011">
            <v>0</v>
          </cell>
        </row>
        <row r="1012">
          <cell r="A1012" t="str">
            <v>1401692</v>
          </cell>
          <cell r="Q1012">
            <v>-127812.53</v>
          </cell>
          <cell r="T1012">
            <v>0</v>
          </cell>
        </row>
        <row r="1013">
          <cell r="A1013" t="str">
            <v>1401693</v>
          </cell>
          <cell r="Q1013">
            <v>-16337.71</v>
          </cell>
          <cell r="T1013">
            <v>0</v>
          </cell>
        </row>
        <row r="1014">
          <cell r="A1014" t="str">
            <v>1401694</v>
          </cell>
          <cell r="Q1014">
            <v>-16472.53</v>
          </cell>
          <cell r="T1014">
            <v>0</v>
          </cell>
        </row>
        <row r="1015">
          <cell r="A1015" t="str">
            <v>1401695</v>
          </cell>
          <cell r="Q1015">
            <v>-8111.14</v>
          </cell>
          <cell r="T1015">
            <v>0</v>
          </cell>
        </row>
        <row r="1016">
          <cell r="A1016" t="str">
            <v>1401697</v>
          </cell>
          <cell r="Q1016">
            <v>-67163.56</v>
          </cell>
          <cell r="T1016">
            <v>0</v>
          </cell>
        </row>
        <row r="1017">
          <cell r="A1017" t="str">
            <v>1401698</v>
          </cell>
          <cell r="Q1017">
            <v>-371428.15</v>
          </cell>
          <cell r="T1017">
            <v>0</v>
          </cell>
        </row>
        <row r="1018">
          <cell r="A1018" t="str">
            <v>1401700</v>
          </cell>
          <cell r="Q1018">
            <v>-48671.01</v>
          </cell>
          <cell r="T1018">
            <v>0</v>
          </cell>
        </row>
        <row r="1019">
          <cell r="A1019" t="str">
            <v>1401704</v>
          </cell>
          <cell r="Q1019">
            <v>-197430.18</v>
          </cell>
          <cell r="T1019">
            <v>0</v>
          </cell>
        </row>
        <row r="1020">
          <cell r="A1020" t="str">
            <v>1401706</v>
          </cell>
          <cell r="Q1020">
            <v>-48853.14</v>
          </cell>
          <cell r="T1020">
            <v>0</v>
          </cell>
        </row>
        <row r="1021">
          <cell r="A1021" t="str">
            <v>1401707</v>
          </cell>
          <cell r="Q1021">
            <v>-20338.25</v>
          </cell>
          <cell r="T1021">
            <v>0</v>
          </cell>
        </row>
        <row r="1022">
          <cell r="A1022" t="str">
            <v>1401708</v>
          </cell>
          <cell r="Q1022">
            <v>-131923.04</v>
          </cell>
          <cell r="T1022">
            <v>0</v>
          </cell>
        </row>
        <row r="1023">
          <cell r="A1023" t="str">
            <v>1401710</v>
          </cell>
          <cell r="Q1023">
            <v>-26912.23</v>
          </cell>
          <cell r="T1023">
            <v>0</v>
          </cell>
        </row>
        <row r="1024">
          <cell r="A1024" t="str">
            <v>1401713</v>
          </cell>
          <cell r="Q1024">
            <v>-40711.94</v>
          </cell>
          <cell r="T1024">
            <v>0</v>
          </cell>
        </row>
        <row r="1025">
          <cell r="A1025" t="str">
            <v>1401721</v>
          </cell>
          <cell r="Q1025">
            <v>-8612.23</v>
          </cell>
          <cell r="T1025">
            <v>0</v>
          </cell>
        </row>
        <row r="1026">
          <cell r="A1026" t="str">
            <v>1401723</v>
          </cell>
          <cell r="Q1026">
            <v>-44029.41</v>
          </cell>
          <cell r="T1026">
            <v>0</v>
          </cell>
        </row>
        <row r="1027">
          <cell r="A1027" t="str">
            <v>1401842</v>
          </cell>
          <cell r="Q1027">
            <v>-86906.23</v>
          </cell>
          <cell r="T1027">
            <v>0</v>
          </cell>
        </row>
        <row r="1028">
          <cell r="A1028" t="str">
            <v>1401844</v>
          </cell>
          <cell r="Q1028">
            <v>-87733.97</v>
          </cell>
          <cell r="T1028">
            <v>0</v>
          </cell>
        </row>
        <row r="1029">
          <cell r="A1029" t="str">
            <v>1401845</v>
          </cell>
          <cell r="Q1029">
            <v>-6792.32</v>
          </cell>
          <cell r="T1029">
            <v>0</v>
          </cell>
        </row>
        <row r="1030">
          <cell r="A1030" t="str">
            <v>1401849</v>
          </cell>
          <cell r="Q1030">
            <v>-447.15</v>
          </cell>
          <cell r="T1030">
            <v>0</v>
          </cell>
        </row>
        <row r="1031">
          <cell r="A1031" t="str">
            <v>1401857</v>
          </cell>
          <cell r="Q1031">
            <v>-823237.85</v>
          </cell>
          <cell r="T1031">
            <v>0</v>
          </cell>
        </row>
        <row r="1032">
          <cell r="A1032" t="str">
            <v>1401858</v>
          </cell>
          <cell r="Q1032">
            <v>-1242766.4099999999</v>
          </cell>
          <cell r="T1032">
            <v>0</v>
          </cell>
        </row>
        <row r="1033">
          <cell r="A1033" t="str">
            <v>1401863</v>
          </cell>
          <cell r="Q1033">
            <v>-50351.87</v>
          </cell>
          <cell r="T1033">
            <v>0</v>
          </cell>
        </row>
        <row r="1034">
          <cell r="A1034" t="str">
            <v>1401864</v>
          </cell>
          <cell r="Q1034">
            <v>-191692.81</v>
          </cell>
          <cell r="T1034">
            <v>0</v>
          </cell>
        </row>
        <row r="1035">
          <cell r="A1035" t="str">
            <v>1401865</v>
          </cell>
          <cell r="Q1035">
            <v>-132172.91</v>
          </cell>
          <cell r="T1035">
            <v>0</v>
          </cell>
        </row>
        <row r="1036">
          <cell r="A1036" t="str">
            <v>1401866</v>
          </cell>
          <cell r="Q1036">
            <v>-4964.5600000000004</v>
          </cell>
          <cell r="T1036">
            <v>0</v>
          </cell>
        </row>
        <row r="1037">
          <cell r="A1037" t="str">
            <v>1401871</v>
          </cell>
          <cell r="Q1037">
            <v>-241416.2</v>
          </cell>
          <cell r="T1037">
            <v>0</v>
          </cell>
        </row>
        <row r="1038">
          <cell r="A1038" t="str">
            <v>1401872</v>
          </cell>
          <cell r="Q1038">
            <v>-140345.5</v>
          </cell>
          <cell r="T1038">
            <v>0</v>
          </cell>
        </row>
        <row r="1039">
          <cell r="A1039" t="str">
            <v>1401873</v>
          </cell>
          <cell r="Q1039">
            <v>-194844.03</v>
          </cell>
          <cell r="T1039">
            <v>0</v>
          </cell>
        </row>
        <row r="1040">
          <cell r="A1040" t="str">
            <v>1401874</v>
          </cell>
          <cell r="Q1040">
            <v>-98096</v>
          </cell>
          <cell r="T1040">
            <v>0</v>
          </cell>
        </row>
        <row r="1041">
          <cell r="A1041" t="str">
            <v>1401875</v>
          </cell>
          <cell r="Q1041">
            <v>-11180.58</v>
          </cell>
          <cell r="T1041">
            <v>0</v>
          </cell>
        </row>
        <row r="1042">
          <cell r="A1042" t="str">
            <v>1401876</v>
          </cell>
          <cell r="Q1042">
            <v>-86994.8</v>
          </cell>
          <cell r="T1042">
            <v>0</v>
          </cell>
        </row>
        <row r="1043">
          <cell r="A1043" t="str">
            <v>1401877</v>
          </cell>
          <cell r="Q1043">
            <v>-4366.2299999999996</v>
          </cell>
          <cell r="T1043">
            <v>0</v>
          </cell>
        </row>
        <row r="1044">
          <cell r="A1044" t="str">
            <v>1401878</v>
          </cell>
          <cell r="Q1044">
            <v>-679155.94</v>
          </cell>
          <cell r="T1044">
            <v>0</v>
          </cell>
        </row>
        <row r="1045">
          <cell r="A1045" t="str">
            <v>1401879</v>
          </cell>
          <cell r="Q1045">
            <v>-83073.75</v>
          </cell>
          <cell r="T1045">
            <v>0</v>
          </cell>
        </row>
        <row r="1046">
          <cell r="A1046" t="str">
            <v>1401880</v>
          </cell>
          <cell r="Q1046">
            <v>-52029.83</v>
          </cell>
          <cell r="T1046">
            <v>0</v>
          </cell>
        </row>
        <row r="1047">
          <cell r="A1047" t="str">
            <v>1401888</v>
          </cell>
          <cell r="Q1047">
            <v>-4099.5200000000004</v>
          </cell>
          <cell r="T1047">
            <v>0</v>
          </cell>
        </row>
        <row r="1048">
          <cell r="A1048" t="str">
            <v>1401925</v>
          </cell>
          <cell r="Q1048">
            <v>-34285.919999999998</v>
          </cell>
          <cell r="T1048">
            <v>0</v>
          </cell>
        </row>
        <row r="1049">
          <cell r="A1049" t="str">
            <v>1401926</v>
          </cell>
          <cell r="Q1049">
            <v>-32864.300000000003</v>
          </cell>
          <cell r="T1049">
            <v>0</v>
          </cell>
        </row>
        <row r="1050">
          <cell r="A1050" t="str">
            <v>1401934</v>
          </cell>
          <cell r="Q1050">
            <v>-39319.19</v>
          </cell>
          <cell r="T1050">
            <v>0</v>
          </cell>
        </row>
        <row r="1051">
          <cell r="A1051" t="str">
            <v>1401942</v>
          </cell>
          <cell r="Q1051">
            <v>-161475.18</v>
          </cell>
          <cell r="T1051">
            <v>0</v>
          </cell>
        </row>
        <row r="1052">
          <cell r="A1052" t="str">
            <v>1401943</v>
          </cell>
          <cell r="Q1052">
            <v>-153775.17000000001</v>
          </cell>
          <cell r="T1052">
            <v>0</v>
          </cell>
        </row>
        <row r="1053">
          <cell r="A1053" t="str">
            <v>1401944</v>
          </cell>
          <cell r="Q1053">
            <v>-147320.39000000001</v>
          </cell>
          <cell r="T1053">
            <v>0</v>
          </cell>
        </row>
        <row r="1054">
          <cell r="A1054" t="str">
            <v>1401948</v>
          </cell>
          <cell r="Q1054">
            <v>-46707.4</v>
          </cell>
          <cell r="T1054">
            <v>0</v>
          </cell>
        </row>
        <row r="1055">
          <cell r="A1055" t="str">
            <v>1401949</v>
          </cell>
          <cell r="Q1055">
            <v>-14265.93</v>
          </cell>
          <cell r="T1055">
            <v>0</v>
          </cell>
        </row>
        <row r="1056">
          <cell r="A1056" t="str">
            <v>1401950</v>
          </cell>
          <cell r="Q1056">
            <v>-30582.11</v>
          </cell>
          <cell r="T1056">
            <v>0</v>
          </cell>
        </row>
        <row r="1057">
          <cell r="A1057" t="str">
            <v>1401951</v>
          </cell>
          <cell r="Q1057">
            <v>-21579.19</v>
          </cell>
          <cell r="T1057">
            <v>0</v>
          </cell>
        </row>
        <row r="1058">
          <cell r="A1058" t="str">
            <v>1401952</v>
          </cell>
          <cell r="Q1058">
            <v>-27839.62</v>
          </cell>
          <cell r="T1058">
            <v>0</v>
          </cell>
        </row>
        <row r="1059">
          <cell r="A1059" t="str">
            <v>1401953</v>
          </cell>
          <cell r="Q1059">
            <v>-19122.02</v>
          </cell>
          <cell r="T1059">
            <v>0</v>
          </cell>
        </row>
        <row r="1060">
          <cell r="A1060" t="str">
            <v>1401954</v>
          </cell>
          <cell r="Q1060">
            <v>-20410.599999999999</v>
          </cell>
          <cell r="T1060">
            <v>0</v>
          </cell>
        </row>
        <row r="1061">
          <cell r="A1061" t="str">
            <v>1401955</v>
          </cell>
          <cell r="Q1061">
            <v>-7070.48</v>
          </cell>
          <cell r="T1061">
            <v>0</v>
          </cell>
        </row>
        <row r="1062">
          <cell r="A1062" t="str">
            <v>1401960</v>
          </cell>
          <cell r="Q1062">
            <v>-87310.55</v>
          </cell>
          <cell r="T1062">
            <v>0</v>
          </cell>
        </row>
        <row r="1063">
          <cell r="A1063" t="str">
            <v>1401961</v>
          </cell>
          <cell r="Q1063">
            <v>-49494.35</v>
          </cell>
          <cell r="T1063">
            <v>0</v>
          </cell>
        </row>
        <row r="1064">
          <cell r="A1064" t="str">
            <v>1401962</v>
          </cell>
          <cell r="Q1064">
            <v>-6586.99</v>
          </cell>
          <cell r="T1064">
            <v>0</v>
          </cell>
        </row>
        <row r="1065">
          <cell r="A1065" t="str">
            <v>1401964</v>
          </cell>
          <cell r="Q1065">
            <v>-487015.36</v>
          </cell>
          <cell r="T1065">
            <v>0</v>
          </cell>
        </row>
        <row r="1066">
          <cell r="A1066" t="str">
            <v>1401965</v>
          </cell>
          <cell r="Q1066">
            <v>-125267.38</v>
          </cell>
          <cell r="T1066">
            <v>0</v>
          </cell>
        </row>
        <row r="1067">
          <cell r="A1067" t="str">
            <v>1401969</v>
          </cell>
          <cell r="Q1067">
            <v>-152265.21</v>
          </cell>
          <cell r="T1067">
            <v>0</v>
          </cell>
        </row>
        <row r="1068">
          <cell r="A1068" t="str">
            <v>1401970</v>
          </cell>
          <cell r="Q1068">
            <v>-646.54999999999995</v>
          </cell>
          <cell r="T1068">
            <v>0</v>
          </cell>
        </row>
        <row r="1069">
          <cell r="A1069" t="str">
            <v>1401971</v>
          </cell>
          <cell r="Q1069">
            <v>-343.71</v>
          </cell>
          <cell r="T1069">
            <v>0</v>
          </cell>
        </row>
        <row r="1070">
          <cell r="A1070" t="str">
            <v>1401973</v>
          </cell>
          <cell r="Q1070">
            <v>-2454.4299999999998</v>
          </cell>
          <cell r="T1070">
            <v>0</v>
          </cell>
        </row>
        <row r="1071">
          <cell r="A1071" t="str">
            <v>1401979</v>
          </cell>
          <cell r="Q1071">
            <v>-9300683.5800000001</v>
          </cell>
          <cell r="T1071">
            <v>0</v>
          </cell>
        </row>
        <row r="1072">
          <cell r="A1072" t="str">
            <v>1401980</v>
          </cell>
          <cell r="Q1072">
            <v>0</v>
          </cell>
          <cell r="T1072">
            <v>0</v>
          </cell>
        </row>
        <row r="1073">
          <cell r="A1073" t="str">
            <v>1401981</v>
          </cell>
          <cell r="Q1073">
            <v>-1111457.6399999999</v>
          </cell>
          <cell r="T1073">
            <v>0</v>
          </cell>
        </row>
        <row r="1074">
          <cell r="A1074" t="str">
            <v>1401982</v>
          </cell>
          <cell r="Q1074">
            <v>-402594.41</v>
          </cell>
          <cell r="T1074">
            <v>0</v>
          </cell>
        </row>
        <row r="1075">
          <cell r="A1075" t="str">
            <v>1401983</v>
          </cell>
          <cell r="Q1075">
            <v>0</v>
          </cell>
          <cell r="T1075">
            <v>0</v>
          </cell>
        </row>
        <row r="1076">
          <cell r="A1076" t="str">
            <v>1401984</v>
          </cell>
          <cell r="Q1076">
            <v>-2222.84</v>
          </cell>
          <cell r="T1076">
            <v>0</v>
          </cell>
        </row>
        <row r="1077">
          <cell r="A1077" t="str">
            <v>1401989</v>
          </cell>
          <cell r="Q1077">
            <v>-124370.18</v>
          </cell>
          <cell r="T1077">
            <v>0</v>
          </cell>
        </row>
        <row r="1078">
          <cell r="A1078" t="str">
            <v>1401997</v>
          </cell>
          <cell r="Q1078">
            <v>-4055.47</v>
          </cell>
          <cell r="T1078">
            <v>0</v>
          </cell>
        </row>
        <row r="1079">
          <cell r="A1079" t="str">
            <v>1401998</v>
          </cell>
          <cell r="Q1079">
            <v>-290248.90000000002</v>
          </cell>
          <cell r="T1079">
            <v>0</v>
          </cell>
        </row>
        <row r="1080">
          <cell r="A1080" t="str">
            <v>1402009</v>
          </cell>
          <cell r="Q1080">
            <v>-2386.25</v>
          </cell>
          <cell r="T1080">
            <v>0</v>
          </cell>
        </row>
        <row r="1081">
          <cell r="A1081" t="str">
            <v>1402010</v>
          </cell>
          <cell r="Q1081">
            <v>-615.35</v>
          </cell>
          <cell r="T1081">
            <v>0</v>
          </cell>
        </row>
        <row r="1082">
          <cell r="A1082" t="str">
            <v>1402011</v>
          </cell>
          <cell r="Q1082">
            <v>-1502.57</v>
          </cell>
          <cell r="T1082">
            <v>0</v>
          </cell>
        </row>
        <row r="1083">
          <cell r="A1083" t="str">
            <v>1402012</v>
          </cell>
          <cell r="Q1083">
            <v>-514.85</v>
          </cell>
          <cell r="T1083">
            <v>0</v>
          </cell>
        </row>
        <row r="1084">
          <cell r="A1084" t="str">
            <v>1402016</v>
          </cell>
          <cell r="Q1084">
            <v>-5794.22</v>
          </cell>
          <cell r="T1084">
            <v>0</v>
          </cell>
        </row>
        <row r="1085">
          <cell r="A1085" t="str">
            <v>1402017</v>
          </cell>
          <cell r="Q1085">
            <v>-11150.41</v>
          </cell>
          <cell r="T1085">
            <v>0</v>
          </cell>
        </row>
        <row r="1086">
          <cell r="A1086" t="str">
            <v>1402020</v>
          </cell>
          <cell r="Q1086">
            <v>-12254.69</v>
          </cell>
          <cell r="T1086">
            <v>0</v>
          </cell>
        </row>
        <row r="1087">
          <cell r="A1087" t="str">
            <v>1402021</v>
          </cell>
          <cell r="Q1087">
            <v>-2288.48</v>
          </cell>
          <cell r="T1087">
            <v>0</v>
          </cell>
        </row>
        <row r="1088">
          <cell r="A1088" t="str">
            <v>1402022</v>
          </cell>
          <cell r="Q1088">
            <v>-817.32</v>
          </cell>
          <cell r="T1088">
            <v>0</v>
          </cell>
        </row>
        <row r="1089">
          <cell r="A1089" t="str">
            <v>1402023</v>
          </cell>
          <cell r="Q1089">
            <v>-825.66</v>
          </cell>
          <cell r="T1089">
            <v>0</v>
          </cell>
        </row>
        <row r="1090">
          <cell r="A1090" t="str">
            <v>1402024</v>
          </cell>
          <cell r="Q1090">
            <v>-61.03</v>
          </cell>
          <cell r="T1090">
            <v>0</v>
          </cell>
        </row>
        <row r="1091">
          <cell r="A1091" t="str">
            <v>1402025</v>
          </cell>
          <cell r="Q1091">
            <v>-25196.82</v>
          </cell>
          <cell r="T1091">
            <v>0</v>
          </cell>
        </row>
        <row r="1092">
          <cell r="A1092" t="str">
            <v>1402026</v>
          </cell>
          <cell r="Q1092">
            <v>-1123.83</v>
          </cell>
          <cell r="T1092">
            <v>0</v>
          </cell>
        </row>
        <row r="1093">
          <cell r="A1093" t="str">
            <v>1402027</v>
          </cell>
          <cell r="Q1093">
            <v>-12656.46</v>
          </cell>
          <cell r="T1093">
            <v>0</v>
          </cell>
        </row>
        <row r="1094">
          <cell r="A1094" t="str">
            <v>1402037</v>
          </cell>
          <cell r="Q1094">
            <v>-118.95</v>
          </cell>
          <cell r="T1094">
            <v>0</v>
          </cell>
        </row>
        <row r="1095">
          <cell r="A1095" t="str">
            <v>1402040</v>
          </cell>
          <cell r="Q1095">
            <v>0</v>
          </cell>
          <cell r="T1095">
            <v>0</v>
          </cell>
        </row>
        <row r="1096">
          <cell r="A1096" t="str">
            <v>1402041</v>
          </cell>
          <cell r="Q1096">
            <v>-10728.03</v>
          </cell>
          <cell r="T1096">
            <v>0</v>
          </cell>
        </row>
        <row r="1097">
          <cell r="A1097" t="str">
            <v>1402042</v>
          </cell>
          <cell r="Q1097">
            <v>-4691.0600000000004</v>
          </cell>
          <cell r="T1097">
            <v>0</v>
          </cell>
        </row>
        <row r="1098">
          <cell r="A1098" t="str">
            <v>1402046</v>
          </cell>
          <cell r="Q1098">
            <v>-527.44000000000005</v>
          </cell>
          <cell r="T1098">
            <v>0</v>
          </cell>
        </row>
        <row r="1099">
          <cell r="A1099" t="str">
            <v>1402048</v>
          </cell>
          <cell r="Q1099">
            <v>-14282.23</v>
          </cell>
          <cell r="T1099">
            <v>0</v>
          </cell>
        </row>
        <row r="1100">
          <cell r="A1100" t="str">
            <v>1402049</v>
          </cell>
          <cell r="Q1100">
            <v>-3602.34</v>
          </cell>
          <cell r="T1100">
            <v>0</v>
          </cell>
        </row>
        <row r="1101">
          <cell r="A1101" t="str">
            <v>1402050</v>
          </cell>
          <cell r="Q1101">
            <v>-4240.43</v>
          </cell>
          <cell r="T1101">
            <v>0</v>
          </cell>
        </row>
        <row r="1102">
          <cell r="A1102" t="str">
            <v>1402051</v>
          </cell>
          <cell r="Q1102">
            <v>-473859.28</v>
          </cell>
          <cell r="T1102">
            <v>0</v>
          </cell>
        </row>
        <row r="1103">
          <cell r="A1103" t="str">
            <v>1402053</v>
          </cell>
          <cell r="Q1103">
            <v>-1150.31</v>
          </cell>
          <cell r="T1103">
            <v>0</v>
          </cell>
        </row>
        <row r="1104">
          <cell r="A1104" t="str">
            <v>1402054</v>
          </cell>
          <cell r="Q1104">
            <v>-298.48</v>
          </cell>
          <cell r="T1104">
            <v>0</v>
          </cell>
        </row>
        <row r="1105">
          <cell r="A1105" t="str">
            <v>1402056</v>
          </cell>
          <cell r="Q1105">
            <v>-13330.9</v>
          </cell>
          <cell r="T1105">
            <v>0</v>
          </cell>
        </row>
        <row r="1106">
          <cell r="A1106" t="str">
            <v>1402060</v>
          </cell>
          <cell r="Q1106">
            <v>-30246.73</v>
          </cell>
          <cell r="T1106">
            <v>0</v>
          </cell>
        </row>
        <row r="1107">
          <cell r="A1107" t="str">
            <v>1402062</v>
          </cell>
          <cell r="Q1107">
            <v>-724641.61</v>
          </cell>
          <cell r="T1107">
            <v>0</v>
          </cell>
        </row>
        <row r="1108">
          <cell r="A1108" t="str">
            <v>1402063</v>
          </cell>
          <cell r="Q1108">
            <v>-5276.76</v>
          </cell>
          <cell r="T1108">
            <v>0</v>
          </cell>
        </row>
        <row r="1109">
          <cell r="A1109" t="str">
            <v>1402066</v>
          </cell>
          <cell r="Q1109">
            <v>-13016.47</v>
          </cell>
          <cell r="T1109">
            <v>0</v>
          </cell>
        </row>
        <row r="1110">
          <cell r="A1110" t="str">
            <v>1402071</v>
          </cell>
          <cell r="Q1110">
            <v>-4560.33</v>
          </cell>
          <cell r="T1110">
            <v>0</v>
          </cell>
        </row>
        <row r="1111">
          <cell r="A1111" t="str">
            <v>1402073</v>
          </cell>
          <cell r="Q1111">
            <v>-11106.09</v>
          </cell>
          <cell r="T1111">
            <v>0</v>
          </cell>
        </row>
        <row r="1112">
          <cell r="A1112" t="str">
            <v>1402074</v>
          </cell>
          <cell r="Q1112">
            <v>-27286.36</v>
          </cell>
          <cell r="T1112">
            <v>0</v>
          </cell>
        </row>
        <row r="1113">
          <cell r="A1113" t="str">
            <v>1402077</v>
          </cell>
          <cell r="Q1113">
            <v>-66185.899999999994</v>
          </cell>
          <cell r="T1113">
            <v>0</v>
          </cell>
        </row>
        <row r="1114">
          <cell r="A1114" t="str">
            <v>1402078</v>
          </cell>
          <cell r="Q1114">
            <v>-21072.639999999999</v>
          </cell>
          <cell r="T1114">
            <v>0</v>
          </cell>
        </row>
        <row r="1115">
          <cell r="A1115" t="str">
            <v>1402079</v>
          </cell>
          <cell r="Q1115">
            <v>-5938.45</v>
          </cell>
          <cell r="T1115">
            <v>0</v>
          </cell>
        </row>
        <row r="1116">
          <cell r="A1116" t="str">
            <v>1402084</v>
          </cell>
          <cell r="Q1116">
            <v>-284.14</v>
          </cell>
          <cell r="T1116">
            <v>0</v>
          </cell>
        </row>
        <row r="1117">
          <cell r="A1117" t="str">
            <v>1402085</v>
          </cell>
          <cell r="Q1117">
            <v>-24071.06</v>
          </cell>
          <cell r="T1117">
            <v>0</v>
          </cell>
        </row>
        <row r="1118">
          <cell r="A1118" t="str">
            <v>1402088</v>
          </cell>
          <cell r="Q1118">
            <v>-16572</v>
          </cell>
          <cell r="T1118">
            <v>0</v>
          </cell>
        </row>
        <row r="1119">
          <cell r="A1119" t="str">
            <v>1402089</v>
          </cell>
          <cell r="Q1119">
            <v>-175194.79</v>
          </cell>
          <cell r="T1119">
            <v>0</v>
          </cell>
        </row>
        <row r="1120">
          <cell r="A1120" t="str">
            <v>1402090</v>
          </cell>
          <cell r="Q1120">
            <v>-289.83999999999997</v>
          </cell>
          <cell r="T1120">
            <v>0</v>
          </cell>
        </row>
        <row r="1121">
          <cell r="A1121" t="str">
            <v>1402091</v>
          </cell>
          <cell r="Q1121">
            <v>-24.99</v>
          </cell>
          <cell r="T1121">
            <v>0</v>
          </cell>
        </row>
        <row r="1122">
          <cell r="A1122" t="str">
            <v>1402094</v>
          </cell>
          <cell r="Q1122">
            <v>-6728.85</v>
          </cell>
          <cell r="T1122">
            <v>0</v>
          </cell>
        </row>
        <row r="1123">
          <cell r="A1123" t="str">
            <v>1402095</v>
          </cell>
          <cell r="Q1123">
            <v>-51898.53</v>
          </cell>
          <cell r="T1123">
            <v>0</v>
          </cell>
        </row>
        <row r="1124">
          <cell r="A1124" t="str">
            <v>1402096</v>
          </cell>
          <cell r="Q1124">
            <v>-14420.34</v>
          </cell>
          <cell r="T1124">
            <v>0</v>
          </cell>
        </row>
        <row r="1125">
          <cell r="A1125" t="str">
            <v>1402098</v>
          </cell>
          <cell r="Q1125">
            <v>-6752.58</v>
          </cell>
          <cell r="T1125">
            <v>0</v>
          </cell>
        </row>
        <row r="1126">
          <cell r="A1126" t="str">
            <v>1402111</v>
          </cell>
          <cell r="Q1126">
            <v>0</v>
          </cell>
          <cell r="T1126">
            <v>0</v>
          </cell>
        </row>
        <row r="1127">
          <cell r="A1127" t="str">
            <v>1402165</v>
          </cell>
          <cell r="Q1127">
            <v>0</v>
          </cell>
          <cell r="T1127">
            <v>0</v>
          </cell>
        </row>
        <row r="1128">
          <cell r="A1128" t="str">
            <v>1402176</v>
          </cell>
          <cell r="Q1128">
            <v>0</v>
          </cell>
          <cell r="T1128">
            <v>0</v>
          </cell>
        </row>
        <row r="1129">
          <cell r="A1129" t="str">
            <v>1402188</v>
          </cell>
          <cell r="Q1129">
            <v>0</v>
          </cell>
          <cell r="T1129">
            <v>0</v>
          </cell>
        </row>
        <row r="1130">
          <cell r="A1130" t="str">
            <v>1402193</v>
          </cell>
          <cell r="Q1130">
            <v>0</v>
          </cell>
          <cell r="T1130">
            <v>0</v>
          </cell>
        </row>
        <row r="1131">
          <cell r="A1131" t="str">
            <v>1402194</v>
          </cell>
          <cell r="Q1131">
            <v>0</v>
          </cell>
          <cell r="T1131">
            <v>0</v>
          </cell>
        </row>
        <row r="1132">
          <cell r="A1132" t="str">
            <v>1402195</v>
          </cell>
          <cell r="Q1132">
            <v>0</v>
          </cell>
          <cell r="T1132">
            <v>0</v>
          </cell>
        </row>
        <row r="1133">
          <cell r="A1133" t="str">
            <v>1402196</v>
          </cell>
          <cell r="Q1133">
            <v>0</v>
          </cell>
          <cell r="T1133">
            <v>0</v>
          </cell>
        </row>
        <row r="1134">
          <cell r="A1134" t="str">
            <v>1402198</v>
          </cell>
          <cell r="Q1134">
            <v>0</v>
          </cell>
          <cell r="T1134">
            <v>0</v>
          </cell>
        </row>
        <row r="1135">
          <cell r="A1135" t="str">
            <v>1402199</v>
          </cell>
          <cell r="Q1135">
            <v>0</v>
          </cell>
          <cell r="T1135">
            <v>0</v>
          </cell>
        </row>
        <row r="1136">
          <cell r="A1136" t="str">
            <v>1402200</v>
          </cell>
          <cell r="Q1136">
            <v>0</v>
          </cell>
          <cell r="T1136">
            <v>0</v>
          </cell>
        </row>
        <row r="1137">
          <cell r="A1137" t="str">
            <v>1402201</v>
          </cell>
          <cell r="Q1137">
            <v>0</v>
          </cell>
          <cell r="T1137">
            <v>0</v>
          </cell>
        </row>
        <row r="1138">
          <cell r="A1138" t="str">
            <v>1402202</v>
          </cell>
          <cell r="Q1138">
            <v>0</v>
          </cell>
          <cell r="T1138">
            <v>0</v>
          </cell>
        </row>
        <row r="1139">
          <cell r="A1139" t="str">
            <v>1402205</v>
          </cell>
          <cell r="Q1139">
            <v>0</v>
          </cell>
          <cell r="T1139">
            <v>0</v>
          </cell>
        </row>
        <row r="1140">
          <cell r="A1140" t="str">
            <v>1402206</v>
          </cell>
          <cell r="Q1140">
            <v>0</v>
          </cell>
          <cell r="T1140">
            <v>0</v>
          </cell>
        </row>
        <row r="1141">
          <cell r="A1141" t="str">
            <v>1402208</v>
          </cell>
          <cell r="Q1141">
            <v>0</v>
          </cell>
          <cell r="T1141">
            <v>0</v>
          </cell>
        </row>
        <row r="1142">
          <cell r="A1142" t="str">
            <v>1400023</v>
          </cell>
          <cell r="Q1142">
            <v>-13657061.460000001</v>
          </cell>
          <cell r="T1142">
            <v>0</v>
          </cell>
        </row>
        <row r="1143">
          <cell r="A1143" t="str">
            <v>1400024</v>
          </cell>
          <cell r="Q1143">
            <v>-230865.04</v>
          </cell>
          <cell r="T1143">
            <v>0</v>
          </cell>
        </row>
        <row r="1144">
          <cell r="A1144" t="str">
            <v>1400025</v>
          </cell>
          <cell r="Q1144">
            <v>-1476019.74</v>
          </cell>
          <cell r="T1144">
            <v>0</v>
          </cell>
        </row>
        <row r="1145">
          <cell r="A1145" t="str">
            <v>1400026</v>
          </cell>
          <cell r="Q1145">
            <v>-27402020.25</v>
          </cell>
          <cell r="T1145">
            <v>0</v>
          </cell>
        </row>
        <row r="1146">
          <cell r="A1146" t="str">
            <v>1400027</v>
          </cell>
          <cell r="Q1146">
            <v>-685173.69</v>
          </cell>
          <cell r="T1146">
            <v>0</v>
          </cell>
        </row>
        <row r="1147">
          <cell r="A1147" t="str">
            <v>1400028</v>
          </cell>
          <cell r="Q1147">
            <v>-38472.43</v>
          </cell>
          <cell r="T1147">
            <v>0</v>
          </cell>
        </row>
        <row r="1148">
          <cell r="A1148" t="str">
            <v>1400029</v>
          </cell>
          <cell r="Q1148">
            <v>-23845883.059999999</v>
          </cell>
          <cell r="T1148">
            <v>0</v>
          </cell>
        </row>
        <row r="1149">
          <cell r="A1149" t="str">
            <v>1400030</v>
          </cell>
          <cell r="Q1149">
            <v>-1500273.9</v>
          </cell>
          <cell r="T1149">
            <v>0</v>
          </cell>
        </row>
        <row r="1150">
          <cell r="A1150" t="str">
            <v>1400031</v>
          </cell>
          <cell r="Q1150">
            <v>-625549.13</v>
          </cell>
          <cell r="T1150">
            <v>0</v>
          </cell>
        </row>
        <row r="1151">
          <cell r="A1151" t="str">
            <v>1400032</v>
          </cell>
          <cell r="Q1151">
            <v>-1875110.78</v>
          </cell>
          <cell r="T1151">
            <v>0</v>
          </cell>
        </row>
        <row r="1152">
          <cell r="A1152" t="str">
            <v>1400033</v>
          </cell>
          <cell r="Q1152">
            <v>-66448.39</v>
          </cell>
          <cell r="T1152">
            <v>0</v>
          </cell>
        </row>
        <row r="1153">
          <cell r="A1153" t="str">
            <v>1400034</v>
          </cell>
          <cell r="Q1153">
            <v>-1072885.1100000001</v>
          </cell>
          <cell r="T1153">
            <v>0</v>
          </cell>
        </row>
        <row r="1154">
          <cell r="A1154" t="str">
            <v>1400035</v>
          </cell>
          <cell r="Q1154">
            <v>-621162.25</v>
          </cell>
          <cell r="T1154">
            <v>0</v>
          </cell>
        </row>
        <row r="1155">
          <cell r="A1155" t="str">
            <v>1400036</v>
          </cell>
          <cell r="Q1155">
            <v>-772611.82</v>
          </cell>
          <cell r="T1155">
            <v>0</v>
          </cell>
        </row>
        <row r="1156">
          <cell r="A1156" t="str">
            <v>1400037</v>
          </cell>
          <cell r="Q1156">
            <v>-394670.53</v>
          </cell>
          <cell r="T1156">
            <v>0</v>
          </cell>
        </row>
        <row r="1157">
          <cell r="A1157" t="str">
            <v>1400037</v>
          </cell>
          <cell r="Q1157">
            <v>-5893.5</v>
          </cell>
          <cell r="T1157">
            <v>0</v>
          </cell>
        </row>
        <row r="1158">
          <cell r="A1158" t="str">
            <v>1400038</v>
          </cell>
          <cell r="Q1158">
            <v>-100933.18</v>
          </cell>
          <cell r="T1158">
            <v>0</v>
          </cell>
        </row>
        <row r="1159">
          <cell r="A1159" t="str">
            <v>1400039</v>
          </cell>
          <cell r="Q1159">
            <v>-34673.61</v>
          </cell>
          <cell r="T1159">
            <v>0</v>
          </cell>
        </row>
        <row r="1160">
          <cell r="A1160" t="str">
            <v>1400040</v>
          </cell>
          <cell r="Q1160">
            <v>-73009.23</v>
          </cell>
          <cell r="T1160">
            <v>0</v>
          </cell>
        </row>
        <row r="1161">
          <cell r="A1161" t="str">
            <v>1400041</v>
          </cell>
          <cell r="Q1161">
            <v>-17648.97</v>
          </cell>
          <cell r="T1161">
            <v>0</v>
          </cell>
        </row>
        <row r="1162">
          <cell r="A1162" t="str">
            <v>1400042</v>
          </cell>
          <cell r="Q1162">
            <v>-2074660.32</v>
          </cell>
          <cell r="T1162">
            <v>0</v>
          </cell>
        </row>
        <row r="1163">
          <cell r="A1163" t="str">
            <v>1400043</v>
          </cell>
          <cell r="Q1163">
            <v>-1374785.86</v>
          </cell>
          <cell r="T1163">
            <v>0</v>
          </cell>
        </row>
        <row r="1164">
          <cell r="A1164" t="str">
            <v>1400044</v>
          </cell>
          <cell r="Q1164">
            <v>-72505111.719999999</v>
          </cell>
          <cell r="T1164">
            <v>0</v>
          </cell>
        </row>
        <row r="1165">
          <cell r="A1165" t="str">
            <v>1400045</v>
          </cell>
          <cell r="Q1165">
            <v>-4713668.16</v>
          </cell>
          <cell r="T1165">
            <v>0</v>
          </cell>
        </row>
        <row r="1166">
          <cell r="A1166" t="str">
            <v>1400046</v>
          </cell>
          <cell r="Q1166">
            <v>-74147648.109999999</v>
          </cell>
          <cell r="T1166">
            <v>0</v>
          </cell>
        </row>
        <row r="1167">
          <cell r="A1167" t="str">
            <v>1400047</v>
          </cell>
          <cell r="Q1167">
            <v>-7150036.2800000003</v>
          </cell>
          <cell r="T1167">
            <v>0</v>
          </cell>
        </row>
        <row r="1168">
          <cell r="A1168" t="str">
            <v>1400047</v>
          </cell>
          <cell r="Q1168">
            <v>-36611.11</v>
          </cell>
          <cell r="T1168">
            <v>0</v>
          </cell>
        </row>
        <row r="1169">
          <cell r="A1169" t="str">
            <v>1400048</v>
          </cell>
          <cell r="Q1169">
            <v>-255515.46</v>
          </cell>
          <cell r="T1169">
            <v>0</v>
          </cell>
        </row>
        <row r="1170">
          <cell r="A1170" t="str">
            <v>1400049</v>
          </cell>
          <cell r="Q1170">
            <v>-492129.3</v>
          </cell>
          <cell r="T1170">
            <v>0</v>
          </cell>
        </row>
        <row r="1171">
          <cell r="A1171" t="str">
            <v>1400050</v>
          </cell>
          <cell r="Q1171">
            <v>-8259439.71</v>
          </cell>
          <cell r="T1171">
            <v>0</v>
          </cell>
        </row>
        <row r="1172">
          <cell r="A1172" t="str">
            <v>1400051</v>
          </cell>
          <cell r="Q1172">
            <v>-612371.38</v>
          </cell>
          <cell r="T1172">
            <v>0</v>
          </cell>
        </row>
        <row r="1173">
          <cell r="A1173" t="str">
            <v>1400052</v>
          </cell>
          <cell r="Q1173">
            <v>-2078153.18</v>
          </cell>
          <cell r="T1173">
            <v>0</v>
          </cell>
        </row>
        <row r="1174">
          <cell r="A1174" t="str">
            <v>1400053</v>
          </cell>
          <cell r="Q1174">
            <v>-11204435.24</v>
          </cell>
          <cell r="T1174">
            <v>0</v>
          </cell>
        </row>
        <row r="1175">
          <cell r="A1175" t="str">
            <v>1400215</v>
          </cell>
          <cell r="Q1175">
            <v>-2123476.2400000002</v>
          </cell>
          <cell r="T1175">
            <v>0</v>
          </cell>
        </row>
        <row r="1176">
          <cell r="A1176" t="str">
            <v>1400216</v>
          </cell>
          <cell r="Q1176">
            <v>-506522.14</v>
          </cell>
          <cell r="T1176">
            <v>0</v>
          </cell>
        </row>
        <row r="1177">
          <cell r="A1177" t="str">
            <v>1400217</v>
          </cell>
          <cell r="Q1177">
            <v>-257966.13</v>
          </cell>
          <cell r="T1177">
            <v>0</v>
          </cell>
        </row>
        <row r="1178">
          <cell r="A1178" t="str">
            <v>1400218</v>
          </cell>
          <cell r="Q1178">
            <v>-176138.55</v>
          </cell>
          <cell r="T1178">
            <v>0</v>
          </cell>
        </row>
        <row r="1179">
          <cell r="A1179" t="str">
            <v>1400219</v>
          </cell>
          <cell r="Q1179">
            <v>-947344.47</v>
          </cell>
          <cell r="T1179">
            <v>0</v>
          </cell>
        </row>
        <row r="1180">
          <cell r="A1180" t="str">
            <v>1400220</v>
          </cell>
          <cell r="Q1180">
            <v>-110872.74</v>
          </cell>
          <cell r="T1180">
            <v>0</v>
          </cell>
        </row>
        <row r="1181">
          <cell r="A1181" t="str">
            <v>1400221</v>
          </cell>
          <cell r="Q1181">
            <v>-217299.8</v>
          </cell>
          <cell r="T1181">
            <v>0</v>
          </cell>
        </row>
        <row r="1182">
          <cell r="A1182" t="str">
            <v>1400222</v>
          </cell>
          <cell r="Q1182">
            <v>-227140.95</v>
          </cell>
          <cell r="T1182">
            <v>0</v>
          </cell>
        </row>
        <row r="1183">
          <cell r="A1183" t="str">
            <v>1400223</v>
          </cell>
          <cell r="Q1183">
            <v>-9833853.3800000008</v>
          </cell>
          <cell r="T1183">
            <v>0</v>
          </cell>
        </row>
        <row r="1184">
          <cell r="A1184" t="str">
            <v>1400224</v>
          </cell>
          <cell r="Q1184">
            <v>-852299.56</v>
          </cell>
          <cell r="T1184">
            <v>0</v>
          </cell>
        </row>
        <row r="1185">
          <cell r="A1185" t="str">
            <v>1400225</v>
          </cell>
          <cell r="Q1185">
            <v>-1218910.6399999999</v>
          </cell>
          <cell r="T1185">
            <v>0</v>
          </cell>
        </row>
        <row r="1186">
          <cell r="A1186" t="str">
            <v>1400226</v>
          </cell>
          <cell r="Q1186">
            <v>-18728.11</v>
          </cell>
          <cell r="T1186">
            <v>0</v>
          </cell>
        </row>
        <row r="1187">
          <cell r="A1187" t="str">
            <v>1400227</v>
          </cell>
          <cell r="Q1187">
            <v>-1470.1</v>
          </cell>
          <cell r="T1187">
            <v>0</v>
          </cell>
        </row>
        <row r="1188">
          <cell r="A1188" t="str">
            <v>1400228</v>
          </cell>
          <cell r="Q1188">
            <v>-57350811.850000001</v>
          </cell>
          <cell r="T1188">
            <v>2790537.49</v>
          </cell>
        </row>
        <row r="1189">
          <cell r="A1189" t="str">
            <v>1400229</v>
          </cell>
          <cell r="Q1189">
            <v>-748884.07</v>
          </cell>
          <cell r="T1189">
            <v>0</v>
          </cell>
        </row>
        <row r="1190">
          <cell r="A1190" t="str">
            <v>1400230</v>
          </cell>
          <cell r="Q1190">
            <v>-149835.22</v>
          </cell>
          <cell r="T1190">
            <v>0</v>
          </cell>
        </row>
        <row r="1191">
          <cell r="A1191" t="str">
            <v>1400231</v>
          </cell>
          <cell r="Q1191">
            <v>-1533720.02</v>
          </cell>
          <cell r="T1191">
            <v>0</v>
          </cell>
        </row>
        <row r="1192">
          <cell r="A1192" t="str">
            <v>1400232</v>
          </cell>
          <cell r="Q1192">
            <v>-785259.7</v>
          </cell>
          <cell r="T1192">
            <v>0</v>
          </cell>
        </row>
        <row r="1193">
          <cell r="A1193" t="str">
            <v>1400233</v>
          </cell>
          <cell r="Q1193">
            <v>-238060.38</v>
          </cell>
          <cell r="T1193">
            <v>0</v>
          </cell>
        </row>
        <row r="1194">
          <cell r="A1194" t="str">
            <v>1400234</v>
          </cell>
          <cell r="Q1194">
            <v>-11172785.48</v>
          </cell>
          <cell r="T1194">
            <v>0</v>
          </cell>
        </row>
        <row r="1195">
          <cell r="A1195" t="str">
            <v>1400235</v>
          </cell>
          <cell r="Q1195">
            <v>-15149303.74</v>
          </cell>
          <cell r="T1195">
            <v>0</v>
          </cell>
        </row>
        <row r="1196">
          <cell r="A1196" t="str">
            <v>1400236</v>
          </cell>
          <cell r="Q1196">
            <v>-13969560.619999999</v>
          </cell>
          <cell r="T1196">
            <v>0</v>
          </cell>
        </row>
        <row r="1197">
          <cell r="A1197" t="str">
            <v>1400237</v>
          </cell>
          <cell r="Q1197">
            <v>-9544943.5299999993</v>
          </cell>
          <cell r="T1197">
            <v>0</v>
          </cell>
        </row>
        <row r="1198">
          <cell r="A1198" t="str">
            <v>1400238</v>
          </cell>
          <cell r="Q1198">
            <v>-114870.85</v>
          </cell>
          <cell r="T1198">
            <v>0</v>
          </cell>
        </row>
        <row r="1199">
          <cell r="A1199" t="str">
            <v>1400239</v>
          </cell>
          <cell r="Q1199">
            <v>-57694161.100000001</v>
          </cell>
          <cell r="T1199">
            <v>0</v>
          </cell>
        </row>
        <row r="1200">
          <cell r="A1200" t="str">
            <v>1400240</v>
          </cell>
          <cell r="Q1200">
            <v>-664370.18000000005</v>
          </cell>
          <cell r="T1200">
            <v>0</v>
          </cell>
        </row>
        <row r="1201">
          <cell r="A1201" t="str">
            <v>1400241</v>
          </cell>
          <cell r="Q1201">
            <v>-8281001.1900000004</v>
          </cell>
          <cell r="T1201">
            <v>0</v>
          </cell>
        </row>
        <row r="1202">
          <cell r="A1202" t="str">
            <v>1400242</v>
          </cell>
          <cell r="Q1202">
            <v>-1437721.19</v>
          </cell>
          <cell r="T1202">
            <v>0</v>
          </cell>
        </row>
        <row r="1203">
          <cell r="A1203" t="str">
            <v>1400243</v>
          </cell>
          <cell r="Q1203">
            <v>-104034.55</v>
          </cell>
          <cell r="T1203">
            <v>0</v>
          </cell>
        </row>
        <row r="1204">
          <cell r="A1204" t="str">
            <v>1400244</v>
          </cell>
          <cell r="Q1204">
            <v>-3067102.36</v>
          </cell>
          <cell r="T1204">
            <v>1013551.59</v>
          </cell>
        </row>
        <row r="1205">
          <cell r="A1205" t="str">
            <v>1400245</v>
          </cell>
          <cell r="Q1205">
            <v>-4463136.6100000003</v>
          </cell>
          <cell r="T1205">
            <v>2542701.9500000002</v>
          </cell>
        </row>
        <row r="1206">
          <cell r="A1206" t="str">
            <v>1400246</v>
          </cell>
          <cell r="Q1206">
            <v>-7098.61</v>
          </cell>
          <cell r="T1206">
            <v>0</v>
          </cell>
        </row>
        <row r="1207">
          <cell r="A1207" t="str">
            <v>1400247</v>
          </cell>
          <cell r="Q1207">
            <v>-42313.96</v>
          </cell>
          <cell r="T1207">
            <v>0</v>
          </cell>
        </row>
        <row r="1208">
          <cell r="A1208" t="str">
            <v>1400248</v>
          </cell>
          <cell r="Q1208">
            <v>-749170.39</v>
          </cell>
          <cell r="T1208">
            <v>0</v>
          </cell>
        </row>
        <row r="1209">
          <cell r="A1209" t="str">
            <v>1400249</v>
          </cell>
          <cell r="Q1209">
            <v>-71923.56</v>
          </cell>
          <cell r="T1209">
            <v>0</v>
          </cell>
        </row>
        <row r="1210">
          <cell r="A1210" t="str">
            <v>1400250</v>
          </cell>
          <cell r="Q1210">
            <v>-71526.2</v>
          </cell>
          <cell r="T1210">
            <v>0</v>
          </cell>
        </row>
        <row r="1211">
          <cell r="A1211" t="str">
            <v>1400251</v>
          </cell>
          <cell r="Q1211">
            <v>-130596.44</v>
          </cell>
          <cell r="T1211">
            <v>0</v>
          </cell>
        </row>
        <row r="1212">
          <cell r="A1212" t="str">
            <v>1400252</v>
          </cell>
          <cell r="Q1212">
            <v>-2089.73</v>
          </cell>
          <cell r="T1212">
            <v>0</v>
          </cell>
        </row>
        <row r="1213">
          <cell r="A1213" t="str">
            <v>1400253</v>
          </cell>
          <cell r="Q1213">
            <v>-437461.76000000001</v>
          </cell>
          <cell r="T1213">
            <v>0</v>
          </cell>
        </row>
        <row r="1214">
          <cell r="A1214" t="str">
            <v>1400254</v>
          </cell>
          <cell r="Q1214">
            <v>-563893.42000000004</v>
          </cell>
          <cell r="T1214">
            <v>0</v>
          </cell>
        </row>
        <row r="1215">
          <cell r="A1215" t="str">
            <v>1400255</v>
          </cell>
          <cell r="Q1215">
            <v>-225370.95</v>
          </cell>
          <cell r="T1215">
            <v>0</v>
          </cell>
        </row>
        <row r="1216">
          <cell r="A1216" t="str">
            <v>1400256</v>
          </cell>
          <cell r="Q1216">
            <v>-2092198.25</v>
          </cell>
          <cell r="T1216">
            <v>0</v>
          </cell>
        </row>
        <row r="1217">
          <cell r="A1217" t="str">
            <v>1400257</v>
          </cell>
          <cell r="Q1217">
            <v>-35303.019999999997</v>
          </cell>
          <cell r="T1217">
            <v>0</v>
          </cell>
        </row>
        <row r="1218">
          <cell r="A1218" t="str">
            <v>1400258</v>
          </cell>
          <cell r="Q1218">
            <v>-266088.37</v>
          </cell>
          <cell r="T1218">
            <v>0</v>
          </cell>
        </row>
        <row r="1219">
          <cell r="A1219" t="str">
            <v>1400259</v>
          </cell>
          <cell r="Q1219">
            <v>-8616.26</v>
          </cell>
          <cell r="T1219">
            <v>0</v>
          </cell>
        </row>
        <row r="1220">
          <cell r="A1220" t="str">
            <v>1400260</v>
          </cell>
          <cell r="Q1220">
            <v>-4206122.28</v>
          </cell>
          <cell r="T1220">
            <v>0</v>
          </cell>
        </row>
        <row r="1221">
          <cell r="A1221" t="str">
            <v>1400261</v>
          </cell>
          <cell r="Q1221">
            <v>-5124.32</v>
          </cell>
          <cell r="T1221">
            <v>0</v>
          </cell>
        </row>
        <row r="1222">
          <cell r="A1222" t="str">
            <v>1400262</v>
          </cell>
          <cell r="Q1222">
            <v>-101045.95</v>
          </cell>
          <cell r="T1222">
            <v>0</v>
          </cell>
        </row>
        <row r="1223">
          <cell r="A1223" t="str">
            <v>1400263</v>
          </cell>
          <cell r="Q1223">
            <v>-2032903.72</v>
          </cell>
          <cell r="T1223">
            <v>0</v>
          </cell>
        </row>
        <row r="1224">
          <cell r="A1224" t="str">
            <v>1400264</v>
          </cell>
          <cell r="Q1224">
            <v>-683273.46</v>
          </cell>
          <cell r="T1224">
            <v>0</v>
          </cell>
        </row>
        <row r="1225">
          <cell r="A1225" t="str">
            <v>1400265</v>
          </cell>
          <cell r="Q1225">
            <v>-1537804.11</v>
          </cell>
          <cell r="T1225">
            <v>0</v>
          </cell>
        </row>
        <row r="1226">
          <cell r="A1226" t="str">
            <v>1400265</v>
          </cell>
          <cell r="Q1226">
            <v>-87645.04</v>
          </cell>
          <cell r="T1226">
            <v>0</v>
          </cell>
        </row>
        <row r="1227">
          <cell r="A1227" t="str">
            <v>1400265</v>
          </cell>
          <cell r="Q1227">
            <v>-103214.6</v>
          </cell>
          <cell r="T1227">
            <v>0</v>
          </cell>
        </row>
        <row r="1228">
          <cell r="A1228" t="str">
            <v>1400266</v>
          </cell>
          <cell r="Q1228">
            <v>-2333973.1800000002</v>
          </cell>
          <cell r="T1228">
            <v>0</v>
          </cell>
        </row>
        <row r="1229">
          <cell r="A1229" t="str">
            <v>1400267</v>
          </cell>
          <cell r="Q1229">
            <v>-110252.47</v>
          </cell>
          <cell r="T1229">
            <v>0</v>
          </cell>
        </row>
        <row r="1230">
          <cell r="A1230" t="str">
            <v>1400268</v>
          </cell>
          <cell r="Q1230">
            <v>-2777631.54</v>
          </cell>
          <cell r="T1230">
            <v>0</v>
          </cell>
        </row>
        <row r="1231">
          <cell r="A1231" t="str">
            <v>1400269</v>
          </cell>
          <cell r="Q1231">
            <v>-1786450.64</v>
          </cell>
          <cell r="T1231">
            <v>0</v>
          </cell>
        </row>
        <row r="1232">
          <cell r="A1232" t="str">
            <v>1400270</v>
          </cell>
          <cell r="Q1232">
            <v>-2374668.11</v>
          </cell>
          <cell r="T1232">
            <v>0</v>
          </cell>
        </row>
        <row r="1233">
          <cell r="A1233" t="str">
            <v>1400271</v>
          </cell>
          <cell r="Q1233">
            <v>-262519.78999999998</v>
          </cell>
          <cell r="T1233">
            <v>0</v>
          </cell>
        </row>
        <row r="1234">
          <cell r="A1234" t="str">
            <v>1400272</v>
          </cell>
          <cell r="Q1234">
            <v>-1646484.04</v>
          </cell>
          <cell r="T1234">
            <v>0</v>
          </cell>
        </row>
        <row r="1235">
          <cell r="A1235" t="str">
            <v>1400273</v>
          </cell>
          <cell r="Q1235">
            <v>-980982.21</v>
          </cell>
          <cell r="T1235">
            <v>0</v>
          </cell>
        </row>
        <row r="1236">
          <cell r="A1236" t="str">
            <v>1400274</v>
          </cell>
          <cell r="Q1236">
            <v>-54819.37</v>
          </cell>
          <cell r="T1236">
            <v>0</v>
          </cell>
        </row>
        <row r="1237">
          <cell r="A1237" t="str">
            <v>1400275</v>
          </cell>
          <cell r="Q1237">
            <v>-508131.42</v>
          </cell>
          <cell r="T1237">
            <v>0</v>
          </cell>
        </row>
        <row r="1238">
          <cell r="A1238" t="str">
            <v>1400276</v>
          </cell>
          <cell r="Q1238">
            <v>-810125</v>
          </cell>
          <cell r="T1238">
            <v>0</v>
          </cell>
        </row>
        <row r="1239">
          <cell r="A1239" t="str">
            <v>1400277</v>
          </cell>
          <cell r="Q1239">
            <v>-528262.59</v>
          </cell>
          <cell r="T1239">
            <v>0</v>
          </cell>
        </row>
        <row r="1240">
          <cell r="A1240" t="str">
            <v>1400277</v>
          </cell>
          <cell r="Q1240">
            <v>-79547.81</v>
          </cell>
          <cell r="T1240">
            <v>0</v>
          </cell>
        </row>
        <row r="1241">
          <cell r="A1241" t="str">
            <v>1400279</v>
          </cell>
          <cell r="Q1241">
            <v>-324104.19</v>
          </cell>
          <cell r="T1241">
            <v>0</v>
          </cell>
        </row>
        <row r="1242">
          <cell r="A1242" t="str">
            <v>1400280</v>
          </cell>
          <cell r="Q1242">
            <v>-2373712.2400000002</v>
          </cell>
          <cell r="T1242">
            <v>0</v>
          </cell>
        </row>
        <row r="1243">
          <cell r="A1243" t="str">
            <v>1400281</v>
          </cell>
          <cell r="Q1243">
            <v>-275240.2</v>
          </cell>
          <cell r="T1243">
            <v>0</v>
          </cell>
        </row>
        <row r="1244">
          <cell r="A1244" t="str">
            <v>1400282</v>
          </cell>
          <cell r="Q1244">
            <v>-334393.2</v>
          </cell>
          <cell r="T1244">
            <v>0</v>
          </cell>
        </row>
        <row r="1245">
          <cell r="A1245" t="str">
            <v>1400283</v>
          </cell>
          <cell r="Q1245">
            <v>-389977.97</v>
          </cell>
          <cell r="T1245">
            <v>0</v>
          </cell>
        </row>
        <row r="1246">
          <cell r="A1246" t="str">
            <v>1400284</v>
          </cell>
          <cell r="Q1246">
            <v>-689033.15</v>
          </cell>
          <cell r="T1246">
            <v>0</v>
          </cell>
        </row>
        <row r="1247">
          <cell r="A1247" t="str">
            <v>1400285</v>
          </cell>
          <cell r="Q1247">
            <v>-26815.279999999999</v>
          </cell>
          <cell r="T1247">
            <v>0</v>
          </cell>
        </row>
        <row r="1248">
          <cell r="A1248" t="str">
            <v>1400286</v>
          </cell>
          <cell r="Q1248">
            <v>-57887.41</v>
          </cell>
          <cell r="T1248">
            <v>0</v>
          </cell>
        </row>
        <row r="1249">
          <cell r="A1249" t="str">
            <v>1400287</v>
          </cell>
          <cell r="Q1249">
            <v>-37597.29</v>
          </cell>
          <cell r="T1249">
            <v>0</v>
          </cell>
        </row>
        <row r="1250">
          <cell r="A1250" t="str">
            <v>1400288</v>
          </cell>
          <cell r="Q1250">
            <v>-252405.52</v>
          </cell>
          <cell r="T1250">
            <v>0</v>
          </cell>
        </row>
        <row r="1251">
          <cell r="A1251" t="str">
            <v>1400289</v>
          </cell>
          <cell r="Q1251">
            <v>-708900.08</v>
          </cell>
          <cell r="T1251">
            <v>0</v>
          </cell>
        </row>
        <row r="1252">
          <cell r="A1252" t="str">
            <v>1400290</v>
          </cell>
          <cell r="Q1252">
            <v>-64753.54</v>
          </cell>
          <cell r="T1252">
            <v>0</v>
          </cell>
        </row>
        <row r="1253">
          <cell r="A1253" t="str">
            <v>1400291</v>
          </cell>
          <cell r="Q1253">
            <v>-451316.15</v>
          </cell>
          <cell r="T1253">
            <v>0</v>
          </cell>
        </row>
        <row r="1254">
          <cell r="A1254" t="str">
            <v>1400292</v>
          </cell>
          <cell r="Q1254">
            <v>-338243.63</v>
          </cell>
          <cell r="T1254">
            <v>0</v>
          </cell>
        </row>
        <row r="1255">
          <cell r="A1255" t="str">
            <v>1400293</v>
          </cell>
          <cell r="Q1255">
            <v>-9223786.6899999995</v>
          </cell>
          <cell r="T1255">
            <v>0</v>
          </cell>
        </row>
        <row r="1256">
          <cell r="A1256" t="str">
            <v>1400294</v>
          </cell>
          <cell r="Q1256">
            <v>-198355.04</v>
          </cell>
          <cell r="T1256">
            <v>0</v>
          </cell>
        </row>
        <row r="1257">
          <cell r="A1257" t="str">
            <v>1400295</v>
          </cell>
          <cell r="Q1257">
            <v>-777278.76</v>
          </cell>
          <cell r="T1257">
            <v>0</v>
          </cell>
        </row>
        <row r="1258">
          <cell r="A1258" t="str">
            <v>1400296</v>
          </cell>
          <cell r="Q1258">
            <v>-169897.69</v>
          </cell>
          <cell r="T1258">
            <v>0</v>
          </cell>
        </row>
        <row r="1259">
          <cell r="A1259" t="str">
            <v>1400297</v>
          </cell>
          <cell r="Q1259">
            <v>-84139.45</v>
          </cell>
          <cell r="T1259">
            <v>0</v>
          </cell>
        </row>
        <row r="1260">
          <cell r="A1260" t="str">
            <v>1400298</v>
          </cell>
          <cell r="Q1260">
            <v>-192030.64</v>
          </cell>
          <cell r="T1260">
            <v>0</v>
          </cell>
        </row>
        <row r="1261">
          <cell r="A1261" t="str">
            <v>1400299</v>
          </cell>
          <cell r="Q1261">
            <v>-54802.39</v>
          </cell>
          <cell r="T1261">
            <v>0</v>
          </cell>
        </row>
        <row r="1262">
          <cell r="A1262" t="str">
            <v>1400300</v>
          </cell>
          <cell r="Q1262">
            <v>-114905.58</v>
          </cell>
          <cell r="T1262">
            <v>0</v>
          </cell>
        </row>
        <row r="1263">
          <cell r="A1263" t="str">
            <v>1400301</v>
          </cell>
          <cell r="Q1263">
            <v>-28252852.75</v>
          </cell>
          <cell r="T1263">
            <v>0</v>
          </cell>
        </row>
        <row r="1264">
          <cell r="A1264" t="str">
            <v>1400304</v>
          </cell>
          <cell r="Q1264">
            <v>-1532214.69</v>
          </cell>
          <cell r="T1264">
            <v>0</v>
          </cell>
        </row>
        <row r="1265">
          <cell r="A1265" t="str">
            <v>1400305</v>
          </cell>
          <cell r="Q1265">
            <v>-110933.26</v>
          </cell>
          <cell r="T1265">
            <v>0</v>
          </cell>
        </row>
        <row r="1266">
          <cell r="A1266" t="str">
            <v>1400306</v>
          </cell>
          <cell r="Q1266">
            <v>-4022.26</v>
          </cell>
          <cell r="T1266">
            <v>0</v>
          </cell>
        </row>
        <row r="1267">
          <cell r="A1267" t="str">
            <v>1400307</v>
          </cell>
          <cell r="Q1267">
            <v>-476932.22</v>
          </cell>
          <cell r="T1267">
            <v>0</v>
          </cell>
        </row>
        <row r="1268">
          <cell r="A1268" t="str">
            <v>1400308</v>
          </cell>
          <cell r="Q1268">
            <v>-494923.25</v>
          </cell>
          <cell r="T1268">
            <v>0</v>
          </cell>
        </row>
        <row r="1269">
          <cell r="A1269" t="str">
            <v>1400309</v>
          </cell>
          <cell r="Q1269">
            <v>-99088.77</v>
          </cell>
          <cell r="T1269">
            <v>0</v>
          </cell>
        </row>
        <row r="1270">
          <cell r="A1270" t="str">
            <v>1400310</v>
          </cell>
          <cell r="Q1270">
            <v>-278537.93</v>
          </cell>
          <cell r="T1270">
            <v>0</v>
          </cell>
        </row>
        <row r="1271">
          <cell r="A1271" t="str">
            <v>1400311</v>
          </cell>
          <cell r="Q1271">
            <v>-911928.26</v>
          </cell>
          <cell r="T1271">
            <v>0</v>
          </cell>
        </row>
        <row r="1272">
          <cell r="A1272" t="str">
            <v>1400312</v>
          </cell>
          <cell r="Q1272">
            <v>-748080.13</v>
          </cell>
          <cell r="T1272">
            <v>0</v>
          </cell>
        </row>
        <row r="1273">
          <cell r="A1273" t="str">
            <v>1400313</v>
          </cell>
          <cell r="Q1273">
            <v>-188875.55</v>
          </cell>
          <cell r="T1273">
            <v>0</v>
          </cell>
        </row>
        <row r="1274">
          <cell r="A1274" t="str">
            <v>1400314</v>
          </cell>
          <cell r="Q1274">
            <v>-41989.24</v>
          </cell>
          <cell r="T1274">
            <v>0</v>
          </cell>
        </row>
        <row r="1275">
          <cell r="A1275" t="str">
            <v>1400315</v>
          </cell>
          <cell r="Q1275">
            <v>-10607.47</v>
          </cell>
          <cell r="T1275">
            <v>0</v>
          </cell>
        </row>
        <row r="1276">
          <cell r="A1276" t="str">
            <v>1400316</v>
          </cell>
          <cell r="Q1276">
            <v>-2699.54</v>
          </cell>
          <cell r="T1276">
            <v>0</v>
          </cell>
        </row>
        <row r="1277">
          <cell r="A1277" t="str">
            <v>1400317</v>
          </cell>
          <cell r="Q1277">
            <v>-4180.34</v>
          </cell>
          <cell r="T1277">
            <v>0</v>
          </cell>
        </row>
        <row r="1278">
          <cell r="A1278" t="str">
            <v>1400318</v>
          </cell>
          <cell r="Q1278">
            <v>-14939.38</v>
          </cell>
          <cell r="T1278">
            <v>0</v>
          </cell>
        </row>
        <row r="1279">
          <cell r="A1279" t="str">
            <v>1400319</v>
          </cell>
          <cell r="Q1279">
            <v>-14626.9</v>
          </cell>
          <cell r="T1279">
            <v>0</v>
          </cell>
        </row>
        <row r="1280">
          <cell r="A1280" t="str">
            <v>1400320</v>
          </cell>
          <cell r="Q1280">
            <v>-62176.92</v>
          </cell>
          <cell r="T1280">
            <v>0</v>
          </cell>
        </row>
        <row r="1281">
          <cell r="A1281" t="str">
            <v>1400334</v>
          </cell>
          <cell r="Q1281">
            <v>-788419.17</v>
          </cell>
          <cell r="T1281">
            <v>0</v>
          </cell>
        </row>
        <row r="1282">
          <cell r="A1282" t="str">
            <v>1400345</v>
          </cell>
          <cell r="Q1282">
            <v>-54320.62</v>
          </cell>
          <cell r="T1282">
            <v>0</v>
          </cell>
        </row>
        <row r="1283">
          <cell r="A1283" t="str">
            <v>1400350</v>
          </cell>
          <cell r="Q1283">
            <v>-18904.62</v>
          </cell>
          <cell r="T1283">
            <v>0</v>
          </cell>
        </row>
        <row r="1284">
          <cell r="A1284" t="str">
            <v>1400351</v>
          </cell>
          <cell r="Q1284">
            <v>-13438703.76</v>
          </cell>
          <cell r="T1284">
            <v>0</v>
          </cell>
        </row>
        <row r="1285">
          <cell r="A1285" t="str">
            <v>1400352</v>
          </cell>
          <cell r="Q1285">
            <v>-4737.68</v>
          </cell>
          <cell r="T1285">
            <v>0</v>
          </cell>
        </row>
        <row r="1286">
          <cell r="A1286" t="str">
            <v>1400353</v>
          </cell>
          <cell r="Q1286">
            <v>-162425.84</v>
          </cell>
          <cell r="T1286">
            <v>0</v>
          </cell>
        </row>
        <row r="1287">
          <cell r="A1287" t="str">
            <v>1400354</v>
          </cell>
          <cell r="Q1287">
            <v>-3766696.5</v>
          </cell>
          <cell r="T1287">
            <v>0</v>
          </cell>
        </row>
        <row r="1288">
          <cell r="A1288" t="str">
            <v>1400355</v>
          </cell>
          <cell r="Q1288">
            <v>-6298314.0700000003</v>
          </cell>
          <cell r="T1288">
            <v>0</v>
          </cell>
        </row>
        <row r="1289">
          <cell r="A1289" t="str">
            <v>1400356</v>
          </cell>
          <cell r="Q1289">
            <v>-430197.85</v>
          </cell>
          <cell r="T1289">
            <v>0</v>
          </cell>
        </row>
        <row r="1290">
          <cell r="A1290" t="str">
            <v>1400357</v>
          </cell>
          <cell r="Q1290">
            <v>-1748824.6</v>
          </cell>
          <cell r="T1290">
            <v>0</v>
          </cell>
        </row>
        <row r="1291">
          <cell r="A1291" t="str">
            <v>1400358</v>
          </cell>
          <cell r="Q1291">
            <v>-414178.98</v>
          </cell>
          <cell r="T1291">
            <v>0</v>
          </cell>
        </row>
        <row r="1292">
          <cell r="A1292" t="str">
            <v>1400359</v>
          </cell>
          <cell r="Q1292">
            <v>-178260.9</v>
          </cell>
          <cell r="T1292">
            <v>0</v>
          </cell>
        </row>
        <row r="1293">
          <cell r="A1293" t="str">
            <v>1400360</v>
          </cell>
          <cell r="Q1293">
            <v>-709670.6</v>
          </cell>
          <cell r="T1293">
            <v>0</v>
          </cell>
        </row>
        <row r="1294">
          <cell r="A1294" t="str">
            <v>1400361</v>
          </cell>
          <cell r="Q1294">
            <v>-166560.73000000001</v>
          </cell>
          <cell r="T1294">
            <v>0</v>
          </cell>
        </row>
        <row r="1295">
          <cell r="A1295" t="str">
            <v>1400362</v>
          </cell>
          <cell r="Q1295">
            <v>-2905733.17</v>
          </cell>
          <cell r="T1295">
            <v>0</v>
          </cell>
        </row>
        <row r="1296">
          <cell r="A1296" t="str">
            <v>1400364</v>
          </cell>
          <cell r="Q1296">
            <v>-3731.71</v>
          </cell>
          <cell r="T1296">
            <v>0</v>
          </cell>
        </row>
        <row r="1297">
          <cell r="A1297" t="str">
            <v>1400365</v>
          </cell>
          <cell r="Q1297">
            <v>-52016.93</v>
          </cell>
          <cell r="T1297">
            <v>0</v>
          </cell>
        </row>
        <row r="1298">
          <cell r="A1298" t="str">
            <v>1400366</v>
          </cell>
          <cell r="Q1298">
            <v>-105556.05</v>
          </cell>
          <cell r="T1298">
            <v>0</v>
          </cell>
        </row>
        <row r="1299">
          <cell r="A1299" t="str">
            <v>1400367</v>
          </cell>
          <cell r="Q1299">
            <v>-272992.05</v>
          </cell>
          <cell r="T1299">
            <v>0</v>
          </cell>
        </row>
        <row r="1300">
          <cell r="A1300" t="str">
            <v>1400368</v>
          </cell>
          <cell r="Q1300">
            <v>-15294.83</v>
          </cell>
          <cell r="T1300">
            <v>0</v>
          </cell>
        </row>
        <row r="1301">
          <cell r="A1301" t="str">
            <v>1400369</v>
          </cell>
          <cell r="Q1301">
            <v>-47189.120000000003</v>
          </cell>
          <cell r="T1301">
            <v>0</v>
          </cell>
        </row>
        <row r="1302">
          <cell r="A1302" t="str">
            <v>1400370</v>
          </cell>
          <cell r="Q1302">
            <v>-5662.71</v>
          </cell>
          <cell r="T1302">
            <v>0</v>
          </cell>
        </row>
        <row r="1303">
          <cell r="A1303" t="str">
            <v>1400371</v>
          </cell>
          <cell r="Q1303">
            <v>-113472.75</v>
          </cell>
          <cell r="T1303">
            <v>0</v>
          </cell>
        </row>
        <row r="1304">
          <cell r="A1304" t="str">
            <v>1400372</v>
          </cell>
          <cell r="Q1304">
            <v>-12980.42</v>
          </cell>
          <cell r="T1304">
            <v>0</v>
          </cell>
        </row>
        <row r="1305">
          <cell r="A1305" t="str">
            <v>1400373</v>
          </cell>
          <cell r="Q1305">
            <v>-22745.4</v>
          </cell>
          <cell r="T1305">
            <v>0</v>
          </cell>
        </row>
        <row r="1306">
          <cell r="A1306" t="str">
            <v>1400374</v>
          </cell>
          <cell r="Q1306">
            <v>-8865.57</v>
          </cell>
          <cell r="T1306">
            <v>0</v>
          </cell>
        </row>
        <row r="1307">
          <cell r="A1307" t="str">
            <v>1400375</v>
          </cell>
          <cell r="Q1307">
            <v>-208176.81</v>
          </cell>
          <cell r="T1307">
            <v>0</v>
          </cell>
        </row>
        <row r="1308">
          <cell r="A1308" t="str">
            <v>1400376</v>
          </cell>
          <cell r="Q1308">
            <v>-18031.349999999999</v>
          </cell>
          <cell r="T1308">
            <v>0</v>
          </cell>
        </row>
        <row r="1309">
          <cell r="A1309" t="str">
            <v>1400377</v>
          </cell>
          <cell r="Q1309">
            <v>-24356.17</v>
          </cell>
          <cell r="T1309">
            <v>0</v>
          </cell>
        </row>
        <row r="1310">
          <cell r="A1310" t="str">
            <v>1400378</v>
          </cell>
          <cell r="Q1310">
            <v>-26148.16</v>
          </cell>
          <cell r="T1310">
            <v>0</v>
          </cell>
        </row>
        <row r="1311">
          <cell r="A1311" t="str">
            <v>1400379</v>
          </cell>
          <cell r="Q1311">
            <v>-16080.82</v>
          </cell>
          <cell r="T1311">
            <v>0</v>
          </cell>
        </row>
        <row r="1312">
          <cell r="A1312" t="str">
            <v>1400380</v>
          </cell>
          <cell r="Q1312">
            <v>-31226.31</v>
          </cell>
          <cell r="T1312">
            <v>0</v>
          </cell>
        </row>
        <row r="1313">
          <cell r="A1313" t="str">
            <v>1400381</v>
          </cell>
          <cell r="Q1313">
            <v>-13722.65</v>
          </cell>
          <cell r="T1313">
            <v>0</v>
          </cell>
        </row>
        <row r="1314">
          <cell r="A1314" t="str">
            <v>1400382</v>
          </cell>
          <cell r="Q1314">
            <v>-11037.36</v>
          </cell>
          <cell r="T1314">
            <v>0</v>
          </cell>
        </row>
        <row r="1315">
          <cell r="A1315" t="str">
            <v>1400383</v>
          </cell>
          <cell r="Q1315">
            <v>-23623.94</v>
          </cell>
          <cell r="T1315">
            <v>0</v>
          </cell>
        </row>
        <row r="1316">
          <cell r="A1316" t="str">
            <v>1400384</v>
          </cell>
          <cell r="Q1316">
            <v>-35640.31</v>
          </cell>
          <cell r="T1316">
            <v>0</v>
          </cell>
        </row>
        <row r="1317">
          <cell r="A1317" t="str">
            <v>1400385</v>
          </cell>
          <cell r="Q1317">
            <v>-35640.31</v>
          </cell>
          <cell r="T1317">
            <v>0</v>
          </cell>
        </row>
        <row r="1318">
          <cell r="A1318" t="str">
            <v>1400386</v>
          </cell>
          <cell r="Q1318">
            <v>-1642.81</v>
          </cell>
          <cell r="T1318">
            <v>0</v>
          </cell>
        </row>
        <row r="1319">
          <cell r="A1319" t="str">
            <v>1400387</v>
          </cell>
          <cell r="Q1319">
            <v>-9635.73</v>
          </cell>
          <cell r="T1319">
            <v>0</v>
          </cell>
        </row>
        <row r="1320">
          <cell r="A1320" t="str">
            <v>1400388</v>
          </cell>
          <cell r="Q1320">
            <v>-2000.21</v>
          </cell>
          <cell r="T1320">
            <v>0</v>
          </cell>
        </row>
        <row r="1321">
          <cell r="A1321" t="str">
            <v>1400389</v>
          </cell>
          <cell r="Q1321">
            <v>-8803.3700000000008</v>
          </cell>
          <cell r="T1321">
            <v>0</v>
          </cell>
        </row>
        <row r="1322">
          <cell r="A1322" t="str">
            <v>1400390</v>
          </cell>
          <cell r="Q1322">
            <v>-3600.75</v>
          </cell>
          <cell r="T1322">
            <v>0</v>
          </cell>
        </row>
        <row r="1323">
          <cell r="A1323" t="str">
            <v>1400413</v>
          </cell>
          <cell r="Q1323">
            <v>-163074.06</v>
          </cell>
          <cell r="T1323">
            <v>0</v>
          </cell>
        </row>
        <row r="1324">
          <cell r="A1324" t="str">
            <v>1400420</v>
          </cell>
          <cell r="Q1324">
            <v>-47806.06</v>
          </cell>
          <cell r="T1324">
            <v>0</v>
          </cell>
        </row>
        <row r="1325">
          <cell r="A1325" t="str">
            <v>1400421</v>
          </cell>
          <cell r="Q1325">
            <v>-66116.259999999995</v>
          </cell>
          <cell r="T1325">
            <v>0</v>
          </cell>
        </row>
        <row r="1326">
          <cell r="A1326" t="str">
            <v>1400589</v>
          </cell>
          <cell r="Q1326">
            <v>-30997.55</v>
          </cell>
          <cell r="T1326">
            <v>0</v>
          </cell>
        </row>
        <row r="1327">
          <cell r="A1327" t="str">
            <v>1400590</v>
          </cell>
          <cell r="Q1327">
            <v>-184303.23</v>
          </cell>
          <cell r="T1327">
            <v>0</v>
          </cell>
        </row>
        <row r="1328">
          <cell r="A1328" t="str">
            <v>1400591</v>
          </cell>
          <cell r="Q1328">
            <v>-323672.05</v>
          </cell>
          <cell r="T1328">
            <v>0</v>
          </cell>
        </row>
        <row r="1329">
          <cell r="A1329" t="str">
            <v>1400592</v>
          </cell>
          <cell r="Q1329">
            <v>-55747.59</v>
          </cell>
          <cell r="T1329">
            <v>0</v>
          </cell>
        </row>
        <row r="1330">
          <cell r="A1330" t="str">
            <v>1400593</v>
          </cell>
          <cell r="Q1330">
            <v>-14177.17</v>
          </cell>
          <cell r="T1330">
            <v>0</v>
          </cell>
        </row>
        <row r="1331">
          <cell r="A1331" t="str">
            <v>1400594</v>
          </cell>
          <cell r="Q1331">
            <v>-112696.5</v>
          </cell>
          <cell r="T1331">
            <v>0</v>
          </cell>
        </row>
        <row r="1332">
          <cell r="A1332" t="str">
            <v>1400595</v>
          </cell>
          <cell r="Q1332">
            <v>-122788.73</v>
          </cell>
          <cell r="T1332">
            <v>0</v>
          </cell>
        </row>
        <row r="1333">
          <cell r="A1333" t="str">
            <v>1400596</v>
          </cell>
          <cell r="Q1333">
            <v>-21866.5</v>
          </cell>
          <cell r="T1333">
            <v>0</v>
          </cell>
        </row>
        <row r="1334">
          <cell r="A1334" t="str">
            <v>1400597</v>
          </cell>
          <cell r="Q1334">
            <v>-10332.52</v>
          </cell>
          <cell r="T1334">
            <v>0</v>
          </cell>
        </row>
        <row r="1335">
          <cell r="A1335" t="str">
            <v>1400598</v>
          </cell>
          <cell r="Q1335">
            <v>-363560.35</v>
          </cell>
          <cell r="T1335">
            <v>0</v>
          </cell>
        </row>
        <row r="1336">
          <cell r="A1336" t="str">
            <v>1400599</v>
          </cell>
          <cell r="Q1336">
            <v>-240291.07</v>
          </cell>
          <cell r="T1336">
            <v>0</v>
          </cell>
        </row>
        <row r="1337">
          <cell r="A1337" t="str">
            <v>1400600</v>
          </cell>
          <cell r="Q1337">
            <v>-203526.54</v>
          </cell>
          <cell r="T1337">
            <v>0</v>
          </cell>
        </row>
        <row r="1338">
          <cell r="A1338" t="str">
            <v>1400601</v>
          </cell>
          <cell r="Q1338">
            <v>-42291.23</v>
          </cell>
          <cell r="T1338">
            <v>0</v>
          </cell>
        </row>
        <row r="1339">
          <cell r="A1339" t="str">
            <v>1400602</v>
          </cell>
          <cell r="Q1339">
            <v>-11053.37</v>
          </cell>
          <cell r="T1339">
            <v>0</v>
          </cell>
        </row>
        <row r="1340">
          <cell r="A1340" t="str">
            <v>1400603</v>
          </cell>
          <cell r="Q1340">
            <v>-7929.52</v>
          </cell>
          <cell r="T1340">
            <v>0</v>
          </cell>
        </row>
        <row r="1341">
          <cell r="A1341" t="str">
            <v>1400684</v>
          </cell>
          <cell r="Q1341">
            <v>-26792.19</v>
          </cell>
          <cell r="T1341">
            <v>0</v>
          </cell>
        </row>
        <row r="1342">
          <cell r="A1342" t="str">
            <v>1400698</v>
          </cell>
          <cell r="Q1342">
            <v>-50021.26</v>
          </cell>
          <cell r="T1342">
            <v>0</v>
          </cell>
        </row>
        <row r="1343">
          <cell r="A1343" t="str">
            <v>1400700</v>
          </cell>
          <cell r="Q1343">
            <v>-6262.79</v>
          </cell>
          <cell r="T1343">
            <v>0</v>
          </cell>
        </row>
        <row r="1344">
          <cell r="A1344" t="str">
            <v>1400701</v>
          </cell>
          <cell r="Q1344">
            <v>-14316.6</v>
          </cell>
          <cell r="T1344">
            <v>0</v>
          </cell>
        </row>
        <row r="1345">
          <cell r="A1345" t="str">
            <v>1400703</v>
          </cell>
          <cell r="Q1345">
            <v>-3443.1</v>
          </cell>
          <cell r="T1345">
            <v>0</v>
          </cell>
        </row>
        <row r="1346">
          <cell r="A1346" t="str">
            <v>1400705</v>
          </cell>
          <cell r="Q1346">
            <v>-2587744.02</v>
          </cell>
          <cell r="T1346">
            <v>0</v>
          </cell>
        </row>
        <row r="1347">
          <cell r="A1347" t="str">
            <v>1400708</v>
          </cell>
          <cell r="Q1347">
            <v>-60642.23</v>
          </cell>
          <cell r="T1347">
            <v>0</v>
          </cell>
        </row>
        <row r="1348">
          <cell r="A1348" t="str">
            <v>1400711</v>
          </cell>
          <cell r="Q1348">
            <v>-5984.81</v>
          </cell>
          <cell r="T1348">
            <v>0</v>
          </cell>
        </row>
        <row r="1349">
          <cell r="A1349" t="str">
            <v>1400712</v>
          </cell>
          <cell r="Q1349">
            <v>-4874.97</v>
          </cell>
          <cell r="T1349">
            <v>0</v>
          </cell>
        </row>
        <row r="1350">
          <cell r="A1350" t="str">
            <v>1400716</v>
          </cell>
          <cell r="Q1350">
            <v>-4663.09</v>
          </cell>
          <cell r="T1350">
            <v>0</v>
          </cell>
        </row>
        <row r="1351">
          <cell r="A1351" t="str">
            <v>1400722</v>
          </cell>
          <cell r="Q1351">
            <v>-3432.94</v>
          </cell>
          <cell r="T1351">
            <v>0</v>
          </cell>
        </row>
        <row r="1352">
          <cell r="A1352" t="str">
            <v>1400723</v>
          </cell>
          <cell r="Q1352">
            <v>-19747.02</v>
          </cell>
          <cell r="T1352">
            <v>0</v>
          </cell>
        </row>
        <row r="1353">
          <cell r="A1353" t="str">
            <v>1400726</v>
          </cell>
          <cell r="Q1353">
            <v>-4317.5</v>
          </cell>
          <cell r="T1353">
            <v>0</v>
          </cell>
        </row>
        <row r="1354">
          <cell r="A1354" t="str">
            <v>1400727</v>
          </cell>
          <cell r="Q1354">
            <v>-25905.040000000001</v>
          </cell>
          <cell r="T1354">
            <v>0</v>
          </cell>
        </row>
        <row r="1355">
          <cell r="A1355" t="str">
            <v>1400728</v>
          </cell>
          <cell r="Q1355">
            <v>-4119.5200000000004</v>
          </cell>
          <cell r="T1355">
            <v>0</v>
          </cell>
        </row>
        <row r="1356">
          <cell r="A1356" t="str">
            <v>1400729</v>
          </cell>
          <cell r="Q1356">
            <v>-85330.93</v>
          </cell>
          <cell r="T1356">
            <v>0</v>
          </cell>
        </row>
        <row r="1357">
          <cell r="A1357" t="str">
            <v>1400730</v>
          </cell>
          <cell r="Q1357">
            <v>-5321.07</v>
          </cell>
          <cell r="T1357">
            <v>0</v>
          </cell>
        </row>
        <row r="1358">
          <cell r="A1358" t="str">
            <v>1400736</v>
          </cell>
          <cell r="Q1358">
            <v>-45272.94</v>
          </cell>
          <cell r="T1358">
            <v>0</v>
          </cell>
        </row>
        <row r="1359">
          <cell r="A1359" t="str">
            <v>1400738</v>
          </cell>
          <cell r="Q1359">
            <v>-21188.55</v>
          </cell>
          <cell r="T1359">
            <v>0</v>
          </cell>
        </row>
        <row r="1360">
          <cell r="A1360" t="str">
            <v>1400739</v>
          </cell>
          <cell r="Q1360">
            <v>-13882.14</v>
          </cell>
          <cell r="T1360">
            <v>0</v>
          </cell>
        </row>
        <row r="1361">
          <cell r="A1361" t="str">
            <v>1400740</v>
          </cell>
          <cell r="Q1361">
            <v>-36846.92</v>
          </cell>
          <cell r="T1361">
            <v>0</v>
          </cell>
        </row>
        <row r="1362">
          <cell r="A1362" t="str">
            <v>1400741</v>
          </cell>
          <cell r="Q1362">
            <v>-327970.68</v>
          </cell>
          <cell r="T1362">
            <v>0</v>
          </cell>
        </row>
        <row r="1363">
          <cell r="A1363" t="str">
            <v>1400744</v>
          </cell>
          <cell r="Q1363">
            <v>-25575.42</v>
          </cell>
          <cell r="T1363">
            <v>0</v>
          </cell>
        </row>
        <row r="1364">
          <cell r="A1364" t="str">
            <v>1400745</v>
          </cell>
          <cell r="Q1364">
            <v>-44499.29</v>
          </cell>
          <cell r="T1364">
            <v>0</v>
          </cell>
        </row>
        <row r="1365">
          <cell r="A1365" t="str">
            <v>1400746</v>
          </cell>
          <cell r="Q1365">
            <v>-110137.25</v>
          </cell>
          <cell r="T1365">
            <v>0</v>
          </cell>
        </row>
        <row r="1366">
          <cell r="A1366" t="str">
            <v>1400840</v>
          </cell>
          <cell r="Q1366">
            <v>-6187.48</v>
          </cell>
          <cell r="T1366">
            <v>0</v>
          </cell>
        </row>
        <row r="1367">
          <cell r="A1367" t="str">
            <v>1400841</v>
          </cell>
          <cell r="Q1367">
            <v>-36281.96</v>
          </cell>
          <cell r="T1367">
            <v>0</v>
          </cell>
        </row>
        <row r="1368">
          <cell r="A1368" t="str">
            <v>1400842</v>
          </cell>
          <cell r="Q1368">
            <v>-3374.72</v>
          </cell>
          <cell r="T1368">
            <v>0</v>
          </cell>
        </row>
        <row r="1369">
          <cell r="A1369" t="str">
            <v>1400843</v>
          </cell>
          <cell r="Q1369">
            <v>-753.06</v>
          </cell>
          <cell r="T1369">
            <v>0</v>
          </cell>
        </row>
        <row r="1370">
          <cell r="A1370" t="str">
            <v>1400844</v>
          </cell>
          <cell r="Q1370">
            <v>-2485.1</v>
          </cell>
          <cell r="T1370">
            <v>0</v>
          </cell>
        </row>
        <row r="1371">
          <cell r="A1371" t="str">
            <v>1400845</v>
          </cell>
          <cell r="Q1371">
            <v>-4417.96</v>
          </cell>
          <cell r="T1371">
            <v>0</v>
          </cell>
        </row>
        <row r="1372">
          <cell r="A1372" t="str">
            <v>1400846</v>
          </cell>
          <cell r="Q1372">
            <v>-843.43</v>
          </cell>
          <cell r="T1372">
            <v>0</v>
          </cell>
        </row>
        <row r="1373">
          <cell r="A1373" t="str">
            <v>1400847</v>
          </cell>
          <cell r="Q1373">
            <v>-1942.33</v>
          </cell>
          <cell r="T1373">
            <v>0</v>
          </cell>
        </row>
        <row r="1374">
          <cell r="A1374" t="str">
            <v>1400849</v>
          </cell>
          <cell r="Q1374">
            <v>-3199.39</v>
          </cell>
          <cell r="T1374">
            <v>0</v>
          </cell>
        </row>
        <row r="1375">
          <cell r="A1375" t="str">
            <v>1400850</v>
          </cell>
          <cell r="Q1375">
            <v>-8883.08</v>
          </cell>
          <cell r="T1375">
            <v>0</v>
          </cell>
        </row>
        <row r="1376">
          <cell r="A1376" t="str">
            <v>1400853</v>
          </cell>
          <cell r="Q1376">
            <v>-115246.9</v>
          </cell>
          <cell r="T1376">
            <v>0</v>
          </cell>
        </row>
        <row r="1377">
          <cell r="A1377" t="str">
            <v>1400857</v>
          </cell>
          <cell r="Q1377">
            <v>-10514.86</v>
          </cell>
          <cell r="T1377">
            <v>0</v>
          </cell>
        </row>
        <row r="1378">
          <cell r="A1378" t="str">
            <v>1400858</v>
          </cell>
          <cell r="Q1378">
            <v>-5406.32</v>
          </cell>
          <cell r="T1378">
            <v>0</v>
          </cell>
        </row>
        <row r="1379">
          <cell r="A1379" t="str">
            <v>1400859</v>
          </cell>
          <cell r="Q1379">
            <v>-11146.29</v>
          </cell>
          <cell r="T1379">
            <v>0</v>
          </cell>
        </row>
        <row r="1380">
          <cell r="A1380" t="str">
            <v>1400862</v>
          </cell>
          <cell r="Q1380">
            <v>-5350.07</v>
          </cell>
          <cell r="T1380">
            <v>0</v>
          </cell>
        </row>
        <row r="1381">
          <cell r="A1381" t="str">
            <v>1400863</v>
          </cell>
          <cell r="Q1381">
            <v>-4472.59</v>
          </cell>
          <cell r="T1381">
            <v>0</v>
          </cell>
        </row>
        <row r="1382">
          <cell r="A1382" t="str">
            <v>1400864</v>
          </cell>
          <cell r="Q1382">
            <v>-1641.33</v>
          </cell>
          <cell r="T1382">
            <v>0</v>
          </cell>
        </row>
        <row r="1383">
          <cell r="A1383" t="str">
            <v>1400867</v>
          </cell>
          <cell r="Q1383">
            <v>-1723.54</v>
          </cell>
          <cell r="T1383">
            <v>0</v>
          </cell>
        </row>
        <row r="1384">
          <cell r="A1384" t="str">
            <v>1400871</v>
          </cell>
          <cell r="Q1384">
            <v>-14551.44</v>
          </cell>
          <cell r="T1384">
            <v>0</v>
          </cell>
        </row>
        <row r="1385">
          <cell r="A1385" t="str">
            <v>1400876</v>
          </cell>
          <cell r="Q1385">
            <v>-6677.68</v>
          </cell>
          <cell r="T1385">
            <v>0</v>
          </cell>
        </row>
        <row r="1386">
          <cell r="A1386" t="str">
            <v>1400879</v>
          </cell>
          <cell r="Q1386">
            <v>-4499.82</v>
          </cell>
          <cell r="T1386">
            <v>0</v>
          </cell>
        </row>
        <row r="1387">
          <cell r="A1387" t="str">
            <v>1400882</v>
          </cell>
          <cell r="Q1387">
            <v>-5773.3</v>
          </cell>
          <cell r="T1387">
            <v>0</v>
          </cell>
        </row>
        <row r="1388">
          <cell r="A1388" t="str">
            <v>1400885</v>
          </cell>
          <cell r="Q1388">
            <v>-16810.25</v>
          </cell>
          <cell r="T1388">
            <v>0</v>
          </cell>
        </row>
        <row r="1389">
          <cell r="A1389" t="str">
            <v>1400887</v>
          </cell>
          <cell r="Q1389">
            <v>-4417.96</v>
          </cell>
          <cell r="T1389">
            <v>0</v>
          </cell>
        </row>
        <row r="1390">
          <cell r="A1390" t="str">
            <v>1400893</v>
          </cell>
          <cell r="Q1390">
            <v>-14059.81</v>
          </cell>
          <cell r="T1390">
            <v>0</v>
          </cell>
        </row>
        <row r="1391">
          <cell r="A1391" t="str">
            <v>1400894</v>
          </cell>
          <cell r="Q1391">
            <v>-1183.3699999999999</v>
          </cell>
          <cell r="T1391">
            <v>0</v>
          </cell>
        </row>
        <row r="1392">
          <cell r="A1392" t="str">
            <v>1400896</v>
          </cell>
          <cell r="Q1392">
            <v>-7561.71</v>
          </cell>
          <cell r="T1392">
            <v>0</v>
          </cell>
        </row>
        <row r="1393">
          <cell r="A1393" t="str">
            <v>1400908</v>
          </cell>
          <cell r="Q1393">
            <v>-648.41</v>
          </cell>
          <cell r="T1393">
            <v>0</v>
          </cell>
        </row>
        <row r="1394">
          <cell r="A1394" t="str">
            <v>1400913</v>
          </cell>
          <cell r="Q1394">
            <v>-3263.61</v>
          </cell>
          <cell r="T1394">
            <v>0</v>
          </cell>
        </row>
        <row r="1395">
          <cell r="A1395" t="str">
            <v>1400914</v>
          </cell>
          <cell r="Q1395">
            <v>-5108.32</v>
          </cell>
          <cell r="T1395">
            <v>0</v>
          </cell>
        </row>
        <row r="1396">
          <cell r="A1396" t="str">
            <v>1400915</v>
          </cell>
          <cell r="Q1396">
            <v>-1073.45</v>
          </cell>
          <cell r="T1396">
            <v>0</v>
          </cell>
        </row>
        <row r="1397">
          <cell r="A1397" t="str">
            <v>1400932</v>
          </cell>
          <cell r="Q1397">
            <v>-38460.910000000003</v>
          </cell>
          <cell r="T1397">
            <v>0</v>
          </cell>
        </row>
        <row r="1398">
          <cell r="A1398" t="str">
            <v>1400938</v>
          </cell>
          <cell r="Q1398">
            <v>-61681.69</v>
          </cell>
          <cell r="T1398">
            <v>0</v>
          </cell>
        </row>
        <row r="1399">
          <cell r="A1399" t="str">
            <v>1400939</v>
          </cell>
          <cell r="Q1399">
            <v>-8888.93</v>
          </cell>
          <cell r="T1399">
            <v>0</v>
          </cell>
        </row>
        <row r="1400">
          <cell r="A1400" t="str">
            <v>1400940</v>
          </cell>
          <cell r="Q1400">
            <v>-36376.370000000003</v>
          </cell>
          <cell r="T1400">
            <v>0</v>
          </cell>
        </row>
        <row r="1401">
          <cell r="A1401" t="str">
            <v>1400942</v>
          </cell>
          <cell r="Q1401">
            <v>-13275.76</v>
          </cell>
          <cell r="T1401">
            <v>0</v>
          </cell>
        </row>
        <row r="1402">
          <cell r="A1402" t="str">
            <v>1400943</v>
          </cell>
          <cell r="Q1402">
            <v>-13275.76</v>
          </cell>
          <cell r="T1402">
            <v>0</v>
          </cell>
        </row>
        <row r="1403">
          <cell r="A1403" t="str">
            <v>1400944</v>
          </cell>
          <cell r="Q1403">
            <v>-13275.76</v>
          </cell>
          <cell r="T1403">
            <v>0</v>
          </cell>
        </row>
        <row r="1404">
          <cell r="A1404" t="str">
            <v>1400945</v>
          </cell>
          <cell r="Q1404">
            <v>-13275.76</v>
          </cell>
          <cell r="T1404">
            <v>0</v>
          </cell>
        </row>
        <row r="1405">
          <cell r="A1405" t="str">
            <v>1400953</v>
          </cell>
          <cell r="Q1405">
            <v>-14594.72</v>
          </cell>
          <cell r="T1405">
            <v>0</v>
          </cell>
        </row>
        <row r="1406">
          <cell r="A1406" t="str">
            <v>1401108</v>
          </cell>
          <cell r="Q1406">
            <v>-3142.66</v>
          </cell>
          <cell r="T1406">
            <v>0</v>
          </cell>
        </row>
        <row r="1407">
          <cell r="A1407" t="str">
            <v>1401109</v>
          </cell>
          <cell r="Q1407">
            <v>-13149.67</v>
          </cell>
          <cell r="T1407">
            <v>0</v>
          </cell>
        </row>
        <row r="1408">
          <cell r="A1408" t="str">
            <v>1401111</v>
          </cell>
          <cell r="Q1408">
            <v>-2350.83</v>
          </cell>
          <cell r="T1408">
            <v>0</v>
          </cell>
        </row>
        <row r="1409">
          <cell r="A1409" t="str">
            <v>1401113</v>
          </cell>
          <cell r="Q1409">
            <v>-10904.24</v>
          </cell>
          <cell r="T1409">
            <v>0</v>
          </cell>
        </row>
        <row r="1410">
          <cell r="A1410" t="str">
            <v>1401114</v>
          </cell>
          <cell r="Q1410">
            <v>-8619.5</v>
          </cell>
          <cell r="T1410">
            <v>0</v>
          </cell>
        </row>
        <row r="1411">
          <cell r="A1411" t="str">
            <v>1401115</v>
          </cell>
          <cell r="Q1411">
            <v>-186459.61</v>
          </cell>
          <cell r="T1411">
            <v>0</v>
          </cell>
        </row>
        <row r="1412">
          <cell r="A1412" t="str">
            <v>1401117</v>
          </cell>
          <cell r="Q1412">
            <v>-14773.96</v>
          </cell>
          <cell r="T1412">
            <v>0</v>
          </cell>
        </row>
        <row r="1413">
          <cell r="A1413" t="str">
            <v>1401118</v>
          </cell>
          <cell r="Q1413">
            <v>-21330.71</v>
          </cell>
          <cell r="T1413">
            <v>0</v>
          </cell>
        </row>
        <row r="1414">
          <cell r="A1414" t="str">
            <v>1401119</v>
          </cell>
          <cell r="Q1414">
            <v>-1500</v>
          </cell>
          <cell r="T1414">
            <v>0</v>
          </cell>
        </row>
        <row r="1415">
          <cell r="A1415" t="str">
            <v>1401210</v>
          </cell>
          <cell r="Q1415">
            <v>-16640.21</v>
          </cell>
          <cell r="T1415">
            <v>0</v>
          </cell>
        </row>
        <row r="1416">
          <cell r="A1416" t="str">
            <v>1401211</v>
          </cell>
          <cell r="Q1416">
            <v>-5893.11</v>
          </cell>
          <cell r="T1416">
            <v>0</v>
          </cell>
        </row>
        <row r="1417">
          <cell r="A1417" t="str">
            <v>1401240</v>
          </cell>
          <cell r="Q1417">
            <v>-32907.01</v>
          </cell>
          <cell r="T1417">
            <v>0</v>
          </cell>
        </row>
        <row r="1418">
          <cell r="A1418" t="str">
            <v>1401242</v>
          </cell>
          <cell r="Q1418">
            <v>-220807.79</v>
          </cell>
          <cell r="T1418">
            <v>0</v>
          </cell>
        </row>
        <row r="1419">
          <cell r="A1419" t="str">
            <v>1401243</v>
          </cell>
          <cell r="Q1419">
            <v>-28630.43</v>
          </cell>
          <cell r="T1419">
            <v>0</v>
          </cell>
        </row>
        <row r="1420">
          <cell r="A1420" t="str">
            <v>1401244</v>
          </cell>
          <cell r="Q1420">
            <v>-359627.55</v>
          </cell>
          <cell r="T1420">
            <v>0</v>
          </cell>
        </row>
        <row r="1421">
          <cell r="A1421" t="str">
            <v>1401245</v>
          </cell>
          <cell r="Q1421">
            <v>-322284.59999999998</v>
          </cell>
          <cell r="T1421">
            <v>0</v>
          </cell>
        </row>
        <row r="1422">
          <cell r="A1422" t="str">
            <v>1401246</v>
          </cell>
          <cell r="Q1422">
            <v>-23398.45</v>
          </cell>
          <cell r="T1422">
            <v>0</v>
          </cell>
        </row>
        <row r="1423">
          <cell r="A1423" t="str">
            <v>1401247</v>
          </cell>
          <cell r="Q1423">
            <v>-2207.0700000000002</v>
          </cell>
          <cell r="T1423">
            <v>0</v>
          </cell>
        </row>
        <row r="1424">
          <cell r="A1424" t="str">
            <v>1401248</v>
          </cell>
          <cell r="Q1424">
            <v>-17923.560000000001</v>
          </cell>
          <cell r="T1424">
            <v>0</v>
          </cell>
        </row>
        <row r="1425">
          <cell r="A1425" t="str">
            <v>1401249</v>
          </cell>
          <cell r="Q1425">
            <v>-13672.54</v>
          </cell>
          <cell r="T1425">
            <v>0</v>
          </cell>
        </row>
        <row r="1426">
          <cell r="A1426" t="str">
            <v>1401250</v>
          </cell>
          <cell r="Q1426">
            <v>-1746.14</v>
          </cell>
          <cell r="T1426">
            <v>0</v>
          </cell>
        </row>
        <row r="1427">
          <cell r="A1427" t="str">
            <v>1401251</v>
          </cell>
          <cell r="Q1427">
            <v>-1558.87</v>
          </cell>
          <cell r="T1427">
            <v>0</v>
          </cell>
        </row>
        <row r="1428">
          <cell r="A1428" t="str">
            <v>1401252</v>
          </cell>
          <cell r="Q1428">
            <v>-1215.93</v>
          </cell>
          <cell r="T1428">
            <v>0</v>
          </cell>
        </row>
        <row r="1429">
          <cell r="A1429" t="str">
            <v>1401253</v>
          </cell>
          <cell r="Q1429">
            <v>-4709.16</v>
          </cell>
          <cell r="T1429">
            <v>0</v>
          </cell>
        </row>
        <row r="1430">
          <cell r="A1430" t="str">
            <v>1401254</v>
          </cell>
          <cell r="Q1430">
            <v>-6685.47</v>
          </cell>
          <cell r="T1430">
            <v>0</v>
          </cell>
        </row>
        <row r="1431">
          <cell r="A1431" t="str">
            <v>1401255</v>
          </cell>
          <cell r="Q1431">
            <v>-5143.04</v>
          </cell>
          <cell r="T1431">
            <v>0</v>
          </cell>
        </row>
        <row r="1432">
          <cell r="A1432" t="str">
            <v>1401256</v>
          </cell>
          <cell r="Q1432">
            <v>-2874.23</v>
          </cell>
          <cell r="T1432">
            <v>0</v>
          </cell>
        </row>
        <row r="1433">
          <cell r="A1433" t="str">
            <v>1401257</v>
          </cell>
          <cell r="Q1433">
            <v>-6769.48</v>
          </cell>
          <cell r="T1433">
            <v>0</v>
          </cell>
        </row>
        <row r="1434">
          <cell r="A1434" t="str">
            <v>1401258</v>
          </cell>
          <cell r="Q1434">
            <v>-13042.94</v>
          </cell>
          <cell r="T1434">
            <v>0</v>
          </cell>
        </row>
        <row r="1435">
          <cell r="A1435" t="str">
            <v>1401259</v>
          </cell>
          <cell r="Q1435">
            <v>-12017.77</v>
          </cell>
          <cell r="T1435">
            <v>0</v>
          </cell>
        </row>
        <row r="1436">
          <cell r="A1436" t="str">
            <v>1401260</v>
          </cell>
          <cell r="Q1436">
            <v>-9885.44</v>
          </cell>
          <cell r="T1436">
            <v>0</v>
          </cell>
        </row>
        <row r="1437">
          <cell r="A1437" t="str">
            <v>1401261</v>
          </cell>
          <cell r="Q1437">
            <v>-9645.9599999999991</v>
          </cell>
          <cell r="T1437">
            <v>0</v>
          </cell>
        </row>
        <row r="1438">
          <cell r="A1438" t="str">
            <v>1401262</v>
          </cell>
          <cell r="Q1438">
            <v>-1335.63</v>
          </cell>
          <cell r="T1438">
            <v>0</v>
          </cell>
        </row>
        <row r="1439">
          <cell r="A1439" t="str">
            <v>1401263</v>
          </cell>
          <cell r="Q1439">
            <v>-1800.07</v>
          </cell>
          <cell r="T1439">
            <v>0</v>
          </cell>
        </row>
        <row r="1440">
          <cell r="A1440" t="str">
            <v>1401264</v>
          </cell>
          <cell r="Q1440">
            <v>-28333.18</v>
          </cell>
          <cell r="T1440">
            <v>0</v>
          </cell>
        </row>
        <row r="1441">
          <cell r="A1441" t="str">
            <v>1401265</v>
          </cell>
          <cell r="Q1441">
            <v>-10851.53</v>
          </cell>
          <cell r="T1441">
            <v>0</v>
          </cell>
        </row>
        <row r="1442">
          <cell r="A1442" t="str">
            <v>1401266</v>
          </cell>
          <cell r="Q1442">
            <v>-62155.199999999997</v>
          </cell>
          <cell r="T1442">
            <v>0</v>
          </cell>
        </row>
        <row r="1443">
          <cell r="A1443" t="str">
            <v>1401267</v>
          </cell>
          <cell r="Q1443">
            <v>-1371.79</v>
          </cell>
          <cell r="T1443">
            <v>0</v>
          </cell>
        </row>
        <row r="1444">
          <cell r="A1444" t="str">
            <v>1401268</v>
          </cell>
          <cell r="Q1444">
            <v>-3426.32</v>
          </cell>
          <cell r="T1444">
            <v>0</v>
          </cell>
        </row>
        <row r="1445">
          <cell r="A1445" t="str">
            <v>1401269</v>
          </cell>
          <cell r="Q1445">
            <v>-3905.14</v>
          </cell>
          <cell r="T1445">
            <v>0</v>
          </cell>
        </row>
        <row r="1446">
          <cell r="A1446" t="str">
            <v>1401270</v>
          </cell>
          <cell r="Q1446">
            <v>-13389</v>
          </cell>
          <cell r="T1446">
            <v>0</v>
          </cell>
        </row>
        <row r="1447">
          <cell r="A1447" t="str">
            <v>1401271</v>
          </cell>
          <cell r="Q1447">
            <v>-10037.11</v>
          </cell>
          <cell r="T1447">
            <v>0</v>
          </cell>
        </row>
        <row r="1448">
          <cell r="A1448" t="str">
            <v>1401272</v>
          </cell>
          <cell r="Q1448">
            <v>-110403.53</v>
          </cell>
          <cell r="T1448">
            <v>0</v>
          </cell>
        </row>
        <row r="1449">
          <cell r="A1449" t="str">
            <v>1401273</v>
          </cell>
          <cell r="Q1449">
            <v>-6893.3</v>
          </cell>
          <cell r="T1449">
            <v>0</v>
          </cell>
        </row>
        <row r="1450">
          <cell r="A1450" t="str">
            <v>1401274</v>
          </cell>
          <cell r="Q1450">
            <v>-205.72</v>
          </cell>
          <cell r="T1450">
            <v>0</v>
          </cell>
        </row>
        <row r="1451">
          <cell r="A1451" t="str">
            <v>1401275</v>
          </cell>
          <cell r="Q1451">
            <v>-1508.22</v>
          </cell>
          <cell r="T1451">
            <v>0</v>
          </cell>
        </row>
        <row r="1452">
          <cell r="A1452" t="str">
            <v>1401276</v>
          </cell>
          <cell r="Q1452">
            <v>-1508.64</v>
          </cell>
          <cell r="T1452">
            <v>0</v>
          </cell>
        </row>
        <row r="1453">
          <cell r="A1453" t="str">
            <v>1401277</v>
          </cell>
          <cell r="Q1453">
            <v>-891.34</v>
          </cell>
          <cell r="T1453">
            <v>0</v>
          </cell>
        </row>
        <row r="1454">
          <cell r="A1454" t="str">
            <v>1401278</v>
          </cell>
          <cell r="Q1454">
            <v>-48113.7</v>
          </cell>
          <cell r="T1454">
            <v>0</v>
          </cell>
        </row>
        <row r="1455">
          <cell r="A1455" t="str">
            <v>1401279</v>
          </cell>
          <cell r="Q1455">
            <v>-95146.1</v>
          </cell>
          <cell r="T1455">
            <v>0</v>
          </cell>
        </row>
        <row r="1456">
          <cell r="A1456" t="str">
            <v>1401280</v>
          </cell>
          <cell r="Q1456">
            <v>-41724.21</v>
          </cell>
          <cell r="T1456">
            <v>0</v>
          </cell>
        </row>
        <row r="1457">
          <cell r="A1457" t="str">
            <v>1401281</v>
          </cell>
          <cell r="Q1457">
            <v>-3675.44</v>
          </cell>
          <cell r="T1457">
            <v>0</v>
          </cell>
        </row>
        <row r="1458">
          <cell r="A1458" t="str">
            <v>1401282</v>
          </cell>
          <cell r="Q1458">
            <v>-42857.65</v>
          </cell>
          <cell r="T1458">
            <v>0</v>
          </cell>
        </row>
        <row r="1459">
          <cell r="A1459" t="str">
            <v>1401283</v>
          </cell>
          <cell r="Q1459">
            <v>-2996.56</v>
          </cell>
          <cell r="T1459">
            <v>0</v>
          </cell>
        </row>
        <row r="1460">
          <cell r="A1460" t="str">
            <v>1401284</v>
          </cell>
          <cell r="Q1460">
            <v>-17453.72</v>
          </cell>
          <cell r="T1460">
            <v>0</v>
          </cell>
        </row>
        <row r="1461">
          <cell r="A1461" t="str">
            <v>1401285</v>
          </cell>
          <cell r="Q1461">
            <v>-101207.53</v>
          </cell>
          <cell r="T1461">
            <v>0</v>
          </cell>
        </row>
        <row r="1462">
          <cell r="A1462" t="str">
            <v>1401286</v>
          </cell>
          <cell r="Q1462">
            <v>-23216.62</v>
          </cell>
          <cell r="T1462">
            <v>0</v>
          </cell>
        </row>
        <row r="1463">
          <cell r="A1463" t="str">
            <v>1401310</v>
          </cell>
          <cell r="Q1463">
            <v>-485519.79</v>
          </cell>
          <cell r="T1463">
            <v>0</v>
          </cell>
        </row>
        <row r="1464">
          <cell r="A1464" t="str">
            <v>1401347</v>
          </cell>
          <cell r="Q1464">
            <v>-10590.54</v>
          </cell>
          <cell r="T1464">
            <v>0</v>
          </cell>
        </row>
        <row r="1465">
          <cell r="A1465" t="str">
            <v>1401348</v>
          </cell>
          <cell r="Q1465">
            <v>-1690</v>
          </cell>
          <cell r="T1465">
            <v>0</v>
          </cell>
        </row>
        <row r="1466">
          <cell r="A1466" t="str">
            <v>1401349</v>
          </cell>
          <cell r="Q1466">
            <v>-73654.820000000007</v>
          </cell>
          <cell r="T1466">
            <v>0</v>
          </cell>
        </row>
        <row r="1467">
          <cell r="A1467" t="str">
            <v>1401350</v>
          </cell>
          <cell r="Q1467">
            <v>-2114.88</v>
          </cell>
          <cell r="T1467">
            <v>0</v>
          </cell>
        </row>
        <row r="1468">
          <cell r="A1468" t="str">
            <v>1401352</v>
          </cell>
          <cell r="Q1468">
            <v>-179672.87</v>
          </cell>
          <cell r="T1468">
            <v>0</v>
          </cell>
        </row>
        <row r="1469">
          <cell r="A1469" t="str">
            <v>1401353</v>
          </cell>
          <cell r="Q1469">
            <v>-64682.239999999998</v>
          </cell>
          <cell r="T1469">
            <v>0</v>
          </cell>
        </row>
        <row r="1470">
          <cell r="A1470" t="str">
            <v>1401354</v>
          </cell>
          <cell r="Q1470">
            <v>-834.95</v>
          </cell>
          <cell r="T1470">
            <v>0</v>
          </cell>
        </row>
        <row r="1471">
          <cell r="A1471" t="str">
            <v>1401355</v>
          </cell>
          <cell r="Q1471">
            <v>-90442.46</v>
          </cell>
          <cell r="T1471">
            <v>0</v>
          </cell>
        </row>
        <row r="1472">
          <cell r="A1472" t="str">
            <v>1401356</v>
          </cell>
          <cell r="Q1472">
            <v>-269509.31</v>
          </cell>
          <cell r="T1472">
            <v>0</v>
          </cell>
        </row>
        <row r="1473">
          <cell r="A1473" t="str">
            <v>1401357</v>
          </cell>
          <cell r="Q1473">
            <v>-8983.64</v>
          </cell>
          <cell r="T1473">
            <v>0</v>
          </cell>
        </row>
        <row r="1474">
          <cell r="A1474" t="str">
            <v>1401358</v>
          </cell>
          <cell r="Q1474">
            <v>-2695.09</v>
          </cell>
          <cell r="T1474">
            <v>0</v>
          </cell>
        </row>
        <row r="1475">
          <cell r="A1475" t="str">
            <v>1401359</v>
          </cell>
          <cell r="Q1475">
            <v>-2695.09</v>
          </cell>
          <cell r="T1475">
            <v>0</v>
          </cell>
        </row>
        <row r="1476">
          <cell r="A1476" t="str">
            <v>1401360</v>
          </cell>
          <cell r="Q1476">
            <v>-898.36</v>
          </cell>
          <cell r="T1476">
            <v>0</v>
          </cell>
        </row>
        <row r="1477">
          <cell r="A1477" t="str">
            <v>1401361</v>
          </cell>
          <cell r="Q1477">
            <v>-1796.73</v>
          </cell>
          <cell r="T1477">
            <v>0</v>
          </cell>
        </row>
        <row r="1478">
          <cell r="A1478" t="str">
            <v>1401362</v>
          </cell>
          <cell r="Q1478">
            <v>-1796.73</v>
          </cell>
          <cell r="T1478">
            <v>0</v>
          </cell>
        </row>
        <row r="1479">
          <cell r="A1479" t="str">
            <v>1401364</v>
          </cell>
          <cell r="Q1479">
            <v>-4491.82</v>
          </cell>
          <cell r="T1479">
            <v>0</v>
          </cell>
        </row>
        <row r="1480">
          <cell r="A1480" t="str">
            <v>1401367</v>
          </cell>
          <cell r="Q1480">
            <v>-898.36</v>
          </cell>
          <cell r="T1480">
            <v>0</v>
          </cell>
        </row>
        <row r="1481">
          <cell r="A1481" t="str">
            <v>1401370</v>
          </cell>
          <cell r="Q1481">
            <v>-2695.09</v>
          </cell>
          <cell r="T1481">
            <v>0</v>
          </cell>
        </row>
        <row r="1482">
          <cell r="A1482" t="str">
            <v>1401371</v>
          </cell>
          <cell r="Q1482">
            <v>-2695.09</v>
          </cell>
          <cell r="T1482">
            <v>0</v>
          </cell>
        </row>
        <row r="1483">
          <cell r="A1483" t="str">
            <v>1401374</v>
          </cell>
          <cell r="Q1483">
            <v>-14373.83</v>
          </cell>
          <cell r="T1483">
            <v>0</v>
          </cell>
        </row>
        <row r="1484">
          <cell r="A1484" t="str">
            <v>1401378</v>
          </cell>
          <cell r="Q1484">
            <v>-2713.27</v>
          </cell>
          <cell r="T1484">
            <v>0</v>
          </cell>
        </row>
        <row r="1485">
          <cell r="A1485" t="str">
            <v>1401383</v>
          </cell>
          <cell r="Q1485">
            <v>-52105.13</v>
          </cell>
          <cell r="T1485">
            <v>0</v>
          </cell>
        </row>
        <row r="1486">
          <cell r="A1486" t="str">
            <v>1401384</v>
          </cell>
          <cell r="Q1486">
            <v>-89836.44</v>
          </cell>
          <cell r="T1486">
            <v>0</v>
          </cell>
        </row>
        <row r="1487">
          <cell r="A1487" t="str">
            <v>1401401</v>
          </cell>
          <cell r="Q1487">
            <v>-97113.19</v>
          </cell>
          <cell r="T1487">
            <v>0</v>
          </cell>
        </row>
        <row r="1488">
          <cell r="A1488" t="str">
            <v>1401402</v>
          </cell>
          <cell r="Q1488">
            <v>-182367.96</v>
          </cell>
          <cell r="T1488">
            <v>0</v>
          </cell>
        </row>
        <row r="1489">
          <cell r="A1489" t="str">
            <v>1401403</v>
          </cell>
          <cell r="Q1489">
            <v>-12577.09</v>
          </cell>
          <cell r="T1489">
            <v>0</v>
          </cell>
        </row>
        <row r="1490">
          <cell r="A1490" t="str">
            <v>1401404</v>
          </cell>
          <cell r="Q1490">
            <v>-35934.58</v>
          </cell>
          <cell r="T1490">
            <v>0</v>
          </cell>
        </row>
        <row r="1491">
          <cell r="A1491" t="str">
            <v>1401405</v>
          </cell>
          <cell r="Q1491">
            <v>-89836.44</v>
          </cell>
          <cell r="T1491">
            <v>0</v>
          </cell>
        </row>
        <row r="1492">
          <cell r="A1492" t="str">
            <v>1401406</v>
          </cell>
          <cell r="Q1492">
            <v>-239031.91</v>
          </cell>
          <cell r="T1492">
            <v>0</v>
          </cell>
        </row>
        <row r="1493">
          <cell r="A1493" t="str">
            <v>1401407</v>
          </cell>
          <cell r="Q1493">
            <v>-36216.97</v>
          </cell>
          <cell r="T1493">
            <v>0</v>
          </cell>
        </row>
        <row r="1494">
          <cell r="A1494" t="str">
            <v>1401408</v>
          </cell>
          <cell r="Q1494">
            <v>-137624.45000000001</v>
          </cell>
          <cell r="T1494">
            <v>0</v>
          </cell>
        </row>
        <row r="1495">
          <cell r="A1495" t="str">
            <v>1401412</v>
          </cell>
          <cell r="Q1495">
            <v>-152111.21</v>
          </cell>
          <cell r="T1495">
            <v>0</v>
          </cell>
        </row>
        <row r="1496">
          <cell r="A1496" t="str">
            <v>1401426</v>
          </cell>
          <cell r="Q1496">
            <v>-423949.78</v>
          </cell>
          <cell r="T1496">
            <v>0</v>
          </cell>
        </row>
        <row r="1497">
          <cell r="A1497" t="str">
            <v>1401429</v>
          </cell>
          <cell r="Q1497">
            <v>-608444.89</v>
          </cell>
          <cell r="T1497">
            <v>0</v>
          </cell>
        </row>
        <row r="1498">
          <cell r="A1498" t="str">
            <v>1401430</v>
          </cell>
          <cell r="Q1498">
            <v>-43460.36</v>
          </cell>
          <cell r="T1498">
            <v>0</v>
          </cell>
        </row>
        <row r="1499">
          <cell r="A1499" t="str">
            <v>1401437</v>
          </cell>
          <cell r="Q1499">
            <v>-4491.82</v>
          </cell>
          <cell r="T1499">
            <v>0</v>
          </cell>
        </row>
        <row r="1500">
          <cell r="A1500" t="str">
            <v>1401448</v>
          </cell>
          <cell r="Q1500">
            <v>-41297.480000000003</v>
          </cell>
          <cell r="T1500">
            <v>0</v>
          </cell>
        </row>
        <row r="1501">
          <cell r="A1501" t="str">
            <v>1401454</v>
          </cell>
          <cell r="Q1501">
            <v>-6006.15</v>
          </cell>
          <cell r="T1501">
            <v>0</v>
          </cell>
        </row>
        <row r="1502">
          <cell r="A1502" t="str">
            <v>1401455</v>
          </cell>
          <cell r="Q1502">
            <v>-10447.450000000001</v>
          </cell>
          <cell r="T1502">
            <v>0</v>
          </cell>
        </row>
        <row r="1503">
          <cell r="A1503" t="str">
            <v>1401464</v>
          </cell>
          <cell r="Q1503">
            <v>-2671.85</v>
          </cell>
          <cell r="T1503">
            <v>0</v>
          </cell>
        </row>
        <row r="1504">
          <cell r="A1504" t="str">
            <v>1401465</v>
          </cell>
          <cell r="Q1504">
            <v>-2199.61</v>
          </cell>
          <cell r="T1504">
            <v>0</v>
          </cell>
        </row>
        <row r="1505">
          <cell r="A1505" t="str">
            <v>1401466</v>
          </cell>
          <cell r="Q1505">
            <v>-17007.98</v>
          </cell>
          <cell r="T1505">
            <v>0</v>
          </cell>
        </row>
        <row r="1506">
          <cell r="A1506" t="str">
            <v>1401470</v>
          </cell>
          <cell r="Q1506">
            <v>-4911.57</v>
          </cell>
          <cell r="T1506">
            <v>0</v>
          </cell>
        </row>
        <row r="1507">
          <cell r="A1507" t="str">
            <v>1401475</v>
          </cell>
          <cell r="Q1507">
            <v>-39190</v>
          </cell>
          <cell r="T1507">
            <v>0</v>
          </cell>
        </row>
        <row r="1508">
          <cell r="A1508" t="str">
            <v>1401483</v>
          </cell>
          <cell r="Q1508">
            <v>-7576.89</v>
          </cell>
          <cell r="T1508">
            <v>0</v>
          </cell>
        </row>
        <row r="1509">
          <cell r="A1509" t="str">
            <v>1401484</v>
          </cell>
          <cell r="Q1509">
            <v>-5471.26</v>
          </cell>
          <cell r="T1509">
            <v>0</v>
          </cell>
        </row>
        <row r="1510">
          <cell r="A1510" t="str">
            <v>1401491</v>
          </cell>
          <cell r="Q1510">
            <v>-849962.35</v>
          </cell>
          <cell r="T1510">
            <v>0</v>
          </cell>
        </row>
        <row r="1511">
          <cell r="A1511" t="str">
            <v>1401491</v>
          </cell>
          <cell r="Q1511">
            <v>-432551.97</v>
          </cell>
          <cell r="T1511">
            <v>0</v>
          </cell>
        </row>
        <row r="1512">
          <cell r="A1512" t="str">
            <v>1401492</v>
          </cell>
          <cell r="Q1512">
            <v>-94944</v>
          </cell>
          <cell r="T1512">
            <v>0</v>
          </cell>
        </row>
        <row r="1513">
          <cell r="A1513" t="str">
            <v>1401493</v>
          </cell>
          <cell r="Q1513">
            <v>-166666.37</v>
          </cell>
          <cell r="T1513">
            <v>0</v>
          </cell>
        </row>
        <row r="1514">
          <cell r="A1514" t="str">
            <v>1401502</v>
          </cell>
          <cell r="Q1514">
            <v>-4147.66</v>
          </cell>
          <cell r="T1514">
            <v>0</v>
          </cell>
        </row>
        <row r="1515">
          <cell r="A1515" t="str">
            <v>1401503</v>
          </cell>
          <cell r="Q1515">
            <v>-74402.14</v>
          </cell>
          <cell r="T1515">
            <v>0</v>
          </cell>
        </row>
        <row r="1516">
          <cell r="A1516" t="str">
            <v>1401504</v>
          </cell>
          <cell r="Q1516">
            <v>-40539.74</v>
          </cell>
          <cell r="T1516">
            <v>0</v>
          </cell>
        </row>
        <row r="1517">
          <cell r="A1517" t="str">
            <v>1401506</v>
          </cell>
          <cell r="Q1517">
            <v>-4251.3599999999997</v>
          </cell>
          <cell r="T1517">
            <v>0</v>
          </cell>
        </row>
        <row r="1518">
          <cell r="A1518" t="str">
            <v>1401507</v>
          </cell>
          <cell r="Q1518">
            <v>-80683.509999999995</v>
          </cell>
          <cell r="T1518">
            <v>0</v>
          </cell>
        </row>
        <row r="1519">
          <cell r="A1519" t="str">
            <v>1401508</v>
          </cell>
          <cell r="Q1519">
            <v>-9105.1200000000008</v>
          </cell>
          <cell r="T1519">
            <v>0</v>
          </cell>
        </row>
        <row r="1520">
          <cell r="A1520" t="str">
            <v>1401509</v>
          </cell>
          <cell r="Q1520">
            <v>-3593.29</v>
          </cell>
          <cell r="T1520">
            <v>0</v>
          </cell>
        </row>
        <row r="1521">
          <cell r="A1521" t="str">
            <v>1401514</v>
          </cell>
          <cell r="Q1521">
            <v>-242706.04</v>
          </cell>
          <cell r="T1521">
            <v>0</v>
          </cell>
        </row>
        <row r="1522">
          <cell r="A1522" t="str">
            <v>1401516</v>
          </cell>
          <cell r="Q1522">
            <v>-17920.64</v>
          </cell>
          <cell r="T1522">
            <v>0</v>
          </cell>
        </row>
        <row r="1523">
          <cell r="A1523" t="str">
            <v>1401524</v>
          </cell>
          <cell r="Q1523">
            <v>-8979.99</v>
          </cell>
          <cell r="T1523">
            <v>0</v>
          </cell>
        </row>
        <row r="1524">
          <cell r="A1524" t="str">
            <v>1401525</v>
          </cell>
          <cell r="Q1524">
            <v>-146569.45000000001</v>
          </cell>
          <cell r="T1524">
            <v>0</v>
          </cell>
        </row>
        <row r="1525">
          <cell r="A1525" t="str">
            <v>1401528</v>
          </cell>
          <cell r="Q1525">
            <v>-18884.419999999998</v>
          </cell>
          <cell r="T1525">
            <v>0</v>
          </cell>
        </row>
        <row r="1526">
          <cell r="A1526" t="str">
            <v>1401530</v>
          </cell>
          <cell r="Q1526">
            <v>-605968.06999999995</v>
          </cell>
          <cell r="T1526">
            <v>0</v>
          </cell>
        </row>
        <row r="1527">
          <cell r="A1527" t="str">
            <v>1401531</v>
          </cell>
          <cell r="Q1527">
            <v>-131319.63</v>
          </cell>
          <cell r="T1527">
            <v>0</v>
          </cell>
        </row>
        <row r="1528">
          <cell r="A1528" t="str">
            <v>1401533</v>
          </cell>
          <cell r="Q1528">
            <v>-10510.22</v>
          </cell>
          <cell r="T1528">
            <v>0</v>
          </cell>
        </row>
        <row r="1529">
          <cell r="A1529" t="str">
            <v>1401535</v>
          </cell>
          <cell r="Q1529">
            <v>-11513.31</v>
          </cell>
          <cell r="T1529">
            <v>0</v>
          </cell>
        </row>
        <row r="1530">
          <cell r="A1530" t="str">
            <v>1401537</v>
          </cell>
          <cell r="Q1530">
            <v>-12888.21</v>
          </cell>
          <cell r="T1530">
            <v>0</v>
          </cell>
        </row>
        <row r="1531">
          <cell r="A1531" t="str">
            <v>1401541</v>
          </cell>
          <cell r="Q1531">
            <v>-3446.48</v>
          </cell>
          <cell r="T1531">
            <v>0</v>
          </cell>
        </row>
        <row r="1532">
          <cell r="A1532" t="str">
            <v>1401542</v>
          </cell>
          <cell r="Q1532">
            <v>-676.32</v>
          </cell>
          <cell r="T1532">
            <v>0</v>
          </cell>
        </row>
        <row r="1533">
          <cell r="A1533" t="str">
            <v>1401551</v>
          </cell>
          <cell r="Q1533">
            <v>-3897.69</v>
          </cell>
          <cell r="T1533">
            <v>0</v>
          </cell>
        </row>
        <row r="1534">
          <cell r="A1534" t="str">
            <v>1401552</v>
          </cell>
          <cell r="Q1534">
            <v>-16105.42</v>
          </cell>
          <cell r="T1534">
            <v>0</v>
          </cell>
        </row>
        <row r="1535">
          <cell r="A1535" t="str">
            <v>1401553</v>
          </cell>
          <cell r="Q1535">
            <v>-6108.95</v>
          </cell>
          <cell r="T1535">
            <v>0</v>
          </cell>
        </row>
        <row r="1536">
          <cell r="A1536" t="str">
            <v>1401571</v>
          </cell>
          <cell r="Q1536">
            <v>-4456.42</v>
          </cell>
          <cell r="T1536">
            <v>0</v>
          </cell>
        </row>
        <row r="1537">
          <cell r="A1537" t="str">
            <v>1401591</v>
          </cell>
          <cell r="Q1537">
            <v>-5812.18</v>
          </cell>
          <cell r="T1537">
            <v>0</v>
          </cell>
        </row>
        <row r="1538">
          <cell r="A1538" t="str">
            <v>1401592</v>
          </cell>
          <cell r="Q1538">
            <v>-5414.27</v>
          </cell>
          <cell r="T1538">
            <v>0</v>
          </cell>
        </row>
        <row r="1539">
          <cell r="A1539" t="str">
            <v>1401597</v>
          </cell>
          <cell r="Q1539">
            <v>-11655.19</v>
          </cell>
          <cell r="T1539">
            <v>0</v>
          </cell>
        </row>
        <row r="1540">
          <cell r="A1540" t="str">
            <v>1401599</v>
          </cell>
          <cell r="Q1540">
            <v>-45057.440000000002</v>
          </cell>
          <cell r="T1540">
            <v>0</v>
          </cell>
        </row>
        <row r="1541">
          <cell r="A1541" t="str">
            <v>1401600</v>
          </cell>
          <cell r="Q1541">
            <v>-73706.31</v>
          </cell>
          <cell r="T1541">
            <v>0</v>
          </cell>
        </row>
        <row r="1542">
          <cell r="A1542" t="str">
            <v>1401610</v>
          </cell>
          <cell r="Q1542">
            <v>-1215.44</v>
          </cell>
          <cell r="T1542">
            <v>0</v>
          </cell>
        </row>
        <row r="1543">
          <cell r="A1543" t="str">
            <v>1401611</v>
          </cell>
          <cell r="Q1543">
            <v>-2246.25</v>
          </cell>
          <cell r="T1543">
            <v>0</v>
          </cell>
        </row>
        <row r="1544">
          <cell r="A1544" t="str">
            <v>1401612</v>
          </cell>
          <cell r="Q1544">
            <v>-4915.8100000000004</v>
          </cell>
          <cell r="T1544">
            <v>0</v>
          </cell>
        </row>
        <row r="1545">
          <cell r="A1545" t="str">
            <v>1401613</v>
          </cell>
          <cell r="Q1545">
            <v>-54327.05</v>
          </cell>
          <cell r="T1545">
            <v>0</v>
          </cell>
        </row>
        <row r="1546">
          <cell r="A1546" t="str">
            <v>1401614</v>
          </cell>
          <cell r="Q1546">
            <v>-13687.05</v>
          </cell>
          <cell r="T1546">
            <v>0</v>
          </cell>
        </row>
        <row r="1547">
          <cell r="A1547" t="str">
            <v>1401615</v>
          </cell>
          <cell r="Q1547">
            <v>-243519.21</v>
          </cell>
          <cell r="T1547">
            <v>0</v>
          </cell>
        </row>
        <row r="1548">
          <cell r="A1548" t="str">
            <v>1401616</v>
          </cell>
          <cell r="Q1548">
            <v>-33675.199999999997</v>
          </cell>
          <cell r="T1548">
            <v>0</v>
          </cell>
        </row>
        <row r="1549">
          <cell r="A1549" t="str">
            <v>1401617</v>
          </cell>
          <cell r="Q1549">
            <v>-2498.1799999999998</v>
          </cell>
          <cell r="T1549">
            <v>0</v>
          </cell>
        </row>
        <row r="1550">
          <cell r="A1550" t="str">
            <v>1401618</v>
          </cell>
          <cell r="Q1550">
            <v>-2858.79</v>
          </cell>
          <cell r="T1550">
            <v>0</v>
          </cell>
        </row>
        <row r="1551">
          <cell r="A1551" t="str">
            <v>1401632</v>
          </cell>
          <cell r="Q1551">
            <v>-1070485.1100000001</v>
          </cell>
          <cell r="T1551">
            <v>0</v>
          </cell>
        </row>
        <row r="1552">
          <cell r="A1552" t="str">
            <v>1401633</v>
          </cell>
          <cell r="Q1552">
            <v>-9754.7800000000007</v>
          </cell>
          <cell r="T1552">
            <v>0</v>
          </cell>
        </row>
        <row r="1553">
          <cell r="A1553" t="str">
            <v>1401637</v>
          </cell>
          <cell r="Q1553">
            <v>-94315.05</v>
          </cell>
          <cell r="T1553">
            <v>0</v>
          </cell>
        </row>
        <row r="1554">
          <cell r="A1554" t="str">
            <v>1401685</v>
          </cell>
          <cell r="Q1554">
            <v>-225662.57</v>
          </cell>
          <cell r="T1554">
            <v>0</v>
          </cell>
        </row>
        <row r="1555">
          <cell r="A1555" t="str">
            <v>1401686</v>
          </cell>
          <cell r="Q1555">
            <v>-92542.27</v>
          </cell>
          <cell r="T1555">
            <v>0</v>
          </cell>
        </row>
        <row r="1556">
          <cell r="A1556" t="str">
            <v>1401714</v>
          </cell>
          <cell r="Q1556">
            <v>-4802.9799999999996</v>
          </cell>
          <cell r="T1556">
            <v>0</v>
          </cell>
        </row>
        <row r="1557">
          <cell r="A1557" t="str">
            <v>1401715</v>
          </cell>
          <cell r="Q1557">
            <v>-15064.03</v>
          </cell>
          <cell r="T1557">
            <v>0</v>
          </cell>
        </row>
        <row r="1558">
          <cell r="A1558" t="str">
            <v>1401716</v>
          </cell>
          <cell r="Q1558">
            <v>-5423.21</v>
          </cell>
          <cell r="T1558">
            <v>0</v>
          </cell>
        </row>
        <row r="1559">
          <cell r="A1559" t="str">
            <v>1401720</v>
          </cell>
          <cell r="Q1559">
            <v>-43451.11</v>
          </cell>
          <cell r="T1559">
            <v>0</v>
          </cell>
        </row>
        <row r="1560">
          <cell r="A1560" t="str">
            <v>1401724</v>
          </cell>
          <cell r="Q1560">
            <v>-2416.0100000000002</v>
          </cell>
          <cell r="T1560">
            <v>0</v>
          </cell>
        </row>
        <row r="1561">
          <cell r="A1561" t="str">
            <v>1401726</v>
          </cell>
          <cell r="Q1561">
            <v>-19326.900000000001</v>
          </cell>
          <cell r="T1561">
            <v>0</v>
          </cell>
        </row>
        <row r="1562">
          <cell r="A1562" t="str">
            <v>1401727</v>
          </cell>
          <cell r="Q1562">
            <v>-3212.48</v>
          </cell>
          <cell r="T1562">
            <v>0</v>
          </cell>
        </row>
        <row r="1563">
          <cell r="A1563" t="str">
            <v>1401730</v>
          </cell>
          <cell r="Q1563">
            <v>-3560.13</v>
          </cell>
          <cell r="T1563">
            <v>0</v>
          </cell>
        </row>
        <row r="1564">
          <cell r="A1564" t="str">
            <v>1401731</v>
          </cell>
          <cell r="Q1564">
            <v>-22149.38</v>
          </cell>
          <cell r="T1564">
            <v>0</v>
          </cell>
        </row>
        <row r="1565">
          <cell r="A1565" t="str">
            <v>1401733</v>
          </cell>
          <cell r="Q1565">
            <v>-897.32</v>
          </cell>
          <cell r="T1565">
            <v>0</v>
          </cell>
        </row>
        <row r="1566">
          <cell r="A1566" t="str">
            <v>1401734</v>
          </cell>
          <cell r="Q1566">
            <v>-391640.24</v>
          </cell>
          <cell r="T1566">
            <v>0</v>
          </cell>
        </row>
        <row r="1567">
          <cell r="A1567" t="str">
            <v>1401738</v>
          </cell>
          <cell r="Q1567">
            <v>-3525.17</v>
          </cell>
          <cell r="T1567">
            <v>0</v>
          </cell>
        </row>
        <row r="1568">
          <cell r="A1568" t="str">
            <v>1401739</v>
          </cell>
          <cell r="Q1568">
            <v>-5184.84</v>
          </cell>
          <cell r="T1568">
            <v>0</v>
          </cell>
        </row>
        <row r="1569">
          <cell r="A1569" t="str">
            <v>1401740</v>
          </cell>
          <cell r="Q1569">
            <v>-1028.7</v>
          </cell>
          <cell r="T1569">
            <v>0</v>
          </cell>
        </row>
        <row r="1570">
          <cell r="A1570" t="str">
            <v>1401840</v>
          </cell>
          <cell r="Q1570">
            <v>-12414.37</v>
          </cell>
          <cell r="T1570">
            <v>0</v>
          </cell>
        </row>
        <row r="1571">
          <cell r="A1571" t="str">
            <v>1401841</v>
          </cell>
          <cell r="Q1571">
            <v>-669418.06000000006</v>
          </cell>
          <cell r="T1571">
            <v>0</v>
          </cell>
        </row>
        <row r="1572">
          <cell r="A1572" t="str">
            <v>1401847</v>
          </cell>
          <cell r="Q1572">
            <v>-2245.91</v>
          </cell>
          <cell r="T1572">
            <v>0</v>
          </cell>
        </row>
        <row r="1573">
          <cell r="A1573" t="str">
            <v>1401887</v>
          </cell>
          <cell r="Q1573">
            <v>-36668.76</v>
          </cell>
          <cell r="T1573">
            <v>0</v>
          </cell>
        </row>
        <row r="1574">
          <cell r="A1574" t="str">
            <v>1401892</v>
          </cell>
          <cell r="Q1574">
            <v>-13029.97</v>
          </cell>
          <cell r="T1574">
            <v>0</v>
          </cell>
        </row>
        <row r="1575">
          <cell r="A1575" t="str">
            <v>1401893</v>
          </cell>
          <cell r="Q1575">
            <v>-41385.96</v>
          </cell>
          <cell r="T1575">
            <v>0</v>
          </cell>
        </row>
        <row r="1576">
          <cell r="A1576" t="str">
            <v>1401923</v>
          </cell>
          <cell r="Q1576">
            <v>-198039.22</v>
          </cell>
          <cell r="T1576">
            <v>0</v>
          </cell>
        </row>
        <row r="1577">
          <cell r="A1577" t="str">
            <v>1401924</v>
          </cell>
          <cell r="Q1577">
            <v>-79181.09</v>
          </cell>
          <cell r="T1577">
            <v>0</v>
          </cell>
        </row>
        <row r="1578">
          <cell r="A1578" t="str">
            <v>1401928</v>
          </cell>
          <cell r="Q1578">
            <v>-89768.9</v>
          </cell>
          <cell r="T1578">
            <v>0</v>
          </cell>
        </row>
        <row r="1579">
          <cell r="A1579" t="str">
            <v>1401928</v>
          </cell>
          <cell r="Q1579">
            <v>-8357.7900000000009</v>
          </cell>
          <cell r="T1579">
            <v>0</v>
          </cell>
        </row>
        <row r="1580">
          <cell r="A1580" t="str">
            <v>1401933</v>
          </cell>
          <cell r="Q1580">
            <v>-13350.13</v>
          </cell>
          <cell r="T1580">
            <v>0</v>
          </cell>
        </row>
        <row r="1581">
          <cell r="A1581" t="str">
            <v>1401935</v>
          </cell>
          <cell r="Q1581">
            <v>-87978.9</v>
          </cell>
          <cell r="T1581">
            <v>0</v>
          </cell>
        </row>
        <row r="1582">
          <cell r="A1582" t="str">
            <v>1401936</v>
          </cell>
          <cell r="Q1582">
            <v>-126.26</v>
          </cell>
          <cell r="T1582">
            <v>0</v>
          </cell>
        </row>
        <row r="1583">
          <cell r="A1583" t="str">
            <v>1401937</v>
          </cell>
          <cell r="Q1583">
            <v>-281.16000000000003</v>
          </cell>
          <cell r="T1583">
            <v>0</v>
          </cell>
        </row>
        <row r="1584">
          <cell r="A1584" t="str">
            <v>1401938</v>
          </cell>
          <cell r="Q1584">
            <v>-60281.06</v>
          </cell>
          <cell r="T1584">
            <v>0</v>
          </cell>
        </row>
        <row r="1585">
          <cell r="A1585" t="str">
            <v>1401945</v>
          </cell>
          <cell r="Q1585">
            <v>-70754.34</v>
          </cell>
          <cell r="T1585">
            <v>0</v>
          </cell>
        </row>
        <row r="1586">
          <cell r="A1586" t="str">
            <v>1401946</v>
          </cell>
          <cell r="Q1586">
            <v>-3416.53</v>
          </cell>
          <cell r="T1586">
            <v>0</v>
          </cell>
        </row>
        <row r="1587">
          <cell r="A1587" t="str">
            <v>1401966</v>
          </cell>
          <cell r="Q1587">
            <v>-14543.42</v>
          </cell>
          <cell r="T1587">
            <v>0</v>
          </cell>
        </row>
        <row r="1588">
          <cell r="A1588" t="str">
            <v>1401974</v>
          </cell>
          <cell r="Q1588">
            <v>-30179.040000000001</v>
          </cell>
          <cell r="T1588">
            <v>0</v>
          </cell>
        </row>
        <row r="1589">
          <cell r="A1589" t="str">
            <v>1402003</v>
          </cell>
          <cell r="Q1589">
            <v>-175821.94</v>
          </cell>
          <cell r="T1589">
            <v>0</v>
          </cell>
        </row>
        <row r="1590">
          <cell r="A1590" t="str">
            <v>1402028</v>
          </cell>
          <cell r="Q1590">
            <v>-146607.79</v>
          </cell>
          <cell r="T1590">
            <v>0</v>
          </cell>
        </row>
        <row r="1591">
          <cell r="A1591" t="str">
            <v>1402032</v>
          </cell>
          <cell r="Q1591">
            <v>-109.06</v>
          </cell>
          <cell r="T1591">
            <v>0</v>
          </cell>
        </row>
        <row r="1592">
          <cell r="A1592" t="str">
            <v>1402036</v>
          </cell>
          <cell r="Q1592">
            <v>-13377.06</v>
          </cell>
          <cell r="T1592">
            <v>0</v>
          </cell>
        </row>
        <row r="1593">
          <cell r="A1593" t="str">
            <v>1402039</v>
          </cell>
          <cell r="Q1593">
            <v>-5496.99</v>
          </cell>
          <cell r="T1593">
            <v>0</v>
          </cell>
        </row>
        <row r="1594">
          <cell r="A1594" t="str">
            <v>1402044</v>
          </cell>
          <cell r="Q1594">
            <v>-210.22</v>
          </cell>
          <cell r="T1594">
            <v>0</v>
          </cell>
        </row>
        <row r="1595">
          <cell r="A1595" t="str">
            <v>1402045</v>
          </cell>
          <cell r="Q1595">
            <v>-364.54</v>
          </cell>
          <cell r="T1595">
            <v>0</v>
          </cell>
        </row>
        <row r="1596">
          <cell r="A1596" t="str">
            <v>1402057</v>
          </cell>
          <cell r="Q1596">
            <v>-6944.15</v>
          </cell>
          <cell r="T1596">
            <v>0</v>
          </cell>
        </row>
        <row r="1597">
          <cell r="A1597" t="str">
            <v>1402058</v>
          </cell>
          <cell r="Q1597">
            <v>-2037.49</v>
          </cell>
          <cell r="T1597">
            <v>0</v>
          </cell>
        </row>
        <row r="1598">
          <cell r="A1598" t="str">
            <v>1402064</v>
          </cell>
          <cell r="Q1598">
            <v>-1846.95</v>
          </cell>
          <cell r="T1598">
            <v>0</v>
          </cell>
        </row>
        <row r="1599">
          <cell r="A1599" t="str">
            <v>1402065</v>
          </cell>
          <cell r="Q1599">
            <v>-1696.85</v>
          </cell>
          <cell r="T1599">
            <v>0</v>
          </cell>
        </row>
        <row r="1600">
          <cell r="A1600" t="str">
            <v>1402067</v>
          </cell>
          <cell r="Q1600">
            <v>-449.73</v>
          </cell>
          <cell r="T1600">
            <v>0</v>
          </cell>
        </row>
        <row r="1601">
          <cell r="A1601" t="str">
            <v>1402068</v>
          </cell>
          <cell r="Q1601">
            <v>-1417.66</v>
          </cell>
          <cell r="T1601">
            <v>0</v>
          </cell>
        </row>
        <row r="1602">
          <cell r="A1602" t="str">
            <v>1402069</v>
          </cell>
          <cell r="Q1602">
            <v>-551.15</v>
          </cell>
          <cell r="T1602">
            <v>0</v>
          </cell>
        </row>
        <row r="1603">
          <cell r="A1603" t="str">
            <v>1402070</v>
          </cell>
          <cell r="Q1603">
            <v>-19485.849999999999</v>
          </cell>
          <cell r="T1603">
            <v>0</v>
          </cell>
        </row>
        <row r="1604">
          <cell r="A1604" t="str">
            <v>1402075</v>
          </cell>
          <cell r="Q1604">
            <v>-10054.030000000001</v>
          </cell>
          <cell r="T1604">
            <v>0</v>
          </cell>
        </row>
        <row r="1605">
          <cell r="A1605" t="str">
            <v>1402081</v>
          </cell>
          <cell r="Q1605">
            <v>-8958.4</v>
          </cell>
          <cell r="T1605">
            <v>0</v>
          </cell>
        </row>
        <row r="1606">
          <cell r="A1606" t="str">
            <v>1402093</v>
          </cell>
          <cell r="Q1606">
            <v>-11541.39</v>
          </cell>
          <cell r="T1606">
            <v>0</v>
          </cell>
        </row>
        <row r="1607">
          <cell r="A1607" t="str">
            <v>1402099</v>
          </cell>
          <cell r="Q1607">
            <v>0</v>
          </cell>
          <cell r="T1607">
            <v>0</v>
          </cell>
        </row>
        <row r="1608">
          <cell r="A1608" t="str">
            <v>1402102</v>
          </cell>
          <cell r="Q1608">
            <v>0</v>
          </cell>
          <cell r="T1608">
            <v>0</v>
          </cell>
        </row>
        <row r="1609">
          <cell r="A1609" t="str">
            <v>1402103</v>
          </cell>
          <cell r="Q1609">
            <v>0</v>
          </cell>
          <cell r="T1609">
            <v>0</v>
          </cell>
        </row>
        <row r="1610">
          <cell r="A1610" t="str">
            <v>1402105</v>
          </cell>
          <cell r="Q1610">
            <v>0</v>
          </cell>
          <cell r="T1610">
            <v>0</v>
          </cell>
        </row>
        <row r="1611">
          <cell r="A1611" t="str">
            <v>1402106</v>
          </cell>
          <cell r="Q1611">
            <v>0</v>
          </cell>
          <cell r="T1611">
            <v>0</v>
          </cell>
        </row>
        <row r="1612">
          <cell r="A1612" t="str">
            <v>1402107</v>
          </cell>
          <cell r="Q1612">
            <v>0</v>
          </cell>
          <cell r="T1612">
            <v>0</v>
          </cell>
        </row>
        <row r="1613">
          <cell r="A1613" t="str">
            <v>1402115</v>
          </cell>
          <cell r="Q1613">
            <v>0</v>
          </cell>
          <cell r="T1613">
            <v>0</v>
          </cell>
        </row>
        <row r="1614">
          <cell r="A1614" t="str">
            <v>1402117</v>
          </cell>
          <cell r="Q1614">
            <v>0</v>
          </cell>
          <cell r="T1614">
            <v>0</v>
          </cell>
        </row>
        <row r="1615">
          <cell r="A1615" t="str">
            <v>1402167</v>
          </cell>
          <cell r="Q1615">
            <v>0</v>
          </cell>
          <cell r="T1615">
            <v>0</v>
          </cell>
        </row>
        <row r="1616">
          <cell r="A1616" t="str">
            <v>1402168</v>
          </cell>
          <cell r="Q1616">
            <v>0</v>
          </cell>
          <cell r="T1616">
            <v>0</v>
          </cell>
        </row>
        <row r="1617">
          <cell r="A1617" t="str">
            <v>1402169</v>
          </cell>
          <cell r="Q1617">
            <v>0</v>
          </cell>
          <cell r="T1617">
            <v>0</v>
          </cell>
        </row>
        <row r="1618">
          <cell r="A1618" t="str">
            <v>1402174</v>
          </cell>
          <cell r="Q1618">
            <v>0</v>
          </cell>
          <cell r="T1618">
            <v>0</v>
          </cell>
        </row>
        <row r="1619">
          <cell r="A1619" t="str">
            <v>1402175</v>
          </cell>
          <cell r="Q1619">
            <v>0</v>
          </cell>
          <cell r="T1619">
            <v>0</v>
          </cell>
        </row>
        <row r="1620">
          <cell r="A1620" t="str">
            <v>1402178</v>
          </cell>
          <cell r="Q1620">
            <v>0</v>
          </cell>
          <cell r="T1620">
            <v>0</v>
          </cell>
        </row>
        <row r="1621">
          <cell r="A1621" t="str">
            <v>1402187</v>
          </cell>
          <cell r="Q1621">
            <v>0</v>
          </cell>
          <cell r="T1621">
            <v>-1804249.43</v>
          </cell>
        </row>
        <row r="1622">
          <cell r="A1622" t="str">
            <v>1402189</v>
          </cell>
          <cell r="Q1622">
            <v>0</v>
          </cell>
          <cell r="T1622">
            <v>-738452.52</v>
          </cell>
        </row>
        <row r="1623">
          <cell r="A1623" t="str">
            <v>1402190</v>
          </cell>
          <cell r="Q1623">
            <v>0</v>
          </cell>
          <cell r="T1623">
            <v>-1013551.59</v>
          </cell>
        </row>
        <row r="1624">
          <cell r="A1624" t="str">
            <v>1402192</v>
          </cell>
          <cell r="Q1624">
            <v>0</v>
          </cell>
          <cell r="T1624">
            <v>-2790537.49</v>
          </cell>
        </row>
        <row r="1625">
          <cell r="A1625" t="str">
            <v>1402209</v>
          </cell>
          <cell r="Q1625">
            <v>0</v>
          </cell>
          <cell r="T1625">
            <v>0</v>
          </cell>
        </row>
        <row r="1626">
          <cell r="A1626" t="str">
            <v>1402013</v>
          </cell>
          <cell r="Q1626">
            <v>-2223.48</v>
          </cell>
          <cell r="T1626">
            <v>0</v>
          </cell>
        </row>
        <row r="1627">
          <cell r="A1627" t="str">
            <v>1402014</v>
          </cell>
          <cell r="Q1627">
            <v>-123458.91</v>
          </cell>
          <cell r="T1627">
            <v>0</v>
          </cell>
        </row>
        <row r="1628">
          <cell r="A1628" t="str">
            <v>1402015</v>
          </cell>
          <cell r="Q1628">
            <v>-3330.1</v>
          </cell>
          <cell r="T1628">
            <v>0</v>
          </cell>
        </row>
        <row r="1629">
          <cell r="A1629" t="str">
            <v>1400054</v>
          </cell>
          <cell r="Q1629">
            <v>-763107.77</v>
          </cell>
          <cell r="T1629">
            <v>0</v>
          </cell>
        </row>
        <row r="1630">
          <cell r="A1630" t="str">
            <v>1400055</v>
          </cell>
          <cell r="Q1630">
            <v>-7153.54</v>
          </cell>
          <cell r="T1630">
            <v>0</v>
          </cell>
        </row>
        <row r="1631">
          <cell r="A1631" t="str">
            <v>1400056</v>
          </cell>
          <cell r="Q1631">
            <v>-12039.52</v>
          </cell>
          <cell r="T1631">
            <v>0</v>
          </cell>
        </row>
        <row r="1632">
          <cell r="A1632" t="str">
            <v>1400057</v>
          </cell>
          <cell r="Q1632">
            <v>-79103.22</v>
          </cell>
          <cell r="T1632">
            <v>0</v>
          </cell>
        </row>
        <row r="1633">
          <cell r="A1633" t="str">
            <v>1400058</v>
          </cell>
          <cell r="Q1633">
            <v>-4185.0600000000004</v>
          </cell>
          <cell r="T1633">
            <v>0</v>
          </cell>
        </row>
        <row r="1634">
          <cell r="A1634" t="str">
            <v>1400059</v>
          </cell>
          <cell r="Q1634">
            <v>-71101.83</v>
          </cell>
          <cell r="T1634">
            <v>0</v>
          </cell>
        </row>
        <row r="1635">
          <cell r="A1635" t="str">
            <v>1400060</v>
          </cell>
          <cell r="Q1635">
            <v>-6870.69</v>
          </cell>
          <cell r="T1635">
            <v>0</v>
          </cell>
        </row>
        <row r="1636">
          <cell r="A1636" t="str">
            <v>1400061</v>
          </cell>
          <cell r="Q1636">
            <v>-87336.34</v>
          </cell>
          <cell r="T1636">
            <v>0</v>
          </cell>
        </row>
        <row r="1637">
          <cell r="A1637" t="str">
            <v>1400062</v>
          </cell>
          <cell r="Q1637">
            <v>-255148.26</v>
          </cell>
          <cell r="T1637">
            <v>0</v>
          </cell>
        </row>
        <row r="1638">
          <cell r="A1638" t="str">
            <v>1400063</v>
          </cell>
          <cell r="Q1638">
            <v>-161337.67000000001</v>
          </cell>
          <cell r="T1638">
            <v>0</v>
          </cell>
        </row>
        <row r="1639">
          <cell r="A1639" t="str">
            <v>1400064</v>
          </cell>
          <cell r="Q1639">
            <v>-10166195.109999999</v>
          </cell>
          <cell r="T1639">
            <v>0</v>
          </cell>
        </row>
        <row r="1640">
          <cell r="A1640" t="str">
            <v>1400065</v>
          </cell>
          <cell r="Q1640">
            <v>-1795885.28</v>
          </cell>
          <cell r="T1640">
            <v>0</v>
          </cell>
        </row>
        <row r="1641">
          <cell r="A1641" t="str">
            <v>1400173</v>
          </cell>
          <cell r="Q1641">
            <v>-437401.75</v>
          </cell>
          <cell r="T1641">
            <v>0</v>
          </cell>
        </row>
        <row r="1642">
          <cell r="A1642" t="str">
            <v>1400174</v>
          </cell>
          <cell r="Q1642">
            <v>-176.63</v>
          </cell>
          <cell r="T1642">
            <v>0</v>
          </cell>
        </row>
        <row r="1643">
          <cell r="A1643" t="str">
            <v>1400175</v>
          </cell>
          <cell r="Q1643">
            <v>-278536.53999999998</v>
          </cell>
          <cell r="T1643">
            <v>0</v>
          </cell>
        </row>
        <row r="1644">
          <cell r="A1644" t="str">
            <v>1400176</v>
          </cell>
          <cell r="Q1644">
            <v>-2979263.51</v>
          </cell>
          <cell r="T1644">
            <v>0</v>
          </cell>
        </row>
        <row r="1645">
          <cell r="A1645" t="str">
            <v>1400177</v>
          </cell>
          <cell r="Q1645">
            <v>-8356.92</v>
          </cell>
          <cell r="T1645">
            <v>0</v>
          </cell>
        </row>
        <row r="1646">
          <cell r="A1646" t="str">
            <v>1400178</v>
          </cell>
          <cell r="Q1646">
            <v>-2542960.21</v>
          </cell>
          <cell r="T1646">
            <v>0</v>
          </cell>
        </row>
        <row r="1647">
          <cell r="A1647" t="str">
            <v>1400179</v>
          </cell>
          <cell r="Q1647">
            <v>-298491.21000000002</v>
          </cell>
          <cell r="T1647">
            <v>0</v>
          </cell>
        </row>
        <row r="1648">
          <cell r="A1648" t="str">
            <v>1400180</v>
          </cell>
          <cell r="Q1648">
            <v>-4006.57</v>
          </cell>
          <cell r="T1648">
            <v>0</v>
          </cell>
        </row>
        <row r="1649">
          <cell r="A1649" t="str">
            <v>1400210</v>
          </cell>
          <cell r="Q1649">
            <v>-380554.79</v>
          </cell>
          <cell r="T1649">
            <v>0</v>
          </cell>
        </row>
        <row r="1650">
          <cell r="A1650" t="str">
            <v>1400417</v>
          </cell>
          <cell r="Q1650">
            <v>-43154.080000000002</v>
          </cell>
          <cell r="T1650">
            <v>0</v>
          </cell>
        </row>
        <row r="1651">
          <cell r="A1651" t="str">
            <v>1400419</v>
          </cell>
          <cell r="Q1651">
            <v>-7294.49</v>
          </cell>
          <cell r="T1651">
            <v>0</v>
          </cell>
        </row>
        <row r="1652">
          <cell r="A1652" t="str">
            <v>1400685</v>
          </cell>
          <cell r="Q1652">
            <v>-4385.37</v>
          </cell>
          <cell r="T1652">
            <v>0</v>
          </cell>
        </row>
        <row r="1653">
          <cell r="A1653" t="str">
            <v>1400686</v>
          </cell>
          <cell r="Q1653">
            <v>-4050.67</v>
          </cell>
          <cell r="T1653">
            <v>0</v>
          </cell>
        </row>
        <row r="1654">
          <cell r="A1654" t="str">
            <v>1400693</v>
          </cell>
          <cell r="Q1654">
            <v>-396123.25</v>
          </cell>
          <cell r="T1654">
            <v>0</v>
          </cell>
        </row>
        <row r="1655">
          <cell r="A1655" t="str">
            <v>1400695</v>
          </cell>
          <cell r="Q1655">
            <v>-13213.03</v>
          </cell>
          <cell r="T1655">
            <v>0</v>
          </cell>
        </row>
        <row r="1656">
          <cell r="A1656" t="str">
            <v>1400696</v>
          </cell>
          <cell r="Q1656">
            <v>-322066.58</v>
          </cell>
          <cell r="T1656">
            <v>0</v>
          </cell>
        </row>
        <row r="1657">
          <cell r="A1657" t="str">
            <v>1400704</v>
          </cell>
          <cell r="Q1657">
            <v>-10793.94</v>
          </cell>
          <cell r="T1657">
            <v>0</v>
          </cell>
        </row>
        <row r="1658">
          <cell r="A1658" t="str">
            <v>1400719</v>
          </cell>
          <cell r="Q1658">
            <v>-4992.46</v>
          </cell>
          <cell r="T1658">
            <v>0</v>
          </cell>
        </row>
        <row r="1659">
          <cell r="A1659" t="str">
            <v>1400721</v>
          </cell>
          <cell r="Q1659">
            <v>-18665.59</v>
          </cell>
          <cell r="T1659">
            <v>0</v>
          </cell>
        </row>
        <row r="1660">
          <cell r="A1660" t="str">
            <v>1400724</v>
          </cell>
          <cell r="Q1660">
            <v>-115176.78</v>
          </cell>
          <cell r="T1660">
            <v>0</v>
          </cell>
        </row>
        <row r="1661">
          <cell r="A1661" t="str">
            <v>1400725</v>
          </cell>
          <cell r="Q1661">
            <v>-39303.47</v>
          </cell>
          <cell r="T1661">
            <v>0</v>
          </cell>
        </row>
        <row r="1662">
          <cell r="A1662" t="str">
            <v>1400848</v>
          </cell>
          <cell r="Q1662">
            <v>-136119.43</v>
          </cell>
          <cell r="T1662">
            <v>0</v>
          </cell>
        </row>
        <row r="1663">
          <cell r="A1663" t="str">
            <v>1400851</v>
          </cell>
          <cell r="Q1663">
            <v>-78185.34</v>
          </cell>
          <cell r="T1663">
            <v>0</v>
          </cell>
        </row>
        <row r="1664">
          <cell r="A1664" t="str">
            <v>1400852</v>
          </cell>
          <cell r="Q1664">
            <v>-99380.479999999996</v>
          </cell>
          <cell r="T1664">
            <v>0</v>
          </cell>
        </row>
        <row r="1665">
          <cell r="A1665" t="str">
            <v>1400877</v>
          </cell>
          <cell r="Q1665">
            <v>-16275.79</v>
          </cell>
          <cell r="T1665">
            <v>0</v>
          </cell>
        </row>
        <row r="1666">
          <cell r="A1666" t="str">
            <v>1400884</v>
          </cell>
          <cell r="Q1666">
            <v>-3764.93</v>
          </cell>
          <cell r="T1666">
            <v>0</v>
          </cell>
        </row>
        <row r="1667">
          <cell r="A1667" t="str">
            <v>1401107</v>
          </cell>
          <cell r="Q1667">
            <v>-11633.66</v>
          </cell>
          <cell r="T1667">
            <v>0</v>
          </cell>
        </row>
        <row r="1668">
          <cell r="A1668" t="str">
            <v>1401112</v>
          </cell>
          <cell r="Q1668">
            <v>-5333.34</v>
          </cell>
          <cell r="T1668">
            <v>0</v>
          </cell>
        </row>
        <row r="1669">
          <cell r="A1669" t="str">
            <v>1401287</v>
          </cell>
          <cell r="Q1669">
            <v>-4528.3599999999997</v>
          </cell>
          <cell r="T1669">
            <v>0</v>
          </cell>
        </row>
        <row r="1670">
          <cell r="A1670" t="str">
            <v>1401288</v>
          </cell>
          <cell r="Q1670">
            <v>-41087.919999999998</v>
          </cell>
          <cell r="T1670">
            <v>0</v>
          </cell>
        </row>
        <row r="1671">
          <cell r="A1671" t="str">
            <v>1401289</v>
          </cell>
          <cell r="Q1671">
            <v>-20188.64</v>
          </cell>
          <cell r="T1671">
            <v>0</v>
          </cell>
        </row>
        <row r="1672">
          <cell r="A1672" t="str">
            <v>1401290</v>
          </cell>
          <cell r="Q1672">
            <v>-50915.26</v>
          </cell>
          <cell r="T1672">
            <v>0</v>
          </cell>
        </row>
        <row r="1673">
          <cell r="A1673" t="str">
            <v>1401291</v>
          </cell>
          <cell r="Q1673">
            <v>-10260.09</v>
          </cell>
          <cell r="T1673">
            <v>0</v>
          </cell>
        </row>
        <row r="1674">
          <cell r="A1674" t="str">
            <v>1401292</v>
          </cell>
          <cell r="Q1674">
            <v>-42493.27</v>
          </cell>
          <cell r="T1674">
            <v>0</v>
          </cell>
        </row>
        <row r="1675">
          <cell r="A1675" t="str">
            <v>1401293</v>
          </cell>
          <cell r="Q1675">
            <v>-55778.38</v>
          </cell>
          <cell r="T1675">
            <v>0</v>
          </cell>
        </row>
        <row r="1676">
          <cell r="A1676" t="str">
            <v>1401294</v>
          </cell>
          <cell r="Q1676">
            <v>-7240.12</v>
          </cell>
          <cell r="T1676">
            <v>0</v>
          </cell>
        </row>
        <row r="1677">
          <cell r="A1677" t="str">
            <v>1401309</v>
          </cell>
          <cell r="Q1677">
            <v>-961.95</v>
          </cell>
          <cell r="T1677">
            <v>0</v>
          </cell>
        </row>
        <row r="1678">
          <cell r="A1678" t="str">
            <v>1401313</v>
          </cell>
          <cell r="Q1678">
            <v>-34874.89</v>
          </cell>
          <cell r="T1678">
            <v>0</v>
          </cell>
        </row>
        <row r="1679">
          <cell r="A1679" t="str">
            <v>1401315</v>
          </cell>
          <cell r="Q1679">
            <v>-8983.64</v>
          </cell>
          <cell r="T1679">
            <v>0</v>
          </cell>
        </row>
        <row r="1680">
          <cell r="A1680" t="str">
            <v>1401316</v>
          </cell>
          <cell r="Q1680">
            <v>-3165.49</v>
          </cell>
          <cell r="T1680">
            <v>0</v>
          </cell>
        </row>
        <row r="1681">
          <cell r="A1681" t="str">
            <v>1401442</v>
          </cell>
          <cell r="Q1681">
            <v>-22610.7</v>
          </cell>
          <cell r="T1681">
            <v>0</v>
          </cell>
        </row>
        <row r="1682">
          <cell r="A1682" t="str">
            <v>1401461</v>
          </cell>
          <cell r="Q1682">
            <v>-3610.71</v>
          </cell>
          <cell r="T1682">
            <v>0</v>
          </cell>
        </row>
        <row r="1683">
          <cell r="A1683" t="str">
            <v>1401462</v>
          </cell>
          <cell r="Q1683">
            <v>-41670.199999999997</v>
          </cell>
          <cell r="T1683">
            <v>0</v>
          </cell>
        </row>
        <row r="1684">
          <cell r="A1684" t="str">
            <v>1401463</v>
          </cell>
          <cell r="Q1684">
            <v>-7281.94</v>
          </cell>
          <cell r="T1684">
            <v>0</v>
          </cell>
        </row>
        <row r="1685">
          <cell r="A1685" t="str">
            <v>1401468</v>
          </cell>
          <cell r="Q1685">
            <v>-26321.47</v>
          </cell>
          <cell r="T1685">
            <v>0</v>
          </cell>
        </row>
        <row r="1686">
          <cell r="A1686" t="str">
            <v>1401471</v>
          </cell>
          <cell r="Q1686">
            <v>-69510.92</v>
          </cell>
          <cell r="T1686">
            <v>0</v>
          </cell>
        </row>
        <row r="1687">
          <cell r="A1687" t="str">
            <v>1401477</v>
          </cell>
          <cell r="Q1687">
            <v>-1024.43</v>
          </cell>
          <cell r="T1687">
            <v>0</v>
          </cell>
        </row>
        <row r="1688">
          <cell r="A1688" t="str">
            <v>1401482</v>
          </cell>
          <cell r="Q1688">
            <v>-56224.27</v>
          </cell>
          <cell r="T1688">
            <v>0</v>
          </cell>
        </row>
        <row r="1689">
          <cell r="A1689" t="str">
            <v>1401496</v>
          </cell>
          <cell r="Q1689">
            <v>-3585.47</v>
          </cell>
          <cell r="T1689">
            <v>0</v>
          </cell>
        </row>
        <row r="1690">
          <cell r="A1690" t="str">
            <v>1401498</v>
          </cell>
          <cell r="Q1690">
            <v>-7639.12</v>
          </cell>
          <cell r="T1690">
            <v>0</v>
          </cell>
        </row>
        <row r="1691">
          <cell r="A1691" t="str">
            <v>1401499</v>
          </cell>
          <cell r="Q1691">
            <v>-3628.4</v>
          </cell>
          <cell r="T1691">
            <v>0</v>
          </cell>
        </row>
        <row r="1692">
          <cell r="A1692" t="str">
            <v>1401526</v>
          </cell>
          <cell r="Q1692">
            <v>-18402.060000000001</v>
          </cell>
          <cell r="T1692">
            <v>0</v>
          </cell>
        </row>
        <row r="1693">
          <cell r="A1693" t="str">
            <v>1401527</v>
          </cell>
          <cell r="Q1693">
            <v>-6649.03</v>
          </cell>
          <cell r="T1693">
            <v>0</v>
          </cell>
        </row>
        <row r="1694">
          <cell r="A1694" t="str">
            <v>1401539</v>
          </cell>
          <cell r="Q1694">
            <v>-14963.11</v>
          </cell>
          <cell r="T1694">
            <v>0</v>
          </cell>
        </row>
        <row r="1695">
          <cell r="A1695" t="str">
            <v>1401550</v>
          </cell>
          <cell r="Q1695">
            <v>-12882.26</v>
          </cell>
          <cell r="T1695">
            <v>0</v>
          </cell>
        </row>
        <row r="1696">
          <cell r="A1696" t="str">
            <v>1401554</v>
          </cell>
          <cell r="Q1696">
            <v>-294927.33</v>
          </cell>
          <cell r="T1696">
            <v>0</v>
          </cell>
        </row>
        <row r="1697">
          <cell r="A1697" t="str">
            <v>1401555</v>
          </cell>
          <cell r="Q1697">
            <v>-7778.82</v>
          </cell>
          <cell r="T1697">
            <v>0</v>
          </cell>
        </row>
        <row r="1698">
          <cell r="A1698" t="str">
            <v>1401559</v>
          </cell>
          <cell r="Q1698">
            <v>-25316.73</v>
          </cell>
          <cell r="T1698">
            <v>0</v>
          </cell>
        </row>
        <row r="1699">
          <cell r="A1699" t="str">
            <v>1401560</v>
          </cell>
          <cell r="Q1699">
            <v>-32513.37</v>
          </cell>
          <cell r="T1699">
            <v>0</v>
          </cell>
        </row>
        <row r="1700">
          <cell r="A1700" t="str">
            <v>1401622</v>
          </cell>
          <cell r="Q1700">
            <v>-119879.42</v>
          </cell>
          <cell r="T1700">
            <v>0</v>
          </cell>
        </row>
        <row r="1701">
          <cell r="A1701" t="str">
            <v>1401623</v>
          </cell>
          <cell r="Q1701">
            <v>-1981.48</v>
          </cell>
          <cell r="T1701">
            <v>0</v>
          </cell>
        </row>
        <row r="1702">
          <cell r="A1702" t="str">
            <v>1401626</v>
          </cell>
          <cell r="Q1702">
            <v>-64489.13</v>
          </cell>
          <cell r="T1702">
            <v>0</v>
          </cell>
        </row>
        <row r="1703">
          <cell r="A1703" t="str">
            <v>1401635</v>
          </cell>
          <cell r="Q1703">
            <v>-525572.64</v>
          </cell>
          <cell r="T1703">
            <v>0</v>
          </cell>
        </row>
        <row r="1704">
          <cell r="A1704" t="str">
            <v>1401636</v>
          </cell>
          <cell r="Q1704">
            <v>-402394.78</v>
          </cell>
          <cell r="T1704">
            <v>0</v>
          </cell>
        </row>
        <row r="1705">
          <cell r="A1705" t="str">
            <v>1401699</v>
          </cell>
          <cell r="Q1705">
            <v>-1017728.79</v>
          </cell>
          <cell r="T1705">
            <v>0</v>
          </cell>
        </row>
        <row r="1706">
          <cell r="A1706" t="str">
            <v>1401701</v>
          </cell>
          <cell r="Q1706">
            <v>-60734.91</v>
          </cell>
          <cell r="T1706">
            <v>0</v>
          </cell>
        </row>
        <row r="1707">
          <cell r="A1707" t="str">
            <v>1401702</v>
          </cell>
          <cell r="Q1707">
            <v>-87763.01</v>
          </cell>
          <cell r="T1707">
            <v>0</v>
          </cell>
        </row>
        <row r="1708">
          <cell r="A1708" t="str">
            <v>1401703</v>
          </cell>
          <cell r="Q1708">
            <v>-69006.5</v>
          </cell>
          <cell r="T1708">
            <v>0</v>
          </cell>
        </row>
        <row r="1709">
          <cell r="A1709" t="str">
            <v>1401709</v>
          </cell>
          <cell r="Q1709">
            <v>-224157.03</v>
          </cell>
          <cell r="T1709">
            <v>0</v>
          </cell>
        </row>
        <row r="1710">
          <cell r="A1710" t="str">
            <v>1401722</v>
          </cell>
          <cell r="Q1710">
            <v>-10525.11</v>
          </cell>
          <cell r="T1710">
            <v>0</v>
          </cell>
        </row>
        <row r="1711">
          <cell r="A1711" t="str">
            <v>1401735</v>
          </cell>
          <cell r="Q1711">
            <v>-4777.6099999999997</v>
          </cell>
          <cell r="T1711">
            <v>0</v>
          </cell>
        </row>
        <row r="1712">
          <cell r="A1712" t="str">
            <v>1401736</v>
          </cell>
          <cell r="Q1712">
            <v>-5695.86</v>
          </cell>
          <cell r="T1712">
            <v>0</v>
          </cell>
        </row>
        <row r="1713">
          <cell r="A1713" t="str">
            <v>1401737</v>
          </cell>
          <cell r="Q1713">
            <v>-3575.51</v>
          </cell>
          <cell r="T1713">
            <v>0</v>
          </cell>
        </row>
        <row r="1714">
          <cell r="A1714" t="str">
            <v>1401846</v>
          </cell>
          <cell r="Q1714">
            <v>-15364.34</v>
          </cell>
          <cell r="T1714">
            <v>0</v>
          </cell>
        </row>
        <row r="1715">
          <cell r="A1715" t="str">
            <v>1401889</v>
          </cell>
          <cell r="Q1715">
            <v>-23296.39</v>
          </cell>
          <cell r="T1715">
            <v>0</v>
          </cell>
        </row>
        <row r="1716">
          <cell r="A1716" t="str">
            <v>1401929</v>
          </cell>
          <cell r="Q1716">
            <v>-6615.89</v>
          </cell>
          <cell r="T1716">
            <v>0</v>
          </cell>
        </row>
        <row r="1717">
          <cell r="A1717" t="str">
            <v>1401940</v>
          </cell>
          <cell r="Q1717">
            <v>-2720.14</v>
          </cell>
          <cell r="T1717">
            <v>0</v>
          </cell>
        </row>
        <row r="1718">
          <cell r="A1718" t="str">
            <v>1401941</v>
          </cell>
          <cell r="Q1718">
            <v>-8712.17</v>
          </cell>
          <cell r="T1718">
            <v>0</v>
          </cell>
        </row>
        <row r="1719">
          <cell r="A1719" t="str">
            <v>1402018</v>
          </cell>
          <cell r="Q1719">
            <v>-440.99</v>
          </cell>
          <cell r="T1719">
            <v>0</v>
          </cell>
        </row>
        <row r="1720">
          <cell r="A1720" t="str">
            <v>1402030</v>
          </cell>
          <cell r="Q1720">
            <v>-7780.07</v>
          </cell>
          <cell r="T1720">
            <v>0</v>
          </cell>
        </row>
        <row r="1721">
          <cell r="A1721" t="str">
            <v>1402038</v>
          </cell>
          <cell r="Q1721">
            <v>-11955</v>
          </cell>
          <cell r="T1721">
            <v>0</v>
          </cell>
        </row>
        <row r="1722">
          <cell r="A1722" t="str">
            <v>1402072</v>
          </cell>
          <cell r="Q1722">
            <v>-212213.95</v>
          </cell>
          <cell r="T1722">
            <v>0</v>
          </cell>
        </row>
        <row r="1723">
          <cell r="A1723" t="str">
            <v>1402076</v>
          </cell>
          <cell r="Q1723">
            <v>-19766.849999999999</v>
          </cell>
          <cell r="T1723">
            <v>0</v>
          </cell>
        </row>
        <row r="1724">
          <cell r="A1724" t="str">
            <v>1402076</v>
          </cell>
          <cell r="Q1724">
            <v>0</v>
          </cell>
          <cell r="T1724">
            <v>0</v>
          </cell>
        </row>
        <row r="1725">
          <cell r="A1725" t="str">
            <v>1402082</v>
          </cell>
          <cell r="Q1725">
            <v>-35541.85</v>
          </cell>
          <cell r="T1725">
            <v>0</v>
          </cell>
        </row>
        <row r="1726">
          <cell r="A1726" t="str">
            <v>1402083</v>
          </cell>
          <cell r="Q1726">
            <v>-30355.32</v>
          </cell>
          <cell r="T1726">
            <v>0</v>
          </cell>
        </row>
        <row r="1727">
          <cell r="A1727" t="str">
            <v>1402086</v>
          </cell>
          <cell r="Q1727">
            <v>-233419.08</v>
          </cell>
          <cell r="T1727">
            <v>0</v>
          </cell>
        </row>
        <row r="1728">
          <cell r="A1728" t="str">
            <v>1402087</v>
          </cell>
          <cell r="Q1728">
            <v>-41135.74</v>
          </cell>
          <cell r="T1728">
            <v>0</v>
          </cell>
        </row>
        <row r="1729">
          <cell r="A1729" t="str">
            <v>1402092</v>
          </cell>
          <cell r="Q1729">
            <v>-23152.48</v>
          </cell>
          <cell r="T1729">
            <v>0</v>
          </cell>
        </row>
        <row r="1730">
          <cell r="A1730" t="str">
            <v>1402185</v>
          </cell>
          <cell r="Q1730">
            <v>0</v>
          </cell>
          <cell r="T1730">
            <v>0</v>
          </cell>
        </row>
        <row r="1731">
          <cell r="A1731" t="str">
            <v>1402207</v>
          </cell>
          <cell r="Q1731">
            <v>0</v>
          </cell>
          <cell r="T1731">
            <v>0</v>
          </cell>
        </row>
        <row r="1732">
          <cell r="A1732" t="str">
            <v>1400181</v>
          </cell>
          <cell r="Q1732">
            <v>-966.13</v>
          </cell>
          <cell r="T1732">
            <v>0</v>
          </cell>
        </row>
        <row r="1733">
          <cell r="A1733" t="str">
            <v>1400182</v>
          </cell>
          <cell r="Q1733">
            <v>-2141.65</v>
          </cell>
          <cell r="T1733">
            <v>0</v>
          </cell>
        </row>
        <row r="1734">
          <cell r="A1734" t="str">
            <v>1400183</v>
          </cell>
          <cell r="Q1734">
            <v>-605.41</v>
          </cell>
          <cell r="T1734">
            <v>0</v>
          </cell>
        </row>
        <row r="1735">
          <cell r="A1735" t="str">
            <v>1400184</v>
          </cell>
          <cell r="Q1735">
            <v>-427.78</v>
          </cell>
          <cell r="T1735">
            <v>0</v>
          </cell>
        </row>
        <row r="1736">
          <cell r="A1736" t="str">
            <v>1400185</v>
          </cell>
          <cell r="Q1736">
            <v>-6488.4</v>
          </cell>
          <cell r="T1736">
            <v>0</v>
          </cell>
        </row>
        <row r="1737">
          <cell r="A1737" t="str">
            <v>1400186</v>
          </cell>
          <cell r="Q1737">
            <v>-3942.3</v>
          </cell>
          <cell r="T1737">
            <v>0</v>
          </cell>
        </row>
        <row r="1738">
          <cell r="A1738" t="str">
            <v>1400187</v>
          </cell>
          <cell r="Q1738">
            <v>-37392.46</v>
          </cell>
          <cell r="T1738">
            <v>0</v>
          </cell>
        </row>
        <row r="1739">
          <cell r="A1739" t="str">
            <v>1400188</v>
          </cell>
          <cell r="Q1739">
            <v>-4884.62</v>
          </cell>
          <cell r="T1739">
            <v>0</v>
          </cell>
        </row>
        <row r="1740">
          <cell r="A1740" t="str">
            <v>1400189</v>
          </cell>
          <cell r="Q1740">
            <v>-90.63</v>
          </cell>
          <cell r="T1740">
            <v>0</v>
          </cell>
        </row>
        <row r="1741">
          <cell r="A1741" t="str">
            <v>1400190</v>
          </cell>
          <cell r="Q1741">
            <v>-690.41</v>
          </cell>
          <cell r="T1741">
            <v>0</v>
          </cell>
        </row>
        <row r="1742">
          <cell r="A1742" t="str">
            <v>1400191</v>
          </cell>
          <cell r="Q1742">
            <v>-2756.78</v>
          </cell>
          <cell r="T1742">
            <v>0</v>
          </cell>
        </row>
        <row r="1743">
          <cell r="A1743" t="str">
            <v>1400192</v>
          </cell>
          <cell r="Q1743">
            <v>-33.799999999999997</v>
          </cell>
          <cell r="T1743">
            <v>0</v>
          </cell>
        </row>
        <row r="1744">
          <cell r="A1744" t="str">
            <v>1400193</v>
          </cell>
          <cell r="Q1744">
            <v>-185.35</v>
          </cell>
          <cell r="T1744">
            <v>0</v>
          </cell>
        </row>
        <row r="1745">
          <cell r="A1745" t="str">
            <v>1400898</v>
          </cell>
          <cell r="Q1745">
            <v>-986.58</v>
          </cell>
          <cell r="T1745">
            <v>0</v>
          </cell>
        </row>
        <row r="1746">
          <cell r="A1746" t="str">
            <v>1400955</v>
          </cell>
          <cell r="Q1746">
            <v>-1855784.4</v>
          </cell>
          <cell r="T1746">
            <v>0</v>
          </cell>
        </row>
        <row r="1747">
          <cell r="A1747" t="str">
            <v>1400956</v>
          </cell>
          <cell r="Q1747">
            <v>-12728.43</v>
          </cell>
          <cell r="T1747">
            <v>0</v>
          </cell>
        </row>
        <row r="1748">
          <cell r="A1748" t="str">
            <v>1400957</v>
          </cell>
          <cell r="Q1748">
            <v>-603092.56000000006</v>
          </cell>
          <cell r="T1748">
            <v>0</v>
          </cell>
        </row>
        <row r="1749">
          <cell r="A1749" t="str">
            <v>1400958</v>
          </cell>
          <cell r="Q1749">
            <v>-32713.67</v>
          </cell>
          <cell r="T1749">
            <v>0</v>
          </cell>
        </row>
        <row r="1750">
          <cell r="A1750" t="str">
            <v>1400959</v>
          </cell>
          <cell r="Q1750">
            <v>-906.24</v>
          </cell>
          <cell r="T1750">
            <v>0</v>
          </cell>
        </row>
        <row r="1751">
          <cell r="A1751" t="str">
            <v>1400960</v>
          </cell>
          <cell r="Q1751">
            <v>-615.54999999999995</v>
          </cell>
          <cell r="T1751">
            <v>0</v>
          </cell>
        </row>
        <row r="1752">
          <cell r="A1752" t="str">
            <v>1400961</v>
          </cell>
          <cell r="Q1752">
            <v>-1311.51</v>
          </cell>
          <cell r="T1752">
            <v>0</v>
          </cell>
        </row>
        <row r="1753">
          <cell r="A1753" t="str">
            <v>1400962</v>
          </cell>
          <cell r="Q1753">
            <v>-478.09</v>
          </cell>
          <cell r="T1753">
            <v>0</v>
          </cell>
        </row>
        <row r="1754">
          <cell r="A1754" t="str">
            <v>1400963</v>
          </cell>
          <cell r="Q1754">
            <v>-2199.46</v>
          </cell>
          <cell r="T1754">
            <v>0</v>
          </cell>
        </row>
        <row r="1755">
          <cell r="A1755" t="str">
            <v>1400964</v>
          </cell>
          <cell r="Q1755">
            <v>-3587.86</v>
          </cell>
          <cell r="T1755">
            <v>0</v>
          </cell>
        </row>
        <row r="1756">
          <cell r="A1756" t="str">
            <v>1400965</v>
          </cell>
          <cell r="Q1756">
            <v>-2545.66</v>
          </cell>
          <cell r="T1756">
            <v>0</v>
          </cell>
        </row>
        <row r="1757">
          <cell r="A1757" t="str">
            <v>1400966</v>
          </cell>
          <cell r="Q1757">
            <v>-193472.35</v>
          </cell>
          <cell r="T1757">
            <v>0</v>
          </cell>
        </row>
        <row r="1758">
          <cell r="A1758" t="str">
            <v>1400967</v>
          </cell>
          <cell r="Q1758">
            <v>-12321.12</v>
          </cell>
          <cell r="T1758">
            <v>0</v>
          </cell>
        </row>
        <row r="1759">
          <cell r="A1759" t="str">
            <v>1400968</v>
          </cell>
          <cell r="Q1759">
            <v>-898.44</v>
          </cell>
          <cell r="T1759">
            <v>0</v>
          </cell>
        </row>
        <row r="1760">
          <cell r="A1760" t="str">
            <v>1400969</v>
          </cell>
          <cell r="Q1760">
            <v>-161.11000000000001</v>
          </cell>
          <cell r="T1760">
            <v>0</v>
          </cell>
        </row>
        <row r="1761">
          <cell r="A1761" t="str">
            <v>1400970</v>
          </cell>
          <cell r="Q1761">
            <v>-152.47999999999999</v>
          </cell>
          <cell r="T1761">
            <v>0</v>
          </cell>
        </row>
        <row r="1762">
          <cell r="A1762" t="str">
            <v>1400971</v>
          </cell>
          <cell r="Q1762">
            <v>-364.15</v>
          </cell>
          <cell r="T1762">
            <v>0</v>
          </cell>
        </row>
        <row r="1763">
          <cell r="A1763" t="str">
            <v>1400972</v>
          </cell>
          <cell r="Q1763">
            <v>-430.37</v>
          </cell>
          <cell r="T1763">
            <v>0</v>
          </cell>
        </row>
        <row r="1764">
          <cell r="A1764" t="str">
            <v>1400973</v>
          </cell>
          <cell r="Q1764">
            <v>-108.92</v>
          </cell>
          <cell r="T1764">
            <v>0</v>
          </cell>
        </row>
        <row r="1765">
          <cell r="A1765" t="str">
            <v>1400974</v>
          </cell>
          <cell r="Q1765">
            <v>-151.63999999999999</v>
          </cell>
          <cell r="T1765">
            <v>0</v>
          </cell>
        </row>
        <row r="1766">
          <cell r="A1766" t="str">
            <v>1400975</v>
          </cell>
          <cell r="Q1766">
            <v>-216.26</v>
          </cell>
          <cell r="T1766">
            <v>0</v>
          </cell>
        </row>
        <row r="1767">
          <cell r="A1767" t="str">
            <v>1400976</v>
          </cell>
          <cell r="Q1767">
            <v>-59.46</v>
          </cell>
          <cell r="T1767">
            <v>0</v>
          </cell>
        </row>
        <row r="1768">
          <cell r="A1768" t="str">
            <v>1400977</v>
          </cell>
          <cell r="Q1768">
            <v>-169.76</v>
          </cell>
          <cell r="T1768">
            <v>0</v>
          </cell>
        </row>
        <row r="1769">
          <cell r="A1769" t="str">
            <v>1400978</v>
          </cell>
          <cell r="Q1769">
            <v>-21.1</v>
          </cell>
          <cell r="T1769">
            <v>0</v>
          </cell>
        </row>
        <row r="1770">
          <cell r="A1770" t="str">
            <v>1400979</v>
          </cell>
          <cell r="Q1770">
            <v>-22.18</v>
          </cell>
          <cell r="T1770">
            <v>0</v>
          </cell>
        </row>
        <row r="1771">
          <cell r="A1771" t="str">
            <v>1400980</v>
          </cell>
          <cell r="Q1771">
            <v>-62.07</v>
          </cell>
          <cell r="T1771">
            <v>0</v>
          </cell>
        </row>
        <row r="1772">
          <cell r="A1772" t="str">
            <v>1400981</v>
          </cell>
          <cell r="Q1772">
            <v>-350.12</v>
          </cell>
          <cell r="T1772">
            <v>0</v>
          </cell>
        </row>
        <row r="1773">
          <cell r="A1773" t="str">
            <v>1400982</v>
          </cell>
          <cell r="Q1773">
            <v>-382.55</v>
          </cell>
          <cell r="T1773">
            <v>0</v>
          </cell>
        </row>
        <row r="1774">
          <cell r="A1774" t="str">
            <v>1400983</v>
          </cell>
          <cell r="Q1774">
            <v>-236.24</v>
          </cell>
          <cell r="T1774">
            <v>0</v>
          </cell>
        </row>
        <row r="1775">
          <cell r="A1775" t="str">
            <v>1400984</v>
          </cell>
          <cell r="Q1775">
            <v>-179.79</v>
          </cell>
          <cell r="T1775">
            <v>0</v>
          </cell>
        </row>
        <row r="1776">
          <cell r="A1776" t="str">
            <v>1400985</v>
          </cell>
          <cell r="Q1776">
            <v>-297.08999999999997</v>
          </cell>
          <cell r="T1776">
            <v>0</v>
          </cell>
        </row>
        <row r="1777">
          <cell r="A1777" t="str">
            <v>1400986</v>
          </cell>
          <cell r="Q1777">
            <v>-180.73</v>
          </cell>
          <cell r="T1777">
            <v>0</v>
          </cell>
        </row>
        <row r="1778">
          <cell r="A1778" t="str">
            <v>1400987</v>
          </cell>
          <cell r="Q1778">
            <v>-226.14</v>
          </cell>
          <cell r="T1778">
            <v>0</v>
          </cell>
        </row>
        <row r="1779">
          <cell r="A1779" t="str">
            <v>1400988</v>
          </cell>
          <cell r="Q1779">
            <v>-34.700000000000003</v>
          </cell>
          <cell r="T1779">
            <v>0</v>
          </cell>
        </row>
        <row r="1780">
          <cell r="A1780" t="str">
            <v>1400989</v>
          </cell>
          <cell r="Q1780">
            <v>-199870.36</v>
          </cell>
          <cell r="T1780">
            <v>0</v>
          </cell>
        </row>
        <row r="1781">
          <cell r="A1781" t="str">
            <v>1400990</v>
          </cell>
          <cell r="Q1781">
            <v>-92917.62</v>
          </cell>
          <cell r="T1781">
            <v>0</v>
          </cell>
        </row>
        <row r="1782">
          <cell r="A1782" t="str">
            <v>1400991</v>
          </cell>
          <cell r="Q1782">
            <v>-84605.14</v>
          </cell>
          <cell r="T1782">
            <v>0</v>
          </cell>
        </row>
        <row r="1783">
          <cell r="A1783" t="str">
            <v>1400992</v>
          </cell>
          <cell r="Q1783">
            <v>-4055.09</v>
          </cell>
          <cell r="T1783">
            <v>0</v>
          </cell>
        </row>
        <row r="1784">
          <cell r="A1784" t="str">
            <v>1400993</v>
          </cell>
          <cell r="Q1784">
            <v>-2811.08</v>
          </cell>
          <cell r="T1784">
            <v>0</v>
          </cell>
        </row>
        <row r="1785">
          <cell r="A1785" t="str">
            <v>1400994</v>
          </cell>
          <cell r="Q1785">
            <v>-16917.8</v>
          </cell>
          <cell r="T1785">
            <v>0</v>
          </cell>
        </row>
        <row r="1786">
          <cell r="A1786" t="str">
            <v>1400995</v>
          </cell>
          <cell r="Q1786">
            <v>-295.56</v>
          </cell>
          <cell r="T1786">
            <v>0</v>
          </cell>
        </row>
        <row r="1787">
          <cell r="A1787" t="str">
            <v>1400996</v>
          </cell>
          <cell r="Q1787">
            <v>-210.85</v>
          </cell>
          <cell r="T1787">
            <v>0</v>
          </cell>
        </row>
        <row r="1788">
          <cell r="A1788" t="str">
            <v>1400997</v>
          </cell>
          <cell r="Q1788">
            <v>-11796</v>
          </cell>
          <cell r="T1788">
            <v>0</v>
          </cell>
        </row>
        <row r="1789">
          <cell r="A1789" t="str">
            <v>1400998</v>
          </cell>
          <cell r="Q1789">
            <v>-1180.02</v>
          </cell>
          <cell r="T1789">
            <v>0</v>
          </cell>
        </row>
        <row r="1790">
          <cell r="A1790" t="str">
            <v>1400999</v>
          </cell>
          <cell r="Q1790">
            <v>-1297.6099999999999</v>
          </cell>
          <cell r="T1790">
            <v>0</v>
          </cell>
        </row>
        <row r="1791">
          <cell r="A1791" t="str">
            <v>1401000</v>
          </cell>
          <cell r="Q1791">
            <v>-51285.5</v>
          </cell>
          <cell r="T1791">
            <v>0</v>
          </cell>
        </row>
        <row r="1792">
          <cell r="A1792" t="str">
            <v>1401001</v>
          </cell>
          <cell r="Q1792">
            <v>-11311.14</v>
          </cell>
          <cell r="T1792">
            <v>0</v>
          </cell>
        </row>
        <row r="1793">
          <cell r="A1793" t="str">
            <v>1401002</v>
          </cell>
          <cell r="Q1793">
            <v>-6815.31</v>
          </cell>
          <cell r="T1793">
            <v>0</v>
          </cell>
        </row>
        <row r="1794">
          <cell r="A1794" t="str">
            <v>1401003</v>
          </cell>
          <cell r="Q1794">
            <v>-20214.68</v>
          </cell>
          <cell r="T1794">
            <v>0</v>
          </cell>
        </row>
        <row r="1795">
          <cell r="A1795" t="str">
            <v>1401004</v>
          </cell>
          <cell r="Q1795">
            <v>-7809.22</v>
          </cell>
          <cell r="T1795">
            <v>0</v>
          </cell>
        </row>
        <row r="1796">
          <cell r="A1796" t="str">
            <v>1401005</v>
          </cell>
          <cell r="Q1796">
            <v>-14330.39</v>
          </cell>
          <cell r="T1796">
            <v>0</v>
          </cell>
        </row>
        <row r="1797">
          <cell r="A1797" t="str">
            <v>1401006</v>
          </cell>
          <cell r="Q1797">
            <v>-7809.22</v>
          </cell>
          <cell r="T1797">
            <v>0</v>
          </cell>
        </row>
        <row r="1798">
          <cell r="A1798" t="str">
            <v>1401007</v>
          </cell>
          <cell r="Q1798">
            <v>-14330.39</v>
          </cell>
          <cell r="T1798">
            <v>0</v>
          </cell>
        </row>
        <row r="1799">
          <cell r="A1799" t="str">
            <v>1401008</v>
          </cell>
          <cell r="Q1799">
            <v>-8285.8700000000008</v>
          </cell>
          <cell r="T1799">
            <v>0</v>
          </cell>
        </row>
        <row r="1800">
          <cell r="A1800" t="str">
            <v>1401009</v>
          </cell>
          <cell r="Q1800">
            <v>-16399.36</v>
          </cell>
          <cell r="T1800">
            <v>0</v>
          </cell>
        </row>
        <row r="1801">
          <cell r="A1801" t="str">
            <v>1401010</v>
          </cell>
          <cell r="Q1801">
            <v>-7159.19</v>
          </cell>
          <cell r="T1801">
            <v>0</v>
          </cell>
        </row>
        <row r="1802">
          <cell r="A1802" t="str">
            <v>1401011</v>
          </cell>
          <cell r="Q1802">
            <v>-19378.86</v>
          </cell>
          <cell r="T1802">
            <v>0</v>
          </cell>
        </row>
        <row r="1803">
          <cell r="A1803" t="str">
            <v>1401012</v>
          </cell>
          <cell r="Q1803">
            <v>-8381.16</v>
          </cell>
          <cell r="T1803">
            <v>0</v>
          </cell>
        </row>
        <row r="1804">
          <cell r="A1804" t="str">
            <v>1401013</v>
          </cell>
          <cell r="Q1804">
            <v>-23248.31</v>
          </cell>
          <cell r="T1804">
            <v>0</v>
          </cell>
        </row>
        <row r="1805">
          <cell r="A1805" t="str">
            <v>1401014</v>
          </cell>
          <cell r="Q1805">
            <v>-8788.4699999999993</v>
          </cell>
          <cell r="T1805">
            <v>0</v>
          </cell>
        </row>
        <row r="1806">
          <cell r="A1806" t="str">
            <v>1401015</v>
          </cell>
          <cell r="Q1806">
            <v>-24266.59</v>
          </cell>
          <cell r="T1806">
            <v>0</v>
          </cell>
        </row>
        <row r="1807">
          <cell r="A1807" t="str">
            <v>1401016</v>
          </cell>
          <cell r="Q1807">
            <v>-10825.03</v>
          </cell>
          <cell r="T1807">
            <v>0</v>
          </cell>
        </row>
        <row r="1808">
          <cell r="A1808" t="str">
            <v>1401017</v>
          </cell>
          <cell r="Q1808">
            <v>-29968.97</v>
          </cell>
          <cell r="T1808">
            <v>0</v>
          </cell>
        </row>
        <row r="1809">
          <cell r="A1809" t="str">
            <v>1401018</v>
          </cell>
          <cell r="Q1809">
            <v>-19448.12</v>
          </cell>
          <cell r="T1809">
            <v>0</v>
          </cell>
        </row>
        <row r="1810">
          <cell r="A1810" t="str">
            <v>1401019</v>
          </cell>
          <cell r="Q1810">
            <v>-56889.4</v>
          </cell>
          <cell r="T1810">
            <v>0</v>
          </cell>
        </row>
        <row r="1811">
          <cell r="A1811" t="str">
            <v>1401020</v>
          </cell>
          <cell r="Q1811">
            <v>-1585.52</v>
          </cell>
          <cell r="T1811">
            <v>0</v>
          </cell>
        </row>
        <row r="1812">
          <cell r="A1812" t="str">
            <v>1401021</v>
          </cell>
          <cell r="Q1812">
            <v>-49386.38</v>
          </cell>
          <cell r="T1812">
            <v>0</v>
          </cell>
        </row>
        <row r="1813">
          <cell r="A1813" t="str">
            <v>1401022</v>
          </cell>
          <cell r="Q1813">
            <v>-8342.1200000000008</v>
          </cell>
          <cell r="T1813">
            <v>0</v>
          </cell>
        </row>
        <row r="1814">
          <cell r="A1814" t="str">
            <v>1401023</v>
          </cell>
          <cell r="Q1814">
            <v>-5634.14</v>
          </cell>
          <cell r="T1814">
            <v>0</v>
          </cell>
        </row>
        <row r="1815">
          <cell r="A1815" t="str">
            <v>1401024</v>
          </cell>
          <cell r="Q1815">
            <v>-9721.7900000000009</v>
          </cell>
          <cell r="T1815">
            <v>0</v>
          </cell>
        </row>
        <row r="1816">
          <cell r="A1816" t="str">
            <v>1401025</v>
          </cell>
          <cell r="Q1816">
            <v>-141684.37</v>
          </cell>
          <cell r="T1816">
            <v>0</v>
          </cell>
        </row>
        <row r="1817">
          <cell r="A1817" t="str">
            <v>1401026</v>
          </cell>
          <cell r="Q1817">
            <v>-15676.2</v>
          </cell>
          <cell r="T1817">
            <v>0</v>
          </cell>
        </row>
        <row r="1818">
          <cell r="A1818" t="str">
            <v>1401027</v>
          </cell>
          <cell r="Q1818">
            <v>-35070.050000000003</v>
          </cell>
          <cell r="T1818">
            <v>0</v>
          </cell>
        </row>
        <row r="1819">
          <cell r="A1819" t="str">
            <v>1401028</v>
          </cell>
          <cell r="Q1819">
            <v>-12625.34</v>
          </cell>
          <cell r="T1819">
            <v>0</v>
          </cell>
        </row>
        <row r="1820">
          <cell r="A1820" t="str">
            <v>1401029</v>
          </cell>
          <cell r="Q1820">
            <v>-2312.38</v>
          </cell>
          <cell r="T1820">
            <v>0</v>
          </cell>
        </row>
        <row r="1821">
          <cell r="A1821" t="str">
            <v>1401030</v>
          </cell>
          <cell r="Q1821">
            <v>-2642.91</v>
          </cell>
          <cell r="T1821">
            <v>0</v>
          </cell>
        </row>
        <row r="1822">
          <cell r="A1822" t="str">
            <v>1401031</v>
          </cell>
          <cell r="Q1822">
            <v>-16037.83</v>
          </cell>
          <cell r="T1822">
            <v>0</v>
          </cell>
        </row>
        <row r="1823">
          <cell r="A1823" t="str">
            <v>1401032</v>
          </cell>
          <cell r="Q1823">
            <v>-6935.74</v>
          </cell>
          <cell r="T1823">
            <v>0</v>
          </cell>
        </row>
        <row r="1824">
          <cell r="A1824" t="str">
            <v>1401033</v>
          </cell>
          <cell r="Q1824">
            <v>-2686.58</v>
          </cell>
          <cell r="T1824">
            <v>0</v>
          </cell>
        </row>
        <row r="1825">
          <cell r="A1825" t="str">
            <v>1401034</v>
          </cell>
          <cell r="Q1825">
            <v>-4062.67</v>
          </cell>
          <cell r="T1825">
            <v>0</v>
          </cell>
        </row>
        <row r="1826">
          <cell r="A1826" t="str">
            <v>1401035</v>
          </cell>
          <cell r="Q1826">
            <v>-771.48</v>
          </cell>
          <cell r="T1826">
            <v>0</v>
          </cell>
        </row>
        <row r="1827">
          <cell r="A1827" t="str">
            <v>1401036</v>
          </cell>
          <cell r="Q1827">
            <v>-970.83</v>
          </cell>
          <cell r="T1827">
            <v>0</v>
          </cell>
        </row>
        <row r="1828">
          <cell r="A1828" t="str">
            <v>1401037</v>
          </cell>
          <cell r="Q1828">
            <v>-16636.64</v>
          </cell>
          <cell r="T1828">
            <v>0</v>
          </cell>
        </row>
        <row r="1829">
          <cell r="A1829" t="str">
            <v>1401038</v>
          </cell>
          <cell r="Q1829">
            <v>-1430541.9</v>
          </cell>
          <cell r="T1829">
            <v>0</v>
          </cell>
        </row>
        <row r="1830">
          <cell r="A1830" t="str">
            <v>1401039</v>
          </cell>
          <cell r="Q1830">
            <v>-2237.5100000000002</v>
          </cell>
          <cell r="T1830">
            <v>0</v>
          </cell>
        </row>
        <row r="1831">
          <cell r="A1831" t="str">
            <v>1401040</v>
          </cell>
          <cell r="Q1831">
            <v>-51082.27</v>
          </cell>
          <cell r="T1831">
            <v>0</v>
          </cell>
        </row>
        <row r="1832">
          <cell r="A1832" t="str">
            <v>1401041</v>
          </cell>
          <cell r="Q1832">
            <v>-1145.54</v>
          </cell>
          <cell r="T1832">
            <v>0</v>
          </cell>
        </row>
        <row r="1833">
          <cell r="A1833" t="str">
            <v>1401042</v>
          </cell>
          <cell r="Q1833">
            <v>-582453.59</v>
          </cell>
          <cell r="T1833">
            <v>0</v>
          </cell>
        </row>
        <row r="1834">
          <cell r="A1834" t="str">
            <v>1401043</v>
          </cell>
          <cell r="Q1834">
            <v>-1102.74</v>
          </cell>
          <cell r="T1834">
            <v>0</v>
          </cell>
        </row>
        <row r="1835">
          <cell r="A1835" t="str">
            <v>1401044</v>
          </cell>
          <cell r="Q1835">
            <v>-7339.78</v>
          </cell>
          <cell r="T1835">
            <v>0</v>
          </cell>
        </row>
        <row r="1836">
          <cell r="A1836" t="str">
            <v>1401045</v>
          </cell>
          <cell r="Q1836">
            <v>-325936.86</v>
          </cell>
          <cell r="T1836">
            <v>0</v>
          </cell>
        </row>
        <row r="1837">
          <cell r="A1837" t="str">
            <v>1401046</v>
          </cell>
          <cell r="Q1837">
            <v>-27136.2</v>
          </cell>
          <cell r="T1837">
            <v>0</v>
          </cell>
        </row>
        <row r="1838">
          <cell r="A1838" t="str">
            <v>1401047</v>
          </cell>
          <cell r="Q1838">
            <v>-8690.32</v>
          </cell>
          <cell r="T1838">
            <v>0</v>
          </cell>
        </row>
        <row r="1839">
          <cell r="A1839" t="str">
            <v>1401048</v>
          </cell>
          <cell r="Q1839">
            <v>-53258.46</v>
          </cell>
          <cell r="T1839">
            <v>0</v>
          </cell>
        </row>
        <row r="1840">
          <cell r="A1840" t="str">
            <v>1401049</v>
          </cell>
          <cell r="Q1840">
            <v>-1843.67</v>
          </cell>
          <cell r="T1840">
            <v>0</v>
          </cell>
        </row>
        <row r="1841">
          <cell r="A1841" t="str">
            <v>1401050</v>
          </cell>
          <cell r="Q1841">
            <v>-70542.27</v>
          </cell>
          <cell r="T1841">
            <v>0</v>
          </cell>
        </row>
        <row r="1842">
          <cell r="A1842" t="str">
            <v>1401051</v>
          </cell>
          <cell r="Q1842">
            <v>-4332.54</v>
          </cell>
          <cell r="T1842">
            <v>0</v>
          </cell>
        </row>
        <row r="1843">
          <cell r="A1843" t="str">
            <v>1401052</v>
          </cell>
          <cell r="Q1843">
            <v>-1136.8800000000001</v>
          </cell>
          <cell r="T1843">
            <v>0</v>
          </cell>
        </row>
        <row r="1844">
          <cell r="A1844" t="str">
            <v>1401053</v>
          </cell>
          <cell r="Q1844">
            <v>-3845.35</v>
          </cell>
          <cell r="T1844">
            <v>0</v>
          </cell>
        </row>
        <row r="1845">
          <cell r="A1845" t="str">
            <v>1401054</v>
          </cell>
          <cell r="Q1845">
            <v>-974.77</v>
          </cell>
          <cell r="T1845">
            <v>0</v>
          </cell>
        </row>
        <row r="1846">
          <cell r="A1846" t="str">
            <v>1401055</v>
          </cell>
          <cell r="Q1846">
            <v>-7582.13</v>
          </cell>
          <cell r="T1846">
            <v>0</v>
          </cell>
        </row>
        <row r="1847">
          <cell r="A1847" t="str">
            <v>1401056</v>
          </cell>
          <cell r="Q1847">
            <v>-2200.7399999999998</v>
          </cell>
          <cell r="T1847">
            <v>0</v>
          </cell>
        </row>
        <row r="1848">
          <cell r="A1848" t="str">
            <v>1401057</v>
          </cell>
          <cell r="Q1848">
            <v>-7244.23</v>
          </cell>
          <cell r="T1848">
            <v>0</v>
          </cell>
        </row>
        <row r="1849">
          <cell r="A1849" t="str">
            <v>1401058</v>
          </cell>
          <cell r="Q1849">
            <v>-3847.01</v>
          </cell>
          <cell r="T1849">
            <v>0</v>
          </cell>
        </row>
        <row r="1850">
          <cell r="A1850" t="str">
            <v>1401059</v>
          </cell>
          <cell r="Q1850">
            <v>-10461.66</v>
          </cell>
          <cell r="T1850">
            <v>0</v>
          </cell>
        </row>
        <row r="1851">
          <cell r="A1851" t="str">
            <v>1401060</v>
          </cell>
          <cell r="Q1851">
            <v>-2472.15</v>
          </cell>
          <cell r="T1851">
            <v>0</v>
          </cell>
        </row>
        <row r="1852">
          <cell r="A1852" t="str">
            <v>1401061</v>
          </cell>
          <cell r="Q1852">
            <v>-4803.4399999999996</v>
          </cell>
          <cell r="T1852">
            <v>0</v>
          </cell>
        </row>
        <row r="1853">
          <cell r="A1853" t="str">
            <v>1401062</v>
          </cell>
          <cell r="Q1853">
            <v>-3471.75</v>
          </cell>
          <cell r="T1853">
            <v>0</v>
          </cell>
        </row>
        <row r="1854">
          <cell r="A1854" t="str">
            <v>1401063</v>
          </cell>
          <cell r="Q1854">
            <v>-110188.21</v>
          </cell>
          <cell r="T1854">
            <v>0</v>
          </cell>
        </row>
        <row r="1855">
          <cell r="A1855" t="str">
            <v>1401064</v>
          </cell>
          <cell r="Q1855">
            <v>-4137.0600000000004</v>
          </cell>
          <cell r="T1855">
            <v>0</v>
          </cell>
        </row>
        <row r="1856">
          <cell r="A1856" t="str">
            <v>1401065</v>
          </cell>
          <cell r="Q1856">
            <v>-33880.01</v>
          </cell>
          <cell r="T1856">
            <v>0</v>
          </cell>
        </row>
        <row r="1857">
          <cell r="A1857" t="str">
            <v>1401066</v>
          </cell>
          <cell r="Q1857">
            <v>-143938.03</v>
          </cell>
          <cell r="T1857">
            <v>0</v>
          </cell>
        </row>
        <row r="1858">
          <cell r="A1858" t="str">
            <v>1401067</v>
          </cell>
          <cell r="Q1858">
            <v>-1883.69</v>
          </cell>
          <cell r="T1858">
            <v>0</v>
          </cell>
        </row>
        <row r="1859">
          <cell r="A1859" t="str">
            <v>1401068</v>
          </cell>
          <cell r="Q1859">
            <v>-3188.55</v>
          </cell>
          <cell r="T1859">
            <v>0</v>
          </cell>
        </row>
        <row r="1860">
          <cell r="A1860" t="str">
            <v>1401069</v>
          </cell>
          <cell r="Q1860">
            <v>-2528.0100000000002</v>
          </cell>
          <cell r="T1860">
            <v>0</v>
          </cell>
        </row>
        <row r="1861">
          <cell r="A1861" t="str">
            <v>1401070</v>
          </cell>
          <cell r="Q1861">
            <v>-3898.85</v>
          </cell>
          <cell r="T1861">
            <v>0</v>
          </cell>
        </row>
        <row r="1862">
          <cell r="A1862" t="str">
            <v>1401071</v>
          </cell>
          <cell r="Q1862">
            <v>-317.97000000000003</v>
          </cell>
          <cell r="T1862">
            <v>0</v>
          </cell>
        </row>
        <row r="1863">
          <cell r="A1863" t="str">
            <v>1401072</v>
          </cell>
          <cell r="Q1863">
            <v>-296.72000000000003</v>
          </cell>
          <cell r="T1863">
            <v>0</v>
          </cell>
        </row>
        <row r="1864">
          <cell r="A1864" t="str">
            <v>1401073</v>
          </cell>
          <cell r="Q1864">
            <v>-329.66</v>
          </cell>
          <cell r="T1864">
            <v>0</v>
          </cell>
        </row>
        <row r="1865">
          <cell r="A1865" t="str">
            <v>1401074</v>
          </cell>
          <cell r="Q1865">
            <v>-317.97000000000003</v>
          </cell>
          <cell r="T1865">
            <v>0</v>
          </cell>
        </row>
        <row r="1866">
          <cell r="A1866" t="str">
            <v>1401075</v>
          </cell>
          <cell r="Q1866">
            <v>-341.31</v>
          </cell>
          <cell r="T1866">
            <v>0</v>
          </cell>
        </row>
        <row r="1867">
          <cell r="A1867" t="str">
            <v>1401076</v>
          </cell>
          <cell r="Q1867">
            <v>-612.20000000000005</v>
          </cell>
          <cell r="T1867">
            <v>0</v>
          </cell>
        </row>
        <row r="1868">
          <cell r="A1868" t="str">
            <v>1401077</v>
          </cell>
          <cell r="Q1868">
            <v>-1765.74</v>
          </cell>
          <cell r="T1868">
            <v>0</v>
          </cell>
        </row>
        <row r="1869">
          <cell r="A1869" t="str">
            <v>1401078</v>
          </cell>
          <cell r="Q1869">
            <v>-800.58</v>
          </cell>
          <cell r="T1869">
            <v>0</v>
          </cell>
        </row>
        <row r="1870">
          <cell r="A1870" t="str">
            <v>1401079</v>
          </cell>
          <cell r="Q1870">
            <v>-2354.64</v>
          </cell>
          <cell r="T1870">
            <v>0</v>
          </cell>
        </row>
        <row r="1871">
          <cell r="A1871" t="str">
            <v>1401080</v>
          </cell>
          <cell r="Q1871">
            <v>-1648.23</v>
          </cell>
          <cell r="T1871">
            <v>0</v>
          </cell>
        </row>
        <row r="1872">
          <cell r="A1872" t="str">
            <v>1401081</v>
          </cell>
          <cell r="Q1872">
            <v>-6122.06</v>
          </cell>
          <cell r="T1872">
            <v>0</v>
          </cell>
        </row>
        <row r="1873">
          <cell r="A1873" t="str">
            <v>1401082</v>
          </cell>
          <cell r="Q1873">
            <v>-1389.04</v>
          </cell>
          <cell r="T1873">
            <v>0</v>
          </cell>
        </row>
        <row r="1874">
          <cell r="A1874" t="str">
            <v>1401083</v>
          </cell>
          <cell r="Q1874">
            <v>-3061</v>
          </cell>
          <cell r="T1874">
            <v>0</v>
          </cell>
        </row>
        <row r="1875">
          <cell r="A1875" t="str">
            <v>1401084</v>
          </cell>
          <cell r="Q1875">
            <v>-1883.69</v>
          </cell>
          <cell r="T1875">
            <v>0</v>
          </cell>
        </row>
        <row r="1876">
          <cell r="A1876" t="str">
            <v>1401085</v>
          </cell>
          <cell r="Q1876">
            <v>-2543.02</v>
          </cell>
          <cell r="T1876">
            <v>0</v>
          </cell>
        </row>
        <row r="1877">
          <cell r="A1877" t="str">
            <v>1401086</v>
          </cell>
          <cell r="Q1877">
            <v>-4944.74</v>
          </cell>
          <cell r="T1877">
            <v>0</v>
          </cell>
        </row>
        <row r="1878">
          <cell r="A1878" t="str">
            <v>1401087</v>
          </cell>
          <cell r="Q1878">
            <v>-3767.41</v>
          </cell>
          <cell r="T1878">
            <v>0</v>
          </cell>
        </row>
        <row r="1879">
          <cell r="A1879" t="str">
            <v>1401088</v>
          </cell>
          <cell r="Q1879">
            <v>-317.97000000000003</v>
          </cell>
          <cell r="T1879">
            <v>0</v>
          </cell>
        </row>
        <row r="1880">
          <cell r="A1880" t="str">
            <v>1401089</v>
          </cell>
          <cell r="Q1880">
            <v>-1473598.99</v>
          </cell>
          <cell r="T1880">
            <v>0</v>
          </cell>
        </row>
        <row r="1881">
          <cell r="A1881" t="str">
            <v>1401090</v>
          </cell>
          <cell r="Q1881">
            <v>-222575.2</v>
          </cell>
          <cell r="T1881">
            <v>0</v>
          </cell>
        </row>
        <row r="1882">
          <cell r="A1882" t="str">
            <v>1401091</v>
          </cell>
          <cell r="Q1882">
            <v>-102356.27</v>
          </cell>
          <cell r="T1882">
            <v>0</v>
          </cell>
        </row>
        <row r="1883">
          <cell r="A1883" t="str">
            <v>1401092</v>
          </cell>
          <cell r="Q1883">
            <v>-52551.75</v>
          </cell>
          <cell r="T1883">
            <v>0</v>
          </cell>
        </row>
        <row r="1884">
          <cell r="A1884" t="str">
            <v>1401093</v>
          </cell>
          <cell r="Q1884">
            <v>-2690.43</v>
          </cell>
          <cell r="T1884">
            <v>0</v>
          </cell>
        </row>
        <row r="1885">
          <cell r="A1885" t="str">
            <v>1401094</v>
          </cell>
          <cell r="Q1885">
            <v>-6356.04</v>
          </cell>
          <cell r="T1885">
            <v>0</v>
          </cell>
        </row>
        <row r="1886">
          <cell r="A1886" t="str">
            <v>1401095</v>
          </cell>
          <cell r="Q1886">
            <v>-14906.09</v>
          </cell>
          <cell r="T1886">
            <v>0</v>
          </cell>
        </row>
        <row r="1887">
          <cell r="A1887" t="str">
            <v>1401096</v>
          </cell>
          <cell r="Q1887">
            <v>-3128.32</v>
          </cell>
          <cell r="T1887">
            <v>0</v>
          </cell>
        </row>
        <row r="1888">
          <cell r="A1888" t="str">
            <v>1401097</v>
          </cell>
          <cell r="Q1888">
            <v>-12963.34</v>
          </cell>
          <cell r="T1888">
            <v>0</v>
          </cell>
        </row>
        <row r="1889">
          <cell r="A1889" t="str">
            <v>1401098</v>
          </cell>
          <cell r="Q1889">
            <v>-4750</v>
          </cell>
          <cell r="T1889">
            <v>0</v>
          </cell>
        </row>
        <row r="1890">
          <cell r="A1890" t="str">
            <v>1401099</v>
          </cell>
          <cell r="Q1890">
            <v>-4080</v>
          </cell>
          <cell r="T1890">
            <v>0</v>
          </cell>
        </row>
        <row r="1891">
          <cell r="A1891" t="str">
            <v>1401100</v>
          </cell>
          <cell r="Q1891">
            <v>-20313.169999999998</v>
          </cell>
          <cell r="T1891">
            <v>0</v>
          </cell>
        </row>
        <row r="1892">
          <cell r="A1892" t="str">
            <v>1401101</v>
          </cell>
          <cell r="Q1892">
            <v>-27310.01</v>
          </cell>
          <cell r="T1892">
            <v>0</v>
          </cell>
        </row>
        <row r="1893">
          <cell r="A1893" t="str">
            <v>1401102</v>
          </cell>
          <cell r="Q1893">
            <v>-11860.6</v>
          </cell>
          <cell r="T1893">
            <v>0</v>
          </cell>
        </row>
        <row r="1894">
          <cell r="A1894" t="str">
            <v>1401390</v>
          </cell>
          <cell r="Q1894">
            <v>-2724.53</v>
          </cell>
          <cell r="T1894">
            <v>0</v>
          </cell>
        </row>
        <row r="1895">
          <cell r="A1895" t="str">
            <v>1401859</v>
          </cell>
          <cell r="Q1895">
            <v>-417828.62</v>
          </cell>
          <cell r="T1895">
            <v>0</v>
          </cell>
        </row>
        <row r="1896">
          <cell r="A1896" t="str">
            <v>1401860</v>
          </cell>
          <cell r="Q1896">
            <v>-112504.95</v>
          </cell>
          <cell r="T1896">
            <v>0</v>
          </cell>
        </row>
        <row r="1897">
          <cell r="A1897" t="str">
            <v>1401861</v>
          </cell>
          <cell r="Q1897">
            <v>-22814.639999999999</v>
          </cell>
          <cell r="T1897">
            <v>0</v>
          </cell>
        </row>
        <row r="1898">
          <cell r="A1898" t="str">
            <v>1401862</v>
          </cell>
          <cell r="Q1898">
            <v>-48606.96</v>
          </cell>
          <cell r="T1898">
            <v>0</v>
          </cell>
        </row>
        <row r="1899">
          <cell r="A1899" t="str">
            <v>1402047</v>
          </cell>
          <cell r="Q1899">
            <v>-410.19</v>
          </cell>
          <cell r="T1899">
            <v>0</v>
          </cell>
        </row>
        <row r="1900">
          <cell r="A1900" t="str">
            <v>1400194</v>
          </cell>
          <cell r="Q1900">
            <v>-18894.11</v>
          </cell>
          <cell r="T1900">
            <v>0</v>
          </cell>
        </row>
        <row r="1901">
          <cell r="A1901" t="str">
            <v>1400441</v>
          </cell>
          <cell r="Q1901">
            <v>-2191454.4</v>
          </cell>
          <cell r="T1901">
            <v>0</v>
          </cell>
        </row>
        <row r="1902">
          <cell r="A1902" t="str">
            <v>1400442</v>
          </cell>
          <cell r="Q1902">
            <v>-444538.45</v>
          </cell>
          <cell r="T1902">
            <v>0</v>
          </cell>
        </row>
        <row r="1903">
          <cell r="A1903" t="str">
            <v>1400443</v>
          </cell>
          <cell r="Q1903">
            <v>-73529.06</v>
          </cell>
          <cell r="T1903">
            <v>0</v>
          </cell>
        </row>
        <row r="1904">
          <cell r="A1904" t="str">
            <v>1400444</v>
          </cell>
          <cell r="Q1904">
            <v>-146577.54</v>
          </cell>
          <cell r="T1904">
            <v>0</v>
          </cell>
        </row>
        <row r="1905">
          <cell r="A1905" t="str">
            <v>1400697</v>
          </cell>
          <cell r="Q1905">
            <v>-5589.78</v>
          </cell>
          <cell r="T1905">
            <v>0</v>
          </cell>
        </row>
        <row r="1906">
          <cell r="A1906" t="str">
            <v>1400747</v>
          </cell>
          <cell r="Q1906">
            <v>-2342288.35</v>
          </cell>
          <cell r="T1906">
            <v>0</v>
          </cell>
        </row>
        <row r="1907">
          <cell r="A1907" t="str">
            <v>1400748</v>
          </cell>
          <cell r="Q1907">
            <v>-306398.02</v>
          </cell>
          <cell r="T1907">
            <v>0</v>
          </cell>
        </row>
        <row r="1908">
          <cell r="A1908" t="str">
            <v>1400861</v>
          </cell>
          <cell r="Q1908">
            <v>-12180.93</v>
          </cell>
          <cell r="T1908">
            <v>0</v>
          </cell>
        </row>
        <row r="1909">
          <cell r="A1909" t="str">
            <v>1400952</v>
          </cell>
          <cell r="Q1909">
            <v>-16415.43</v>
          </cell>
          <cell r="T1909">
            <v>0</v>
          </cell>
        </row>
        <row r="1910">
          <cell r="A1910" t="str">
            <v>1401295</v>
          </cell>
          <cell r="Q1910">
            <v>-4425.92</v>
          </cell>
          <cell r="T1910">
            <v>0</v>
          </cell>
        </row>
        <row r="1911">
          <cell r="A1911" t="str">
            <v>1401296</v>
          </cell>
          <cell r="Q1911">
            <v>-14096.72</v>
          </cell>
          <cell r="T1911">
            <v>0</v>
          </cell>
        </row>
        <row r="1912">
          <cell r="A1912" t="str">
            <v>1401311</v>
          </cell>
          <cell r="Q1912">
            <v>-1930.57</v>
          </cell>
          <cell r="T1912">
            <v>0</v>
          </cell>
        </row>
        <row r="1913">
          <cell r="A1913" t="str">
            <v>1401381</v>
          </cell>
          <cell r="Q1913">
            <v>-8983.64</v>
          </cell>
          <cell r="T1913">
            <v>0</v>
          </cell>
        </row>
        <row r="1914">
          <cell r="A1914" t="str">
            <v>1401534</v>
          </cell>
          <cell r="Q1914">
            <v>-4237.78</v>
          </cell>
          <cell r="T1914">
            <v>0</v>
          </cell>
        </row>
        <row r="1915">
          <cell r="A1915" t="str">
            <v>1401725</v>
          </cell>
          <cell r="Q1915">
            <v>-4783.74</v>
          </cell>
          <cell r="T1915">
            <v>0</v>
          </cell>
        </row>
        <row r="1916">
          <cell r="A1916" t="str">
            <v>1401886</v>
          </cell>
          <cell r="Q1916">
            <v>-828.45</v>
          </cell>
          <cell r="T1916">
            <v>0</v>
          </cell>
        </row>
        <row r="1917">
          <cell r="A1917" t="str">
            <v>1401958</v>
          </cell>
          <cell r="Q1917">
            <v>-1130.96</v>
          </cell>
          <cell r="T1917">
            <v>0</v>
          </cell>
        </row>
        <row r="1918">
          <cell r="A1918" t="str">
            <v>1402061</v>
          </cell>
          <cell r="Q1918">
            <v>0</v>
          </cell>
          <cell r="T1918">
            <v>0</v>
          </cell>
        </row>
        <row r="1919">
          <cell r="A1919" t="str">
            <v>1402101</v>
          </cell>
          <cell r="Q1919">
            <v>0</v>
          </cell>
          <cell r="T1919">
            <v>0</v>
          </cell>
        </row>
        <row r="1920">
          <cell r="A1920" t="str">
            <v>1402197</v>
          </cell>
          <cell r="Q1920">
            <v>0</v>
          </cell>
          <cell r="T1920">
            <v>0</v>
          </cell>
        </row>
        <row r="1921">
          <cell r="A1921" t="str">
            <v>1402203</v>
          </cell>
          <cell r="Q1921">
            <v>0</v>
          </cell>
          <cell r="T1921">
            <v>0</v>
          </cell>
        </row>
        <row r="1922">
          <cell r="A1922" t="str">
            <v>1400001</v>
          </cell>
          <cell r="Q1922">
            <v>-19920.689999999999</v>
          </cell>
          <cell r="T1922">
            <v>0</v>
          </cell>
        </row>
        <row r="1923">
          <cell r="A1923" t="str">
            <v>1400002</v>
          </cell>
          <cell r="Q1923">
            <v>-4498.5</v>
          </cell>
          <cell r="T1923">
            <v>0</v>
          </cell>
        </row>
        <row r="1924">
          <cell r="A1924" t="str">
            <v>1400003</v>
          </cell>
          <cell r="Q1924">
            <v>-25978.94</v>
          </cell>
          <cell r="T1924">
            <v>0</v>
          </cell>
        </row>
        <row r="1925">
          <cell r="A1925" t="str">
            <v>1400004</v>
          </cell>
          <cell r="Q1925">
            <v>-6824.32</v>
          </cell>
          <cell r="T1925">
            <v>0</v>
          </cell>
        </row>
        <row r="1926">
          <cell r="A1926" t="str">
            <v>1400005</v>
          </cell>
          <cell r="Q1926">
            <v>-20023.8</v>
          </cell>
          <cell r="T1926">
            <v>0</v>
          </cell>
        </row>
        <row r="1927">
          <cell r="A1927" t="str">
            <v>1400006</v>
          </cell>
          <cell r="Q1927">
            <v>-39722.78</v>
          </cell>
          <cell r="T1927">
            <v>0</v>
          </cell>
        </row>
        <row r="1928">
          <cell r="A1928" t="str">
            <v>1400007</v>
          </cell>
          <cell r="Q1928">
            <v>-108967.77</v>
          </cell>
          <cell r="T1928">
            <v>0</v>
          </cell>
        </row>
        <row r="1929">
          <cell r="A1929" t="str">
            <v>1400008</v>
          </cell>
          <cell r="Q1929">
            <v>-15918.47</v>
          </cell>
          <cell r="T1929">
            <v>0</v>
          </cell>
        </row>
        <row r="1930">
          <cell r="A1930" t="str">
            <v>1400009</v>
          </cell>
          <cell r="Q1930">
            <v>-11062.45</v>
          </cell>
          <cell r="T1930">
            <v>0</v>
          </cell>
        </row>
        <row r="1931">
          <cell r="A1931" t="str">
            <v>1400010</v>
          </cell>
          <cell r="Q1931">
            <v>-35156.839999999997</v>
          </cell>
          <cell r="T1931">
            <v>0</v>
          </cell>
        </row>
        <row r="1932">
          <cell r="A1932" t="str">
            <v>1400011</v>
          </cell>
          <cell r="Q1932">
            <v>-8008.53</v>
          </cell>
          <cell r="T1932">
            <v>0</v>
          </cell>
        </row>
        <row r="1933">
          <cell r="A1933" t="str">
            <v>1400012</v>
          </cell>
          <cell r="Q1933">
            <v>-1129.24</v>
          </cell>
          <cell r="T1933">
            <v>0</v>
          </cell>
        </row>
        <row r="1934">
          <cell r="A1934" t="str">
            <v>1400013</v>
          </cell>
          <cell r="Q1934">
            <v>-7848.94</v>
          </cell>
          <cell r="T1934">
            <v>0</v>
          </cell>
        </row>
        <row r="1935">
          <cell r="A1935" t="str">
            <v>1400014</v>
          </cell>
          <cell r="Q1935">
            <v>-18743.79</v>
          </cell>
          <cell r="T1935">
            <v>0</v>
          </cell>
        </row>
        <row r="1936">
          <cell r="A1936" t="str">
            <v>1400015</v>
          </cell>
          <cell r="Q1936">
            <v>-12415.17</v>
          </cell>
          <cell r="T1936">
            <v>0</v>
          </cell>
        </row>
        <row r="1937">
          <cell r="A1937" t="str">
            <v>1400016</v>
          </cell>
          <cell r="Q1937">
            <v>-14737.09</v>
          </cell>
          <cell r="T1937">
            <v>0</v>
          </cell>
        </row>
        <row r="1938">
          <cell r="A1938" t="str">
            <v>1400017</v>
          </cell>
          <cell r="Q1938">
            <v>-720.62</v>
          </cell>
          <cell r="T1938">
            <v>0</v>
          </cell>
        </row>
        <row r="1939">
          <cell r="A1939" t="str">
            <v>1400018</v>
          </cell>
          <cell r="Q1939">
            <v>-3742.35</v>
          </cell>
          <cell r="T1939">
            <v>0</v>
          </cell>
        </row>
        <row r="1940">
          <cell r="A1940" t="str">
            <v>1400019</v>
          </cell>
          <cell r="Q1940">
            <v>-931.57</v>
          </cell>
          <cell r="T1940">
            <v>0</v>
          </cell>
        </row>
        <row r="1941">
          <cell r="A1941" t="str">
            <v>1400020</v>
          </cell>
          <cell r="Q1941">
            <v>-1569.33</v>
          </cell>
          <cell r="T1941">
            <v>0</v>
          </cell>
        </row>
        <row r="1942">
          <cell r="A1942" t="str">
            <v>1400021</v>
          </cell>
          <cell r="Q1942">
            <v>-8079.8</v>
          </cell>
          <cell r="T1942">
            <v>0</v>
          </cell>
        </row>
        <row r="1943">
          <cell r="A1943" t="str">
            <v>1400022</v>
          </cell>
          <cell r="Q1943">
            <v>-247446.9</v>
          </cell>
          <cell r="T1943">
            <v>0</v>
          </cell>
        </row>
        <row r="1944">
          <cell r="A1944" t="str">
            <v>1400111</v>
          </cell>
          <cell r="Q1944">
            <v>-413234.57</v>
          </cell>
          <cell r="T1944">
            <v>0</v>
          </cell>
        </row>
        <row r="1945">
          <cell r="A1945" t="str">
            <v>1400112</v>
          </cell>
          <cell r="Q1945">
            <v>-18329.73</v>
          </cell>
          <cell r="T1945">
            <v>0</v>
          </cell>
        </row>
        <row r="1946">
          <cell r="A1946" t="str">
            <v>1400113</v>
          </cell>
          <cell r="Q1946">
            <v>-41250.089999999997</v>
          </cell>
          <cell r="T1946">
            <v>0</v>
          </cell>
        </row>
        <row r="1947">
          <cell r="A1947" t="str">
            <v>1400114</v>
          </cell>
          <cell r="Q1947">
            <v>-40427.94</v>
          </cell>
          <cell r="T1947">
            <v>0</v>
          </cell>
        </row>
        <row r="1948">
          <cell r="A1948" t="str">
            <v>1400115</v>
          </cell>
          <cell r="Q1948">
            <v>-79853.37</v>
          </cell>
          <cell r="T1948">
            <v>0</v>
          </cell>
        </row>
        <row r="1949">
          <cell r="A1949" t="str">
            <v>1400116</v>
          </cell>
          <cell r="Q1949">
            <v>-8810.41</v>
          </cell>
          <cell r="T1949">
            <v>0</v>
          </cell>
        </row>
        <row r="1950">
          <cell r="A1950" t="str">
            <v>1400117</v>
          </cell>
          <cell r="Q1950">
            <v>-10046.879999999999</v>
          </cell>
          <cell r="T1950">
            <v>0</v>
          </cell>
        </row>
        <row r="1951">
          <cell r="A1951" t="str">
            <v>1400118</v>
          </cell>
          <cell r="Q1951">
            <v>-85297.82</v>
          </cell>
          <cell r="T1951">
            <v>0</v>
          </cell>
        </row>
        <row r="1952">
          <cell r="A1952" t="str">
            <v>1400119</v>
          </cell>
          <cell r="Q1952">
            <v>-42419.48</v>
          </cell>
          <cell r="T1952">
            <v>0</v>
          </cell>
        </row>
        <row r="1953">
          <cell r="A1953" t="str">
            <v>1400120</v>
          </cell>
          <cell r="Q1953">
            <v>-795.87</v>
          </cell>
          <cell r="T1953">
            <v>0</v>
          </cell>
        </row>
        <row r="1954">
          <cell r="A1954" t="str">
            <v>1400121</v>
          </cell>
          <cell r="Q1954">
            <v>-5777.19</v>
          </cell>
          <cell r="T1954">
            <v>0</v>
          </cell>
        </row>
        <row r="1955">
          <cell r="A1955" t="str">
            <v>1400122</v>
          </cell>
          <cell r="Q1955">
            <v>-42674.400000000001</v>
          </cell>
          <cell r="T1955">
            <v>0</v>
          </cell>
        </row>
        <row r="1956">
          <cell r="A1956" t="str">
            <v>1400123</v>
          </cell>
          <cell r="Q1956">
            <v>-9029.9</v>
          </cell>
          <cell r="T1956">
            <v>0</v>
          </cell>
        </row>
        <row r="1957">
          <cell r="A1957" t="str">
            <v>1400124</v>
          </cell>
          <cell r="Q1957">
            <v>-10534.17</v>
          </cell>
          <cell r="T1957">
            <v>0</v>
          </cell>
        </row>
        <row r="1958">
          <cell r="A1958" t="str">
            <v>1400125</v>
          </cell>
          <cell r="Q1958">
            <v>-14055.21</v>
          </cell>
          <cell r="T1958">
            <v>0</v>
          </cell>
        </row>
        <row r="1959">
          <cell r="A1959" t="str">
            <v>1400126</v>
          </cell>
          <cell r="Q1959">
            <v>-27605.43</v>
          </cell>
          <cell r="T1959">
            <v>0</v>
          </cell>
        </row>
        <row r="1960">
          <cell r="A1960" t="str">
            <v>1400127</v>
          </cell>
          <cell r="Q1960">
            <v>-4769.33</v>
          </cell>
          <cell r="T1960">
            <v>0</v>
          </cell>
        </row>
        <row r="1961">
          <cell r="A1961" t="str">
            <v>1400128</v>
          </cell>
          <cell r="Q1961">
            <v>-4116.74</v>
          </cell>
          <cell r="T1961">
            <v>0</v>
          </cell>
        </row>
        <row r="1962">
          <cell r="A1962" t="str">
            <v>1400129</v>
          </cell>
          <cell r="Q1962">
            <v>-4116.74</v>
          </cell>
          <cell r="T1962">
            <v>0</v>
          </cell>
        </row>
        <row r="1963">
          <cell r="A1963" t="str">
            <v>1400130</v>
          </cell>
          <cell r="Q1963">
            <v>-4116.74</v>
          </cell>
          <cell r="T1963">
            <v>0</v>
          </cell>
        </row>
        <row r="1964">
          <cell r="A1964" t="str">
            <v>1400131</v>
          </cell>
          <cell r="Q1964">
            <v>-4626.57</v>
          </cell>
          <cell r="T1964">
            <v>0</v>
          </cell>
        </row>
        <row r="1965">
          <cell r="A1965" t="str">
            <v>1400132</v>
          </cell>
          <cell r="Q1965">
            <v>-5174.5200000000004</v>
          </cell>
          <cell r="T1965">
            <v>0</v>
          </cell>
        </row>
        <row r="1966">
          <cell r="A1966" t="str">
            <v>1400133</v>
          </cell>
          <cell r="Q1966">
            <v>-7027.07</v>
          </cell>
          <cell r="T1966">
            <v>0</v>
          </cell>
        </row>
        <row r="1967">
          <cell r="A1967" t="str">
            <v>1400134</v>
          </cell>
          <cell r="Q1967">
            <v>-9029.9</v>
          </cell>
          <cell r="T1967">
            <v>0</v>
          </cell>
        </row>
        <row r="1968">
          <cell r="A1968" t="str">
            <v>1400135</v>
          </cell>
          <cell r="Q1968">
            <v>-10044.200000000001</v>
          </cell>
          <cell r="T1968">
            <v>0</v>
          </cell>
        </row>
        <row r="1969">
          <cell r="A1969" t="str">
            <v>1400136</v>
          </cell>
          <cell r="Q1969">
            <v>-3258.09</v>
          </cell>
          <cell r="T1969">
            <v>0</v>
          </cell>
        </row>
        <row r="1970">
          <cell r="A1970" t="str">
            <v>1400137</v>
          </cell>
          <cell r="Q1970">
            <v>-907.5</v>
          </cell>
          <cell r="T1970">
            <v>0</v>
          </cell>
        </row>
        <row r="1971">
          <cell r="A1971" t="str">
            <v>1400138</v>
          </cell>
          <cell r="Q1971">
            <v>-447.04</v>
          </cell>
          <cell r="T1971">
            <v>0</v>
          </cell>
        </row>
        <row r="1972">
          <cell r="A1972" t="str">
            <v>1400139</v>
          </cell>
          <cell r="Q1972">
            <v>-907.5</v>
          </cell>
          <cell r="T1972">
            <v>0</v>
          </cell>
        </row>
        <row r="1973">
          <cell r="A1973" t="str">
            <v>1400140</v>
          </cell>
          <cell r="Q1973">
            <v>-2434.85</v>
          </cell>
          <cell r="T1973">
            <v>0</v>
          </cell>
        </row>
        <row r="1974">
          <cell r="A1974" t="str">
            <v>1400141</v>
          </cell>
          <cell r="Q1974">
            <v>-2767.57</v>
          </cell>
          <cell r="T1974">
            <v>0</v>
          </cell>
        </row>
        <row r="1975">
          <cell r="A1975" t="str">
            <v>1400142</v>
          </cell>
          <cell r="Q1975">
            <v>-78819.75</v>
          </cell>
          <cell r="T1975">
            <v>0</v>
          </cell>
        </row>
        <row r="1976">
          <cell r="A1976" t="str">
            <v>1400143</v>
          </cell>
          <cell r="Q1976">
            <v>-50952.44</v>
          </cell>
          <cell r="T1976">
            <v>0</v>
          </cell>
        </row>
        <row r="1977">
          <cell r="A1977" t="str">
            <v>1400144</v>
          </cell>
          <cell r="Q1977">
            <v>-50952.44</v>
          </cell>
          <cell r="T1977">
            <v>0</v>
          </cell>
        </row>
        <row r="1978">
          <cell r="A1978" t="str">
            <v>1400145</v>
          </cell>
          <cell r="Q1978">
            <v>-66511.38</v>
          </cell>
          <cell r="T1978">
            <v>0</v>
          </cell>
        </row>
        <row r="1979">
          <cell r="A1979" t="str">
            <v>1400146</v>
          </cell>
          <cell r="Q1979">
            <v>-5111.72</v>
          </cell>
          <cell r="T1979">
            <v>0</v>
          </cell>
        </row>
        <row r="1980">
          <cell r="A1980" t="str">
            <v>1400147</v>
          </cell>
          <cell r="Q1980">
            <v>-984.78</v>
          </cell>
          <cell r="T1980">
            <v>0</v>
          </cell>
        </row>
        <row r="1981">
          <cell r="A1981" t="str">
            <v>1400148</v>
          </cell>
          <cell r="Q1981">
            <v>-830.76</v>
          </cell>
          <cell r="T1981">
            <v>0</v>
          </cell>
        </row>
        <row r="1982">
          <cell r="A1982" t="str">
            <v>1400149</v>
          </cell>
          <cell r="Q1982">
            <v>-907.5</v>
          </cell>
          <cell r="T1982">
            <v>0</v>
          </cell>
        </row>
        <row r="1983">
          <cell r="A1983" t="str">
            <v>1400150</v>
          </cell>
          <cell r="Q1983">
            <v>-67022.289999999994</v>
          </cell>
          <cell r="T1983">
            <v>0</v>
          </cell>
        </row>
        <row r="1984">
          <cell r="A1984" t="str">
            <v>1400151</v>
          </cell>
          <cell r="Q1984">
            <v>-1626.09</v>
          </cell>
          <cell r="T1984">
            <v>0</v>
          </cell>
        </row>
        <row r="1985">
          <cell r="A1985" t="str">
            <v>1400152</v>
          </cell>
          <cell r="Q1985">
            <v>-69521.509999999995</v>
          </cell>
          <cell r="T1985">
            <v>0</v>
          </cell>
        </row>
        <row r="1986">
          <cell r="A1986" t="str">
            <v>1400153</v>
          </cell>
          <cell r="Q1986">
            <v>-7524.55</v>
          </cell>
          <cell r="T1986">
            <v>0</v>
          </cell>
        </row>
        <row r="1987">
          <cell r="A1987" t="str">
            <v>1400195</v>
          </cell>
          <cell r="Q1987">
            <v>-11111.36</v>
          </cell>
          <cell r="T1987">
            <v>0</v>
          </cell>
        </row>
        <row r="1988">
          <cell r="A1988" t="str">
            <v>1400196</v>
          </cell>
          <cell r="Q1988">
            <v>-14919.16</v>
          </cell>
          <cell r="T1988">
            <v>0</v>
          </cell>
        </row>
        <row r="1989">
          <cell r="A1989" t="str">
            <v>1400197</v>
          </cell>
          <cell r="Q1989">
            <v>-8169.58</v>
          </cell>
          <cell r="T1989">
            <v>0</v>
          </cell>
        </row>
        <row r="1990">
          <cell r="A1990" t="str">
            <v>1400198</v>
          </cell>
          <cell r="Q1990">
            <v>-12848.92</v>
          </cell>
          <cell r="T1990">
            <v>0</v>
          </cell>
        </row>
        <row r="1991">
          <cell r="A1991" t="str">
            <v>1400199</v>
          </cell>
          <cell r="Q1991">
            <v>-1846.93</v>
          </cell>
          <cell r="T1991">
            <v>0</v>
          </cell>
        </row>
        <row r="1992">
          <cell r="A1992" t="str">
            <v>1400200</v>
          </cell>
          <cell r="Q1992">
            <v>-3243.23</v>
          </cell>
          <cell r="T1992">
            <v>0</v>
          </cell>
        </row>
        <row r="1993">
          <cell r="A1993" t="str">
            <v>1400201</v>
          </cell>
          <cell r="Q1993">
            <v>-40665.870000000003</v>
          </cell>
          <cell r="T1993">
            <v>0</v>
          </cell>
        </row>
        <row r="1994">
          <cell r="A1994" t="str">
            <v>1400202</v>
          </cell>
          <cell r="Q1994">
            <v>-11952.17</v>
          </cell>
          <cell r="T1994">
            <v>0</v>
          </cell>
        </row>
        <row r="1995">
          <cell r="A1995" t="str">
            <v>1400203</v>
          </cell>
          <cell r="Q1995">
            <v>-68144.100000000006</v>
          </cell>
          <cell r="T1995">
            <v>0</v>
          </cell>
        </row>
        <row r="1996">
          <cell r="A1996" t="str">
            <v>1400204</v>
          </cell>
          <cell r="Q1996">
            <v>-1356.48</v>
          </cell>
          <cell r="T1996">
            <v>0</v>
          </cell>
        </row>
        <row r="1997">
          <cell r="A1997" t="str">
            <v>1400205</v>
          </cell>
          <cell r="Q1997">
            <v>-4192.91</v>
          </cell>
          <cell r="T1997">
            <v>0</v>
          </cell>
        </row>
        <row r="1998">
          <cell r="A1998" t="str">
            <v>1400206</v>
          </cell>
          <cell r="Q1998">
            <v>-4192.91</v>
          </cell>
          <cell r="T1998">
            <v>0</v>
          </cell>
        </row>
        <row r="1999">
          <cell r="A1999" t="str">
            <v>1400207</v>
          </cell>
          <cell r="Q1999">
            <v>-7698.77</v>
          </cell>
          <cell r="T1999">
            <v>0</v>
          </cell>
        </row>
        <row r="2000">
          <cell r="A2000" t="str">
            <v>1400208</v>
          </cell>
          <cell r="Q2000">
            <v>-8457.4</v>
          </cell>
          <cell r="T2000">
            <v>0</v>
          </cell>
        </row>
        <row r="2001">
          <cell r="A2001" t="str">
            <v>1400209</v>
          </cell>
          <cell r="Q2001">
            <v>-31832.44</v>
          </cell>
          <cell r="T2001">
            <v>0</v>
          </cell>
        </row>
        <row r="2002">
          <cell r="A2002" t="str">
            <v>1400391</v>
          </cell>
          <cell r="Q2002">
            <v>-191558.7</v>
          </cell>
          <cell r="T2002">
            <v>0</v>
          </cell>
        </row>
        <row r="2003">
          <cell r="A2003" t="str">
            <v>1400392</v>
          </cell>
          <cell r="Q2003">
            <v>-20804.48</v>
          </cell>
          <cell r="T2003">
            <v>0</v>
          </cell>
        </row>
        <row r="2004">
          <cell r="A2004" t="str">
            <v>1400393</v>
          </cell>
          <cell r="Q2004">
            <v>-9761.2000000000007</v>
          </cell>
          <cell r="T2004">
            <v>0</v>
          </cell>
        </row>
        <row r="2005">
          <cell r="A2005" t="str">
            <v>1400394</v>
          </cell>
          <cell r="Q2005">
            <v>-20667.37</v>
          </cell>
          <cell r="T2005">
            <v>0</v>
          </cell>
        </row>
        <row r="2006">
          <cell r="A2006" t="str">
            <v>1400395</v>
          </cell>
          <cell r="Q2006">
            <v>-11320.15</v>
          </cell>
          <cell r="T2006">
            <v>0</v>
          </cell>
        </row>
        <row r="2007">
          <cell r="A2007" t="str">
            <v>1400396</v>
          </cell>
          <cell r="Q2007">
            <v>-12668.84</v>
          </cell>
          <cell r="T2007">
            <v>0</v>
          </cell>
        </row>
        <row r="2008">
          <cell r="A2008" t="str">
            <v>1400397</v>
          </cell>
          <cell r="Q2008">
            <v>-30777.54</v>
          </cell>
          <cell r="T2008">
            <v>0</v>
          </cell>
        </row>
        <row r="2009">
          <cell r="A2009" t="str">
            <v>1400398</v>
          </cell>
          <cell r="Q2009">
            <v>-37911.82</v>
          </cell>
          <cell r="T2009">
            <v>0</v>
          </cell>
        </row>
        <row r="2010">
          <cell r="A2010" t="str">
            <v>1400399</v>
          </cell>
          <cell r="Q2010">
            <v>-4185.3500000000004</v>
          </cell>
          <cell r="T2010">
            <v>0</v>
          </cell>
        </row>
        <row r="2011">
          <cell r="A2011" t="str">
            <v>1400400</v>
          </cell>
          <cell r="Q2011">
            <v>-70262.649999999994</v>
          </cell>
          <cell r="T2011">
            <v>0</v>
          </cell>
        </row>
        <row r="2012">
          <cell r="A2012" t="str">
            <v>1400401</v>
          </cell>
          <cell r="Q2012">
            <v>-7440.33</v>
          </cell>
          <cell r="T2012">
            <v>0</v>
          </cell>
        </row>
        <row r="2013">
          <cell r="A2013" t="str">
            <v>1400402</v>
          </cell>
          <cell r="Q2013">
            <v>-461.4</v>
          </cell>
          <cell r="T2013">
            <v>0</v>
          </cell>
        </row>
        <row r="2014">
          <cell r="A2014" t="str">
            <v>1400403</v>
          </cell>
          <cell r="Q2014">
            <v>-33172.449999999997</v>
          </cell>
          <cell r="T2014">
            <v>0</v>
          </cell>
        </row>
        <row r="2015">
          <cell r="A2015" t="str">
            <v>1400404</v>
          </cell>
          <cell r="Q2015">
            <v>-32808.15</v>
          </cell>
          <cell r="T2015">
            <v>0</v>
          </cell>
        </row>
        <row r="2016">
          <cell r="A2016" t="str">
            <v>1400405</v>
          </cell>
          <cell r="Q2016">
            <v>-205887.17</v>
          </cell>
          <cell r="T2016">
            <v>0</v>
          </cell>
        </row>
        <row r="2017">
          <cell r="A2017" t="str">
            <v>1400406</v>
          </cell>
          <cell r="Q2017">
            <v>-25798.13</v>
          </cell>
          <cell r="T2017">
            <v>0</v>
          </cell>
        </row>
        <row r="2018">
          <cell r="A2018" t="str">
            <v>1400407</v>
          </cell>
          <cell r="Q2018">
            <v>-23049.43</v>
          </cell>
          <cell r="T2018">
            <v>0</v>
          </cell>
        </row>
        <row r="2019">
          <cell r="A2019" t="str">
            <v>1400408</v>
          </cell>
          <cell r="Q2019">
            <v>-368880.71</v>
          </cell>
          <cell r="T2019">
            <v>0</v>
          </cell>
        </row>
        <row r="2020">
          <cell r="A2020" t="str">
            <v>1400409</v>
          </cell>
          <cell r="Q2020">
            <v>-27048.73</v>
          </cell>
          <cell r="T2020">
            <v>0</v>
          </cell>
        </row>
        <row r="2021">
          <cell r="A2021" t="str">
            <v>1400410</v>
          </cell>
          <cell r="Q2021">
            <v>-12832.79</v>
          </cell>
          <cell r="T2021">
            <v>0</v>
          </cell>
        </row>
        <row r="2022">
          <cell r="A2022" t="str">
            <v>1400411</v>
          </cell>
          <cell r="Q2022">
            <v>-1517.21</v>
          </cell>
          <cell r="T2022">
            <v>0</v>
          </cell>
        </row>
        <row r="2023">
          <cell r="A2023" t="str">
            <v>1400412</v>
          </cell>
          <cell r="Q2023">
            <v>-269093.7</v>
          </cell>
          <cell r="T2023">
            <v>0</v>
          </cell>
        </row>
        <row r="2024">
          <cell r="A2024" t="str">
            <v>1400561</v>
          </cell>
          <cell r="Q2024">
            <v>-36445.949999999997</v>
          </cell>
          <cell r="T2024">
            <v>0</v>
          </cell>
        </row>
        <row r="2025">
          <cell r="A2025" t="str">
            <v>1400562</v>
          </cell>
          <cell r="Q2025">
            <v>-148413.88</v>
          </cell>
          <cell r="T2025">
            <v>0</v>
          </cell>
        </row>
        <row r="2026">
          <cell r="A2026" t="str">
            <v>1400563</v>
          </cell>
          <cell r="Q2026">
            <v>-20289.490000000002</v>
          </cell>
          <cell r="T2026">
            <v>0</v>
          </cell>
        </row>
        <row r="2027">
          <cell r="A2027" t="str">
            <v>1400564</v>
          </cell>
          <cell r="Q2027">
            <v>-13902.07</v>
          </cell>
          <cell r="T2027">
            <v>0</v>
          </cell>
        </row>
        <row r="2028">
          <cell r="A2028" t="str">
            <v>1400565</v>
          </cell>
          <cell r="Q2028">
            <v>-1878.66</v>
          </cell>
          <cell r="T2028">
            <v>0</v>
          </cell>
        </row>
        <row r="2029">
          <cell r="A2029" t="str">
            <v>1400566</v>
          </cell>
          <cell r="Q2029">
            <v>-12023.41</v>
          </cell>
          <cell r="T2029">
            <v>0</v>
          </cell>
        </row>
        <row r="2030">
          <cell r="A2030" t="str">
            <v>1400567</v>
          </cell>
          <cell r="Q2030">
            <v>-3757.3</v>
          </cell>
          <cell r="T2030">
            <v>0</v>
          </cell>
        </row>
        <row r="2031">
          <cell r="A2031" t="str">
            <v>1400568</v>
          </cell>
          <cell r="Q2031">
            <v>-4508.7700000000004</v>
          </cell>
          <cell r="T2031">
            <v>0</v>
          </cell>
        </row>
        <row r="2032">
          <cell r="A2032" t="str">
            <v>1400569</v>
          </cell>
          <cell r="Q2032">
            <v>-2630.12</v>
          </cell>
          <cell r="T2032">
            <v>0</v>
          </cell>
        </row>
        <row r="2033">
          <cell r="A2033" t="str">
            <v>1400570</v>
          </cell>
          <cell r="Q2033">
            <v>-13150.59</v>
          </cell>
          <cell r="T2033">
            <v>0</v>
          </cell>
        </row>
        <row r="2034">
          <cell r="A2034" t="str">
            <v>1400571</v>
          </cell>
          <cell r="Q2034">
            <v>-1127.19</v>
          </cell>
          <cell r="T2034">
            <v>0</v>
          </cell>
        </row>
        <row r="2035">
          <cell r="A2035" t="str">
            <v>1400572</v>
          </cell>
          <cell r="Q2035">
            <v>-18410.84</v>
          </cell>
          <cell r="T2035">
            <v>0</v>
          </cell>
        </row>
        <row r="2036">
          <cell r="A2036" t="str">
            <v>1400573</v>
          </cell>
          <cell r="Q2036">
            <v>-285555.84000000003</v>
          </cell>
          <cell r="T2036">
            <v>0</v>
          </cell>
        </row>
        <row r="2037">
          <cell r="A2037" t="str">
            <v>1400574</v>
          </cell>
          <cell r="Q2037">
            <v>-91302.73</v>
          </cell>
          <cell r="T2037">
            <v>0</v>
          </cell>
        </row>
        <row r="2038">
          <cell r="A2038" t="str">
            <v>1400575</v>
          </cell>
          <cell r="Q2038">
            <v>-15780.72</v>
          </cell>
          <cell r="T2038">
            <v>0</v>
          </cell>
        </row>
        <row r="2039">
          <cell r="A2039" t="str">
            <v>1400576</v>
          </cell>
          <cell r="Q2039">
            <v>-3005.85</v>
          </cell>
          <cell r="T2039">
            <v>0</v>
          </cell>
        </row>
        <row r="2040">
          <cell r="A2040" t="str">
            <v>1400577</v>
          </cell>
          <cell r="Q2040">
            <v>-240468.07</v>
          </cell>
          <cell r="T2040">
            <v>0</v>
          </cell>
        </row>
        <row r="2041">
          <cell r="A2041" t="str">
            <v>1400578</v>
          </cell>
          <cell r="Q2041">
            <v>-626344.18999999994</v>
          </cell>
          <cell r="T2041">
            <v>0</v>
          </cell>
        </row>
        <row r="2042">
          <cell r="A2042" t="str">
            <v>1400579</v>
          </cell>
          <cell r="Q2042">
            <v>-37573.129999999997</v>
          </cell>
          <cell r="T2042">
            <v>0</v>
          </cell>
        </row>
        <row r="2043">
          <cell r="A2043" t="str">
            <v>1400580</v>
          </cell>
          <cell r="Q2043">
            <v>-49596.54</v>
          </cell>
          <cell r="T2043">
            <v>0</v>
          </cell>
        </row>
        <row r="2044">
          <cell r="A2044" t="str">
            <v>1400581</v>
          </cell>
          <cell r="Q2044">
            <v>-81533.710000000006</v>
          </cell>
          <cell r="T2044">
            <v>0</v>
          </cell>
        </row>
        <row r="2045">
          <cell r="A2045" t="str">
            <v>1400582</v>
          </cell>
          <cell r="Q2045">
            <v>-138269.14000000001</v>
          </cell>
          <cell r="T2045">
            <v>0</v>
          </cell>
        </row>
        <row r="2046">
          <cell r="A2046" t="str">
            <v>1400583</v>
          </cell>
          <cell r="Q2046">
            <v>-751.47</v>
          </cell>
          <cell r="T2046">
            <v>0</v>
          </cell>
        </row>
        <row r="2047">
          <cell r="A2047" t="str">
            <v>1400584</v>
          </cell>
          <cell r="Q2047">
            <v>-127748.66</v>
          </cell>
          <cell r="T2047">
            <v>0</v>
          </cell>
        </row>
        <row r="2048">
          <cell r="A2048" t="str">
            <v>1400585</v>
          </cell>
          <cell r="Q2048">
            <v>-189744.34</v>
          </cell>
          <cell r="T2048">
            <v>0</v>
          </cell>
        </row>
        <row r="2049">
          <cell r="A2049" t="str">
            <v>1400586</v>
          </cell>
          <cell r="Q2049">
            <v>-157807.17000000001</v>
          </cell>
          <cell r="T2049">
            <v>0</v>
          </cell>
        </row>
        <row r="2050">
          <cell r="A2050" t="str">
            <v>1400587</v>
          </cell>
          <cell r="Q2050">
            <v>-113846.6</v>
          </cell>
          <cell r="T2050">
            <v>0</v>
          </cell>
        </row>
        <row r="2051">
          <cell r="A2051" t="str">
            <v>1400588</v>
          </cell>
          <cell r="Q2051">
            <v>-9017.56</v>
          </cell>
          <cell r="T2051">
            <v>0</v>
          </cell>
        </row>
        <row r="2052">
          <cell r="A2052" t="str">
            <v>1400714</v>
          </cell>
          <cell r="Q2052">
            <v>-830.17</v>
          </cell>
          <cell r="T2052">
            <v>0</v>
          </cell>
        </row>
        <row r="2053">
          <cell r="A2053" t="str">
            <v>1400872</v>
          </cell>
          <cell r="Q2053">
            <v>-127994.42</v>
          </cell>
          <cell r="T2053">
            <v>0</v>
          </cell>
        </row>
        <row r="2054">
          <cell r="A2054" t="str">
            <v>1400951</v>
          </cell>
          <cell r="Q2054">
            <v>-29096.48</v>
          </cell>
          <cell r="T2054">
            <v>0</v>
          </cell>
        </row>
        <row r="2055">
          <cell r="A2055" t="str">
            <v>1401120</v>
          </cell>
          <cell r="Q2055">
            <v>-3841.83</v>
          </cell>
          <cell r="T2055">
            <v>0</v>
          </cell>
        </row>
        <row r="2056">
          <cell r="A2056" t="str">
            <v>1401121</v>
          </cell>
          <cell r="Q2056">
            <v>-4499.16</v>
          </cell>
          <cell r="T2056">
            <v>0</v>
          </cell>
        </row>
        <row r="2057">
          <cell r="A2057" t="str">
            <v>1401122</v>
          </cell>
          <cell r="Q2057">
            <v>-7321.79</v>
          </cell>
          <cell r="T2057">
            <v>0</v>
          </cell>
        </row>
        <row r="2058">
          <cell r="A2058" t="str">
            <v>1401123</v>
          </cell>
          <cell r="Q2058">
            <v>-2640.26</v>
          </cell>
          <cell r="T2058">
            <v>0</v>
          </cell>
        </row>
        <row r="2059">
          <cell r="A2059" t="str">
            <v>1401124</v>
          </cell>
          <cell r="Q2059">
            <v>-21365.69</v>
          </cell>
          <cell r="T2059">
            <v>0</v>
          </cell>
        </row>
        <row r="2060">
          <cell r="A2060" t="str">
            <v>1401125</v>
          </cell>
          <cell r="Q2060">
            <v>-8850.94</v>
          </cell>
          <cell r="T2060">
            <v>0</v>
          </cell>
        </row>
        <row r="2061">
          <cell r="A2061" t="str">
            <v>1401126</v>
          </cell>
          <cell r="Q2061">
            <v>-36120.17</v>
          </cell>
          <cell r="T2061">
            <v>0</v>
          </cell>
        </row>
        <row r="2062">
          <cell r="A2062" t="str">
            <v>1401127</v>
          </cell>
          <cell r="Q2062">
            <v>-4616.62</v>
          </cell>
          <cell r="T2062">
            <v>0</v>
          </cell>
        </row>
        <row r="2063">
          <cell r="A2063" t="str">
            <v>1401128</v>
          </cell>
          <cell r="Q2063">
            <v>-9975.18</v>
          </cell>
          <cell r="T2063">
            <v>0</v>
          </cell>
        </row>
        <row r="2064">
          <cell r="A2064" t="str">
            <v>1401129</v>
          </cell>
          <cell r="Q2064">
            <v>-7780.69</v>
          </cell>
          <cell r="T2064">
            <v>0</v>
          </cell>
        </row>
        <row r="2065">
          <cell r="A2065" t="str">
            <v>1401130</v>
          </cell>
          <cell r="Q2065">
            <v>-10140.06</v>
          </cell>
          <cell r="T2065">
            <v>0</v>
          </cell>
        </row>
        <row r="2066">
          <cell r="A2066" t="str">
            <v>1401131</v>
          </cell>
          <cell r="Q2066">
            <v>-3938.86</v>
          </cell>
          <cell r="T2066">
            <v>0</v>
          </cell>
        </row>
        <row r="2067">
          <cell r="A2067" t="str">
            <v>1401132</v>
          </cell>
          <cell r="Q2067">
            <v>-2390.7600000000002</v>
          </cell>
          <cell r="T2067">
            <v>0</v>
          </cell>
        </row>
        <row r="2068">
          <cell r="A2068" t="str">
            <v>1401133</v>
          </cell>
          <cell r="Q2068">
            <v>-20815.62</v>
          </cell>
          <cell r="T2068">
            <v>0</v>
          </cell>
        </row>
        <row r="2069">
          <cell r="A2069" t="str">
            <v>1401134</v>
          </cell>
          <cell r="Q2069">
            <v>-10768.21</v>
          </cell>
          <cell r="T2069">
            <v>0</v>
          </cell>
        </row>
        <row r="2070">
          <cell r="A2070" t="str">
            <v>1401135</v>
          </cell>
          <cell r="Q2070">
            <v>-1003.13</v>
          </cell>
          <cell r="T2070">
            <v>0</v>
          </cell>
        </row>
        <row r="2071">
          <cell r="A2071" t="str">
            <v>1401136</v>
          </cell>
          <cell r="Q2071">
            <v>-1358.43</v>
          </cell>
          <cell r="T2071">
            <v>0</v>
          </cell>
        </row>
        <row r="2072">
          <cell r="A2072" t="str">
            <v>1401137</v>
          </cell>
          <cell r="Q2072">
            <v>-36131.050000000003</v>
          </cell>
          <cell r="T2072">
            <v>0</v>
          </cell>
        </row>
        <row r="2073">
          <cell r="A2073" t="str">
            <v>1401138</v>
          </cell>
          <cell r="Q2073">
            <v>-1358.43</v>
          </cell>
          <cell r="T2073">
            <v>0</v>
          </cell>
        </row>
        <row r="2074">
          <cell r="A2074" t="str">
            <v>1401139</v>
          </cell>
          <cell r="Q2074">
            <v>-2841.61</v>
          </cell>
          <cell r="T2074">
            <v>0</v>
          </cell>
        </row>
        <row r="2075">
          <cell r="A2075" t="str">
            <v>1401140</v>
          </cell>
          <cell r="Q2075">
            <v>-700.37</v>
          </cell>
          <cell r="T2075">
            <v>0</v>
          </cell>
        </row>
        <row r="2076">
          <cell r="A2076" t="str">
            <v>1401141</v>
          </cell>
          <cell r="Q2076">
            <v>-2490.6999999999998</v>
          </cell>
          <cell r="T2076">
            <v>0</v>
          </cell>
        </row>
        <row r="2077">
          <cell r="A2077" t="str">
            <v>1401142</v>
          </cell>
          <cell r="Q2077">
            <v>-9216.74</v>
          </cell>
          <cell r="T2077">
            <v>0</v>
          </cell>
        </row>
        <row r="2078">
          <cell r="A2078" t="str">
            <v>1401143</v>
          </cell>
          <cell r="Q2078">
            <v>-2164.59</v>
          </cell>
          <cell r="T2078">
            <v>0</v>
          </cell>
        </row>
        <row r="2079">
          <cell r="A2079" t="str">
            <v>1401144</v>
          </cell>
          <cell r="Q2079">
            <v>-3733.12</v>
          </cell>
          <cell r="T2079">
            <v>0</v>
          </cell>
        </row>
        <row r="2080">
          <cell r="A2080" t="str">
            <v>1401145</v>
          </cell>
          <cell r="Q2080">
            <v>-9864.2999999999993</v>
          </cell>
          <cell r="T2080">
            <v>0</v>
          </cell>
        </row>
        <row r="2081">
          <cell r="A2081" t="str">
            <v>1401146</v>
          </cell>
          <cell r="Q2081">
            <v>-729.56</v>
          </cell>
          <cell r="T2081">
            <v>0</v>
          </cell>
        </row>
        <row r="2082">
          <cell r="A2082" t="str">
            <v>1401147</v>
          </cell>
          <cell r="Q2082">
            <v>-1550.3</v>
          </cell>
          <cell r="T2082">
            <v>0</v>
          </cell>
        </row>
        <row r="2083">
          <cell r="A2083" t="str">
            <v>1401148</v>
          </cell>
          <cell r="Q2083">
            <v>-1796.16</v>
          </cell>
          <cell r="T2083">
            <v>0</v>
          </cell>
        </row>
        <row r="2084">
          <cell r="A2084" t="str">
            <v>1401149</v>
          </cell>
          <cell r="Q2084">
            <v>-1482.45</v>
          </cell>
          <cell r="T2084">
            <v>0</v>
          </cell>
        </row>
        <row r="2085">
          <cell r="A2085" t="str">
            <v>1401150</v>
          </cell>
          <cell r="Q2085">
            <v>-11871.29</v>
          </cell>
          <cell r="T2085">
            <v>0</v>
          </cell>
        </row>
        <row r="2086">
          <cell r="A2086" t="str">
            <v>1401151</v>
          </cell>
          <cell r="Q2086">
            <v>-11308.44</v>
          </cell>
          <cell r="T2086">
            <v>0</v>
          </cell>
        </row>
        <row r="2087">
          <cell r="A2087" t="str">
            <v>1401152</v>
          </cell>
          <cell r="Q2087">
            <v>-17563.18</v>
          </cell>
          <cell r="T2087">
            <v>0</v>
          </cell>
        </row>
        <row r="2088">
          <cell r="A2088" t="str">
            <v>1401153</v>
          </cell>
          <cell r="Q2088">
            <v>-8243.94</v>
          </cell>
          <cell r="T2088">
            <v>0</v>
          </cell>
        </row>
        <row r="2089">
          <cell r="A2089" t="str">
            <v>1401154</v>
          </cell>
          <cell r="Q2089">
            <v>-1947.18</v>
          </cell>
          <cell r="T2089">
            <v>0</v>
          </cell>
        </row>
        <row r="2090">
          <cell r="A2090" t="str">
            <v>1401155</v>
          </cell>
          <cell r="Q2090">
            <v>-11586.76</v>
          </cell>
          <cell r="T2090">
            <v>0</v>
          </cell>
        </row>
        <row r="2091">
          <cell r="A2091" t="str">
            <v>1401156</v>
          </cell>
          <cell r="Q2091">
            <v>-8899.82</v>
          </cell>
          <cell r="T2091">
            <v>0</v>
          </cell>
        </row>
        <row r="2092">
          <cell r="A2092" t="str">
            <v>1401157</v>
          </cell>
          <cell r="Q2092">
            <v>-5158.67</v>
          </cell>
          <cell r="T2092">
            <v>0</v>
          </cell>
        </row>
        <row r="2093">
          <cell r="A2093" t="str">
            <v>1401158</v>
          </cell>
          <cell r="Q2093">
            <v>-3741.82</v>
          </cell>
          <cell r="T2093">
            <v>0</v>
          </cell>
        </row>
        <row r="2094">
          <cell r="A2094" t="str">
            <v>1401159</v>
          </cell>
          <cell r="Q2094">
            <v>-1401.7</v>
          </cell>
          <cell r="T2094">
            <v>0</v>
          </cell>
        </row>
        <row r="2095">
          <cell r="A2095" t="str">
            <v>1401160</v>
          </cell>
          <cell r="Q2095">
            <v>-1554.64</v>
          </cell>
          <cell r="T2095">
            <v>0</v>
          </cell>
        </row>
        <row r="2096">
          <cell r="A2096" t="str">
            <v>1401161</v>
          </cell>
          <cell r="Q2096">
            <v>-354.4</v>
          </cell>
          <cell r="T2096">
            <v>0</v>
          </cell>
        </row>
        <row r="2097">
          <cell r="A2097" t="str">
            <v>1401162</v>
          </cell>
          <cell r="Q2097">
            <v>-354.37</v>
          </cell>
          <cell r="T2097">
            <v>0</v>
          </cell>
        </row>
        <row r="2098">
          <cell r="A2098" t="str">
            <v>1401163</v>
          </cell>
          <cell r="Q2098">
            <v>-354.37</v>
          </cell>
          <cell r="T2098">
            <v>0</v>
          </cell>
        </row>
        <row r="2099">
          <cell r="A2099" t="str">
            <v>1401164</v>
          </cell>
          <cell r="Q2099">
            <v>-354.37</v>
          </cell>
          <cell r="T2099">
            <v>0</v>
          </cell>
        </row>
        <row r="2100">
          <cell r="A2100" t="str">
            <v>1401165</v>
          </cell>
          <cell r="Q2100">
            <v>-354.37</v>
          </cell>
          <cell r="T2100">
            <v>0</v>
          </cell>
        </row>
        <row r="2101">
          <cell r="A2101" t="str">
            <v>1401166</v>
          </cell>
          <cell r="Q2101">
            <v>-354.37</v>
          </cell>
          <cell r="T2101">
            <v>0</v>
          </cell>
        </row>
        <row r="2102">
          <cell r="A2102" t="str">
            <v>1401167</v>
          </cell>
          <cell r="Q2102">
            <v>-354.37</v>
          </cell>
          <cell r="T2102">
            <v>0</v>
          </cell>
        </row>
        <row r="2103">
          <cell r="A2103" t="str">
            <v>1401168</v>
          </cell>
          <cell r="Q2103">
            <v>-700.01</v>
          </cell>
          <cell r="T2103">
            <v>0</v>
          </cell>
        </row>
        <row r="2104">
          <cell r="A2104" t="str">
            <v>1401169</v>
          </cell>
          <cell r="Q2104">
            <v>-354.37</v>
          </cell>
          <cell r="T2104">
            <v>0</v>
          </cell>
        </row>
        <row r="2105">
          <cell r="A2105" t="str">
            <v>1401170</v>
          </cell>
          <cell r="Q2105">
            <v>-130</v>
          </cell>
          <cell r="T2105">
            <v>0</v>
          </cell>
        </row>
        <row r="2106">
          <cell r="A2106" t="str">
            <v>1401171</v>
          </cell>
          <cell r="Q2106">
            <v>-90</v>
          </cell>
          <cell r="T2106">
            <v>0</v>
          </cell>
        </row>
        <row r="2107">
          <cell r="A2107" t="str">
            <v>1401172</v>
          </cell>
          <cell r="Q2107">
            <v>-90</v>
          </cell>
          <cell r="T2107">
            <v>0</v>
          </cell>
        </row>
        <row r="2108">
          <cell r="A2108" t="str">
            <v>1401173</v>
          </cell>
          <cell r="Q2108">
            <v>-90</v>
          </cell>
          <cell r="T2108">
            <v>0</v>
          </cell>
        </row>
        <row r="2109">
          <cell r="A2109" t="str">
            <v>1401174</v>
          </cell>
          <cell r="Q2109">
            <v>-1065</v>
          </cell>
          <cell r="T2109">
            <v>0</v>
          </cell>
        </row>
        <row r="2110">
          <cell r="A2110" t="str">
            <v>1401175</v>
          </cell>
          <cell r="Q2110">
            <v>-2500</v>
          </cell>
          <cell r="T2110">
            <v>0</v>
          </cell>
        </row>
        <row r="2111">
          <cell r="A2111" t="str">
            <v>1401176</v>
          </cell>
          <cell r="Q2111">
            <v>-650</v>
          </cell>
          <cell r="T2111">
            <v>0</v>
          </cell>
        </row>
        <row r="2112">
          <cell r="A2112" t="str">
            <v>1401177</v>
          </cell>
          <cell r="Q2112">
            <v>-5734.46</v>
          </cell>
          <cell r="T2112">
            <v>0</v>
          </cell>
        </row>
        <row r="2113">
          <cell r="A2113" t="str">
            <v>1401178</v>
          </cell>
          <cell r="Q2113">
            <v>-674.58</v>
          </cell>
          <cell r="T2113">
            <v>0</v>
          </cell>
        </row>
        <row r="2114">
          <cell r="A2114" t="str">
            <v>1401179</v>
          </cell>
          <cell r="Q2114">
            <v>-394.24</v>
          </cell>
          <cell r="T2114">
            <v>0</v>
          </cell>
        </row>
        <row r="2115">
          <cell r="A2115" t="str">
            <v>1401180</v>
          </cell>
          <cell r="Q2115">
            <v>-92.01</v>
          </cell>
          <cell r="T2115">
            <v>0</v>
          </cell>
        </row>
        <row r="2116">
          <cell r="A2116" t="str">
            <v>1401181</v>
          </cell>
          <cell r="Q2116">
            <v>-300.02999999999997</v>
          </cell>
          <cell r="T2116">
            <v>0</v>
          </cell>
        </row>
        <row r="2117">
          <cell r="A2117" t="str">
            <v>1401182</v>
          </cell>
          <cell r="Q2117">
            <v>-900.09</v>
          </cell>
          <cell r="T2117">
            <v>0</v>
          </cell>
        </row>
        <row r="2118">
          <cell r="A2118" t="str">
            <v>1401183</v>
          </cell>
          <cell r="Q2118">
            <v>-513.04999999999995</v>
          </cell>
          <cell r="T2118">
            <v>0</v>
          </cell>
        </row>
        <row r="2119">
          <cell r="A2119" t="str">
            <v>1401184</v>
          </cell>
          <cell r="Q2119">
            <v>-110</v>
          </cell>
          <cell r="T2119">
            <v>0</v>
          </cell>
        </row>
        <row r="2120">
          <cell r="A2120" t="str">
            <v>1401185</v>
          </cell>
          <cell r="Q2120">
            <v>-1314.73</v>
          </cell>
          <cell r="T2120">
            <v>0</v>
          </cell>
        </row>
        <row r="2121">
          <cell r="A2121" t="str">
            <v>1401186</v>
          </cell>
          <cell r="Q2121">
            <v>-1139.94</v>
          </cell>
          <cell r="T2121">
            <v>0</v>
          </cell>
        </row>
        <row r="2122">
          <cell r="A2122" t="str">
            <v>1401187</v>
          </cell>
          <cell r="Q2122">
            <v>-1322.33</v>
          </cell>
          <cell r="T2122">
            <v>0</v>
          </cell>
        </row>
        <row r="2123">
          <cell r="A2123" t="str">
            <v>1401188</v>
          </cell>
          <cell r="Q2123">
            <v>-7455.97</v>
          </cell>
          <cell r="T2123">
            <v>0</v>
          </cell>
        </row>
        <row r="2124">
          <cell r="A2124" t="str">
            <v>1401189</v>
          </cell>
          <cell r="Q2124">
            <v>-2034</v>
          </cell>
          <cell r="T2124">
            <v>0</v>
          </cell>
        </row>
        <row r="2125">
          <cell r="A2125" t="str">
            <v>1401190</v>
          </cell>
          <cell r="Q2125">
            <v>-6821.89</v>
          </cell>
          <cell r="T2125">
            <v>0</v>
          </cell>
        </row>
        <row r="2126">
          <cell r="A2126" t="str">
            <v>1401191</v>
          </cell>
          <cell r="Q2126">
            <v>-3787.59</v>
          </cell>
          <cell r="T2126">
            <v>0</v>
          </cell>
        </row>
        <row r="2127">
          <cell r="A2127" t="str">
            <v>1401192</v>
          </cell>
          <cell r="Q2127">
            <v>-12560.04</v>
          </cell>
          <cell r="T2127">
            <v>0</v>
          </cell>
        </row>
        <row r="2128">
          <cell r="A2128" t="str">
            <v>1401193</v>
          </cell>
          <cell r="Q2128">
            <v>-7707.73</v>
          </cell>
          <cell r="T2128">
            <v>0</v>
          </cell>
        </row>
        <row r="2129">
          <cell r="A2129" t="str">
            <v>1401194</v>
          </cell>
          <cell r="Q2129">
            <v>-13771.36</v>
          </cell>
          <cell r="T2129">
            <v>0</v>
          </cell>
        </row>
        <row r="2130">
          <cell r="A2130" t="str">
            <v>1401195</v>
          </cell>
          <cell r="Q2130">
            <v>-171</v>
          </cell>
          <cell r="T2130">
            <v>0</v>
          </cell>
        </row>
        <row r="2131">
          <cell r="A2131" t="str">
            <v>1401196</v>
          </cell>
          <cell r="Q2131">
            <v>-2095</v>
          </cell>
          <cell r="T2131">
            <v>0</v>
          </cell>
        </row>
        <row r="2132">
          <cell r="A2132" t="str">
            <v>1401197</v>
          </cell>
          <cell r="Q2132">
            <v>-475</v>
          </cell>
          <cell r="T2132">
            <v>0</v>
          </cell>
        </row>
        <row r="2133">
          <cell r="A2133" t="str">
            <v>1401198</v>
          </cell>
          <cell r="Q2133">
            <v>-4860</v>
          </cell>
          <cell r="T2133">
            <v>0</v>
          </cell>
        </row>
        <row r="2134">
          <cell r="A2134" t="str">
            <v>1401199</v>
          </cell>
          <cell r="Q2134">
            <v>-219420.64</v>
          </cell>
          <cell r="T2134">
            <v>0</v>
          </cell>
        </row>
        <row r="2135">
          <cell r="A2135" t="str">
            <v>1401200</v>
          </cell>
          <cell r="Q2135">
            <v>-80953.41</v>
          </cell>
          <cell r="T2135">
            <v>0</v>
          </cell>
        </row>
        <row r="2136">
          <cell r="A2136" t="str">
            <v>1401201</v>
          </cell>
          <cell r="Q2136">
            <v>-21962.25</v>
          </cell>
          <cell r="T2136">
            <v>0</v>
          </cell>
        </row>
        <row r="2137">
          <cell r="A2137" t="str">
            <v>1401202</v>
          </cell>
          <cell r="Q2137">
            <v>-366476.34</v>
          </cell>
          <cell r="T2137">
            <v>0</v>
          </cell>
        </row>
        <row r="2138">
          <cell r="A2138" t="str">
            <v>1401203</v>
          </cell>
          <cell r="Q2138">
            <v>-39060.620000000003</v>
          </cell>
          <cell r="T2138">
            <v>0</v>
          </cell>
        </row>
        <row r="2139">
          <cell r="A2139" t="str">
            <v>1401204</v>
          </cell>
          <cell r="Q2139">
            <v>-2936.95</v>
          </cell>
          <cell r="T2139">
            <v>0</v>
          </cell>
        </row>
        <row r="2140">
          <cell r="A2140" t="str">
            <v>1401205</v>
          </cell>
          <cell r="Q2140">
            <v>-14218.17</v>
          </cell>
          <cell r="T2140">
            <v>0</v>
          </cell>
        </row>
        <row r="2141">
          <cell r="A2141" t="str">
            <v>1401206</v>
          </cell>
          <cell r="Q2141">
            <v>-10082.6</v>
          </cell>
          <cell r="T2141">
            <v>0</v>
          </cell>
        </row>
        <row r="2142">
          <cell r="A2142" t="str">
            <v>1401207</v>
          </cell>
          <cell r="Q2142">
            <v>-208850.99</v>
          </cell>
          <cell r="T2142">
            <v>0</v>
          </cell>
        </row>
        <row r="2143">
          <cell r="A2143" t="str">
            <v>1401208</v>
          </cell>
          <cell r="Q2143">
            <v>-1925</v>
          </cell>
          <cell r="T2143">
            <v>0</v>
          </cell>
        </row>
        <row r="2144">
          <cell r="A2144" t="str">
            <v>1401209</v>
          </cell>
          <cell r="Q2144">
            <v>-2200</v>
          </cell>
          <cell r="T2144">
            <v>0</v>
          </cell>
        </row>
        <row r="2145">
          <cell r="A2145" t="str">
            <v>1401297</v>
          </cell>
          <cell r="Q2145">
            <v>-69196.7</v>
          </cell>
          <cell r="T2145">
            <v>0</v>
          </cell>
        </row>
        <row r="2146">
          <cell r="A2146" t="str">
            <v>1401298</v>
          </cell>
          <cell r="Q2146">
            <v>-3158.38</v>
          </cell>
          <cell r="T2146">
            <v>0</v>
          </cell>
        </row>
        <row r="2147">
          <cell r="A2147" t="str">
            <v>1401299</v>
          </cell>
          <cell r="Q2147">
            <v>-2715.33</v>
          </cell>
          <cell r="T2147">
            <v>0</v>
          </cell>
        </row>
        <row r="2148">
          <cell r="A2148" t="str">
            <v>1401300</v>
          </cell>
          <cell r="Q2148">
            <v>-3253.38</v>
          </cell>
          <cell r="T2148">
            <v>0</v>
          </cell>
        </row>
        <row r="2149">
          <cell r="A2149" t="str">
            <v>1401301</v>
          </cell>
          <cell r="Q2149">
            <v>-143048.88</v>
          </cell>
          <cell r="T2149">
            <v>0</v>
          </cell>
        </row>
        <row r="2150">
          <cell r="A2150" t="str">
            <v>1401317</v>
          </cell>
          <cell r="Q2150">
            <v>-6353.79</v>
          </cell>
          <cell r="T2150">
            <v>0</v>
          </cell>
        </row>
        <row r="2151">
          <cell r="A2151" t="str">
            <v>1401318</v>
          </cell>
          <cell r="Q2151">
            <v>-12747.91</v>
          </cell>
          <cell r="T2151">
            <v>0</v>
          </cell>
        </row>
        <row r="2152">
          <cell r="A2152" t="str">
            <v>1401319</v>
          </cell>
          <cell r="Q2152">
            <v>-1699.72</v>
          </cell>
          <cell r="T2152">
            <v>0</v>
          </cell>
        </row>
        <row r="2153">
          <cell r="A2153" t="str">
            <v>1401320</v>
          </cell>
          <cell r="Q2153">
            <v>-1699.72</v>
          </cell>
          <cell r="T2153">
            <v>0</v>
          </cell>
        </row>
        <row r="2154">
          <cell r="A2154" t="str">
            <v>1401321</v>
          </cell>
          <cell r="Q2154">
            <v>-424.94</v>
          </cell>
          <cell r="T2154">
            <v>0</v>
          </cell>
        </row>
        <row r="2155">
          <cell r="A2155" t="str">
            <v>1401322</v>
          </cell>
          <cell r="Q2155">
            <v>-849.86</v>
          </cell>
          <cell r="T2155">
            <v>0</v>
          </cell>
        </row>
        <row r="2156">
          <cell r="A2156" t="str">
            <v>1401323</v>
          </cell>
          <cell r="Q2156">
            <v>-127479.16</v>
          </cell>
          <cell r="T2156">
            <v>0</v>
          </cell>
        </row>
        <row r="2157">
          <cell r="A2157" t="str">
            <v>1401324</v>
          </cell>
          <cell r="Q2157">
            <v>-2549.58</v>
          </cell>
          <cell r="T2157">
            <v>0</v>
          </cell>
        </row>
        <row r="2158">
          <cell r="A2158" t="str">
            <v>1401325</v>
          </cell>
          <cell r="Q2158">
            <v>-42493.06</v>
          </cell>
          <cell r="T2158">
            <v>0</v>
          </cell>
        </row>
        <row r="2159">
          <cell r="A2159" t="str">
            <v>1401326</v>
          </cell>
          <cell r="Q2159">
            <v>-33994.44</v>
          </cell>
          <cell r="T2159">
            <v>0</v>
          </cell>
        </row>
        <row r="2160">
          <cell r="A2160" t="str">
            <v>1401327</v>
          </cell>
          <cell r="Q2160">
            <v>-16997.22</v>
          </cell>
          <cell r="T2160">
            <v>0</v>
          </cell>
        </row>
        <row r="2161">
          <cell r="A2161" t="str">
            <v>1401328</v>
          </cell>
          <cell r="Q2161">
            <v>-8498.61</v>
          </cell>
          <cell r="T2161">
            <v>0</v>
          </cell>
        </row>
        <row r="2162">
          <cell r="A2162" t="str">
            <v>1401329</v>
          </cell>
          <cell r="Q2162">
            <v>-12747.91</v>
          </cell>
          <cell r="T2162">
            <v>0</v>
          </cell>
        </row>
        <row r="2163">
          <cell r="A2163" t="str">
            <v>1401330</v>
          </cell>
          <cell r="Q2163">
            <v>-16997.22</v>
          </cell>
          <cell r="T2163">
            <v>0</v>
          </cell>
        </row>
        <row r="2164">
          <cell r="A2164" t="str">
            <v>1401331</v>
          </cell>
          <cell r="Q2164">
            <v>-50991.66</v>
          </cell>
          <cell r="T2164">
            <v>0</v>
          </cell>
        </row>
        <row r="2165">
          <cell r="A2165" t="str">
            <v>1401332</v>
          </cell>
          <cell r="Q2165">
            <v>-33994.44</v>
          </cell>
          <cell r="T2165">
            <v>0</v>
          </cell>
        </row>
        <row r="2166">
          <cell r="A2166" t="str">
            <v>1401333</v>
          </cell>
          <cell r="Q2166">
            <v>-8498.61</v>
          </cell>
          <cell r="T2166">
            <v>0</v>
          </cell>
        </row>
        <row r="2167">
          <cell r="A2167" t="str">
            <v>1401334</v>
          </cell>
          <cell r="Q2167">
            <v>-4249.3100000000004</v>
          </cell>
          <cell r="T2167">
            <v>0</v>
          </cell>
        </row>
        <row r="2168">
          <cell r="A2168" t="str">
            <v>1401335</v>
          </cell>
          <cell r="Q2168">
            <v>-1699.72</v>
          </cell>
          <cell r="T2168">
            <v>0</v>
          </cell>
        </row>
        <row r="2169">
          <cell r="A2169" t="str">
            <v>1401336</v>
          </cell>
          <cell r="Q2169">
            <v>-8498.61</v>
          </cell>
          <cell r="T2169">
            <v>0</v>
          </cell>
        </row>
        <row r="2170">
          <cell r="A2170" t="str">
            <v>1401337</v>
          </cell>
          <cell r="Q2170">
            <v>-5099.17</v>
          </cell>
          <cell r="T2170">
            <v>0</v>
          </cell>
        </row>
        <row r="2171">
          <cell r="A2171" t="str">
            <v>1401338</v>
          </cell>
          <cell r="Q2171">
            <v>-48260.68</v>
          </cell>
          <cell r="T2171">
            <v>0</v>
          </cell>
        </row>
        <row r="2172">
          <cell r="A2172" t="str">
            <v>1401343</v>
          </cell>
          <cell r="Q2172">
            <v>-104877.08</v>
          </cell>
          <cell r="T2172">
            <v>0</v>
          </cell>
        </row>
        <row r="2173">
          <cell r="A2173" t="str">
            <v>1401345</v>
          </cell>
          <cell r="Q2173">
            <v>-8073.21</v>
          </cell>
          <cell r="T2173">
            <v>0</v>
          </cell>
        </row>
        <row r="2174">
          <cell r="A2174" t="str">
            <v>1401346</v>
          </cell>
          <cell r="Q2174">
            <v>-17370.63</v>
          </cell>
          <cell r="T2174">
            <v>0</v>
          </cell>
        </row>
        <row r="2175">
          <cell r="A2175" t="str">
            <v>1401365</v>
          </cell>
          <cell r="Q2175">
            <v>-2549.58</v>
          </cell>
          <cell r="T2175">
            <v>0</v>
          </cell>
        </row>
        <row r="2176">
          <cell r="A2176" t="str">
            <v>1401366</v>
          </cell>
          <cell r="Q2176">
            <v>-1699.72</v>
          </cell>
          <cell r="T2176">
            <v>0</v>
          </cell>
        </row>
        <row r="2177">
          <cell r="A2177" t="str">
            <v>1401373</v>
          </cell>
          <cell r="Q2177">
            <v>-3399.45</v>
          </cell>
          <cell r="T2177">
            <v>0</v>
          </cell>
        </row>
        <row r="2178">
          <cell r="A2178" t="str">
            <v>1401441</v>
          </cell>
          <cell r="Q2178">
            <v>-9332.6299999999992</v>
          </cell>
          <cell r="T2178">
            <v>0</v>
          </cell>
        </row>
        <row r="2179">
          <cell r="A2179" t="str">
            <v>1401480</v>
          </cell>
          <cell r="Q2179">
            <v>-7984.67</v>
          </cell>
          <cell r="T2179">
            <v>0</v>
          </cell>
        </row>
        <row r="2180">
          <cell r="A2180" t="str">
            <v>1401602</v>
          </cell>
          <cell r="Q2180">
            <v>-243257.77</v>
          </cell>
          <cell r="T2180">
            <v>0</v>
          </cell>
        </row>
        <row r="2181">
          <cell r="A2181" t="str">
            <v>1401867</v>
          </cell>
          <cell r="Q2181">
            <v>-45647.37</v>
          </cell>
          <cell r="T2181">
            <v>0</v>
          </cell>
        </row>
        <row r="2182">
          <cell r="A2182" t="str">
            <v>1401868</v>
          </cell>
          <cell r="Q2182">
            <v>-2927.58</v>
          </cell>
          <cell r="T2182">
            <v>0</v>
          </cell>
        </row>
        <row r="2183">
          <cell r="A2183" t="str">
            <v>1401869</v>
          </cell>
          <cell r="Q2183">
            <v>-38970.46</v>
          </cell>
          <cell r="T2183">
            <v>0</v>
          </cell>
        </row>
        <row r="2184">
          <cell r="A2184" t="str">
            <v>1401870</v>
          </cell>
          <cell r="Q2184">
            <v>-43350.98</v>
          </cell>
          <cell r="T2184">
            <v>0</v>
          </cell>
        </row>
        <row r="2185">
          <cell r="A2185" t="str">
            <v>1401890</v>
          </cell>
          <cell r="Q2185">
            <v>-49419.98</v>
          </cell>
          <cell r="T2185">
            <v>0</v>
          </cell>
        </row>
        <row r="2186">
          <cell r="A2186" t="str">
            <v>1401891</v>
          </cell>
          <cell r="Q2186">
            <v>0</v>
          </cell>
          <cell r="T2186">
            <v>0</v>
          </cell>
        </row>
        <row r="2187">
          <cell r="A2187" t="str">
            <v>1401947</v>
          </cell>
          <cell r="Q2187">
            <v>-4551.78</v>
          </cell>
          <cell r="T2187">
            <v>0</v>
          </cell>
        </row>
        <row r="2188">
          <cell r="A2188" t="str">
            <v>1401956</v>
          </cell>
          <cell r="Q2188">
            <v>0</v>
          </cell>
          <cell r="T2188">
            <v>0</v>
          </cell>
        </row>
        <row r="2189">
          <cell r="A2189" t="str">
            <v>1401985</v>
          </cell>
          <cell r="Q2189">
            <v>-1824.3</v>
          </cell>
          <cell r="T2189">
            <v>0</v>
          </cell>
        </row>
        <row r="2190">
          <cell r="A2190" t="str">
            <v>1401988</v>
          </cell>
          <cell r="Q2190">
            <v>-10084.91</v>
          </cell>
          <cell r="T2190">
            <v>0</v>
          </cell>
        </row>
        <row r="2191">
          <cell r="A2191" t="str">
            <v>1402002</v>
          </cell>
          <cell r="Q2191">
            <v>-936.48</v>
          </cell>
          <cell r="T2191">
            <v>0</v>
          </cell>
        </row>
        <row r="2192">
          <cell r="A2192" t="str">
            <v>1402033</v>
          </cell>
          <cell r="Q2192">
            <v>0</v>
          </cell>
          <cell r="T2192">
            <v>0</v>
          </cell>
        </row>
        <row r="2193">
          <cell r="A2193" t="str">
            <v>1402034</v>
          </cell>
          <cell r="Q2193">
            <v>0</v>
          </cell>
          <cell r="T2193">
            <v>0</v>
          </cell>
        </row>
        <row r="2194">
          <cell r="A2194" t="str">
            <v>1402035</v>
          </cell>
          <cell r="Q2194">
            <v>0</v>
          </cell>
          <cell r="T2194">
            <v>0</v>
          </cell>
        </row>
        <row r="2195">
          <cell r="A2195" t="str">
            <v>1402104</v>
          </cell>
          <cell r="Q2195">
            <v>0</v>
          </cell>
          <cell r="T2195">
            <v>0</v>
          </cell>
        </row>
        <row r="2196">
          <cell r="A2196" t="str">
            <v>1402171</v>
          </cell>
          <cell r="Q2196">
            <v>0</v>
          </cell>
          <cell r="T2196">
            <v>0</v>
          </cell>
        </row>
        <row r="2197">
          <cell r="A2197" t="str">
            <v>1402173</v>
          </cell>
          <cell r="Q2197">
            <v>0</v>
          </cell>
          <cell r="T2197">
            <v>0</v>
          </cell>
        </row>
        <row r="2198">
          <cell r="A2198" t="str">
            <v>1402186</v>
          </cell>
          <cell r="Q2198">
            <v>0</v>
          </cell>
          <cell r="T2198">
            <v>0</v>
          </cell>
        </row>
        <row r="2199">
          <cell r="A2199" t="str">
            <v>1400066</v>
          </cell>
          <cell r="Q2199">
            <v>-22764.94</v>
          </cell>
          <cell r="T2199">
            <v>0</v>
          </cell>
        </row>
        <row r="2200">
          <cell r="A2200" t="str">
            <v>1400424</v>
          </cell>
          <cell r="Q2200">
            <v>-5333.71</v>
          </cell>
          <cell r="T2200">
            <v>0</v>
          </cell>
        </row>
        <row r="2201">
          <cell r="A2201" t="str">
            <v>1400737</v>
          </cell>
          <cell r="Q2201">
            <v>-5341.85</v>
          </cell>
          <cell r="T2201">
            <v>0</v>
          </cell>
        </row>
        <row r="2202">
          <cell r="A2202" t="str">
            <v>1401449</v>
          </cell>
          <cell r="Q2202">
            <v>-338.45</v>
          </cell>
          <cell r="T2202">
            <v>0</v>
          </cell>
        </row>
        <row r="2203">
          <cell r="A2203" t="str">
            <v>1401450</v>
          </cell>
          <cell r="Q2203">
            <v>-338.45</v>
          </cell>
          <cell r="T2203">
            <v>0</v>
          </cell>
        </row>
        <row r="2204">
          <cell r="A2204" t="str">
            <v>1401451</v>
          </cell>
          <cell r="Q2204">
            <v>-338.45</v>
          </cell>
          <cell r="T2204">
            <v>0</v>
          </cell>
        </row>
        <row r="2205">
          <cell r="A2205" t="str">
            <v>1401452</v>
          </cell>
          <cell r="Q2205">
            <v>-338.45</v>
          </cell>
          <cell r="T2205">
            <v>0</v>
          </cell>
        </row>
        <row r="2206">
          <cell r="A2206" t="str">
            <v>1401453</v>
          </cell>
          <cell r="Q2206">
            <v>-338.45</v>
          </cell>
          <cell r="T2206">
            <v>0</v>
          </cell>
        </row>
        <row r="2207">
          <cell r="A2207" t="str">
            <v>1401467</v>
          </cell>
          <cell r="Q2207">
            <v>-39672.120000000003</v>
          </cell>
          <cell r="T2207">
            <v>0</v>
          </cell>
        </row>
        <row r="2208">
          <cell r="A2208" t="str">
            <v>1401497</v>
          </cell>
          <cell r="Q2208">
            <v>-37434.43</v>
          </cell>
          <cell r="T2208">
            <v>0</v>
          </cell>
        </row>
        <row r="2209">
          <cell r="A2209" t="str">
            <v>1401601</v>
          </cell>
          <cell r="Q2209">
            <v>-732.99</v>
          </cell>
          <cell r="T2209">
            <v>0</v>
          </cell>
        </row>
        <row r="2210">
          <cell r="A2210" t="str">
            <v>1401634</v>
          </cell>
          <cell r="Q2210">
            <v>-1424.59</v>
          </cell>
          <cell r="T2210">
            <v>0</v>
          </cell>
        </row>
        <row r="2211">
          <cell r="A2211" t="str">
            <v>1402005</v>
          </cell>
          <cell r="Q2211">
            <v>-171.16</v>
          </cell>
          <cell r="T2211">
            <v>0</v>
          </cell>
        </row>
        <row r="2212">
          <cell r="A2212" t="str">
            <v>1402108</v>
          </cell>
          <cell r="Q2212">
            <v>0</v>
          </cell>
          <cell r="T2212">
            <v>0</v>
          </cell>
        </row>
        <row r="2213">
          <cell r="A2213" t="str">
            <v>1402109</v>
          </cell>
          <cell r="Q2213">
            <v>0</v>
          </cell>
          <cell r="T2213">
            <v>0</v>
          </cell>
        </row>
        <row r="2214">
          <cell r="A2214" t="str">
            <v>1402029</v>
          </cell>
          <cell r="Q2214">
            <v>-5700</v>
          </cell>
          <cell r="T2214">
            <v>0</v>
          </cell>
        </row>
        <row r="2215">
          <cell r="A2215" t="str">
            <v>1402097</v>
          </cell>
          <cell r="Q2215">
            <v>-11138</v>
          </cell>
          <cell r="T2215">
            <v>0</v>
          </cell>
        </row>
        <row r="2216">
          <cell r="A2216" t="str">
            <v>1400422</v>
          </cell>
          <cell r="Q2216">
            <v>-4116.1899999999996</v>
          </cell>
          <cell r="T2216">
            <v>0</v>
          </cell>
        </row>
        <row r="2217">
          <cell r="A2217" t="str">
            <v>1400425</v>
          </cell>
          <cell r="Q2217">
            <v>-35938.61</v>
          </cell>
          <cell r="T2217">
            <v>0</v>
          </cell>
        </row>
        <row r="2218">
          <cell r="A2218" t="str">
            <v>1400426</v>
          </cell>
          <cell r="Q2218">
            <v>-858286.36</v>
          </cell>
          <cell r="T2218">
            <v>0</v>
          </cell>
        </row>
        <row r="2219">
          <cell r="A2219" t="str">
            <v>1400427</v>
          </cell>
          <cell r="Q2219">
            <v>-610090.31000000006</v>
          </cell>
          <cell r="T2219">
            <v>0</v>
          </cell>
        </row>
        <row r="2220">
          <cell r="A2220" t="str">
            <v>1400428</v>
          </cell>
          <cell r="Q2220">
            <v>-1388937.68</v>
          </cell>
          <cell r="T2220">
            <v>0</v>
          </cell>
        </row>
        <row r="2221">
          <cell r="A2221" t="str">
            <v>1400429</v>
          </cell>
          <cell r="Q2221">
            <v>-4129653.52</v>
          </cell>
          <cell r="T2221">
            <v>0</v>
          </cell>
        </row>
        <row r="2222">
          <cell r="A2222" t="str">
            <v>1400430</v>
          </cell>
          <cell r="Q2222">
            <v>-848381.65</v>
          </cell>
          <cell r="T2222">
            <v>0</v>
          </cell>
        </row>
        <row r="2223">
          <cell r="A2223" t="str">
            <v>1400431</v>
          </cell>
          <cell r="Q2223">
            <v>-34224.160000000003</v>
          </cell>
          <cell r="T2223">
            <v>0</v>
          </cell>
        </row>
        <row r="2224">
          <cell r="A2224" t="str">
            <v>1400432</v>
          </cell>
          <cell r="Q2224">
            <v>-79558.23</v>
          </cell>
          <cell r="T2224">
            <v>0</v>
          </cell>
        </row>
        <row r="2225">
          <cell r="A2225" t="str">
            <v>1400433</v>
          </cell>
          <cell r="Q2225">
            <v>-12939.23</v>
          </cell>
          <cell r="T2225">
            <v>0</v>
          </cell>
        </row>
        <row r="2226">
          <cell r="A2226" t="str">
            <v>1400434</v>
          </cell>
          <cell r="Q2226">
            <v>-47754.92</v>
          </cell>
          <cell r="T2226">
            <v>0</v>
          </cell>
        </row>
        <row r="2227">
          <cell r="A2227" t="str">
            <v>1400435</v>
          </cell>
          <cell r="Q2227">
            <v>-50311.27</v>
          </cell>
          <cell r="T2227">
            <v>0</v>
          </cell>
        </row>
        <row r="2228">
          <cell r="A2228" t="str">
            <v>1400436</v>
          </cell>
          <cell r="Q2228">
            <v>-164607.35</v>
          </cell>
          <cell r="T2228">
            <v>0</v>
          </cell>
        </row>
        <row r="2229">
          <cell r="A2229" t="str">
            <v>1400437</v>
          </cell>
          <cell r="Q2229">
            <v>-11193.56</v>
          </cell>
          <cell r="T2229">
            <v>0</v>
          </cell>
        </row>
        <row r="2230">
          <cell r="A2230" t="str">
            <v>1400438</v>
          </cell>
          <cell r="Q2230">
            <v>-18918.21</v>
          </cell>
          <cell r="T2230">
            <v>0</v>
          </cell>
        </row>
        <row r="2231">
          <cell r="A2231" t="str">
            <v>1400439</v>
          </cell>
          <cell r="Q2231">
            <v>-5357</v>
          </cell>
          <cell r="T2231">
            <v>0</v>
          </cell>
        </row>
        <row r="2232">
          <cell r="A2232" t="str">
            <v>1400440</v>
          </cell>
          <cell r="Q2232">
            <v>-16001.42</v>
          </cell>
          <cell r="T2232">
            <v>0</v>
          </cell>
        </row>
        <row r="2233">
          <cell r="A2233" t="str">
            <v>1400878</v>
          </cell>
          <cell r="Q2233">
            <v>-71738</v>
          </cell>
          <cell r="T2233">
            <v>0</v>
          </cell>
        </row>
        <row r="2234">
          <cell r="A2234" t="str">
            <v>1400888</v>
          </cell>
          <cell r="Q2234">
            <v>-760636.09</v>
          </cell>
          <cell r="T2234">
            <v>0</v>
          </cell>
        </row>
        <row r="2235">
          <cell r="A2235" t="str">
            <v>1400889</v>
          </cell>
          <cell r="Q2235">
            <v>-18372.36</v>
          </cell>
          <cell r="T2235">
            <v>0</v>
          </cell>
        </row>
        <row r="2236">
          <cell r="A2236" t="str">
            <v>1400929</v>
          </cell>
          <cell r="Q2236">
            <v>-588933.41</v>
          </cell>
          <cell r="T2236">
            <v>0</v>
          </cell>
        </row>
        <row r="2237">
          <cell r="A2237" t="str">
            <v>1401302</v>
          </cell>
          <cell r="Q2237">
            <v>-2858.96</v>
          </cell>
          <cell r="T2237">
            <v>0</v>
          </cell>
        </row>
        <row r="2238">
          <cell r="A2238" t="str">
            <v>1401303</v>
          </cell>
          <cell r="Q2238">
            <v>-2917.94</v>
          </cell>
          <cell r="T2238">
            <v>0</v>
          </cell>
        </row>
        <row r="2239">
          <cell r="A2239" t="str">
            <v>1401425</v>
          </cell>
          <cell r="Q2239">
            <v>-137624.45000000001</v>
          </cell>
          <cell r="T2239">
            <v>0</v>
          </cell>
        </row>
        <row r="2240">
          <cell r="A2240" t="str">
            <v>1401433</v>
          </cell>
          <cell r="Q2240">
            <v>-57947.15</v>
          </cell>
          <cell r="T2240">
            <v>0</v>
          </cell>
        </row>
        <row r="2241">
          <cell r="A2241" t="str">
            <v>1401647</v>
          </cell>
          <cell r="Q2241">
            <v>-261549.73</v>
          </cell>
          <cell r="T2241">
            <v>0</v>
          </cell>
        </row>
        <row r="2242">
          <cell r="A2242" t="str">
            <v>1401696</v>
          </cell>
          <cell r="Q2242">
            <v>-50713.57</v>
          </cell>
          <cell r="T2242">
            <v>0</v>
          </cell>
        </row>
        <row r="2243">
          <cell r="A2243" t="str">
            <v>1401705</v>
          </cell>
          <cell r="Q2243">
            <v>-12432.52</v>
          </cell>
          <cell r="T2243">
            <v>0</v>
          </cell>
        </row>
        <row r="2244">
          <cell r="A2244" t="str">
            <v>1401712</v>
          </cell>
          <cell r="Q2244">
            <v>-88900.27</v>
          </cell>
          <cell r="T2244">
            <v>0</v>
          </cell>
        </row>
        <row r="2245">
          <cell r="A2245" t="str">
            <v>1402019</v>
          </cell>
          <cell r="Q2245">
            <v>-346176.2</v>
          </cell>
          <cell r="T2245">
            <v>0</v>
          </cell>
        </row>
        <row r="2246">
          <cell r="A2246" t="str">
            <v>1402080</v>
          </cell>
          <cell r="Q2246">
            <v>-2737.32</v>
          </cell>
          <cell r="T2246">
            <v>0</v>
          </cell>
        </row>
        <row r="2247">
          <cell r="A2247" t="str">
            <v>1501223</v>
          </cell>
          <cell r="Q2247">
            <v>-54436.21</v>
          </cell>
          <cell r="T2247">
            <v>0</v>
          </cell>
        </row>
        <row r="2248">
          <cell r="A2248" t="str">
            <v>1501376</v>
          </cell>
          <cell r="Q2248">
            <v>-25781.43</v>
          </cell>
          <cell r="T2248">
            <v>0</v>
          </cell>
        </row>
        <row r="2249">
          <cell r="A2249" t="str">
            <v>1501377</v>
          </cell>
          <cell r="Q2249">
            <v>-52771.85</v>
          </cell>
          <cell r="T2249">
            <v>0</v>
          </cell>
        </row>
        <row r="2250">
          <cell r="A2250" t="str">
            <v>1501378</v>
          </cell>
          <cell r="Q2250">
            <v>-10749.82</v>
          </cell>
          <cell r="T2250">
            <v>0</v>
          </cell>
        </row>
        <row r="2251">
          <cell r="A2251" t="str">
            <v>1501379</v>
          </cell>
          <cell r="Q2251">
            <v>-4043.29</v>
          </cell>
          <cell r="T2251">
            <v>0</v>
          </cell>
        </row>
        <row r="2252">
          <cell r="A2252" t="str">
            <v>1501574</v>
          </cell>
          <cell r="Q2252">
            <v>-21166.48</v>
          </cell>
          <cell r="T2252">
            <v>0</v>
          </cell>
        </row>
        <row r="2253">
          <cell r="A2253" t="str">
            <v>1501588</v>
          </cell>
          <cell r="Q2253">
            <v>-4680.4399999999996</v>
          </cell>
          <cell r="T2253">
            <v>0</v>
          </cell>
        </row>
        <row r="2254">
          <cell r="A2254" t="str">
            <v>1501589</v>
          </cell>
          <cell r="Q2254">
            <v>-1080.1099999999999</v>
          </cell>
          <cell r="T2254">
            <v>0</v>
          </cell>
        </row>
        <row r="2255">
          <cell r="A2255" t="str">
            <v>1501592</v>
          </cell>
          <cell r="Q2255">
            <v>-5304.49</v>
          </cell>
          <cell r="T2255">
            <v>0</v>
          </cell>
        </row>
        <row r="2256">
          <cell r="A2256" t="str">
            <v>1501593</v>
          </cell>
          <cell r="Q2256">
            <v>-3888.35</v>
          </cell>
          <cell r="T2256">
            <v>0</v>
          </cell>
        </row>
        <row r="2257">
          <cell r="A2257" t="str">
            <v>1501594</v>
          </cell>
          <cell r="Q2257">
            <v>-161.62</v>
          </cell>
          <cell r="T2257">
            <v>0</v>
          </cell>
        </row>
        <row r="2258">
          <cell r="A2258" t="str">
            <v>1501601</v>
          </cell>
          <cell r="Q2258">
            <v>-5760.53</v>
          </cell>
          <cell r="T2258">
            <v>0</v>
          </cell>
        </row>
        <row r="2259">
          <cell r="A2259" t="str">
            <v>1501607</v>
          </cell>
          <cell r="Q2259">
            <v>-2508.2399999999998</v>
          </cell>
          <cell r="T2259">
            <v>0</v>
          </cell>
        </row>
        <row r="2260">
          <cell r="A2260" t="str">
            <v>1501608</v>
          </cell>
          <cell r="Q2260">
            <v>-2165.8000000000002</v>
          </cell>
          <cell r="T2260">
            <v>0</v>
          </cell>
        </row>
        <row r="2261">
          <cell r="Q2261">
            <v>-10164.85</v>
          </cell>
          <cell r="T2261">
            <v>0</v>
          </cell>
        </row>
        <row r="2262">
          <cell r="Q2262">
            <v>-486.44</v>
          </cell>
          <cell r="T2262">
            <v>0</v>
          </cell>
        </row>
        <row r="2263">
          <cell r="Q2263">
            <v>-5610.92</v>
          </cell>
          <cell r="T2263">
            <v>0</v>
          </cell>
        </row>
        <row r="2264">
          <cell r="Q2264">
            <v>-11601.07</v>
          </cell>
          <cell r="T2264">
            <v>0</v>
          </cell>
        </row>
        <row r="2265">
          <cell r="Q2265">
            <v>-1945.78</v>
          </cell>
          <cell r="T2265">
            <v>0</v>
          </cell>
        </row>
        <row r="2266">
          <cell r="Q2266">
            <v>-3001.88</v>
          </cell>
          <cell r="T2266">
            <v>0</v>
          </cell>
        </row>
        <row r="2267">
          <cell r="Q2267">
            <v>-1640.16</v>
          </cell>
          <cell r="T2267">
            <v>0</v>
          </cell>
        </row>
        <row r="2268">
          <cell r="Q2268">
            <v>-11201.03</v>
          </cell>
          <cell r="T2268">
            <v>0</v>
          </cell>
        </row>
        <row r="2269">
          <cell r="Q2269">
            <v>-7978.34</v>
          </cell>
          <cell r="T2269">
            <v>0</v>
          </cell>
        </row>
        <row r="2270">
          <cell r="Q2270">
            <v>-10704.99</v>
          </cell>
          <cell r="T2270">
            <v>0</v>
          </cell>
        </row>
        <row r="2271">
          <cell r="Q2271">
            <v>-14362.13</v>
          </cell>
          <cell r="T2271">
            <v>0</v>
          </cell>
        </row>
        <row r="2272">
          <cell r="Q2272">
            <v>-26037.61</v>
          </cell>
          <cell r="T2272">
            <v>0</v>
          </cell>
        </row>
        <row r="2273">
          <cell r="Q2273">
            <v>-8664</v>
          </cell>
          <cell r="T2273">
            <v>0</v>
          </cell>
        </row>
        <row r="2274">
          <cell r="Q2274">
            <v>-950.49</v>
          </cell>
          <cell r="T2274">
            <v>0</v>
          </cell>
        </row>
        <row r="2275">
          <cell r="Q2275">
            <v>-5688.53</v>
          </cell>
          <cell r="T2275">
            <v>0</v>
          </cell>
        </row>
        <row r="2276">
          <cell r="Q2276">
            <v>-315.23</v>
          </cell>
          <cell r="T2276">
            <v>0</v>
          </cell>
        </row>
        <row r="2277">
          <cell r="Q2277">
            <v>-3742.75</v>
          </cell>
          <cell r="T2277">
            <v>0</v>
          </cell>
        </row>
        <row r="2278">
          <cell r="Q2278">
            <v>-4864.46</v>
          </cell>
          <cell r="T2278">
            <v>0</v>
          </cell>
        </row>
        <row r="2279">
          <cell r="Q2279">
            <v>-7298.28</v>
          </cell>
          <cell r="T2279">
            <v>0</v>
          </cell>
        </row>
        <row r="2280">
          <cell r="Q2280">
            <v>-9920.91</v>
          </cell>
          <cell r="T2280">
            <v>0</v>
          </cell>
        </row>
        <row r="2281">
          <cell r="Q2281">
            <v>-3138.68</v>
          </cell>
          <cell r="T2281">
            <v>0</v>
          </cell>
        </row>
        <row r="2282">
          <cell r="Q2282">
            <v>-520.04999999999995</v>
          </cell>
          <cell r="T2282">
            <v>0</v>
          </cell>
        </row>
        <row r="2283">
          <cell r="Q2283">
            <v>-2064.1999999999998</v>
          </cell>
          <cell r="T2283">
            <v>0</v>
          </cell>
        </row>
        <row r="2284">
          <cell r="Q2284">
            <v>-2040.18</v>
          </cell>
          <cell r="T2284">
            <v>0</v>
          </cell>
        </row>
        <row r="2285">
          <cell r="Q2285">
            <v>-1480.14</v>
          </cell>
          <cell r="T2285">
            <v>0</v>
          </cell>
        </row>
        <row r="2286">
          <cell r="Q2286">
            <v>-9620.8799999999992</v>
          </cell>
          <cell r="T2286">
            <v>0</v>
          </cell>
        </row>
        <row r="2287">
          <cell r="Q2287">
            <v>-9074</v>
          </cell>
          <cell r="T2287">
            <v>0</v>
          </cell>
        </row>
        <row r="2288">
          <cell r="Q2288">
            <v>-339</v>
          </cell>
          <cell r="T2288">
            <v>0</v>
          </cell>
        </row>
        <row r="2289">
          <cell r="Q2289">
            <v>-2071.6999999999998</v>
          </cell>
          <cell r="T2289">
            <v>0</v>
          </cell>
        </row>
        <row r="2290">
          <cell r="Q2290">
            <v>-3665.01</v>
          </cell>
          <cell r="T2290">
            <v>0</v>
          </cell>
        </row>
        <row r="2291">
          <cell r="Q2291">
            <v>-866.34</v>
          </cell>
          <cell r="T2291">
            <v>0</v>
          </cell>
        </row>
        <row r="2292">
          <cell r="Q2292">
            <v>-3465.37</v>
          </cell>
          <cell r="T2292">
            <v>0</v>
          </cell>
        </row>
        <row r="2293">
          <cell r="Q2293">
            <v>-2169.62</v>
          </cell>
          <cell r="T2293">
            <v>0</v>
          </cell>
        </row>
        <row r="2294">
          <cell r="Q2294">
            <v>-3876.4</v>
          </cell>
          <cell r="T2294">
            <v>0</v>
          </cell>
        </row>
        <row r="2295">
          <cell r="Q2295">
            <v>-7752.8</v>
          </cell>
          <cell r="T2295">
            <v>0</v>
          </cell>
        </row>
        <row r="2296">
          <cell r="Q2296">
            <v>-6861.75</v>
          </cell>
          <cell r="T2296">
            <v>0</v>
          </cell>
        </row>
        <row r="2297">
          <cell r="Q2297">
            <v>-3754</v>
          </cell>
          <cell r="T2297">
            <v>0</v>
          </cell>
        </row>
        <row r="2298">
          <cell r="Q2298">
            <v>-8486.19</v>
          </cell>
          <cell r="T2298">
            <v>0</v>
          </cell>
        </row>
        <row r="2299">
          <cell r="Q2299">
            <v>-8064.86</v>
          </cell>
          <cell r="T2299">
            <v>0</v>
          </cell>
        </row>
        <row r="2300">
          <cell r="Q2300">
            <v>-51520</v>
          </cell>
          <cell r="T2300">
            <v>0</v>
          </cell>
        </row>
        <row r="2301">
          <cell r="Q2301">
            <v>-6155.4</v>
          </cell>
          <cell r="T2301">
            <v>0</v>
          </cell>
        </row>
        <row r="2302">
          <cell r="Q2302">
            <v>-2825</v>
          </cell>
          <cell r="T2302">
            <v>0</v>
          </cell>
        </row>
        <row r="2303">
          <cell r="Q2303">
            <v>-2594</v>
          </cell>
          <cell r="T2303">
            <v>0</v>
          </cell>
        </row>
        <row r="2304">
          <cell r="Q2304">
            <v>-2594</v>
          </cell>
          <cell r="T2304">
            <v>0</v>
          </cell>
        </row>
        <row r="2305">
          <cell r="Q2305">
            <v>-57531.18</v>
          </cell>
          <cell r="T2305">
            <v>0</v>
          </cell>
        </row>
        <row r="2306">
          <cell r="Q2306">
            <v>-1254.29</v>
          </cell>
          <cell r="T2306">
            <v>0</v>
          </cell>
        </row>
        <row r="2307">
          <cell r="Q2307">
            <v>-2400</v>
          </cell>
          <cell r="T2307">
            <v>0</v>
          </cell>
        </row>
        <row r="2308">
          <cell r="Q2308">
            <v>-27653.45</v>
          </cell>
          <cell r="T2308">
            <v>0</v>
          </cell>
        </row>
        <row r="2309">
          <cell r="Q2309">
            <v>-25915.06</v>
          </cell>
          <cell r="T2309">
            <v>0</v>
          </cell>
        </row>
        <row r="2310">
          <cell r="Q2310">
            <v>-10412.14</v>
          </cell>
          <cell r="T2310">
            <v>0</v>
          </cell>
        </row>
        <row r="2311">
          <cell r="Q2311">
            <v>-8483.9599999999991</v>
          </cell>
          <cell r="T2311">
            <v>0</v>
          </cell>
        </row>
        <row r="2312">
          <cell r="Q2312">
            <v>-17021.95</v>
          </cell>
          <cell r="T2312">
            <v>0</v>
          </cell>
        </row>
        <row r="2313">
          <cell r="Q2313">
            <v>-10898.52</v>
          </cell>
          <cell r="T2313">
            <v>0</v>
          </cell>
        </row>
        <row r="2314">
          <cell r="Q2314">
            <v>-4414.45</v>
          </cell>
          <cell r="T2314">
            <v>0</v>
          </cell>
        </row>
        <row r="2315">
          <cell r="Q2315">
            <v>-6514.47</v>
          </cell>
          <cell r="T2315">
            <v>0</v>
          </cell>
        </row>
        <row r="2316">
          <cell r="Q2316">
            <v>-4263.83</v>
          </cell>
          <cell r="T2316">
            <v>0</v>
          </cell>
        </row>
        <row r="2317">
          <cell r="Q2317">
            <v>-3130</v>
          </cell>
          <cell r="T2317">
            <v>0</v>
          </cell>
        </row>
        <row r="2318">
          <cell r="Q2318">
            <v>-7531.92</v>
          </cell>
          <cell r="T2318">
            <v>0</v>
          </cell>
        </row>
        <row r="2319">
          <cell r="Q2319">
            <v>-2250</v>
          </cell>
          <cell r="T2319">
            <v>0</v>
          </cell>
        </row>
        <row r="2320">
          <cell r="Q2320">
            <v>-1185</v>
          </cell>
          <cell r="T2320">
            <v>0</v>
          </cell>
        </row>
        <row r="2321">
          <cell r="Q2321">
            <v>-43179.61</v>
          </cell>
          <cell r="T2321">
            <v>0</v>
          </cell>
        </row>
        <row r="2322">
          <cell r="Q2322">
            <v>-11225.67</v>
          </cell>
          <cell r="T2322">
            <v>0</v>
          </cell>
        </row>
        <row r="2323">
          <cell r="Q2323">
            <v>-41164.81</v>
          </cell>
          <cell r="T2323">
            <v>0</v>
          </cell>
        </row>
        <row r="2324">
          <cell r="Q2324">
            <v>-17629.07</v>
          </cell>
          <cell r="T2324">
            <v>0</v>
          </cell>
        </row>
        <row r="2325">
          <cell r="Q2325">
            <v>-12756.57</v>
          </cell>
          <cell r="T2325">
            <v>0</v>
          </cell>
        </row>
        <row r="2326">
          <cell r="Q2326">
            <v>-3580.74</v>
          </cell>
          <cell r="T2326">
            <v>0</v>
          </cell>
        </row>
        <row r="2327">
          <cell r="Q2327">
            <v>-8635.76</v>
          </cell>
          <cell r="T2327">
            <v>0</v>
          </cell>
        </row>
        <row r="2328">
          <cell r="Q2328">
            <v>-696.73</v>
          </cell>
          <cell r="T2328">
            <v>0</v>
          </cell>
        </row>
        <row r="2329">
          <cell r="Q2329">
            <v>-3309.47</v>
          </cell>
          <cell r="T2329">
            <v>0</v>
          </cell>
        </row>
        <row r="2330">
          <cell r="Q2330">
            <v>-11561.51</v>
          </cell>
          <cell r="T2330">
            <v>0</v>
          </cell>
        </row>
        <row r="2331">
          <cell r="Q2331">
            <v>-4843</v>
          </cell>
          <cell r="T2331">
            <v>0</v>
          </cell>
        </row>
        <row r="2332">
          <cell r="Q2332">
            <v>-1050</v>
          </cell>
          <cell r="T2332">
            <v>0</v>
          </cell>
        </row>
        <row r="2333">
          <cell r="Q2333">
            <v>-762</v>
          </cell>
          <cell r="T2333">
            <v>0</v>
          </cell>
        </row>
        <row r="2334">
          <cell r="Q2334">
            <v>-46729.45</v>
          </cell>
          <cell r="T2334">
            <v>0</v>
          </cell>
        </row>
        <row r="2335">
          <cell r="Q2335">
            <v>-22648.92</v>
          </cell>
          <cell r="T2335">
            <v>0</v>
          </cell>
        </row>
        <row r="2336">
          <cell r="Q2336">
            <v>-2104.71</v>
          </cell>
          <cell r="T2336">
            <v>0</v>
          </cell>
        </row>
        <row r="2337">
          <cell r="Q2337">
            <v>-1842.73</v>
          </cell>
          <cell r="T2337">
            <v>0</v>
          </cell>
        </row>
        <row r="2338">
          <cell r="Q2338">
            <v>-690.8</v>
          </cell>
          <cell r="T2338">
            <v>0</v>
          </cell>
        </row>
        <row r="2339">
          <cell r="Q2339">
            <v>-3175.15</v>
          </cell>
          <cell r="T2339">
            <v>0</v>
          </cell>
        </row>
        <row r="2340">
          <cell r="Q2340">
            <v>-1389.34</v>
          </cell>
          <cell r="T2340">
            <v>0</v>
          </cell>
        </row>
        <row r="2341">
          <cell r="Q2341">
            <v>-2246.63</v>
          </cell>
          <cell r="T2341">
            <v>0</v>
          </cell>
        </row>
        <row r="2342">
          <cell r="Q2342">
            <v>-29112.28</v>
          </cell>
          <cell r="T2342">
            <v>0</v>
          </cell>
        </row>
        <row r="2343">
          <cell r="Q2343">
            <v>-5247.9</v>
          </cell>
          <cell r="T2343">
            <v>0</v>
          </cell>
        </row>
        <row r="2344">
          <cell r="Q2344">
            <v>-107.09</v>
          </cell>
          <cell r="T2344">
            <v>0</v>
          </cell>
        </row>
        <row r="2345">
          <cell r="Q2345">
            <v>-2213.4</v>
          </cell>
          <cell r="T2345">
            <v>0</v>
          </cell>
        </row>
        <row r="2346">
          <cell r="Q2346">
            <v>-280715.03000000003</v>
          </cell>
          <cell r="T2346">
            <v>0</v>
          </cell>
        </row>
        <row r="2347">
          <cell r="Q2347">
            <v>-14296.31</v>
          </cell>
          <cell r="T2347">
            <v>0</v>
          </cell>
        </row>
        <row r="2348">
          <cell r="Q2348">
            <v>-5514.03</v>
          </cell>
          <cell r="T2348">
            <v>0</v>
          </cell>
        </row>
        <row r="2349">
          <cell r="Q2349">
            <v>-13324.49</v>
          </cell>
          <cell r="T2349">
            <v>0</v>
          </cell>
        </row>
        <row r="2350">
          <cell r="Q2350">
            <v>-643.86</v>
          </cell>
          <cell r="T2350">
            <v>0</v>
          </cell>
        </row>
        <row r="2351">
          <cell r="Q2351">
            <v>-1811.48</v>
          </cell>
          <cell r="T2351">
            <v>0</v>
          </cell>
        </row>
        <row r="2352">
          <cell r="Q2352">
            <v>-452.87</v>
          </cell>
          <cell r="T2352">
            <v>0</v>
          </cell>
        </row>
        <row r="2353">
          <cell r="Q2353">
            <v>-12680.39</v>
          </cell>
          <cell r="T2353">
            <v>0</v>
          </cell>
        </row>
        <row r="2354">
          <cell r="Q2354">
            <v>-2717.23</v>
          </cell>
          <cell r="T2354">
            <v>0</v>
          </cell>
        </row>
        <row r="2355">
          <cell r="Q2355">
            <v>-22254.06</v>
          </cell>
          <cell r="T2355">
            <v>0</v>
          </cell>
        </row>
        <row r="2356">
          <cell r="Q2356">
            <v>-12065.26</v>
          </cell>
          <cell r="T2356">
            <v>0</v>
          </cell>
        </row>
        <row r="2357">
          <cell r="Q2357">
            <v>-11331.33</v>
          </cell>
          <cell r="T2357">
            <v>0</v>
          </cell>
        </row>
        <row r="2358">
          <cell r="Q2358">
            <v>-16677.07</v>
          </cell>
          <cell r="T2358">
            <v>0</v>
          </cell>
        </row>
        <row r="2359">
          <cell r="Q2359">
            <v>-20219.28</v>
          </cell>
          <cell r="T2359">
            <v>0</v>
          </cell>
        </row>
        <row r="2360">
          <cell r="Q2360">
            <v>-5702.87</v>
          </cell>
          <cell r="T2360">
            <v>0</v>
          </cell>
        </row>
        <row r="2361">
          <cell r="Q2361">
            <v>-2049.23</v>
          </cell>
          <cell r="T2361">
            <v>0</v>
          </cell>
        </row>
        <row r="2362">
          <cell r="Q2362">
            <v>-30579.38</v>
          </cell>
          <cell r="T2362">
            <v>0</v>
          </cell>
        </row>
        <row r="2363">
          <cell r="Q2363">
            <v>-5481.37</v>
          </cell>
          <cell r="T2363">
            <v>0</v>
          </cell>
        </row>
        <row r="2364">
          <cell r="Q2364">
            <v>-5481.44</v>
          </cell>
          <cell r="T2364">
            <v>0</v>
          </cell>
        </row>
        <row r="2365">
          <cell r="Q2365">
            <v>-5481.44</v>
          </cell>
          <cell r="T2365">
            <v>0</v>
          </cell>
        </row>
        <row r="2366">
          <cell r="Q2366">
            <v>-1933.5</v>
          </cell>
          <cell r="T2366">
            <v>0</v>
          </cell>
        </row>
        <row r="2367">
          <cell r="Q2367">
            <v>-3153.16</v>
          </cell>
          <cell r="T2367">
            <v>0</v>
          </cell>
        </row>
        <row r="2368">
          <cell r="Q2368">
            <v>-2749.53</v>
          </cell>
          <cell r="T2368">
            <v>0</v>
          </cell>
        </row>
        <row r="2369">
          <cell r="Q2369">
            <v>-605.14</v>
          </cell>
          <cell r="T2369">
            <v>0</v>
          </cell>
        </row>
        <row r="2370">
          <cell r="Q2370">
            <v>-605.17999999999995</v>
          </cell>
          <cell r="T2370">
            <v>0</v>
          </cell>
        </row>
        <row r="2371">
          <cell r="Q2371">
            <v>-605.24</v>
          </cell>
          <cell r="T2371">
            <v>0</v>
          </cell>
        </row>
        <row r="2372">
          <cell r="Q2372">
            <v>-605.24</v>
          </cell>
          <cell r="T2372">
            <v>0</v>
          </cell>
        </row>
        <row r="2373">
          <cell r="Q2373">
            <v>-31390.6</v>
          </cell>
          <cell r="T2373">
            <v>0</v>
          </cell>
        </row>
        <row r="2374">
          <cell r="Q2374">
            <v>-40780.949999999997</v>
          </cell>
          <cell r="T2374">
            <v>0</v>
          </cell>
        </row>
        <row r="2375">
          <cell r="Q2375">
            <v>-8102.21</v>
          </cell>
          <cell r="T2375">
            <v>0</v>
          </cell>
        </row>
        <row r="2376">
          <cell r="Q2376">
            <v>-8279.06</v>
          </cell>
          <cell r="T2376">
            <v>0</v>
          </cell>
        </row>
        <row r="2377">
          <cell r="Q2377">
            <v>-1752.15</v>
          </cell>
          <cell r="T2377">
            <v>0</v>
          </cell>
        </row>
        <row r="2378">
          <cell r="Q2378">
            <v>-4309.8</v>
          </cell>
          <cell r="T2378">
            <v>0</v>
          </cell>
        </row>
        <row r="2379">
          <cell r="Q2379">
            <v>-1619.22</v>
          </cell>
          <cell r="T2379">
            <v>0</v>
          </cell>
        </row>
        <row r="2380">
          <cell r="Q2380">
            <v>-4494.28</v>
          </cell>
          <cell r="T2380">
            <v>0</v>
          </cell>
        </row>
        <row r="2381">
          <cell r="Q2381">
            <v>-578.51</v>
          </cell>
          <cell r="T2381">
            <v>0</v>
          </cell>
        </row>
        <row r="2382">
          <cell r="Q2382">
            <v>-3627.16</v>
          </cell>
          <cell r="T2382">
            <v>0</v>
          </cell>
        </row>
        <row r="2383">
          <cell r="Q2383">
            <v>-642.79</v>
          </cell>
          <cell r="T2383">
            <v>0</v>
          </cell>
        </row>
        <row r="2384">
          <cell r="Q2384">
            <v>-903.01</v>
          </cell>
          <cell r="T2384">
            <v>0</v>
          </cell>
        </row>
        <row r="2385">
          <cell r="Q2385">
            <v>-31374.37</v>
          </cell>
          <cell r="T2385">
            <v>0</v>
          </cell>
        </row>
        <row r="2386">
          <cell r="Q2386">
            <v>-3745.15</v>
          </cell>
          <cell r="T2386">
            <v>0</v>
          </cell>
        </row>
        <row r="2387">
          <cell r="Q2387">
            <v>-2418.7399999999998</v>
          </cell>
          <cell r="T2387">
            <v>0</v>
          </cell>
        </row>
        <row r="2388">
          <cell r="Q2388">
            <v>-48146.99</v>
          </cell>
          <cell r="T2388">
            <v>0</v>
          </cell>
        </row>
        <row r="2389">
          <cell r="Q2389">
            <v>-466.37</v>
          </cell>
          <cell r="T2389">
            <v>0</v>
          </cell>
        </row>
        <row r="2390">
          <cell r="Q2390">
            <v>-6514.65</v>
          </cell>
          <cell r="T2390">
            <v>0</v>
          </cell>
        </row>
        <row r="2391">
          <cell r="Q2391">
            <v>-1239.94</v>
          </cell>
          <cell r="T2391">
            <v>0</v>
          </cell>
        </row>
        <row r="2392">
          <cell r="Q2392">
            <v>-1760.36</v>
          </cell>
          <cell r="T2392">
            <v>0</v>
          </cell>
        </row>
        <row r="2393">
          <cell r="Q2393">
            <v>-1714.07</v>
          </cell>
          <cell r="T2393">
            <v>0</v>
          </cell>
        </row>
        <row r="2394">
          <cell r="Q2394">
            <v>-4970.01</v>
          </cell>
          <cell r="T2394">
            <v>0</v>
          </cell>
        </row>
        <row r="2395">
          <cell r="Q2395">
            <v>-104089.03</v>
          </cell>
          <cell r="T2395">
            <v>0</v>
          </cell>
        </row>
        <row r="2396">
          <cell r="Q2396">
            <v>-40799.71</v>
          </cell>
          <cell r="T2396">
            <v>0</v>
          </cell>
        </row>
        <row r="2397">
          <cell r="Q2397">
            <v>-1964.66</v>
          </cell>
          <cell r="T2397">
            <v>0</v>
          </cell>
        </row>
        <row r="2398">
          <cell r="Q2398">
            <v>-3725</v>
          </cell>
          <cell r="T2398">
            <v>0</v>
          </cell>
        </row>
        <row r="2399">
          <cell r="Q2399">
            <v>-3874</v>
          </cell>
          <cell r="T2399">
            <v>0</v>
          </cell>
        </row>
        <row r="2400">
          <cell r="Q2400">
            <v>-13719</v>
          </cell>
          <cell r="T2400">
            <v>0</v>
          </cell>
        </row>
        <row r="2401">
          <cell r="Q2401">
            <v>-5340.23</v>
          </cell>
          <cell r="T2401">
            <v>0</v>
          </cell>
        </row>
        <row r="2402">
          <cell r="Q2402">
            <v>-5120.7700000000004</v>
          </cell>
          <cell r="T2402">
            <v>0</v>
          </cell>
        </row>
        <row r="2403">
          <cell r="Q2403">
            <v>-4420</v>
          </cell>
          <cell r="T2403">
            <v>0</v>
          </cell>
        </row>
        <row r="2404">
          <cell r="Q2404">
            <v>-3795.3</v>
          </cell>
          <cell r="T2404">
            <v>0</v>
          </cell>
        </row>
        <row r="2405">
          <cell r="Q2405">
            <v>-9881.7999999999993</v>
          </cell>
          <cell r="T2405">
            <v>0</v>
          </cell>
        </row>
        <row r="2406">
          <cell r="Q2406">
            <v>-4991.2299999999996</v>
          </cell>
          <cell r="T2406">
            <v>0</v>
          </cell>
        </row>
        <row r="2407">
          <cell r="Q2407">
            <v>-3368.45</v>
          </cell>
          <cell r="T2407">
            <v>0</v>
          </cell>
        </row>
        <row r="2408">
          <cell r="Q2408">
            <v>-3015.58</v>
          </cell>
          <cell r="T2408">
            <v>0</v>
          </cell>
        </row>
        <row r="2409">
          <cell r="Q2409">
            <v>-5238.5200000000004</v>
          </cell>
          <cell r="T2409">
            <v>0</v>
          </cell>
        </row>
        <row r="2410">
          <cell r="Q2410">
            <v>-7099.2</v>
          </cell>
          <cell r="T2410">
            <v>0</v>
          </cell>
        </row>
        <row r="2411">
          <cell r="Q2411">
            <v>-18708.37</v>
          </cell>
          <cell r="T2411">
            <v>0</v>
          </cell>
        </row>
        <row r="2412">
          <cell r="Q2412">
            <v>-3846.74</v>
          </cell>
          <cell r="T2412">
            <v>0</v>
          </cell>
        </row>
        <row r="2413">
          <cell r="Q2413">
            <v>-7003.18</v>
          </cell>
          <cell r="T2413">
            <v>0</v>
          </cell>
        </row>
        <row r="2414">
          <cell r="Q2414">
            <v>-4939.38</v>
          </cell>
          <cell r="T2414">
            <v>0</v>
          </cell>
        </row>
        <row r="2415">
          <cell r="Q2415">
            <v>-22884.65</v>
          </cell>
          <cell r="T2415">
            <v>0</v>
          </cell>
        </row>
        <row r="2416">
          <cell r="Q2416">
            <v>-4627.2299999999996</v>
          </cell>
          <cell r="T2416">
            <v>0</v>
          </cell>
        </row>
        <row r="2417">
          <cell r="Q2417">
            <v>-3486.85</v>
          </cell>
          <cell r="T2417">
            <v>0</v>
          </cell>
        </row>
        <row r="2418">
          <cell r="Q2418">
            <v>-6608.86</v>
          </cell>
          <cell r="T2418">
            <v>0</v>
          </cell>
        </row>
        <row r="2419">
          <cell r="Q2419">
            <v>-31722.45</v>
          </cell>
          <cell r="T2419">
            <v>0</v>
          </cell>
        </row>
        <row r="2420">
          <cell r="Q2420">
            <v>-8063.61</v>
          </cell>
          <cell r="T2420">
            <v>0</v>
          </cell>
        </row>
        <row r="2421">
          <cell r="Q2421">
            <v>-75773.820000000007</v>
          </cell>
          <cell r="T2421">
            <v>0</v>
          </cell>
        </row>
        <row r="2422">
          <cell r="Q2422">
            <v>-13360.04</v>
          </cell>
          <cell r="T2422">
            <v>0</v>
          </cell>
        </row>
        <row r="2423">
          <cell r="Q2423">
            <v>-4652.07</v>
          </cell>
          <cell r="T2423">
            <v>0</v>
          </cell>
        </row>
        <row r="2424">
          <cell r="Q2424">
            <v>-26278.01</v>
          </cell>
          <cell r="T2424">
            <v>0</v>
          </cell>
        </row>
        <row r="2425">
          <cell r="Q2425">
            <v>-12534.77</v>
          </cell>
          <cell r="T2425">
            <v>0</v>
          </cell>
        </row>
        <row r="2426">
          <cell r="Q2426">
            <v>-88285.27</v>
          </cell>
          <cell r="T2426">
            <v>0</v>
          </cell>
        </row>
        <row r="2427">
          <cell r="Q2427">
            <v>-11415.75</v>
          </cell>
          <cell r="T2427">
            <v>0</v>
          </cell>
        </row>
        <row r="2428">
          <cell r="Q2428">
            <v>-4116.91</v>
          </cell>
          <cell r="T2428">
            <v>0</v>
          </cell>
        </row>
        <row r="2429">
          <cell r="Q2429">
            <v>-7661.65</v>
          </cell>
          <cell r="T2429">
            <v>0</v>
          </cell>
        </row>
        <row r="2430">
          <cell r="Q2430">
            <v>-10023.75</v>
          </cell>
          <cell r="T2430">
            <v>0</v>
          </cell>
        </row>
        <row r="2431">
          <cell r="Q2431">
            <v>-17630.88</v>
          </cell>
          <cell r="T2431">
            <v>0</v>
          </cell>
        </row>
        <row r="2432">
          <cell r="Q2432">
            <v>-7661.06</v>
          </cell>
          <cell r="T2432">
            <v>0</v>
          </cell>
        </row>
        <row r="2433">
          <cell r="Q2433">
            <v>-9429.6</v>
          </cell>
          <cell r="T2433">
            <v>0</v>
          </cell>
        </row>
        <row r="2434">
          <cell r="Q2434">
            <v>-11186.74</v>
          </cell>
          <cell r="T2434">
            <v>0</v>
          </cell>
        </row>
        <row r="2435">
          <cell r="Q2435">
            <v>-49241.17</v>
          </cell>
          <cell r="T2435">
            <v>0</v>
          </cell>
        </row>
        <row r="2436">
          <cell r="Q2436">
            <v>-74033.94</v>
          </cell>
          <cell r="T2436">
            <v>0</v>
          </cell>
        </row>
        <row r="2437">
          <cell r="Q2437">
            <v>-77989.8</v>
          </cell>
          <cell r="T2437">
            <v>0</v>
          </cell>
        </row>
        <row r="2438">
          <cell r="Q2438">
            <v>-5992.91</v>
          </cell>
          <cell r="T2438">
            <v>0</v>
          </cell>
        </row>
        <row r="2439">
          <cell r="Q2439">
            <v>-14327.28</v>
          </cell>
          <cell r="T2439">
            <v>0</v>
          </cell>
        </row>
        <row r="2440">
          <cell r="Q2440">
            <v>-129226.7</v>
          </cell>
          <cell r="T2440">
            <v>0</v>
          </cell>
        </row>
        <row r="2441">
          <cell r="Q2441">
            <v>-20999.34</v>
          </cell>
          <cell r="T2441">
            <v>0</v>
          </cell>
        </row>
        <row r="2442">
          <cell r="Q2442">
            <v>-73491.990000000005</v>
          </cell>
          <cell r="T2442">
            <v>0</v>
          </cell>
        </row>
        <row r="2443">
          <cell r="Q2443">
            <v>-5506.3</v>
          </cell>
          <cell r="T2443">
            <v>0</v>
          </cell>
        </row>
        <row r="2444">
          <cell r="Q2444">
            <v>-4160.0600000000004</v>
          </cell>
          <cell r="T2444">
            <v>0</v>
          </cell>
        </row>
        <row r="2445">
          <cell r="Q2445">
            <v>-9652.27</v>
          </cell>
          <cell r="T2445">
            <v>0</v>
          </cell>
        </row>
        <row r="2446">
          <cell r="Q2446">
            <v>-21775.1</v>
          </cell>
          <cell r="T2446">
            <v>0</v>
          </cell>
        </row>
        <row r="2447">
          <cell r="Q2447">
            <v>-4151.34</v>
          </cell>
          <cell r="T2447">
            <v>0</v>
          </cell>
        </row>
        <row r="2448">
          <cell r="Q2448">
            <v>-9832.61</v>
          </cell>
          <cell r="T2448">
            <v>0</v>
          </cell>
        </row>
        <row r="2449">
          <cell r="Q2449">
            <v>-9133.36</v>
          </cell>
          <cell r="T2449">
            <v>0</v>
          </cell>
        </row>
        <row r="2450">
          <cell r="Q2450">
            <v>-16256.07</v>
          </cell>
          <cell r="T2450">
            <v>0</v>
          </cell>
        </row>
        <row r="2451">
          <cell r="Q2451">
            <v>-7210.54</v>
          </cell>
          <cell r="T2451">
            <v>0</v>
          </cell>
        </row>
        <row r="2452">
          <cell r="Q2452">
            <v>-4763.45</v>
          </cell>
          <cell r="T2452">
            <v>0</v>
          </cell>
        </row>
        <row r="2453">
          <cell r="Q2453">
            <v>-11373.28</v>
          </cell>
          <cell r="T2453">
            <v>0</v>
          </cell>
        </row>
        <row r="2454">
          <cell r="Q2454">
            <v>-3499.68</v>
          </cell>
          <cell r="T2454">
            <v>0</v>
          </cell>
        </row>
        <row r="2455">
          <cell r="Q2455">
            <v>-7873.6</v>
          </cell>
          <cell r="T2455">
            <v>0</v>
          </cell>
        </row>
        <row r="2456">
          <cell r="Q2456">
            <v>-7861.54</v>
          </cell>
          <cell r="T2456">
            <v>0</v>
          </cell>
        </row>
        <row r="2457">
          <cell r="Q2457">
            <v>-16684.48</v>
          </cell>
          <cell r="T2457">
            <v>0</v>
          </cell>
        </row>
        <row r="2458">
          <cell r="Q2458">
            <v>-13165.36</v>
          </cell>
          <cell r="T2458">
            <v>0</v>
          </cell>
        </row>
        <row r="2459">
          <cell r="Q2459">
            <v>-25913.040000000001</v>
          </cell>
          <cell r="T2459">
            <v>0</v>
          </cell>
        </row>
        <row r="2460">
          <cell r="Q2460">
            <v>-9645.57</v>
          </cell>
          <cell r="T2460">
            <v>0</v>
          </cell>
        </row>
        <row r="2461">
          <cell r="Q2461">
            <v>-8081.44</v>
          </cell>
          <cell r="T2461">
            <v>0</v>
          </cell>
        </row>
        <row r="2462">
          <cell r="Q2462">
            <v>-4774.84</v>
          </cell>
          <cell r="T2462">
            <v>0</v>
          </cell>
        </row>
        <row r="2463">
          <cell r="Q2463">
            <v>-8117.64</v>
          </cell>
          <cell r="T2463">
            <v>0</v>
          </cell>
        </row>
        <row r="2464">
          <cell r="Q2464">
            <v>-12645.1</v>
          </cell>
          <cell r="T2464">
            <v>0</v>
          </cell>
        </row>
        <row r="2465">
          <cell r="Q2465">
            <v>-4563</v>
          </cell>
          <cell r="T2465">
            <v>0</v>
          </cell>
        </row>
        <row r="2466">
          <cell r="Q2466">
            <v>-4563</v>
          </cell>
          <cell r="T2466">
            <v>0</v>
          </cell>
        </row>
        <row r="2467">
          <cell r="Q2467">
            <v>-4082</v>
          </cell>
          <cell r="T2467">
            <v>0</v>
          </cell>
        </row>
        <row r="2468">
          <cell r="Q2468">
            <v>-2776</v>
          </cell>
          <cell r="T2468">
            <v>0</v>
          </cell>
        </row>
        <row r="2469">
          <cell r="Q2469">
            <v>-4881</v>
          </cell>
          <cell r="T2469">
            <v>0</v>
          </cell>
        </row>
        <row r="2470">
          <cell r="Q2470">
            <v>-4198</v>
          </cell>
          <cell r="T2470">
            <v>0</v>
          </cell>
        </row>
        <row r="2471">
          <cell r="Q2471">
            <v>-2610</v>
          </cell>
          <cell r="T2471">
            <v>0</v>
          </cell>
        </row>
        <row r="2472">
          <cell r="Q2472">
            <v>-2329</v>
          </cell>
          <cell r="T2472">
            <v>0</v>
          </cell>
        </row>
        <row r="2473">
          <cell r="Q2473">
            <v>-2525</v>
          </cell>
          <cell r="T2473">
            <v>0</v>
          </cell>
        </row>
        <row r="2474">
          <cell r="Q2474">
            <v>-2914</v>
          </cell>
          <cell r="T2474">
            <v>0</v>
          </cell>
        </row>
        <row r="2475">
          <cell r="Q2475">
            <v>-1230</v>
          </cell>
          <cell r="T2475">
            <v>0</v>
          </cell>
        </row>
        <row r="2476">
          <cell r="Q2476">
            <v>-2145</v>
          </cell>
          <cell r="T2476">
            <v>0</v>
          </cell>
        </row>
        <row r="2477">
          <cell r="Q2477">
            <v>-9679.23</v>
          </cell>
          <cell r="T2477">
            <v>0</v>
          </cell>
        </row>
        <row r="2478">
          <cell r="Q2478">
            <v>-6712.66</v>
          </cell>
          <cell r="T2478">
            <v>0</v>
          </cell>
        </row>
        <row r="2479">
          <cell r="Q2479">
            <v>-16752.77</v>
          </cell>
          <cell r="T2479">
            <v>0</v>
          </cell>
        </row>
        <row r="2480">
          <cell r="Q2480">
            <v>-7961.63</v>
          </cell>
          <cell r="T2480">
            <v>0</v>
          </cell>
        </row>
        <row r="2481">
          <cell r="Q2481">
            <v>-4528.68</v>
          </cell>
          <cell r="T2481">
            <v>0</v>
          </cell>
        </row>
        <row r="2482">
          <cell r="Q2482">
            <v>-3040.2</v>
          </cell>
          <cell r="T2482">
            <v>0</v>
          </cell>
        </row>
        <row r="2483">
          <cell r="Q2483">
            <v>-4166.2</v>
          </cell>
          <cell r="T2483">
            <v>0</v>
          </cell>
        </row>
        <row r="2484">
          <cell r="Q2484">
            <v>-1773.45</v>
          </cell>
          <cell r="T2484">
            <v>0</v>
          </cell>
        </row>
        <row r="2485">
          <cell r="Q2485">
            <v>-4000</v>
          </cell>
          <cell r="T2485">
            <v>0</v>
          </cell>
        </row>
        <row r="2486">
          <cell r="Q2486">
            <v>-2700</v>
          </cell>
          <cell r="T2486">
            <v>0</v>
          </cell>
        </row>
        <row r="2487">
          <cell r="Q2487">
            <v>-8805.01</v>
          </cell>
          <cell r="T2487">
            <v>0</v>
          </cell>
        </row>
        <row r="2488">
          <cell r="Q2488">
            <v>-3970.78</v>
          </cell>
          <cell r="T2488">
            <v>0</v>
          </cell>
        </row>
        <row r="2489">
          <cell r="Q2489">
            <v>-3150</v>
          </cell>
          <cell r="T2489">
            <v>0</v>
          </cell>
        </row>
        <row r="2490">
          <cell r="Q2490">
            <v>-3500</v>
          </cell>
          <cell r="T2490">
            <v>0</v>
          </cell>
        </row>
        <row r="2491">
          <cell r="Q2491">
            <v>-3094</v>
          </cell>
          <cell r="T2491">
            <v>0</v>
          </cell>
        </row>
        <row r="2492">
          <cell r="Q2492">
            <v>-14994.14</v>
          </cell>
          <cell r="T2492">
            <v>0</v>
          </cell>
        </row>
        <row r="2493">
          <cell r="Q2493">
            <v>-3095.08</v>
          </cell>
          <cell r="T2493">
            <v>0</v>
          </cell>
        </row>
        <row r="2494">
          <cell r="Q2494">
            <v>-8175.07</v>
          </cell>
          <cell r="T2494">
            <v>0</v>
          </cell>
        </row>
        <row r="2495">
          <cell r="Q2495">
            <v>-3270.03</v>
          </cell>
          <cell r="T2495">
            <v>0</v>
          </cell>
        </row>
        <row r="2496">
          <cell r="Q2496">
            <v>-5620.38</v>
          </cell>
          <cell r="T2496">
            <v>0</v>
          </cell>
        </row>
        <row r="2497">
          <cell r="Q2497">
            <v>-4685.55</v>
          </cell>
          <cell r="T2497">
            <v>0</v>
          </cell>
        </row>
        <row r="2498">
          <cell r="Q2498">
            <v>-5368.01</v>
          </cell>
          <cell r="T2498">
            <v>0</v>
          </cell>
        </row>
        <row r="2499">
          <cell r="Q2499">
            <v>-17468.810000000001</v>
          </cell>
          <cell r="T2499">
            <v>0</v>
          </cell>
        </row>
        <row r="2500">
          <cell r="Q2500">
            <v>-8461.6200000000008</v>
          </cell>
          <cell r="T2500">
            <v>0</v>
          </cell>
        </row>
        <row r="2501">
          <cell r="Q2501">
            <v>-7005.72</v>
          </cell>
          <cell r="T2501">
            <v>0</v>
          </cell>
        </row>
        <row r="2502">
          <cell r="Q2502">
            <v>-191868.21</v>
          </cell>
          <cell r="T2502">
            <v>0</v>
          </cell>
        </row>
        <row r="2503">
          <cell r="Q2503">
            <v>-16752.23</v>
          </cell>
          <cell r="T2503">
            <v>0</v>
          </cell>
        </row>
        <row r="2504">
          <cell r="Q2504">
            <v>-14112.39</v>
          </cell>
          <cell r="T2504">
            <v>0</v>
          </cell>
        </row>
        <row r="2505">
          <cell r="Q2505">
            <v>-727.86</v>
          </cell>
          <cell r="T2505">
            <v>0</v>
          </cell>
        </row>
        <row r="2506">
          <cell r="Q2506">
            <v>-83014.009999999995</v>
          </cell>
          <cell r="T2506">
            <v>0</v>
          </cell>
        </row>
        <row r="2507">
          <cell r="Q2507">
            <v>-8006.53</v>
          </cell>
          <cell r="T2507">
            <v>0</v>
          </cell>
        </row>
        <row r="2508">
          <cell r="Q2508">
            <v>-49310.33</v>
          </cell>
          <cell r="T2508">
            <v>0</v>
          </cell>
        </row>
        <row r="2509">
          <cell r="Q2509">
            <v>-23243.919999999998</v>
          </cell>
          <cell r="T2509">
            <v>0</v>
          </cell>
        </row>
        <row r="2510">
          <cell r="Q2510">
            <v>-207535.04</v>
          </cell>
          <cell r="T2510">
            <v>0</v>
          </cell>
        </row>
        <row r="2511">
          <cell r="Q2511">
            <v>-3698.32</v>
          </cell>
          <cell r="T2511">
            <v>0</v>
          </cell>
        </row>
        <row r="2512">
          <cell r="Q2512">
            <v>-14224.29</v>
          </cell>
          <cell r="T2512">
            <v>0</v>
          </cell>
        </row>
        <row r="2513">
          <cell r="Q2513">
            <v>-14878.62</v>
          </cell>
          <cell r="T2513">
            <v>0</v>
          </cell>
        </row>
        <row r="2514">
          <cell r="Q2514">
            <v>-6773.47</v>
          </cell>
          <cell r="T2514">
            <v>0</v>
          </cell>
        </row>
        <row r="2515">
          <cell r="Q2515">
            <v>-3894.75</v>
          </cell>
          <cell r="T2515">
            <v>0</v>
          </cell>
        </row>
        <row r="2516">
          <cell r="Q2516">
            <v>-5063.17</v>
          </cell>
          <cell r="T2516">
            <v>0</v>
          </cell>
        </row>
        <row r="2517">
          <cell r="Q2517">
            <v>-4233.42</v>
          </cell>
          <cell r="T2517">
            <v>0</v>
          </cell>
        </row>
        <row r="2518">
          <cell r="Q2518">
            <v>-1678.46</v>
          </cell>
          <cell r="T2518">
            <v>0</v>
          </cell>
        </row>
        <row r="2519">
          <cell r="Q2519">
            <v>-5262.99</v>
          </cell>
          <cell r="T2519">
            <v>0</v>
          </cell>
        </row>
        <row r="2520">
          <cell r="Q2520">
            <v>-10620.81</v>
          </cell>
          <cell r="T2520">
            <v>0</v>
          </cell>
        </row>
        <row r="2521">
          <cell r="Q2521">
            <v>-3698.32</v>
          </cell>
          <cell r="T2521">
            <v>0</v>
          </cell>
        </row>
        <row r="2522">
          <cell r="Q2522">
            <v>-6875.07</v>
          </cell>
          <cell r="T2522">
            <v>0</v>
          </cell>
        </row>
        <row r="2523">
          <cell r="Q2523">
            <v>-9625.11</v>
          </cell>
          <cell r="T2523">
            <v>0</v>
          </cell>
        </row>
        <row r="2524">
          <cell r="Q2524">
            <v>-11000.12</v>
          </cell>
          <cell r="T2524">
            <v>0</v>
          </cell>
        </row>
        <row r="2525">
          <cell r="Q2525">
            <v>-7396.63</v>
          </cell>
          <cell r="T2525">
            <v>0</v>
          </cell>
        </row>
        <row r="2526">
          <cell r="Q2526">
            <v>-2086.23</v>
          </cell>
          <cell r="T2526">
            <v>0</v>
          </cell>
        </row>
        <row r="2527">
          <cell r="Q2527">
            <v>-5310.4</v>
          </cell>
          <cell r="T2527">
            <v>0</v>
          </cell>
        </row>
        <row r="2528">
          <cell r="Q2528">
            <v>-41250.449999999997</v>
          </cell>
          <cell r="T2528">
            <v>0</v>
          </cell>
        </row>
        <row r="2529">
          <cell r="Q2529">
            <v>-55881.16</v>
          </cell>
          <cell r="T2529">
            <v>0</v>
          </cell>
        </row>
        <row r="2530">
          <cell r="Q2530">
            <v>-12860.66</v>
          </cell>
          <cell r="T2530">
            <v>0</v>
          </cell>
        </row>
        <row r="2531">
          <cell r="Q2531">
            <v>-11094.95</v>
          </cell>
          <cell r="T2531">
            <v>0</v>
          </cell>
        </row>
        <row r="2532">
          <cell r="Q2532">
            <v>-13216.73</v>
          </cell>
          <cell r="T2532">
            <v>0</v>
          </cell>
        </row>
        <row r="2533">
          <cell r="Q2533">
            <v>-10857.88</v>
          </cell>
          <cell r="T2533">
            <v>0</v>
          </cell>
        </row>
        <row r="2534">
          <cell r="Q2534">
            <v>-5594.89</v>
          </cell>
          <cell r="T2534">
            <v>0</v>
          </cell>
        </row>
        <row r="2535">
          <cell r="Q2535">
            <v>-16215.7</v>
          </cell>
          <cell r="T2535">
            <v>0</v>
          </cell>
        </row>
        <row r="2536">
          <cell r="Q2536">
            <v>-7112.49</v>
          </cell>
          <cell r="T2536">
            <v>0</v>
          </cell>
        </row>
        <row r="2537">
          <cell r="Q2537">
            <v>-1785.37</v>
          </cell>
          <cell r="T2537">
            <v>0</v>
          </cell>
        </row>
        <row r="2538">
          <cell r="Q2538">
            <v>-5603.1</v>
          </cell>
          <cell r="T2538">
            <v>0</v>
          </cell>
        </row>
        <row r="2539">
          <cell r="Q2539">
            <v>-6362.83</v>
          </cell>
          <cell r="T2539">
            <v>0</v>
          </cell>
        </row>
        <row r="2540">
          <cell r="Q2540">
            <v>-5574.65</v>
          </cell>
          <cell r="T2540">
            <v>0</v>
          </cell>
        </row>
        <row r="2541">
          <cell r="Q2541">
            <v>-5142.1400000000003</v>
          </cell>
          <cell r="T2541">
            <v>0</v>
          </cell>
        </row>
        <row r="2542">
          <cell r="Q2542">
            <v>-28690.25</v>
          </cell>
          <cell r="T2542">
            <v>0</v>
          </cell>
        </row>
        <row r="2543">
          <cell r="Q2543">
            <v>-92037.41</v>
          </cell>
          <cell r="T2543">
            <v>0</v>
          </cell>
        </row>
        <row r="2544">
          <cell r="Q2544">
            <v>-5296.27</v>
          </cell>
          <cell r="T2544">
            <v>0</v>
          </cell>
        </row>
        <row r="2545">
          <cell r="Q2545">
            <v>-7105.84</v>
          </cell>
          <cell r="T2545">
            <v>0</v>
          </cell>
        </row>
        <row r="2546">
          <cell r="Q2546">
            <v>-1182.83</v>
          </cell>
          <cell r="T2546">
            <v>0</v>
          </cell>
        </row>
        <row r="2547">
          <cell r="Q2547">
            <v>-7315.93</v>
          </cell>
          <cell r="T2547">
            <v>0</v>
          </cell>
        </row>
        <row r="2548">
          <cell r="Q2548">
            <v>-2329.48</v>
          </cell>
          <cell r="T2548">
            <v>0</v>
          </cell>
        </row>
        <row r="2549">
          <cell r="Q2549">
            <v>-2985.68</v>
          </cell>
          <cell r="T2549">
            <v>0</v>
          </cell>
        </row>
        <row r="2550">
          <cell r="Q2550">
            <v>-2115.69</v>
          </cell>
          <cell r="T2550">
            <v>0</v>
          </cell>
        </row>
        <row r="2551">
          <cell r="Q2551">
            <v>-13531.99</v>
          </cell>
          <cell r="T2551">
            <v>0</v>
          </cell>
        </row>
        <row r="2552">
          <cell r="Q2552">
            <v>-3756.83</v>
          </cell>
          <cell r="T2552">
            <v>0</v>
          </cell>
        </row>
        <row r="2553">
          <cell r="Q2553">
            <v>-12751.67</v>
          </cell>
          <cell r="T2553">
            <v>0</v>
          </cell>
        </row>
        <row r="2554">
          <cell r="Q2554">
            <v>-4498.3100000000004</v>
          </cell>
          <cell r="T2554">
            <v>0</v>
          </cell>
        </row>
        <row r="2555">
          <cell r="Q2555">
            <v>-120870.76</v>
          </cell>
          <cell r="T2555">
            <v>0</v>
          </cell>
        </row>
        <row r="2556">
          <cell r="Q2556">
            <v>-91625.65</v>
          </cell>
          <cell r="T2556">
            <v>0</v>
          </cell>
        </row>
        <row r="2557">
          <cell r="Q2557">
            <v>-24825.74</v>
          </cell>
          <cell r="T2557">
            <v>0</v>
          </cell>
        </row>
        <row r="2558">
          <cell r="Q2558">
            <v>-9533.8700000000008</v>
          </cell>
          <cell r="T2558">
            <v>0</v>
          </cell>
        </row>
        <row r="2559">
          <cell r="Q2559">
            <v>-2112.8200000000002</v>
          </cell>
          <cell r="T2559">
            <v>0</v>
          </cell>
        </row>
        <row r="2560">
          <cell r="Q2560">
            <v>-13407.81</v>
          </cell>
          <cell r="T2560">
            <v>0</v>
          </cell>
        </row>
        <row r="2561">
          <cell r="Q2561">
            <v>-4837.13</v>
          </cell>
          <cell r="T2561">
            <v>0</v>
          </cell>
        </row>
        <row r="2562">
          <cell r="Q2562">
            <v>-5417.86</v>
          </cell>
          <cell r="T2562">
            <v>0</v>
          </cell>
        </row>
        <row r="2563">
          <cell r="Q2563">
            <v>-622.72</v>
          </cell>
          <cell r="T2563">
            <v>0</v>
          </cell>
        </row>
        <row r="2564">
          <cell r="Q2564">
            <v>-5264.67</v>
          </cell>
          <cell r="T2564">
            <v>0</v>
          </cell>
        </row>
        <row r="2565">
          <cell r="Q2565">
            <v>-10835.71</v>
          </cell>
          <cell r="T2565">
            <v>0</v>
          </cell>
        </row>
        <row r="2566">
          <cell r="Q2566">
            <v>-613.28</v>
          </cell>
          <cell r="T2566">
            <v>0</v>
          </cell>
        </row>
        <row r="2567">
          <cell r="Q2567">
            <v>-10399.77</v>
          </cell>
          <cell r="T2567">
            <v>0</v>
          </cell>
        </row>
        <row r="2568">
          <cell r="Q2568">
            <v>-12896.97</v>
          </cell>
          <cell r="T2568">
            <v>0</v>
          </cell>
        </row>
        <row r="2569">
          <cell r="Q2569">
            <v>-3589.13</v>
          </cell>
          <cell r="T2569">
            <v>0</v>
          </cell>
        </row>
        <row r="2570">
          <cell r="Q2570">
            <v>-498009.9</v>
          </cell>
          <cell r="T2570">
            <v>0</v>
          </cell>
        </row>
        <row r="2571">
          <cell r="Q2571">
            <v>-74006.720000000001</v>
          </cell>
          <cell r="T2571">
            <v>0</v>
          </cell>
        </row>
        <row r="2572">
          <cell r="Q2572">
            <v>-4994.24</v>
          </cell>
          <cell r="T2572">
            <v>0</v>
          </cell>
        </row>
        <row r="2573">
          <cell r="Q2573">
            <v>-3600</v>
          </cell>
          <cell r="T2573">
            <v>0</v>
          </cell>
        </row>
        <row r="2574">
          <cell r="Q2574">
            <v>-15329.73</v>
          </cell>
          <cell r="T2574">
            <v>0</v>
          </cell>
        </row>
        <row r="2575">
          <cell r="Q2575">
            <v>-5859.55</v>
          </cell>
          <cell r="T2575">
            <v>0</v>
          </cell>
        </row>
        <row r="2576">
          <cell r="Q2576">
            <v>-28860.25</v>
          </cell>
          <cell r="T2576">
            <v>0</v>
          </cell>
        </row>
        <row r="2577">
          <cell r="Q2577">
            <v>-57619.64</v>
          </cell>
          <cell r="T2577">
            <v>0</v>
          </cell>
        </row>
        <row r="2578">
          <cell r="Q2578">
            <v>-1500</v>
          </cell>
          <cell r="T2578">
            <v>0</v>
          </cell>
        </row>
        <row r="2579">
          <cell r="Q2579">
            <v>-15833.29</v>
          </cell>
          <cell r="T2579">
            <v>0</v>
          </cell>
        </row>
        <row r="2580">
          <cell r="Q2580">
            <v>-4750</v>
          </cell>
          <cell r="T2580">
            <v>0</v>
          </cell>
        </row>
        <row r="2581">
          <cell r="Q2581">
            <v>-5000</v>
          </cell>
          <cell r="T2581">
            <v>0</v>
          </cell>
        </row>
        <row r="2582">
          <cell r="Q2582">
            <v>-5000</v>
          </cell>
          <cell r="T2582">
            <v>0</v>
          </cell>
        </row>
        <row r="2583">
          <cell r="Q2583">
            <v>-440</v>
          </cell>
          <cell r="T2583">
            <v>0</v>
          </cell>
        </row>
        <row r="2584">
          <cell r="Q2584">
            <v>-640</v>
          </cell>
          <cell r="T2584">
            <v>0</v>
          </cell>
        </row>
        <row r="2585">
          <cell r="Q2585">
            <v>-5412</v>
          </cell>
          <cell r="T2585">
            <v>0</v>
          </cell>
        </row>
        <row r="2586">
          <cell r="Q2586">
            <v>-7411.5</v>
          </cell>
          <cell r="T2586">
            <v>0</v>
          </cell>
        </row>
        <row r="2587">
          <cell r="Q2587">
            <v>-8951.4500000000007</v>
          </cell>
          <cell r="T2587">
            <v>0</v>
          </cell>
        </row>
        <row r="2588">
          <cell r="Q2588">
            <v>-1000</v>
          </cell>
          <cell r="T2588">
            <v>0</v>
          </cell>
        </row>
        <row r="2589">
          <cell r="Q2589">
            <v>-4150</v>
          </cell>
          <cell r="T2589">
            <v>0</v>
          </cell>
        </row>
        <row r="2590">
          <cell r="Q2590">
            <v>-85.01</v>
          </cell>
          <cell r="T2590">
            <v>0</v>
          </cell>
        </row>
        <row r="2591">
          <cell r="Q2591">
            <v>-61.12</v>
          </cell>
          <cell r="T2591">
            <v>0</v>
          </cell>
        </row>
        <row r="2592">
          <cell r="Q2592">
            <v>-141.19999999999999</v>
          </cell>
          <cell r="T2592">
            <v>0</v>
          </cell>
        </row>
        <row r="2593">
          <cell r="Q2593">
            <v>-87.81</v>
          </cell>
          <cell r="T2593">
            <v>0</v>
          </cell>
        </row>
        <row r="2594">
          <cell r="Q2594">
            <v>-21.07</v>
          </cell>
          <cell r="T2594">
            <v>0</v>
          </cell>
        </row>
        <row r="2595">
          <cell r="Q2595">
            <v>-95.55</v>
          </cell>
          <cell r="T2595">
            <v>0</v>
          </cell>
        </row>
        <row r="2596">
          <cell r="Q2596">
            <v>-287.33999999999997</v>
          </cell>
          <cell r="T2596">
            <v>0</v>
          </cell>
        </row>
        <row r="2597">
          <cell r="Q2597">
            <v>-136.99</v>
          </cell>
          <cell r="T2597">
            <v>0</v>
          </cell>
        </row>
        <row r="2598">
          <cell r="Q2598">
            <v>-26</v>
          </cell>
          <cell r="T2598">
            <v>0</v>
          </cell>
        </row>
        <row r="2599">
          <cell r="Q2599">
            <v>-141.19999999999999</v>
          </cell>
          <cell r="T2599">
            <v>0</v>
          </cell>
        </row>
        <row r="2600">
          <cell r="Q2600">
            <v>-191.8</v>
          </cell>
          <cell r="T2600">
            <v>0</v>
          </cell>
        </row>
        <row r="2601">
          <cell r="Q2601">
            <v>-42.15</v>
          </cell>
          <cell r="T2601">
            <v>0</v>
          </cell>
        </row>
        <row r="2602">
          <cell r="Q2602">
            <v>-91.33</v>
          </cell>
          <cell r="T2602">
            <v>0</v>
          </cell>
        </row>
        <row r="2603">
          <cell r="Q2603">
            <v>-271.88</v>
          </cell>
          <cell r="T2603">
            <v>0</v>
          </cell>
        </row>
        <row r="2604">
          <cell r="Q2604">
            <v>-44.97</v>
          </cell>
          <cell r="T2604">
            <v>0</v>
          </cell>
        </row>
        <row r="2605">
          <cell r="Q2605">
            <v>-10.54</v>
          </cell>
          <cell r="T2605">
            <v>0</v>
          </cell>
        </row>
        <row r="2606">
          <cell r="Q2606">
            <v>-141.19999999999999</v>
          </cell>
          <cell r="T2606">
            <v>0</v>
          </cell>
        </row>
        <row r="2607">
          <cell r="Q2607">
            <v>-851.48</v>
          </cell>
          <cell r="T2607">
            <v>0</v>
          </cell>
        </row>
        <row r="2608">
          <cell r="Q2608">
            <v>-362.51</v>
          </cell>
          <cell r="T2608">
            <v>0</v>
          </cell>
        </row>
        <row r="2609">
          <cell r="Q2609">
            <v>-77.98</v>
          </cell>
          <cell r="T2609">
            <v>0</v>
          </cell>
        </row>
        <row r="2610">
          <cell r="Q2610">
            <v>-7439.18</v>
          </cell>
          <cell r="T2610">
            <v>0</v>
          </cell>
        </row>
        <row r="2611">
          <cell r="Q2611">
            <v>-11076.23</v>
          </cell>
          <cell r="T2611">
            <v>0</v>
          </cell>
        </row>
        <row r="2612">
          <cell r="Q2612">
            <v>-851.48</v>
          </cell>
          <cell r="T2612">
            <v>0</v>
          </cell>
        </row>
        <row r="2613">
          <cell r="Q2613">
            <v>-644.23</v>
          </cell>
          <cell r="T2613">
            <v>0</v>
          </cell>
        </row>
        <row r="2614">
          <cell r="Q2614">
            <v>-155.97</v>
          </cell>
          <cell r="T2614">
            <v>0</v>
          </cell>
        </row>
        <row r="2615">
          <cell r="Q2615">
            <v>-14745.6</v>
          </cell>
          <cell r="T2615">
            <v>0</v>
          </cell>
        </row>
        <row r="2616">
          <cell r="Q2616">
            <v>-493.89</v>
          </cell>
          <cell r="T2616">
            <v>0</v>
          </cell>
        </row>
        <row r="2617">
          <cell r="Q2617">
            <v>-3389.75</v>
          </cell>
          <cell r="T2617">
            <v>0</v>
          </cell>
        </row>
        <row r="2618">
          <cell r="Q2618">
            <v>-17562.080000000002</v>
          </cell>
          <cell r="T2618">
            <v>0</v>
          </cell>
        </row>
        <row r="2619">
          <cell r="Q2619">
            <v>-762.96</v>
          </cell>
          <cell r="T2619">
            <v>0</v>
          </cell>
        </row>
        <row r="2620">
          <cell r="Q2620">
            <v>-925.94</v>
          </cell>
          <cell r="T2620">
            <v>0</v>
          </cell>
        </row>
        <row r="2621">
          <cell r="Q2621">
            <v>-3278.75</v>
          </cell>
          <cell r="T2621">
            <v>0</v>
          </cell>
        </row>
        <row r="2622">
          <cell r="Q2622">
            <v>-342.84</v>
          </cell>
          <cell r="T2622">
            <v>0</v>
          </cell>
        </row>
        <row r="2623">
          <cell r="Q2623">
            <v>-78.680000000000007</v>
          </cell>
          <cell r="T2623">
            <v>0</v>
          </cell>
        </row>
        <row r="2624">
          <cell r="Q2624">
            <v>-11076.24</v>
          </cell>
          <cell r="T2624">
            <v>0</v>
          </cell>
        </row>
        <row r="2625">
          <cell r="Q2625">
            <v>-2419.54</v>
          </cell>
          <cell r="T2625">
            <v>0</v>
          </cell>
        </row>
        <row r="2626">
          <cell r="Q2626">
            <v>-1006.74</v>
          </cell>
          <cell r="T2626">
            <v>0</v>
          </cell>
        </row>
        <row r="2627">
          <cell r="Q2627">
            <v>-77.98</v>
          </cell>
          <cell r="T2627">
            <v>0</v>
          </cell>
        </row>
        <row r="2628">
          <cell r="Q2628">
            <v>-2554.44</v>
          </cell>
          <cell r="T2628">
            <v>0</v>
          </cell>
        </row>
        <row r="2629">
          <cell r="Q2629">
            <v>-556.41</v>
          </cell>
          <cell r="T2629">
            <v>0</v>
          </cell>
        </row>
        <row r="2630">
          <cell r="Q2630">
            <v>-3011.79</v>
          </cell>
          <cell r="T2630">
            <v>0</v>
          </cell>
        </row>
        <row r="2631">
          <cell r="Q2631">
            <v>-623.15</v>
          </cell>
          <cell r="T2631">
            <v>0</v>
          </cell>
        </row>
        <row r="2632">
          <cell r="Q2632">
            <v>-7973.82</v>
          </cell>
          <cell r="T2632">
            <v>0</v>
          </cell>
        </row>
        <row r="2633">
          <cell r="Q2633">
            <v>-120.84</v>
          </cell>
          <cell r="T2633">
            <v>0</v>
          </cell>
        </row>
        <row r="2634">
          <cell r="Q2634">
            <v>-1021.49</v>
          </cell>
          <cell r="T2634">
            <v>0</v>
          </cell>
        </row>
        <row r="2635">
          <cell r="Q2635">
            <v>-612.61</v>
          </cell>
          <cell r="T2635">
            <v>0</v>
          </cell>
        </row>
        <row r="2636">
          <cell r="Q2636">
            <v>-101.87</v>
          </cell>
          <cell r="T2636">
            <v>0</v>
          </cell>
        </row>
        <row r="2637">
          <cell r="Q2637">
            <v>-2526.3200000000002</v>
          </cell>
          <cell r="T2637">
            <v>0</v>
          </cell>
        </row>
        <row r="2638">
          <cell r="Q2638">
            <v>-101.87</v>
          </cell>
          <cell r="T2638">
            <v>0</v>
          </cell>
        </row>
        <row r="2639">
          <cell r="Q2639">
            <v>-862.72</v>
          </cell>
          <cell r="T2639">
            <v>0</v>
          </cell>
        </row>
        <row r="2640">
          <cell r="Q2640">
            <v>-10146.07</v>
          </cell>
          <cell r="T2640">
            <v>0</v>
          </cell>
        </row>
        <row r="2641">
          <cell r="Q2641">
            <v>-15682.08</v>
          </cell>
          <cell r="T2641">
            <v>0</v>
          </cell>
        </row>
        <row r="2642">
          <cell r="Q2642">
            <v>-66253.649999999994</v>
          </cell>
          <cell r="T2642">
            <v>0</v>
          </cell>
        </row>
        <row r="2643">
          <cell r="Q2643">
            <v>-25852.66</v>
          </cell>
          <cell r="T2643">
            <v>0</v>
          </cell>
        </row>
        <row r="2644">
          <cell r="Q2644">
            <v>-3375</v>
          </cell>
          <cell r="T2644">
            <v>0</v>
          </cell>
        </row>
        <row r="2645">
          <cell r="Q2645">
            <v>-203.73</v>
          </cell>
          <cell r="T2645">
            <v>0</v>
          </cell>
        </row>
        <row r="2646">
          <cell r="Q2646">
            <v>-29.51</v>
          </cell>
          <cell r="T2646">
            <v>0</v>
          </cell>
        </row>
        <row r="2647">
          <cell r="Q2647">
            <v>-5.62</v>
          </cell>
          <cell r="T2647">
            <v>0</v>
          </cell>
        </row>
        <row r="2648">
          <cell r="Q2648">
            <v>-16362.83</v>
          </cell>
          <cell r="T2648">
            <v>0</v>
          </cell>
        </row>
        <row r="2649">
          <cell r="Q2649">
            <v>-134783.53</v>
          </cell>
          <cell r="T2649">
            <v>0</v>
          </cell>
        </row>
        <row r="2650">
          <cell r="Q2650">
            <v>-74211.31</v>
          </cell>
          <cell r="T2650">
            <v>0</v>
          </cell>
        </row>
        <row r="2651">
          <cell r="Q2651">
            <v>-27832.49</v>
          </cell>
          <cell r="T2651">
            <v>0</v>
          </cell>
        </row>
        <row r="2652">
          <cell r="Q2652">
            <v>-16693.740000000002</v>
          </cell>
          <cell r="T2652">
            <v>0</v>
          </cell>
        </row>
        <row r="2653">
          <cell r="Q2653">
            <v>-14394.32</v>
          </cell>
          <cell r="T2653">
            <v>0</v>
          </cell>
        </row>
        <row r="2654">
          <cell r="Q2654">
            <v>-12512.93</v>
          </cell>
          <cell r="T2654">
            <v>0</v>
          </cell>
        </row>
        <row r="2655">
          <cell r="Q2655">
            <v>-2772.23</v>
          </cell>
          <cell r="T2655">
            <v>0</v>
          </cell>
        </row>
        <row r="2656">
          <cell r="Q2656">
            <v>-62359.48</v>
          </cell>
          <cell r="T2656">
            <v>0</v>
          </cell>
        </row>
        <row r="2657">
          <cell r="Q2657">
            <v>-3382.03</v>
          </cell>
          <cell r="T2657">
            <v>0</v>
          </cell>
        </row>
        <row r="2658">
          <cell r="Q2658">
            <v>-7802.4</v>
          </cell>
          <cell r="T2658">
            <v>0</v>
          </cell>
        </row>
        <row r="2659">
          <cell r="Q2659">
            <v>-41024.769999999997</v>
          </cell>
          <cell r="T2659">
            <v>0</v>
          </cell>
        </row>
        <row r="2660">
          <cell r="Q2660">
            <v>-71631.59</v>
          </cell>
          <cell r="T2660">
            <v>0</v>
          </cell>
        </row>
        <row r="2661">
          <cell r="Q2661">
            <v>-7020.47</v>
          </cell>
          <cell r="T2661">
            <v>0</v>
          </cell>
        </row>
        <row r="2662">
          <cell r="Q2662">
            <v>-20128.72</v>
          </cell>
          <cell r="T2662">
            <v>0</v>
          </cell>
        </row>
        <row r="2663">
          <cell r="Q2663">
            <v>-11657.23</v>
          </cell>
          <cell r="T2663">
            <v>0</v>
          </cell>
        </row>
        <row r="2664">
          <cell r="Q2664">
            <v>-6291.94</v>
          </cell>
          <cell r="T2664">
            <v>0</v>
          </cell>
        </row>
        <row r="2665">
          <cell r="Q2665">
            <v>-13655.25</v>
          </cell>
          <cell r="T2665">
            <v>0</v>
          </cell>
        </row>
        <row r="2666">
          <cell r="Q2666">
            <v>-53579.85</v>
          </cell>
          <cell r="T2666">
            <v>0</v>
          </cell>
        </row>
        <row r="2667">
          <cell r="Q2667">
            <v>-7224.21</v>
          </cell>
          <cell r="T2667">
            <v>0</v>
          </cell>
        </row>
        <row r="2668">
          <cell r="Q2668">
            <v>-11629.13</v>
          </cell>
          <cell r="T2668">
            <v>0</v>
          </cell>
        </row>
        <row r="2669">
          <cell r="Q2669">
            <v>-34051.370000000003</v>
          </cell>
          <cell r="T2669">
            <v>0</v>
          </cell>
        </row>
        <row r="2670">
          <cell r="Q2670">
            <v>-10056.14</v>
          </cell>
          <cell r="T2670">
            <v>0</v>
          </cell>
        </row>
        <row r="2671">
          <cell r="Q2671">
            <v>-77374.850000000006</v>
          </cell>
          <cell r="T2671">
            <v>0</v>
          </cell>
        </row>
        <row r="2672">
          <cell r="Q2672">
            <v>-10275.33</v>
          </cell>
          <cell r="T2672">
            <v>0</v>
          </cell>
        </row>
        <row r="2673">
          <cell r="Q2673">
            <v>-19621.22</v>
          </cell>
          <cell r="T2673">
            <v>0</v>
          </cell>
        </row>
        <row r="2674">
          <cell r="Q2674">
            <v>-153419.79</v>
          </cell>
          <cell r="T2674">
            <v>0</v>
          </cell>
        </row>
        <row r="2675">
          <cell r="Q2675">
            <v>-21425.33</v>
          </cell>
          <cell r="T2675">
            <v>0</v>
          </cell>
        </row>
        <row r="2676">
          <cell r="Q2676">
            <v>-3473.33</v>
          </cell>
          <cell r="T2676">
            <v>0</v>
          </cell>
        </row>
        <row r="2677">
          <cell r="Q2677">
            <v>-41496.120000000003</v>
          </cell>
          <cell r="T2677">
            <v>0</v>
          </cell>
        </row>
        <row r="2678">
          <cell r="Q2678">
            <v>-3789.09</v>
          </cell>
          <cell r="T2678">
            <v>0</v>
          </cell>
        </row>
        <row r="2679">
          <cell r="Q2679">
            <v>-5671.12</v>
          </cell>
          <cell r="T2679">
            <v>0</v>
          </cell>
        </row>
        <row r="2680">
          <cell r="Q2680">
            <v>-4495.3599999999997</v>
          </cell>
          <cell r="T2680">
            <v>0</v>
          </cell>
        </row>
        <row r="2681">
          <cell r="Q2681">
            <v>-7620.85</v>
          </cell>
          <cell r="T2681">
            <v>0</v>
          </cell>
        </row>
        <row r="2682">
          <cell r="Q2682">
            <v>-10746.94</v>
          </cell>
          <cell r="T2682">
            <v>0</v>
          </cell>
        </row>
        <row r="2683">
          <cell r="Q2683">
            <v>-4014.47</v>
          </cell>
          <cell r="T2683">
            <v>0</v>
          </cell>
        </row>
        <row r="2684">
          <cell r="Q2684">
            <v>-4632.0600000000004</v>
          </cell>
          <cell r="T2684">
            <v>0</v>
          </cell>
        </row>
        <row r="2685">
          <cell r="Q2685">
            <v>-11364.24</v>
          </cell>
          <cell r="T2685">
            <v>0</v>
          </cell>
        </row>
        <row r="2686">
          <cell r="Q2686">
            <v>-1772.2</v>
          </cell>
          <cell r="T2686">
            <v>0</v>
          </cell>
        </row>
        <row r="2687">
          <cell r="Q2687">
            <v>-1947.5</v>
          </cell>
          <cell r="T2687">
            <v>0</v>
          </cell>
        </row>
        <row r="2688">
          <cell r="Q2688">
            <v>-1837.78</v>
          </cell>
          <cell r="T2688">
            <v>0</v>
          </cell>
        </row>
        <row r="2689">
          <cell r="Q2689">
            <v>-3185.36</v>
          </cell>
          <cell r="T2689">
            <v>0</v>
          </cell>
        </row>
        <row r="2690">
          <cell r="Q2690">
            <v>-2580.7600000000002</v>
          </cell>
          <cell r="T2690">
            <v>0</v>
          </cell>
        </row>
        <row r="2691">
          <cell r="Q2691">
            <v>-4652.47</v>
          </cell>
          <cell r="T2691">
            <v>0</v>
          </cell>
        </row>
        <row r="2692">
          <cell r="Q2692">
            <v>-32758.12</v>
          </cell>
          <cell r="T2692">
            <v>0</v>
          </cell>
        </row>
        <row r="2693">
          <cell r="Q2693">
            <v>-8839.5400000000009</v>
          </cell>
          <cell r="T2693">
            <v>0</v>
          </cell>
        </row>
        <row r="2694">
          <cell r="Q2694">
            <v>-12969.06</v>
          </cell>
          <cell r="T2694">
            <v>0</v>
          </cell>
        </row>
        <row r="2695">
          <cell r="Q2695">
            <v>-19663.52</v>
          </cell>
          <cell r="T2695">
            <v>0</v>
          </cell>
        </row>
        <row r="2696">
          <cell r="Q2696">
            <v>-30833.61</v>
          </cell>
          <cell r="T2696">
            <v>0</v>
          </cell>
        </row>
        <row r="2697">
          <cell r="Q2697">
            <v>-35299.620000000003</v>
          </cell>
          <cell r="T2697">
            <v>0</v>
          </cell>
        </row>
        <row r="2698">
          <cell r="Q2698">
            <v>-7995.53</v>
          </cell>
          <cell r="T2698">
            <v>0</v>
          </cell>
        </row>
        <row r="2699">
          <cell r="Q2699">
            <v>-1096</v>
          </cell>
          <cell r="T2699">
            <v>0</v>
          </cell>
        </row>
        <row r="2700">
          <cell r="Q2700">
            <v>-35438.519999999997</v>
          </cell>
          <cell r="T2700">
            <v>0</v>
          </cell>
        </row>
        <row r="2701">
          <cell r="Q2701">
            <v>-800.09</v>
          </cell>
          <cell r="T2701">
            <v>0</v>
          </cell>
        </row>
        <row r="2702">
          <cell r="Q2702">
            <v>-22309.599999999999</v>
          </cell>
          <cell r="T2702">
            <v>0</v>
          </cell>
        </row>
        <row r="2703">
          <cell r="Q2703">
            <v>-11182.53</v>
          </cell>
          <cell r="T2703">
            <v>0</v>
          </cell>
        </row>
        <row r="2704">
          <cell r="Q2704">
            <v>-80278.89</v>
          </cell>
          <cell r="T2704">
            <v>0</v>
          </cell>
        </row>
        <row r="2705">
          <cell r="Q2705">
            <v>-2222.13</v>
          </cell>
          <cell r="T2705">
            <v>0</v>
          </cell>
        </row>
        <row r="2706">
          <cell r="Q2706">
            <v>-62423.19</v>
          </cell>
          <cell r="T2706">
            <v>0</v>
          </cell>
        </row>
        <row r="2707">
          <cell r="Q2707">
            <v>-1548.71</v>
          </cell>
          <cell r="T2707">
            <v>0</v>
          </cell>
        </row>
        <row r="2708">
          <cell r="Q2708">
            <v>-2097.86</v>
          </cell>
          <cell r="T2708">
            <v>0</v>
          </cell>
        </row>
        <row r="2709">
          <cell r="Q2709">
            <v>-5881.77</v>
          </cell>
          <cell r="T2709">
            <v>0</v>
          </cell>
        </row>
        <row r="2710">
          <cell r="Q2710">
            <v>-4254.8999999999996</v>
          </cell>
          <cell r="T2710">
            <v>0</v>
          </cell>
        </row>
        <row r="2711">
          <cell r="Q2711">
            <v>-1668.58</v>
          </cell>
          <cell r="T2711">
            <v>0</v>
          </cell>
        </row>
        <row r="2712">
          <cell r="Q2712">
            <v>-3041.64</v>
          </cell>
          <cell r="T2712">
            <v>0</v>
          </cell>
        </row>
        <row r="2713">
          <cell r="Q2713">
            <v>-2877.23</v>
          </cell>
          <cell r="T2713">
            <v>0</v>
          </cell>
        </row>
        <row r="2714">
          <cell r="Q2714">
            <v>-752.18</v>
          </cell>
          <cell r="T2714">
            <v>0</v>
          </cell>
        </row>
        <row r="2715">
          <cell r="Q2715">
            <v>-3670.52</v>
          </cell>
          <cell r="T2715">
            <v>0</v>
          </cell>
        </row>
        <row r="2716">
          <cell r="Q2716">
            <v>-4831.82</v>
          </cell>
          <cell r="T2716">
            <v>0</v>
          </cell>
        </row>
        <row r="2717">
          <cell r="Q2717">
            <v>-3089.15</v>
          </cell>
          <cell r="T2717">
            <v>0</v>
          </cell>
        </row>
        <row r="2718">
          <cell r="Q2718">
            <v>-2121.44</v>
          </cell>
          <cell r="T2718">
            <v>0</v>
          </cell>
        </row>
        <row r="2719">
          <cell r="Q2719">
            <v>-2121.44</v>
          </cell>
          <cell r="T2719">
            <v>0</v>
          </cell>
        </row>
        <row r="2720">
          <cell r="Q2720">
            <v>-743.74</v>
          </cell>
          <cell r="T2720">
            <v>0</v>
          </cell>
        </row>
        <row r="2721">
          <cell r="Q2721">
            <v>-1503.74</v>
          </cell>
          <cell r="T2721">
            <v>0</v>
          </cell>
        </row>
        <row r="2722">
          <cell r="Q2722">
            <v>-7409.84</v>
          </cell>
          <cell r="T2722">
            <v>0</v>
          </cell>
        </row>
        <row r="2723">
          <cell r="Q2723">
            <v>-2450.9699999999998</v>
          </cell>
          <cell r="T2723">
            <v>0</v>
          </cell>
        </row>
        <row r="2724">
          <cell r="Q2724">
            <v>-2100.6</v>
          </cell>
          <cell r="T2724">
            <v>0</v>
          </cell>
        </row>
        <row r="2725">
          <cell r="Q2725">
            <v>-2738.75</v>
          </cell>
          <cell r="T2725">
            <v>0</v>
          </cell>
        </row>
        <row r="2726">
          <cell r="Q2726">
            <v>-6941.93</v>
          </cell>
          <cell r="T2726">
            <v>0</v>
          </cell>
        </row>
        <row r="2727">
          <cell r="Q2727">
            <v>-3167</v>
          </cell>
          <cell r="T2727">
            <v>0</v>
          </cell>
        </row>
        <row r="2728">
          <cell r="Q2728">
            <v>-1000</v>
          </cell>
          <cell r="T2728">
            <v>0</v>
          </cell>
        </row>
        <row r="2729">
          <cell r="Q2729">
            <v>-1425</v>
          </cell>
          <cell r="T2729">
            <v>0</v>
          </cell>
        </row>
        <row r="2730">
          <cell r="Q2730">
            <v>-855</v>
          </cell>
          <cell r="T2730">
            <v>0</v>
          </cell>
        </row>
        <row r="2731">
          <cell r="Q2731">
            <v>-2900</v>
          </cell>
          <cell r="T2731">
            <v>0</v>
          </cell>
        </row>
        <row r="2732">
          <cell r="Q2732">
            <v>-250</v>
          </cell>
          <cell r="T2732">
            <v>0</v>
          </cell>
        </row>
        <row r="2733">
          <cell r="Q2733">
            <v>-11170.95</v>
          </cell>
          <cell r="T2733">
            <v>0</v>
          </cell>
        </row>
        <row r="2734">
          <cell r="Q2734">
            <v>-2450</v>
          </cell>
          <cell r="T2734">
            <v>0</v>
          </cell>
        </row>
        <row r="2735">
          <cell r="Q2735">
            <v>-2301</v>
          </cell>
          <cell r="T2735">
            <v>0</v>
          </cell>
        </row>
        <row r="2736">
          <cell r="Q2736">
            <v>-9577.06</v>
          </cell>
          <cell r="T2736">
            <v>0</v>
          </cell>
        </row>
        <row r="2737">
          <cell r="Q2737">
            <v>-3949.22</v>
          </cell>
          <cell r="T2737">
            <v>0</v>
          </cell>
        </row>
        <row r="2738">
          <cell r="Q2738">
            <v>-11951.93</v>
          </cell>
          <cell r="T2738">
            <v>0</v>
          </cell>
        </row>
        <row r="2739">
          <cell r="Q2739">
            <v>-11144.23</v>
          </cell>
          <cell r="T2739">
            <v>0</v>
          </cell>
        </row>
        <row r="2740">
          <cell r="Q2740">
            <v>-2620.65</v>
          </cell>
          <cell r="T2740">
            <v>0</v>
          </cell>
        </row>
        <row r="2741">
          <cell r="Q2741">
            <v>-2442.39</v>
          </cell>
          <cell r="T2741">
            <v>0</v>
          </cell>
        </row>
        <row r="2742">
          <cell r="Q2742">
            <v>-678.03</v>
          </cell>
          <cell r="T2742">
            <v>0</v>
          </cell>
        </row>
        <row r="2743">
          <cell r="Q2743">
            <v>-1475.69</v>
          </cell>
          <cell r="T2743">
            <v>0</v>
          </cell>
        </row>
        <row r="2744">
          <cell r="Q2744">
            <v>-8508.76</v>
          </cell>
          <cell r="T2744">
            <v>0</v>
          </cell>
        </row>
        <row r="2745">
          <cell r="Q2745">
            <v>-2210</v>
          </cell>
          <cell r="T2745">
            <v>0</v>
          </cell>
        </row>
        <row r="2746">
          <cell r="Q2746">
            <v>-4177.53</v>
          </cell>
          <cell r="T2746">
            <v>0</v>
          </cell>
        </row>
        <row r="2747">
          <cell r="Q2747">
            <v>-7669.83</v>
          </cell>
          <cell r="T2747">
            <v>0</v>
          </cell>
        </row>
        <row r="2748">
          <cell r="Q2748">
            <v>-7690.84</v>
          </cell>
          <cell r="T2748">
            <v>0</v>
          </cell>
        </row>
        <row r="2749">
          <cell r="Q2749">
            <v>-4116.5600000000004</v>
          </cell>
          <cell r="T2749">
            <v>0</v>
          </cell>
        </row>
        <row r="2750">
          <cell r="Q2750">
            <v>-1383311.39</v>
          </cell>
          <cell r="T2750">
            <v>0</v>
          </cell>
        </row>
        <row r="2751">
          <cell r="Q2751">
            <v>-12315.13</v>
          </cell>
          <cell r="T2751">
            <v>0</v>
          </cell>
        </row>
        <row r="2752">
          <cell r="Q2752">
            <v>-2071.94</v>
          </cell>
          <cell r="T2752">
            <v>0</v>
          </cell>
        </row>
        <row r="2753">
          <cell r="Q2753">
            <v>-4434.75</v>
          </cell>
          <cell r="T2753">
            <v>0</v>
          </cell>
        </row>
        <row r="2754">
          <cell r="Q2754">
            <v>-11544.36</v>
          </cell>
          <cell r="T2754">
            <v>0</v>
          </cell>
        </row>
        <row r="2755">
          <cell r="Q2755">
            <v>-2223.6799999999998</v>
          </cell>
          <cell r="T2755">
            <v>0</v>
          </cell>
        </row>
        <row r="2756">
          <cell r="Q2756">
            <v>-3101.32</v>
          </cell>
          <cell r="T2756">
            <v>0</v>
          </cell>
        </row>
        <row r="2757">
          <cell r="Q2757">
            <v>-9268.3700000000008</v>
          </cell>
          <cell r="T2757">
            <v>0</v>
          </cell>
        </row>
        <row r="2758">
          <cell r="Q2758">
            <v>-14363.83</v>
          </cell>
          <cell r="T2758">
            <v>0</v>
          </cell>
        </row>
        <row r="2759">
          <cell r="Q2759">
            <v>-3909.4</v>
          </cell>
          <cell r="T2759">
            <v>0</v>
          </cell>
        </row>
        <row r="2760">
          <cell r="Q2760">
            <v>-11757.17</v>
          </cell>
          <cell r="T2760">
            <v>0</v>
          </cell>
        </row>
        <row r="2761">
          <cell r="Q2761">
            <v>-644.59</v>
          </cell>
          <cell r="T2761">
            <v>0</v>
          </cell>
        </row>
        <row r="2762">
          <cell r="Q2762">
            <v>-8111.39</v>
          </cell>
          <cell r="T2762">
            <v>0</v>
          </cell>
        </row>
        <row r="2763">
          <cell r="Q2763">
            <v>-3617.09</v>
          </cell>
          <cell r="T2763">
            <v>0</v>
          </cell>
        </row>
        <row r="2764">
          <cell r="Q2764">
            <v>-3265.37</v>
          </cell>
          <cell r="T2764">
            <v>0</v>
          </cell>
        </row>
        <row r="2765">
          <cell r="Q2765">
            <v>-6688.98</v>
          </cell>
          <cell r="T2765">
            <v>0</v>
          </cell>
        </row>
        <row r="2766">
          <cell r="Q2766">
            <v>-12791.86</v>
          </cell>
          <cell r="T2766">
            <v>0</v>
          </cell>
        </row>
        <row r="2767">
          <cell r="Q2767">
            <v>-7677.91</v>
          </cell>
          <cell r="T2767">
            <v>0</v>
          </cell>
        </row>
        <row r="2768">
          <cell r="Q2768">
            <v>-1239</v>
          </cell>
          <cell r="T2768">
            <v>0</v>
          </cell>
        </row>
        <row r="2769">
          <cell r="Q2769">
            <v>-3555</v>
          </cell>
          <cell r="T2769">
            <v>0</v>
          </cell>
        </row>
        <row r="2770">
          <cell r="Q2770">
            <v>-3600</v>
          </cell>
          <cell r="T2770">
            <v>0</v>
          </cell>
        </row>
        <row r="2771">
          <cell r="Q2771">
            <v>-3400</v>
          </cell>
          <cell r="T2771">
            <v>0</v>
          </cell>
        </row>
        <row r="2772">
          <cell r="Q2772">
            <v>-2845</v>
          </cell>
          <cell r="T2772">
            <v>0</v>
          </cell>
        </row>
        <row r="2773">
          <cell r="Q2773">
            <v>-1450</v>
          </cell>
          <cell r="T2773">
            <v>0</v>
          </cell>
        </row>
        <row r="2774">
          <cell r="Q2774">
            <v>-44716.97</v>
          </cell>
          <cell r="T2774">
            <v>0</v>
          </cell>
        </row>
        <row r="2775">
          <cell r="Q2775">
            <v>-5851.88</v>
          </cell>
          <cell r="T2775">
            <v>0</v>
          </cell>
        </row>
        <row r="2776">
          <cell r="Q2776">
            <v>-8529.0499999999993</v>
          </cell>
          <cell r="T2776">
            <v>0</v>
          </cell>
        </row>
        <row r="2777">
          <cell r="Q2777">
            <v>-2299.66</v>
          </cell>
          <cell r="T2777">
            <v>0</v>
          </cell>
        </row>
        <row r="2778">
          <cell r="Q2778">
            <v>-864.32</v>
          </cell>
          <cell r="T2778">
            <v>0</v>
          </cell>
        </row>
        <row r="2779">
          <cell r="Q2779">
            <v>-8433.0400000000009</v>
          </cell>
          <cell r="T2779">
            <v>0</v>
          </cell>
        </row>
        <row r="2780">
          <cell r="Q2780">
            <v>-5714.92</v>
          </cell>
          <cell r="T2780">
            <v>0</v>
          </cell>
        </row>
        <row r="2781">
          <cell r="Q2781">
            <v>-4802.5</v>
          </cell>
          <cell r="T2781">
            <v>0</v>
          </cell>
        </row>
        <row r="2782">
          <cell r="Q2782">
            <v>-1530.91</v>
          </cell>
          <cell r="T2782">
            <v>0</v>
          </cell>
        </row>
        <row r="2783">
          <cell r="Q2783">
            <v>-6416.2</v>
          </cell>
          <cell r="T2783">
            <v>0</v>
          </cell>
        </row>
        <row r="2784">
          <cell r="Q2784">
            <v>-4000.13</v>
          </cell>
          <cell r="T2784">
            <v>0</v>
          </cell>
        </row>
        <row r="2785">
          <cell r="Q2785">
            <v>-10580.93</v>
          </cell>
          <cell r="T2785">
            <v>0</v>
          </cell>
        </row>
        <row r="2786">
          <cell r="Q2786">
            <v>-4030.83</v>
          </cell>
          <cell r="T2786">
            <v>0</v>
          </cell>
        </row>
        <row r="2787">
          <cell r="Q2787">
            <v>-4750</v>
          </cell>
          <cell r="T2787">
            <v>0</v>
          </cell>
        </row>
        <row r="2788">
          <cell r="Q2788">
            <v>-2800</v>
          </cell>
          <cell r="T2788">
            <v>0</v>
          </cell>
        </row>
        <row r="2789">
          <cell r="Q2789">
            <v>-2800</v>
          </cell>
          <cell r="T2789">
            <v>0</v>
          </cell>
        </row>
        <row r="2790">
          <cell r="Q2790">
            <v>-10336.9</v>
          </cell>
          <cell r="T2790">
            <v>0</v>
          </cell>
        </row>
        <row r="2791">
          <cell r="Q2791">
            <v>-13647.16</v>
          </cell>
          <cell r="T2791">
            <v>0</v>
          </cell>
        </row>
        <row r="2792">
          <cell r="Q2792">
            <v>-2140.39</v>
          </cell>
          <cell r="T2792">
            <v>0</v>
          </cell>
        </row>
        <row r="2793">
          <cell r="Q2793">
            <v>-1876.66</v>
          </cell>
          <cell r="T2793">
            <v>0</v>
          </cell>
        </row>
        <row r="2794">
          <cell r="Q2794">
            <v>-6537.15</v>
          </cell>
          <cell r="T2794">
            <v>0</v>
          </cell>
        </row>
        <row r="2795">
          <cell r="Q2795">
            <v>-7694.52</v>
          </cell>
          <cell r="T2795">
            <v>0</v>
          </cell>
        </row>
        <row r="2796">
          <cell r="Q2796">
            <v>-4018.96</v>
          </cell>
          <cell r="T2796">
            <v>0</v>
          </cell>
        </row>
        <row r="2797">
          <cell r="Q2797">
            <v>-7455</v>
          </cell>
          <cell r="T2797">
            <v>0</v>
          </cell>
        </row>
        <row r="2798">
          <cell r="Q2798">
            <v>-3603.54</v>
          </cell>
          <cell r="T2798">
            <v>0</v>
          </cell>
        </row>
        <row r="2799">
          <cell r="Q2799">
            <v>-2925</v>
          </cell>
          <cell r="T2799">
            <v>0</v>
          </cell>
        </row>
        <row r="2800">
          <cell r="Q2800">
            <v>-500</v>
          </cell>
          <cell r="T2800">
            <v>0</v>
          </cell>
        </row>
        <row r="2801">
          <cell r="Q2801">
            <v>-2880</v>
          </cell>
          <cell r="T2801">
            <v>0</v>
          </cell>
        </row>
        <row r="2802">
          <cell r="Q2802">
            <v>-6430.85</v>
          </cell>
          <cell r="T2802">
            <v>0</v>
          </cell>
        </row>
        <row r="2803">
          <cell r="Q2803">
            <v>-6403.99</v>
          </cell>
          <cell r="T2803">
            <v>0</v>
          </cell>
        </row>
        <row r="2804">
          <cell r="Q2804">
            <v>-4889.72</v>
          </cell>
          <cell r="T2804">
            <v>0</v>
          </cell>
        </row>
        <row r="2805">
          <cell r="Q2805">
            <v>-4434.75</v>
          </cell>
          <cell r="T2805">
            <v>0</v>
          </cell>
        </row>
        <row r="2806">
          <cell r="Q2806">
            <v>-34618.379999999997</v>
          </cell>
          <cell r="T2806">
            <v>0</v>
          </cell>
        </row>
        <row r="2807">
          <cell r="Q2807">
            <v>-22375.919999999998</v>
          </cell>
          <cell r="T2807">
            <v>0</v>
          </cell>
        </row>
        <row r="2808">
          <cell r="Q2808">
            <v>-1041.72</v>
          </cell>
          <cell r="T2808">
            <v>0</v>
          </cell>
        </row>
        <row r="2809">
          <cell r="Q2809">
            <v>-2535.2199999999998</v>
          </cell>
          <cell r="T2809">
            <v>0</v>
          </cell>
        </row>
        <row r="2810">
          <cell r="Q2810">
            <v>-3811.2</v>
          </cell>
          <cell r="T2810">
            <v>0</v>
          </cell>
        </row>
        <row r="2811">
          <cell r="Q2811">
            <v>-8371.48</v>
          </cell>
          <cell r="T2811">
            <v>0</v>
          </cell>
        </row>
        <row r="2812">
          <cell r="Q2812">
            <v>-4016.84</v>
          </cell>
          <cell r="T2812">
            <v>0</v>
          </cell>
        </row>
        <row r="2813">
          <cell r="Q2813">
            <v>-37969.279999999999</v>
          </cell>
          <cell r="T2813">
            <v>0</v>
          </cell>
        </row>
        <row r="2814">
          <cell r="Q2814">
            <v>-23990.41</v>
          </cell>
          <cell r="T2814">
            <v>0</v>
          </cell>
        </row>
        <row r="2815">
          <cell r="Q2815">
            <v>-4400</v>
          </cell>
          <cell r="T2815">
            <v>0</v>
          </cell>
        </row>
        <row r="2816">
          <cell r="Q2816">
            <v>-4400</v>
          </cell>
          <cell r="T2816">
            <v>0</v>
          </cell>
        </row>
        <row r="2817">
          <cell r="Q2817">
            <v>-85974.36</v>
          </cell>
          <cell r="T2817">
            <v>0</v>
          </cell>
        </row>
        <row r="2818">
          <cell r="Q2818">
            <v>-716791.93</v>
          </cell>
          <cell r="T2818">
            <v>0</v>
          </cell>
        </row>
        <row r="2819">
          <cell r="Q2819">
            <v>-117733.6</v>
          </cell>
          <cell r="T2819">
            <v>0</v>
          </cell>
        </row>
        <row r="2820">
          <cell r="Q2820">
            <v>-105204.77</v>
          </cell>
          <cell r="T2820">
            <v>0</v>
          </cell>
        </row>
        <row r="2821">
          <cell r="Q2821">
            <v>-90234.81</v>
          </cell>
          <cell r="T2821">
            <v>0</v>
          </cell>
        </row>
        <row r="2822">
          <cell r="Q2822">
            <v>-115473.54</v>
          </cell>
          <cell r="T2822">
            <v>0</v>
          </cell>
        </row>
        <row r="2823">
          <cell r="Q2823">
            <v>-20112.53</v>
          </cell>
          <cell r="T2823">
            <v>0</v>
          </cell>
        </row>
        <row r="2824">
          <cell r="Q2824">
            <v>-11158.35</v>
          </cell>
          <cell r="T2824">
            <v>0</v>
          </cell>
        </row>
        <row r="2825">
          <cell r="Q2825">
            <v>-170252.93</v>
          </cell>
          <cell r="T2825">
            <v>0</v>
          </cell>
        </row>
        <row r="2826">
          <cell r="Q2826">
            <v>-386071.19</v>
          </cell>
          <cell r="T2826">
            <v>0</v>
          </cell>
        </row>
        <row r="2827">
          <cell r="Q2827">
            <v>-29348.41</v>
          </cell>
          <cell r="T2827">
            <v>0</v>
          </cell>
        </row>
        <row r="2828">
          <cell r="Q2828">
            <v>-6653.64</v>
          </cell>
          <cell r="T2828">
            <v>0</v>
          </cell>
        </row>
        <row r="2829">
          <cell r="Q2829">
            <v>-6609.04</v>
          </cell>
          <cell r="T2829">
            <v>0</v>
          </cell>
        </row>
        <row r="2830">
          <cell r="Q2830">
            <v>-14583.15</v>
          </cell>
          <cell r="T2830">
            <v>0</v>
          </cell>
        </row>
        <row r="2831">
          <cell r="Q2831">
            <v>-9518.14</v>
          </cell>
          <cell r="T2831">
            <v>0</v>
          </cell>
        </row>
        <row r="2832">
          <cell r="Q2832">
            <v>-6724.62</v>
          </cell>
          <cell r="T2832">
            <v>0</v>
          </cell>
        </row>
        <row r="2833">
          <cell r="Q2833">
            <v>-22125.11</v>
          </cell>
          <cell r="T2833">
            <v>0</v>
          </cell>
        </row>
        <row r="2834">
          <cell r="Q2834">
            <v>-66602.080000000002</v>
          </cell>
          <cell r="T2834">
            <v>0</v>
          </cell>
        </row>
        <row r="2835">
          <cell r="Q2835">
            <v>-6556.16</v>
          </cell>
          <cell r="T2835">
            <v>0</v>
          </cell>
        </row>
        <row r="2836">
          <cell r="Q2836">
            <v>-4245.2299999999996</v>
          </cell>
          <cell r="T2836">
            <v>0</v>
          </cell>
        </row>
        <row r="2837">
          <cell r="Q2837">
            <v>-30194.22</v>
          </cell>
          <cell r="T2837">
            <v>0</v>
          </cell>
        </row>
        <row r="2838">
          <cell r="Q2838">
            <v>-11205.7</v>
          </cell>
          <cell r="T2838">
            <v>0</v>
          </cell>
        </row>
        <row r="2839">
          <cell r="Q2839">
            <v>-12949.74</v>
          </cell>
          <cell r="T2839">
            <v>0</v>
          </cell>
        </row>
        <row r="2840">
          <cell r="Q2840">
            <v>-7642.68</v>
          </cell>
          <cell r="T2840">
            <v>0</v>
          </cell>
        </row>
        <row r="2841">
          <cell r="Q2841">
            <v>-5032.96</v>
          </cell>
          <cell r="T2841">
            <v>0</v>
          </cell>
        </row>
        <row r="2842">
          <cell r="Q2842">
            <v>-5241.88</v>
          </cell>
          <cell r="T2842">
            <v>0</v>
          </cell>
        </row>
        <row r="2843">
          <cell r="Q2843">
            <v>-5250.1</v>
          </cell>
          <cell r="T2843">
            <v>0</v>
          </cell>
        </row>
        <row r="2844">
          <cell r="Q2844">
            <v>-11361.9</v>
          </cell>
          <cell r="T2844">
            <v>0</v>
          </cell>
        </row>
        <row r="2845">
          <cell r="Q2845">
            <v>-7386.91</v>
          </cell>
          <cell r="T2845">
            <v>0</v>
          </cell>
        </row>
        <row r="2846">
          <cell r="Q2846">
            <v>-8578.74</v>
          </cell>
          <cell r="T2846">
            <v>0</v>
          </cell>
        </row>
        <row r="2847">
          <cell r="Q2847">
            <v>-24647.33</v>
          </cell>
          <cell r="T2847">
            <v>0</v>
          </cell>
        </row>
        <row r="2848">
          <cell r="Q2848">
            <v>-842.16</v>
          </cell>
          <cell r="T2848">
            <v>0</v>
          </cell>
        </row>
        <row r="2849">
          <cell r="Q2849">
            <v>-6698.57</v>
          </cell>
          <cell r="T2849">
            <v>0</v>
          </cell>
        </row>
        <row r="2850">
          <cell r="Q2850">
            <v>-1901.59</v>
          </cell>
          <cell r="T2850">
            <v>0</v>
          </cell>
        </row>
        <row r="2851">
          <cell r="Q2851">
            <v>-1901.59</v>
          </cell>
          <cell r="T2851">
            <v>0</v>
          </cell>
        </row>
        <row r="2852">
          <cell r="Q2852">
            <v>-697.37</v>
          </cell>
          <cell r="T2852">
            <v>0</v>
          </cell>
        </row>
        <row r="2853">
          <cell r="Q2853">
            <v>-139.18</v>
          </cell>
          <cell r="T2853">
            <v>0</v>
          </cell>
        </row>
        <row r="2854">
          <cell r="Q2854">
            <v>-139.18</v>
          </cell>
          <cell r="T2854">
            <v>0</v>
          </cell>
        </row>
        <row r="2855">
          <cell r="Q2855">
            <v>-139.18</v>
          </cell>
          <cell r="T2855">
            <v>0</v>
          </cell>
        </row>
        <row r="2856">
          <cell r="Q2856">
            <v>-139.18</v>
          </cell>
          <cell r="T2856">
            <v>0</v>
          </cell>
        </row>
        <row r="2857">
          <cell r="Q2857">
            <v>-1527.84</v>
          </cell>
          <cell r="T2857">
            <v>0</v>
          </cell>
        </row>
        <row r="2858">
          <cell r="Q2858">
            <v>-3618.8</v>
          </cell>
          <cell r="T2858">
            <v>0</v>
          </cell>
        </row>
        <row r="2859">
          <cell r="Q2859">
            <v>-12668.65</v>
          </cell>
          <cell r="T2859">
            <v>0</v>
          </cell>
        </row>
        <row r="2860">
          <cell r="Q2860">
            <v>-5182.6400000000003</v>
          </cell>
          <cell r="T2860">
            <v>0</v>
          </cell>
        </row>
        <row r="2861">
          <cell r="Q2861">
            <v>-233.94</v>
          </cell>
          <cell r="T2861">
            <v>0</v>
          </cell>
        </row>
        <row r="2862">
          <cell r="Q2862">
            <v>-24060.42</v>
          </cell>
          <cell r="T2862">
            <v>0</v>
          </cell>
        </row>
        <row r="2863">
          <cell r="Q2863">
            <v>-3141.38</v>
          </cell>
          <cell r="T2863">
            <v>0</v>
          </cell>
        </row>
        <row r="2864">
          <cell r="Q2864">
            <v>-5432.46</v>
          </cell>
          <cell r="T2864">
            <v>0</v>
          </cell>
        </row>
        <row r="2865">
          <cell r="Q2865">
            <v>-41160.76</v>
          </cell>
          <cell r="T2865">
            <v>0</v>
          </cell>
        </row>
        <row r="2866">
          <cell r="Q2866">
            <v>-10636.6</v>
          </cell>
          <cell r="T2866">
            <v>0</v>
          </cell>
        </row>
        <row r="2867">
          <cell r="Q2867">
            <v>-29760.46</v>
          </cell>
          <cell r="T2867">
            <v>0</v>
          </cell>
        </row>
        <row r="2868">
          <cell r="Q2868">
            <v>-44168.29</v>
          </cell>
          <cell r="T2868">
            <v>0</v>
          </cell>
        </row>
        <row r="2869">
          <cell r="Q2869">
            <v>-254.06</v>
          </cell>
          <cell r="T2869">
            <v>0</v>
          </cell>
        </row>
        <row r="2870">
          <cell r="Q2870">
            <v>-1309.8499999999999</v>
          </cell>
          <cell r="T2870">
            <v>0</v>
          </cell>
        </row>
        <row r="2871">
          <cell r="Q2871">
            <v>-257.29000000000002</v>
          </cell>
          <cell r="T2871">
            <v>0</v>
          </cell>
        </row>
        <row r="2872">
          <cell r="Q2872">
            <v>-2237.4</v>
          </cell>
          <cell r="T2872">
            <v>0</v>
          </cell>
        </row>
        <row r="2873">
          <cell r="Q2873">
            <v>-19405.61</v>
          </cell>
          <cell r="T2873">
            <v>0</v>
          </cell>
        </row>
        <row r="2874">
          <cell r="Q2874">
            <v>-1290.71</v>
          </cell>
          <cell r="T2874">
            <v>0</v>
          </cell>
        </row>
        <row r="2875">
          <cell r="Q2875">
            <v>-3424.82</v>
          </cell>
          <cell r="T2875">
            <v>0</v>
          </cell>
        </row>
        <row r="2876">
          <cell r="Q2876">
            <v>-2558.77</v>
          </cell>
          <cell r="T2876">
            <v>0</v>
          </cell>
        </row>
        <row r="2877">
          <cell r="Q2877">
            <v>-2131.2600000000002</v>
          </cell>
          <cell r="T2877">
            <v>0</v>
          </cell>
        </row>
        <row r="2878">
          <cell r="Q2878">
            <v>-2430.4299999999998</v>
          </cell>
          <cell r="T2878">
            <v>0</v>
          </cell>
        </row>
        <row r="2879">
          <cell r="Q2879">
            <v>-5117.54</v>
          </cell>
          <cell r="T2879">
            <v>0</v>
          </cell>
        </row>
        <row r="2880">
          <cell r="Q2880">
            <v>-1913.17</v>
          </cell>
          <cell r="T2880">
            <v>0</v>
          </cell>
        </row>
        <row r="2881">
          <cell r="Q2881">
            <v>-2131.2600000000002</v>
          </cell>
          <cell r="T2881">
            <v>0</v>
          </cell>
        </row>
        <row r="2882">
          <cell r="Q2882">
            <v>-2131.2600000000002</v>
          </cell>
          <cell r="T2882">
            <v>0</v>
          </cell>
        </row>
        <row r="2883">
          <cell r="Q2883">
            <v>-23398.18</v>
          </cell>
          <cell r="T2883">
            <v>0</v>
          </cell>
        </row>
        <row r="2884">
          <cell r="Q2884">
            <v>-708.58</v>
          </cell>
          <cell r="T2884">
            <v>0</v>
          </cell>
        </row>
        <row r="2885">
          <cell r="Q2885">
            <v>-33227.550000000003</v>
          </cell>
          <cell r="T2885">
            <v>0</v>
          </cell>
        </row>
        <row r="2886">
          <cell r="Q2886">
            <v>-4525.84</v>
          </cell>
          <cell r="T2886">
            <v>0</v>
          </cell>
        </row>
        <row r="2887">
          <cell r="Q2887">
            <v>-4905.68</v>
          </cell>
          <cell r="T2887">
            <v>0</v>
          </cell>
        </row>
        <row r="2888">
          <cell r="Q2888">
            <v>-995</v>
          </cell>
          <cell r="T2888">
            <v>0</v>
          </cell>
        </row>
        <row r="2889">
          <cell r="Q2889">
            <v>-595</v>
          </cell>
          <cell r="T2889">
            <v>0</v>
          </cell>
        </row>
        <row r="2890">
          <cell r="Q2890">
            <v>-450</v>
          </cell>
          <cell r="T2890">
            <v>0</v>
          </cell>
        </row>
        <row r="2891">
          <cell r="Q2891">
            <v>-350</v>
          </cell>
          <cell r="T2891">
            <v>0</v>
          </cell>
        </row>
        <row r="2892">
          <cell r="Q2892">
            <v>-75</v>
          </cell>
          <cell r="T2892">
            <v>0</v>
          </cell>
        </row>
        <row r="2893">
          <cell r="Q2893">
            <v>-13483.18</v>
          </cell>
          <cell r="T2893">
            <v>0</v>
          </cell>
        </row>
        <row r="2894">
          <cell r="Q2894">
            <v>-1020</v>
          </cell>
          <cell r="T2894">
            <v>0</v>
          </cell>
        </row>
        <row r="2895">
          <cell r="Q2895">
            <v>-2100</v>
          </cell>
          <cell r="T2895">
            <v>0</v>
          </cell>
        </row>
        <row r="2896">
          <cell r="Q2896">
            <v>-903</v>
          </cell>
          <cell r="T2896">
            <v>0</v>
          </cell>
        </row>
        <row r="2897">
          <cell r="Q2897">
            <v>-21253.37</v>
          </cell>
          <cell r="T2897">
            <v>0</v>
          </cell>
        </row>
        <row r="2898">
          <cell r="Q2898">
            <v>-4140.12</v>
          </cell>
          <cell r="T2898">
            <v>0</v>
          </cell>
        </row>
        <row r="2899">
          <cell r="Q2899">
            <v>-7115.88</v>
          </cell>
          <cell r="T2899">
            <v>0</v>
          </cell>
        </row>
        <row r="2900">
          <cell r="Q2900">
            <v>-4917.41</v>
          </cell>
          <cell r="T2900">
            <v>0</v>
          </cell>
        </row>
        <row r="2901">
          <cell r="Q2901">
            <v>-1800</v>
          </cell>
          <cell r="T2901">
            <v>0</v>
          </cell>
        </row>
        <row r="2902">
          <cell r="Q2902">
            <v>-650</v>
          </cell>
          <cell r="T2902">
            <v>0</v>
          </cell>
        </row>
        <row r="2903">
          <cell r="Q2903">
            <v>-1875</v>
          </cell>
          <cell r="T2903">
            <v>0</v>
          </cell>
        </row>
        <row r="2904">
          <cell r="Q2904">
            <v>-5880.49</v>
          </cell>
          <cell r="T2904">
            <v>0</v>
          </cell>
        </row>
        <row r="2905">
          <cell r="Q2905">
            <v>-20394.72</v>
          </cell>
          <cell r="T2905">
            <v>0</v>
          </cell>
        </row>
        <row r="2906">
          <cell r="Q2906">
            <v>-35999.74</v>
          </cell>
          <cell r="T2906">
            <v>0</v>
          </cell>
        </row>
        <row r="2907">
          <cell r="Q2907">
            <v>-28226.74</v>
          </cell>
          <cell r="T2907">
            <v>0</v>
          </cell>
        </row>
        <row r="2908">
          <cell r="Q2908">
            <v>-3780.54</v>
          </cell>
          <cell r="T2908">
            <v>0</v>
          </cell>
        </row>
        <row r="2909">
          <cell r="Q2909">
            <v>-18352.939999999999</v>
          </cell>
          <cell r="T2909">
            <v>0</v>
          </cell>
        </row>
        <row r="2910">
          <cell r="Q2910">
            <v>-19075.43</v>
          </cell>
          <cell r="T2910">
            <v>0</v>
          </cell>
        </row>
        <row r="2911">
          <cell r="Q2911">
            <v>-7561.08</v>
          </cell>
          <cell r="T2911">
            <v>0</v>
          </cell>
        </row>
        <row r="2912">
          <cell r="Q2912">
            <v>-5014.1899999999996</v>
          </cell>
          <cell r="T2912">
            <v>0</v>
          </cell>
        </row>
        <row r="2913">
          <cell r="Q2913">
            <v>-32234.11</v>
          </cell>
          <cell r="T2913">
            <v>0</v>
          </cell>
        </row>
        <row r="2914">
          <cell r="Q2914">
            <v>-10556.62</v>
          </cell>
          <cell r="T2914">
            <v>0</v>
          </cell>
        </row>
        <row r="2915">
          <cell r="Q2915">
            <v>-12524.81</v>
          </cell>
          <cell r="T2915">
            <v>0</v>
          </cell>
        </row>
        <row r="2916">
          <cell r="Q2916">
            <v>-3578.52</v>
          </cell>
          <cell r="T2916">
            <v>0</v>
          </cell>
        </row>
        <row r="2917">
          <cell r="Q2917">
            <v>-10009.99</v>
          </cell>
          <cell r="T2917">
            <v>0</v>
          </cell>
        </row>
        <row r="2918">
          <cell r="Q2918">
            <v>-2427.29</v>
          </cell>
          <cell r="T2918">
            <v>0</v>
          </cell>
        </row>
        <row r="2919">
          <cell r="Q2919">
            <v>-1883.96</v>
          </cell>
          <cell r="T2919">
            <v>0</v>
          </cell>
        </row>
        <row r="2920">
          <cell r="Q2920">
            <v>-33227.83</v>
          </cell>
          <cell r="T2920">
            <v>0</v>
          </cell>
        </row>
        <row r="2921">
          <cell r="Q2921">
            <v>-4814.01</v>
          </cell>
          <cell r="T2921">
            <v>0</v>
          </cell>
        </row>
        <row r="2922">
          <cell r="Q2922">
            <v>-9082.2800000000007</v>
          </cell>
          <cell r="T2922">
            <v>0</v>
          </cell>
        </row>
        <row r="2923">
          <cell r="Q2923">
            <v>-2059.52</v>
          </cell>
          <cell r="T2923">
            <v>0</v>
          </cell>
        </row>
        <row r="2924">
          <cell r="Q2924">
            <v>-13885.35</v>
          </cell>
          <cell r="T2924">
            <v>0</v>
          </cell>
        </row>
        <row r="2925">
          <cell r="Q2925">
            <v>-2942.17</v>
          </cell>
          <cell r="T2925">
            <v>0</v>
          </cell>
        </row>
        <row r="2926">
          <cell r="Q2926">
            <v>-15915.02</v>
          </cell>
          <cell r="T2926">
            <v>0</v>
          </cell>
        </row>
        <row r="2927">
          <cell r="Q2927">
            <v>-15922.95</v>
          </cell>
          <cell r="T2927">
            <v>0</v>
          </cell>
        </row>
        <row r="2928">
          <cell r="Q2928">
            <v>-7301.86</v>
          </cell>
          <cell r="T2928">
            <v>0</v>
          </cell>
        </row>
        <row r="2929">
          <cell r="Q2929">
            <v>-980.72</v>
          </cell>
          <cell r="T2929">
            <v>0</v>
          </cell>
        </row>
        <row r="2930">
          <cell r="Q2930">
            <v>-789.48</v>
          </cell>
          <cell r="T2930">
            <v>0</v>
          </cell>
        </row>
        <row r="2931">
          <cell r="Q2931">
            <v>-13102.33</v>
          </cell>
          <cell r="T2931">
            <v>0</v>
          </cell>
        </row>
        <row r="2932">
          <cell r="Q2932">
            <v>-11330.26</v>
          </cell>
          <cell r="T2932">
            <v>0</v>
          </cell>
        </row>
        <row r="2933">
          <cell r="Q2933">
            <v>-2059.52</v>
          </cell>
          <cell r="T2933">
            <v>0</v>
          </cell>
        </row>
        <row r="2934">
          <cell r="Q2934">
            <v>-7813.83</v>
          </cell>
          <cell r="T2934">
            <v>0</v>
          </cell>
        </row>
        <row r="2935">
          <cell r="Q2935">
            <v>-11136.8</v>
          </cell>
          <cell r="T2935">
            <v>0</v>
          </cell>
        </row>
        <row r="2936">
          <cell r="Q2936">
            <v>-5226.47</v>
          </cell>
          <cell r="T2936">
            <v>0</v>
          </cell>
        </row>
        <row r="2937">
          <cell r="Q2937">
            <v>-10404.06</v>
          </cell>
          <cell r="T2937">
            <v>0</v>
          </cell>
        </row>
        <row r="2938">
          <cell r="Q2938">
            <v>-11797.6</v>
          </cell>
          <cell r="T2938">
            <v>0</v>
          </cell>
        </row>
        <row r="2939">
          <cell r="Q2939">
            <v>-15949.72</v>
          </cell>
          <cell r="T2939">
            <v>0</v>
          </cell>
        </row>
        <row r="2940">
          <cell r="Q2940">
            <v>-13270.32</v>
          </cell>
          <cell r="T2940">
            <v>0</v>
          </cell>
        </row>
        <row r="2941">
          <cell r="Q2941">
            <v>-1176.8599999999999</v>
          </cell>
          <cell r="T2941">
            <v>0</v>
          </cell>
        </row>
        <row r="2942">
          <cell r="Q2942">
            <v>-686.51</v>
          </cell>
          <cell r="T2942">
            <v>0</v>
          </cell>
        </row>
        <row r="2943">
          <cell r="Q2943">
            <v>-19419.240000000002</v>
          </cell>
          <cell r="T2943">
            <v>0</v>
          </cell>
        </row>
        <row r="2944">
          <cell r="Q2944">
            <v>-3134.72</v>
          </cell>
          <cell r="T2944">
            <v>0</v>
          </cell>
        </row>
        <row r="2945">
          <cell r="Q2945">
            <v>-3380.21</v>
          </cell>
          <cell r="T2945">
            <v>0</v>
          </cell>
        </row>
        <row r="2946">
          <cell r="Q2946">
            <v>-1834.96</v>
          </cell>
          <cell r="T2946">
            <v>0</v>
          </cell>
        </row>
        <row r="2947">
          <cell r="Q2947">
            <v>-3138.76</v>
          </cell>
          <cell r="T2947">
            <v>0</v>
          </cell>
        </row>
        <row r="2948">
          <cell r="Q2948">
            <v>-515.08000000000004</v>
          </cell>
          <cell r="T2948">
            <v>0</v>
          </cell>
        </row>
        <row r="2949">
          <cell r="Q2949">
            <v>-5351.98</v>
          </cell>
          <cell r="T2949">
            <v>0</v>
          </cell>
        </row>
        <row r="2950">
          <cell r="Q2950">
            <v>-11678.35</v>
          </cell>
          <cell r="T2950">
            <v>0</v>
          </cell>
        </row>
        <row r="2951">
          <cell r="Q2951">
            <v>-5848.55</v>
          </cell>
          <cell r="T2951">
            <v>0</v>
          </cell>
        </row>
        <row r="2952">
          <cell r="Q2952">
            <v>-1674.01</v>
          </cell>
          <cell r="T2952">
            <v>0</v>
          </cell>
        </row>
        <row r="2953">
          <cell r="Q2953">
            <v>-16257.15</v>
          </cell>
          <cell r="T2953">
            <v>0</v>
          </cell>
        </row>
        <row r="2954">
          <cell r="Q2954">
            <v>-11899.91</v>
          </cell>
          <cell r="T2954">
            <v>0</v>
          </cell>
        </row>
        <row r="2955">
          <cell r="Q2955">
            <v>-16819.7</v>
          </cell>
          <cell r="T2955">
            <v>0</v>
          </cell>
        </row>
        <row r="2956">
          <cell r="Q2956">
            <v>-8524.94</v>
          </cell>
          <cell r="T2956">
            <v>0</v>
          </cell>
        </row>
        <row r="2957">
          <cell r="Q2957">
            <v>-26880.62</v>
          </cell>
          <cell r="T2957">
            <v>0</v>
          </cell>
        </row>
        <row r="2958">
          <cell r="Q2958">
            <v>-26606.99</v>
          </cell>
          <cell r="T2958">
            <v>0</v>
          </cell>
        </row>
        <row r="2959">
          <cell r="Q2959">
            <v>-47020.97</v>
          </cell>
          <cell r="T2959">
            <v>0</v>
          </cell>
        </row>
        <row r="2960">
          <cell r="Q2960">
            <v>-5543.12</v>
          </cell>
          <cell r="T2960">
            <v>0</v>
          </cell>
        </row>
        <row r="2961">
          <cell r="Q2961">
            <v>-4702.1000000000004</v>
          </cell>
          <cell r="T2961">
            <v>0</v>
          </cell>
        </row>
        <row r="2962">
          <cell r="Q2962">
            <v>-4969.6899999999996</v>
          </cell>
          <cell r="T2962">
            <v>0</v>
          </cell>
        </row>
        <row r="2963">
          <cell r="Q2963">
            <v>-9087.24</v>
          </cell>
          <cell r="T2963">
            <v>0</v>
          </cell>
        </row>
        <row r="2964">
          <cell r="Q2964">
            <v>-1784.96</v>
          </cell>
          <cell r="T2964">
            <v>0</v>
          </cell>
        </row>
        <row r="2965">
          <cell r="Q2965">
            <v>-5610.92</v>
          </cell>
          <cell r="T2965">
            <v>0</v>
          </cell>
        </row>
        <row r="2966">
          <cell r="Q2966">
            <v>-4995.66</v>
          </cell>
          <cell r="T2966">
            <v>0</v>
          </cell>
        </row>
        <row r="2967">
          <cell r="Q2967">
            <v>-1432.14</v>
          </cell>
          <cell r="T2967">
            <v>0</v>
          </cell>
        </row>
        <row r="2968">
          <cell r="Q2968">
            <v>-17070.38</v>
          </cell>
          <cell r="T2968">
            <v>0</v>
          </cell>
        </row>
        <row r="2969">
          <cell r="Q2969">
            <v>-19191.37</v>
          </cell>
          <cell r="T2969">
            <v>0</v>
          </cell>
        </row>
        <row r="2970">
          <cell r="Q2970">
            <v>-4332.3900000000003</v>
          </cell>
          <cell r="T2970">
            <v>0</v>
          </cell>
        </row>
        <row r="2971">
          <cell r="Q2971">
            <v>-1558.55</v>
          </cell>
          <cell r="T2971">
            <v>0</v>
          </cell>
        </row>
        <row r="2972">
          <cell r="Q2972">
            <v>-27704.16</v>
          </cell>
          <cell r="T2972">
            <v>0</v>
          </cell>
        </row>
        <row r="2973">
          <cell r="Q2973">
            <v>-1000.1</v>
          </cell>
          <cell r="T2973">
            <v>0</v>
          </cell>
        </row>
        <row r="2974">
          <cell r="Q2974">
            <v>-2141.8000000000002</v>
          </cell>
          <cell r="T2974">
            <v>0</v>
          </cell>
        </row>
        <row r="2975">
          <cell r="Q2975">
            <v>-6474.2</v>
          </cell>
          <cell r="T2975">
            <v>0</v>
          </cell>
        </row>
        <row r="2976">
          <cell r="Q2976">
            <v>-2204.21</v>
          </cell>
          <cell r="T2976">
            <v>0</v>
          </cell>
        </row>
        <row r="2977">
          <cell r="Q2977">
            <v>-6880.63</v>
          </cell>
          <cell r="T2977">
            <v>0</v>
          </cell>
        </row>
        <row r="2978">
          <cell r="Q2978">
            <v>-165379.26999999999</v>
          </cell>
          <cell r="T2978">
            <v>0</v>
          </cell>
        </row>
        <row r="2979">
          <cell r="Q2979">
            <v>-10568.98</v>
          </cell>
          <cell r="T2979">
            <v>0</v>
          </cell>
        </row>
        <row r="2980">
          <cell r="Q2980">
            <v>-3920.36</v>
          </cell>
          <cell r="T2980">
            <v>0</v>
          </cell>
        </row>
        <row r="2981">
          <cell r="Q2981">
            <v>-476.04</v>
          </cell>
          <cell r="T2981">
            <v>0</v>
          </cell>
        </row>
        <row r="2982">
          <cell r="Q2982">
            <v>-23866.21</v>
          </cell>
          <cell r="T2982">
            <v>0</v>
          </cell>
        </row>
        <row r="2983">
          <cell r="Q2983">
            <v>-21073.95</v>
          </cell>
          <cell r="T2983">
            <v>0</v>
          </cell>
        </row>
        <row r="2984">
          <cell r="Q2984">
            <v>-148772.94</v>
          </cell>
          <cell r="T2984">
            <v>0</v>
          </cell>
        </row>
        <row r="2985">
          <cell r="Q2985">
            <v>-40323.72</v>
          </cell>
          <cell r="T2985">
            <v>0</v>
          </cell>
        </row>
        <row r="2986">
          <cell r="Q2986">
            <v>-14827.93</v>
          </cell>
          <cell r="T2986">
            <v>0</v>
          </cell>
        </row>
        <row r="2987">
          <cell r="Q2987">
            <v>-15531.03</v>
          </cell>
          <cell r="T2987">
            <v>0</v>
          </cell>
        </row>
        <row r="2988">
          <cell r="Q2988">
            <v>-33993.54</v>
          </cell>
          <cell r="T2988">
            <v>0</v>
          </cell>
        </row>
        <row r="2989">
          <cell r="Q2989">
            <v>-6177.37</v>
          </cell>
          <cell r="T2989">
            <v>0</v>
          </cell>
        </row>
        <row r="2990">
          <cell r="Q2990">
            <v>-5582.11</v>
          </cell>
          <cell r="T2990">
            <v>0</v>
          </cell>
        </row>
        <row r="2991">
          <cell r="Q2991">
            <v>-15041.39</v>
          </cell>
          <cell r="T2991">
            <v>0</v>
          </cell>
        </row>
        <row r="2992">
          <cell r="Q2992">
            <v>-35549.68</v>
          </cell>
          <cell r="T2992">
            <v>0</v>
          </cell>
        </row>
        <row r="2993">
          <cell r="Q2993">
            <v>-680.07</v>
          </cell>
          <cell r="T2993">
            <v>0</v>
          </cell>
        </row>
        <row r="2994">
          <cell r="Q2994">
            <v>-10480.969999999999</v>
          </cell>
          <cell r="T2994">
            <v>0</v>
          </cell>
        </row>
        <row r="2995">
          <cell r="Q2995">
            <v>-3237.9</v>
          </cell>
          <cell r="T2995">
            <v>0</v>
          </cell>
        </row>
        <row r="2996">
          <cell r="Q2996">
            <v>-9432.8700000000008</v>
          </cell>
          <cell r="T2996">
            <v>0</v>
          </cell>
        </row>
        <row r="2997">
          <cell r="Q2997">
            <v>-312.02999999999997</v>
          </cell>
          <cell r="T2997">
            <v>0</v>
          </cell>
        </row>
        <row r="2998">
          <cell r="Q2998">
            <v>-728.07</v>
          </cell>
          <cell r="T2998">
            <v>0</v>
          </cell>
        </row>
        <row r="2999">
          <cell r="Q2999">
            <v>-352.03</v>
          </cell>
          <cell r="T2999">
            <v>0</v>
          </cell>
        </row>
        <row r="3000">
          <cell r="Q3000">
            <v>-880.07</v>
          </cell>
          <cell r="T3000">
            <v>0</v>
          </cell>
        </row>
        <row r="3001">
          <cell r="Q3001">
            <v>-632.05999999999995</v>
          </cell>
          <cell r="T3001">
            <v>0</v>
          </cell>
        </row>
        <row r="3002">
          <cell r="Q3002">
            <v>-6600.62</v>
          </cell>
          <cell r="T3002">
            <v>0</v>
          </cell>
        </row>
        <row r="3003">
          <cell r="Q3003">
            <v>-3240.3</v>
          </cell>
          <cell r="T3003">
            <v>0</v>
          </cell>
        </row>
        <row r="3004">
          <cell r="Q3004">
            <v>-7260.67</v>
          </cell>
          <cell r="T3004">
            <v>0</v>
          </cell>
        </row>
        <row r="3005">
          <cell r="Q3005">
            <v>-8000.74</v>
          </cell>
          <cell r="T3005">
            <v>0</v>
          </cell>
        </row>
        <row r="3006">
          <cell r="Q3006">
            <v>-16001.48</v>
          </cell>
          <cell r="T3006">
            <v>0</v>
          </cell>
        </row>
        <row r="3007">
          <cell r="Q3007">
            <v>-6600.62</v>
          </cell>
          <cell r="T3007">
            <v>0</v>
          </cell>
        </row>
        <row r="3008">
          <cell r="Q3008">
            <v>-3453.12</v>
          </cell>
          <cell r="T3008">
            <v>0</v>
          </cell>
        </row>
        <row r="3009">
          <cell r="Q3009">
            <v>-4900.46</v>
          </cell>
          <cell r="T3009">
            <v>0</v>
          </cell>
        </row>
        <row r="3010">
          <cell r="Q3010">
            <v>-5005.26</v>
          </cell>
          <cell r="T3010">
            <v>0</v>
          </cell>
        </row>
        <row r="3011">
          <cell r="Q3011">
            <v>-3569.13</v>
          </cell>
          <cell r="T3011">
            <v>0</v>
          </cell>
        </row>
        <row r="3012">
          <cell r="Q3012">
            <v>-13176.42</v>
          </cell>
          <cell r="T3012">
            <v>0</v>
          </cell>
        </row>
        <row r="3013">
          <cell r="Q3013">
            <v>-7142.26</v>
          </cell>
          <cell r="T3013">
            <v>0</v>
          </cell>
        </row>
        <row r="3014">
          <cell r="Q3014">
            <v>-11504.46</v>
          </cell>
          <cell r="T3014">
            <v>0</v>
          </cell>
        </row>
        <row r="3015">
          <cell r="Q3015">
            <v>-3784.95</v>
          </cell>
          <cell r="T3015">
            <v>0</v>
          </cell>
        </row>
        <row r="3016">
          <cell r="Q3016">
            <v>-1101.7</v>
          </cell>
          <cell r="T3016">
            <v>0</v>
          </cell>
        </row>
        <row r="3017">
          <cell r="Q3017">
            <v>-1102.5</v>
          </cell>
          <cell r="T3017">
            <v>0</v>
          </cell>
        </row>
        <row r="3018">
          <cell r="Q3018">
            <v>-28110.59</v>
          </cell>
          <cell r="T3018">
            <v>0</v>
          </cell>
        </row>
        <row r="3019">
          <cell r="Q3019">
            <v>-1080.1099999999999</v>
          </cell>
          <cell r="T3019">
            <v>0</v>
          </cell>
        </row>
        <row r="3020">
          <cell r="Q3020">
            <v>-1880.18</v>
          </cell>
          <cell r="T3020">
            <v>0</v>
          </cell>
        </row>
        <row r="3021">
          <cell r="Q3021">
            <v>-13601.26</v>
          </cell>
          <cell r="T3021">
            <v>0</v>
          </cell>
        </row>
        <row r="3022">
          <cell r="Q3022">
            <v>-30682.83</v>
          </cell>
          <cell r="T3022">
            <v>0</v>
          </cell>
        </row>
        <row r="3023">
          <cell r="Q3023">
            <v>-7901.53</v>
          </cell>
          <cell r="T3023">
            <v>0</v>
          </cell>
        </row>
        <row r="3024">
          <cell r="Q3024">
            <v>-8712.7999999999993</v>
          </cell>
          <cell r="T3024">
            <v>0</v>
          </cell>
        </row>
        <row r="3025">
          <cell r="Q3025">
            <v>-6920.64</v>
          </cell>
          <cell r="T3025">
            <v>0</v>
          </cell>
        </row>
        <row r="3026">
          <cell r="Q3026">
            <v>-3816.36</v>
          </cell>
          <cell r="T3026">
            <v>0</v>
          </cell>
        </row>
        <row r="3027">
          <cell r="Q3027">
            <v>-8400.77</v>
          </cell>
          <cell r="T3027">
            <v>0</v>
          </cell>
        </row>
        <row r="3028">
          <cell r="Q3028">
            <v>-11365.05</v>
          </cell>
          <cell r="T3028">
            <v>0</v>
          </cell>
        </row>
        <row r="3029">
          <cell r="Q3029">
            <v>-1840.17</v>
          </cell>
          <cell r="T3029">
            <v>0</v>
          </cell>
        </row>
        <row r="3030">
          <cell r="Q3030">
            <v>-8560.7900000000009</v>
          </cell>
          <cell r="T3030">
            <v>0</v>
          </cell>
        </row>
        <row r="3031">
          <cell r="Q3031">
            <v>-13601.26</v>
          </cell>
          <cell r="T3031">
            <v>0</v>
          </cell>
        </row>
        <row r="3032">
          <cell r="Q3032">
            <v>-11681.08</v>
          </cell>
          <cell r="T3032">
            <v>0</v>
          </cell>
        </row>
        <row r="3033">
          <cell r="Q3033">
            <v>-8240.76</v>
          </cell>
          <cell r="T3033">
            <v>0</v>
          </cell>
        </row>
        <row r="3034">
          <cell r="Q3034">
            <v>-9784.91</v>
          </cell>
          <cell r="T3034">
            <v>0</v>
          </cell>
        </row>
        <row r="3035">
          <cell r="Q3035">
            <v>-5200.4799999999996</v>
          </cell>
          <cell r="T3035">
            <v>0</v>
          </cell>
        </row>
        <row r="3036">
          <cell r="Q3036">
            <v>-10000.92</v>
          </cell>
          <cell r="T3036">
            <v>0</v>
          </cell>
        </row>
        <row r="3037">
          <cell r="Q3037">
            <v>-560.04999999999995</v>
          </cell>
          <cell r="T3037">
            <v>0</v>
          </cell>
        </row>
        <row r="3038">
          <cell r="Q3038">
            <v>-3200.3</v>
          </cell>
          <cell r="T3038">
            <v>0</v>
          </cell>
        </row>
        <row r="3039">
          <cell r="Q3039">
            <v>-7580.69</v>
          </cell>
          <cell r="T3039">
            <v>0</v>
          </cell>
        </row>
        <row r="3040">
          <cell r="Q3040">
            <v>-27602.55</v>
          </cell>
          <cell r="T3040">
            <v>0</v>
          </cell>
        </row>
        <row r="3041">
          <cell r="Q3041">
            <v>-10392.959999999999</v>
          </cell>
          <cell r="T3041">
            <v>0</v>
          </cell>
        </row>
        <row r="3042">
          <cell r="Q3042">
            <v>-16393.52</v>
          </cell>
          <cell r="T3042">
            <v>0</v>
          </cell>
        </row>
        <row r="3043">
          <cell r="Q3043">
            <v>-8800.81</v>
          </cell>
          <cell r="T3043">
            <v>0</v>
          </cell>
        </row>
        <row r="3044">
          <cell r="Q3044">
            <v>-2033.59</v>
          </cell>
          <cell r="T3044">
            <v>0</v>
          </cell>
        </row>
        <row r="3045">
          <cell r="Q3045">
            <v>-4560.43</v>
          </cell>
          <cell r="T3045">
            <v>0</v>
          </cell>
        </row>
        <row r="3046">
          <cell r="Q3046">
            <v>-11121.03</v>
          </cell>
          <cell r="T3046">
            <v>0</v>
          </cell>
        </row>
        <row r="3047">
          <cell r="Q3047">
            <v>-254.43</v>
          </cell>
          <cell r="T3047">
            <v>0</v>
          </cell>
        </row>
        <row r="3048">
          <cell r="Q3048">
            <v>-2068.1999999999998</v>
          </cell>
          <cell r="T3048">
            <v>0</v>
          </cell>
        </row>
        <row r="3049">
          <cell r="Q3049">
            <v>-10320.950000000001</v>
          </cell>
          <cell r="T3049">
            <v>0</v>
          </cell>
        </row>
        <row r="3050">
          <cell r="Q3050">
            <v>-24002.23</v>
          </cell>
          <cell r="T3050">
            <v>0</v>
          </cell>
        </row>
        <row r="3051">
          <cell r="Q3051">
            <v>-17561.63</v>
          </cell>
          <cell r="T3051">
            <v>0</v>
          </cell>
        </row>
        <row r="3052">
          <cell r="Q3052">
            <v>-20570.7</v>
          </cell>
          <cell r="T3052">
            <v>0</v>
          </cell>
        </row>
        <row r="3053">
          <cell r="Q3053">
            <v>-7840.72</v>
          </cell>
          <cell r="T3053">
            <v>0</v>
          </cell>
        </row>
        <row r="3054">
          <cell r="Q3054">
            <v>-6000.55</v>
          </cell>
          <cell r="T3054">
            <v>0</v>
          </cell>
        </row>
        <row r="3055">
          <cell r="Q3055">
            <v>-9840.92</v>
          </cell>
          <cell r="T3055">
            <v>0</v>
          </cell>
        </row>
        <row r="3056">
          <cell r="Q3056">
            <v>-8120.75</v>
          </cell>
          <cell r="T3056">
            <v>0</v>
          </cell>
        </row>
        <row r="3057">
          <cell r="Q3057">
            <v>-6440.59</v>
          </cell>
          <cell r="T3057">
            <v>0</v>
          </cell>
        </row>
        <row r="3058">
          <cell r="Q3058">
            <v>-3200.3</v>
          </cell>
          <cell r="T3058">
            <v>0</v>
          </cell>
        </row>
        <row r="3059">
          <cell r="Q3059">
            <v>-4864.46</v>
          </cell>
          <cell r="T3059">
            <v>0</v>
          </cell>
        </row>
        <row r="3060">
          <cell r="Q3060">
            <v>-9557.68</v>
          </cell>
          <cell r="T3060">
            <v>0</v>
          </cell>
        </row>
        <row r="3061">
          <cell r="Q3061">
            <v>-9202.9500000000007</v>
          </cell>
          <cell r="T3061">
            <v>0</v>
          </cell>
        </row>
        <row r="3062">
          <cell r="Q3062">
            <v>-9745</v>
          </cell>
          <cell r="T3062">
            <v>0</v>
          </cell>
        </row>
        <row r="3063">
          <cell r="Q3063">
            <v>-5360.5</v>
          </cell>
          <cell r="T3063">
            <v>0</v>
          </cell>
        </row>
        <row r="3064">
          <cell r="Q3064">
            <v>-1920.18</v>
          </cell>
          <cell r="T3064">
            <v>0</v>
          </cell>
        </row>
        <row r="3065">
          <cell r="Q3065">
            <v>-3713.94</v>
          </cell>
          <cell r="T3065">
            <v>0</v>
          </cell>
        </row>
        <row r="3066">
          <cell r="Q3066">
            <v>-8400.77</v>
          </cell>
          <cell r="T3066">
            <v>0</v>
          </cell>
        </row>
        <row r="3067">
          <cell r="Q3067">
            <v>-2472.23</v>
          </cell>
          <cell r="T3067">
            <v>0</v>
          </cell>
        </row>
        <row r="3068">
          <cell r="Q3068">
            <v>-4480.41</v>
          </cell>
          <cell r="T3068">
            <v>0</v>
          </cell>
        </row>
        <row r="3069">
          <cell r="Q3069">
            <v>-13601.26</v>
          </cell>
          <cell r="T3069">
            <v>0</v>
          </cell>
        </row>
        <row r="3070">
          <cell r="Q3070">
            <v>-20713.12</v>
          </cell>
          <cell r="T3070">
            <v>0</v>
          </cell>
        </row>
        <row r="3071">
          <cell r="Q3071">
            <v>-3707.45</v>
          </cell>
          <cell r="T3071">
            <v>0</v>
          </cell>
        </row>
        <row r="3072">
          <cell r="Q3072">
            <v>-14656.11</v>
          </cell>
          <cell r="T3072">
            <v>0</v>
          </cell>
        </row>
        <row r="3073">
          <cell r="Q3073">
            <v>-30289.31</v>
          </cell>
          <cell r="T3073">
            <v>0</v>
          </cell>
        </row>
        <row r="3074">
          <cell r="Q3074">
            <v>-10747.82</v>
          </cell>
          <cell r="T3074">
            <v>0</v>
          </cell>
        </row>
        <row r="3075">
          <cell r="Q3075">
            <v>-5862.45</v>
          </cell>
          <cell r="T3075">
            <v>0</v>
          </cell>
        </row>
        <row r="3076">
          <cell r="Q3076">
            <v>-25403.94</v>
          </cell>
          <cell r="T3076">
            <v>0</v>
          </cell>
        </row>
        <row r="3077">
          <cell r="Q3077">
            <v>-13679.04</v>
          </cell>
          <cell r="T3077">
            <v>0</v>
          </cell>
        </row>
        <row r="3078">
          <cell r="Q3078">
            <v>-500</v>
          </cell>
          <cell r="T3078">
            <v>0</v>
          </cell>
        </row>
        <row r="3079">
          <cell r="Q3079">
            <v>-3078</v>
          </cell>
          <cell r="T3079">
            <v>0</v>
          </cell>
        </row>
        <row r="3080">
          <cell r="Q3080">
            <v>-1781</v>
          </cell>
          <cell r="T3080">
            <v>0</v>
          </cell>
        </row>
        <row r="3081">
          <cell r="Q3081">
            <v>-2250</v>
          </cell>
          <cell r="T3081">
            <v>0</v>
          </cell>
        </row>
        <row r="3082">
          <cell r="Q3082">
            <v>-4317.04</v>
          </cell>
          <cell r="T3082">
            <v>0</v>
          </cell>
        </row>
        <row r="3083">
          <cell r="Q3083">
            <v>-2000</v>
          </cell>
          <cell r="T3083">
            <v>0</v>
          </cell>
        </row>
        <row r="3084">
          <cell r="Q3084">
            <v>-15664.15</v>
          </cell>
          <cell r="T3084">
            <v>0</v>
          </cell>
        </row>
        <row r="3085">
          <cell r="Q3085">
            <v>-4396.95</v>
          </cell>
          <cell r="T3085">
            <v>0</v>
          </cell>
        </row>
        <row r="3086">
          <cell r="Q3086">
            <v>-4812.5</v>
          </cell>
          <cell r="T3086">
            <v>0</v>
          </cell>
        </row>
        <row r="3087">
          <cell r="Q3087">
            <v>-4122.1400000000003</v>
          </cell>
          <cell r="T3087">
            <v>0</v>
          </cell>
        </row>
        <row r="3088">
          <cell r="Q3088">
            <v>-3984.74</v>
          </cell>
          <cell r="T3088">
            <v>0</v>
          </cell>
        </row>
        <row r="3089">
          <cell r="Q3089">
            <v>-12972.4</v>
          </cell>
          <cell r="T3089">
            <v>0</v>
          </cell>
        </row>
        <row r="3090">
          <cell r="Q3090">
            <v>-17605.39</v>
          </cell>
          <cell r="T3090">
            <v>0</v>
          </cell>
        </row>
        <row r="3091">
          <cell r="Q3091">
            <v>-4004.36</v>
          </cell>
          <cell r="T3091">
            <v>0</v>
          </cell>
        </row>
        <row r="3092">
          <cell r="Q3092">
            <v>-9729.1299999999992</v>
          </cell>
          <cell r="T3092">
            <v>0</v>
          </cell>
        </row>
        <row r="3093">
          <cell r="Q3093">
            <v>-6949.38</v>
          </cell>
          <cell r="T3093">
            <v>0</v>
          </cell>
        </row>
        <row r="3094">
          <cell r="Q3094">
            <v>-4373.33</v>
          </cell>
          <cell r="T3094">
            <v>0</v>
          </cell>
        </row>
        <row r="3095">
          <cell r="Q3095">
            <v>-425</v>
          </cell>
          <cell r="T3095">
            <v>0</v>
          </cell>
        </row>
        <row r="3096">
          <cell r="Q3096">
            <v>-1794.23</v>
          </cell>
          <cell r="T3096">
            <v>0</v>
          </cell>
        </row>
        <row r="3097">
          <cell r="Q3097">
            <v>-3721.33</v>
          </cell>
          <cell r="T3097">
            <v>0</v>
          </cell>
        </row>
        <row r="3098">
          <cell r="Q3098">
            <v>-12200.26</v>
          </cell>
          <cell r="T3098">
            <v>0</v>
          </cell>
        </row>
        <row r="3099">
          <cell r="Q3099">
            <v>-4705.8100000000004</v>
          </cell>
          <cell r="T3099">
            <v>0</v>
          </cell>
        </row>
        <row r="3100">
          <cell r="Q3100">
            <v>-8365.9</v>
          </cell>
          <cell r="T3100">
            <v>0</v>
          </cell>
        </row>
        <row r="3101">
          <cell r="Q3101">
            <v>-3987.14</v>
          </cell>
          <cell r="T3101">
            <v>0</v>
          </cell>
        </row>
        <row r="3102">
          <cell r="Q3102">
            <v>-14640.32</v>
          </cell>
          <cell r="T3102">
            <v>0</v>
          </cell>
        </row>
        <row r="3103">
          <cell r="Q3103">
            <v>-5783.22</v>
          </cell>
          <cell r="T3103">
            <v>0</v>
          </cell>
        </row>
        <row r="3104">
          <cell r="Q3104">
            <v>-5111.1000000000004</v>
          </cell>
          <cell r="T3104">
            <v>0</v>
          </cell>
        </row>
        <row r="3105">
          <cell r="Q3105">
            <v>-3948.23</v>
          </cell>
          <cell r="T3105">
            <v>0</v>
          </cell>
        </row>
        <row r="3106">
          <cell r="Q3106">
            <v>-2160</v>
          </cell>
          <cell r="T3106">
            <v>0</v>
          </cell>
        </row>
        <row r="3107">
          <cell r="Q3107">
            <v>-300</v>
          </cell>
          <cell r="T3107">
            <v>0</v>
          </cell>
        </row>
        <row r="3108">
          <cell r="Q3108">
            <v>-16840.16</v>
          </cell>
          <cell r="T3108">
            <v>0</v>
          </cell>
        </row>
        <row r="3109">
          <cell r="Q3109">
            <v>-17585.27</v>
          </cell>
          <cell r="T3109">
            <v>0</v>
          </cell>
        </row>
        <row r="3110">
          <cell r="Q3110">
            <v>-17276.75</v>
          </cell>
          <cell r="T3110">
            <v>0</v>
          </cell>
        </row>
        <row r="3111">
          <cell r="Q3111">
            <v>-4449.3900000000003</v>
          </cell>
          <cell r="T3111">
            <v>0</v>
          </cell>
        </row>
        <row r="3112">
          <cell r="Q3112">
            <v>-4351.66</v>
          </cell>
          <cell r="T3112">
            <v>0</v>
          </cell>
        </row>
        <row r="3113">
          <cell r="Q3113">
            <v>-3947.69</v>
          </cell>
          <cell r="T3113">
            <v>0</v>
          </cell>
        </row>
        <row r="3114">
          <cell r="Q3114">
            <v>-6769.23</v>
          </cell>
          <cell r="T3114">
            <v>0</v>
          </cell>
        </row>
        <row r="3115">
          <cell r="Q3115">
            <v>-2804.94</v>
          </cell>
          <cell r="T3115">
            <v>0</v>
          </cell>
        </row>
        <row r="3116">
          <cell r="Q3116">
            <v>-5722.07</v>
          </cell>
          <cell r="T3116">
            <v>0</v>
          </cell>
        </row>
        <row r="3117">
          <cell r="Q3117">
            <v>-310</v>
          </cell>
          <cell r="T3117">
            <v>0</v>
          </cell>
        </row>
        <row r="3118">
          <cell r="Q3118">
            <v>-13151.1</v>
          </cell>
          <cell r="T3118">
            <v>0</v>
          </cell>
        </row>
        <row r="3119">
          <cell r="Q3119">
            <v>-4400</v>
          </cell>
          <cell r="T3119">
            <v>0</v>
          </cell>
        </row>
        <row r="3120">
          <cell r="Q3120">
            <v>-2200</v>
          </cell>
          <cell r="T3120">
            <v>0</v>
          </cell>
        </row>
        <row r="3121">
          <cell r="Q3121">
            <v>-2910</v>
          </cell>
          <cell r="T3121">
            <v>0</v>
          </cell>
        </row>
        <row r="3122">
          <cell r="Q3122">
            <v>-250</v>
          </cell>
          <cell r="T3122">
            <v>0</v>
          </cell>
        </row>
        <row r="3123">
          <cell r="Q3123">
            <v>-250</v>
          </cell>
          <cell r="T3123">
            <v>0</v>
          </cell>
        </row>
        <row r="3124">
          <cell r="Q3124">
            <v>-1411</v>
          </cell>
          <cell r="T3124">
            <v>0</v>
          </cell>
        </row>
        <row r="3125">
          <cell r="Q3125">
            <v>-12026.54</v>
          </cell>
          <cell r="T3125">
            <v>0</v>
          </cell>
        </row>
        <row r="3126">
          <cell r="Q3126">
            <v>-1384.33</v>
          </cell>
          <cell r="T3126">
            <v>0</v>
          </cell>
        </row>
        <row r="3127">
          <cell r="Q3127">
            <v>-1695</v>
          </cell>
          <cell r="T3127">
            <v>0</v>
          </cell>
        </row>
        <row r="3128">
          <cell r="Q3128">
            <v>-18689.240000000002</v>
          </cell>
          <cell r="T3128">
            <v>0</v>
          </cell>
        </row>
        <row r="3129">
          <cell r="Q3129">
            <v>-9756.56</v>
          </cell>
          <cell r="T3129">
            <v>0</v>
          </cell>
        </row>
        <row r="3130">
          <cell r="Q3130">
            <v>-3065.38</v>
          </cell>
          <cell r="T3130">
            <v>0</v>
          </cell>
        </row>
        <row r="3131">
          <cell r="Q3131">
            <v>-1353.92</v>
          </cell>
          <cell r="T3131">
            <v>0</v>
          </cell>
        </row>
        <row r="3132">
          <cell r="Q3132">
            <v>-3688.84</v>
          </cell>
          <cell r="T3132">
            <v>0</v>
          </cell>
        </row>
        <row r="3133">
          <cell r="Q3133">
            <v>-8029.12</v>
          </cell>
          <cell r="T3133">
            <v>0</v>
          </cell>
        </row>
        <row r="3134">
          <cell r="Q3134">
            <v>-5818.2</v>
          </cell>
          <cell r="T3134">
            <v>0</v>
          </cell>
        </row>
        <row r="3135">
          <cell r="Q3135">
            <v>-9852.14</v>
          </cell>
          <cell r="T3135">
            <v>0</v>
          </cell>
        </row>
        <row r="3136">
          <cell r="Q3136">
            <v>-22273.88</v>
          </cell>
          <cell r="T3136">
            <v>0</v>
          </cell>
        </row>
        <row r="3137">
          <cell r="Q3137">
            <v>-22880.32</v>
          </cell>
          <cell r="T3137">
            <v>0</v>
          </cell>
        </row>
        <row r="3138">
          <cell r="Q3138">
            <v>-5287.56</v>
          </cell>
          <cell r="T3138">
            <v>0</v>
          </cell>
        </row>
        <row r="3139">
          <cell r="Q3139">
            <v>-4246.03</v>
          </cell>
          <cell r="T3139">
            <v>0</v>
          </cell>
        </row>
        <row r="3140">
          <cell r="Q3140">
            <v>-4449</v>
          </cell>
          <cell r="T3140">
            <v>0</v>
          </cell>
        </row>
        <row r="3141">
          <cell r="Q3141">
            <v>-9504.65</v>
          </cell>
          <cell r="T3141">
            <v>0</v>
          </cell>
        </row>
        <row r="3142">
          <cell r="Q3142">
            <v>-2669.74</v>
          </cell>
          <cell r="T3142">
            <v>0</v>
          </cell>
        </row>
        <row r="3143">
          <cell r="Q3143">
            <v>-2175.34</v>
          </cell>
          <cell r="T3143">
            <v>0</v>
          </cell>
        </row>
        <row r="3144">
          <cell r="Q3144">
            <v>-4152.92</v>
          </cell>
          <cell r="T3144">
            <v>0</v>
          </cell>
        </row>
        <row r="3145">
          <cell r="Q3145">
            <v>-16260.42</v>
          </cell>
          <cell r="T3145">
            <v>0</v>
          </cell>
        </row>
        <row r="3146">
          <cell r="Q3146">
            <v>-11938.89</v>
          </cell>
          <cell r="T3146">
            <v>0</v>
          </cell>
        </row>
        <row r="3147">
          <cell r="Q3147">
            <v>-1600</v>
          </cell>
          <cell r="T3147">
            <v>0</v>
          </cell>
        </row>
        <row r="3148">
          <cell r="Q3148">
            <v>-66200.14</v>
          </cell>
          <cell r="T3148">
            <v>0</v>
          </cell>
        </row>
        <row r="3149">
          <cell r="Q3149">
            <v>-9957.7199999999993</v>
          </cell>
          <cell r="T3149">
            <v>0</v>
          </cell>
        </row>
        <row r="3150">
          <cell r="Q3150">
            <v>-4000</v>
          </cell>
          <cell r="T3150">
            <v>0</v>
          </cell>
        </row>
        <row r="3151">
          <cell r="Q3151">
            <v>-6164.19</v>
          </cell>
          <cell r="T3151">
            <v>0</v>
          </cell>
        </row>
        <row r="3152">
          <cell r="Q3152">
            <v>-2241.34</v>
          </cell>
          <cell r="T3152">
            <v>0</v>
          </cell>
        </row>
        <row r="3153">
          <cell r="Q3153">
            <v>-3903.4</v>
          </cell>
          <cell r="T3153">
            <v>0</v>
          </cell>
        </row>
        <row r="3154">
          <cell r="Q3154">
            <v>-3635.7</v>
          </cell>
          <cell r="T3154">
            <v>0</v>
          </cell>
        </row>
        <row r="3155">
          <cell r="Q3155">
            <v>-6205.64</v>
          </cell>
          <cell r="T3155">
            <v>0</v>
          </cell>
        </row>
        <row r="3156">
          <cell r="Q3156">
            <v>-12411.28</v>
          </cell>
          <cell r="T3156">
            <v>0</v>
          </cell>
        </row>
        <row r="3157">
          <cell r="Q3157">
            <v>-8100.42</v>
          </cell>
          <cell r="T3157">
            <v>0</v>
          </cell>
        </row>
        <row r="3158">
          <cell r="Q3158">
            <v>-103760.44</v>
          </cell>
          <cell r="T3158">
            <v>0</v>
          </cell>
        </row>
        <row r="3159">
          <cell r="Q3159">
            <v>-7129.87</v>
          </cell>
          <cell r="T3159">
            <v>0</v>
          </cell>
        </row>
        <row r="3160">
          <cell r="Q3160">
            <v>-111523.26</v>
          </cell>
          <cell r="T3160">
            <v>0</v>
          </cell>
        </row>
        <row r="3161">
          <cell r="Q3161">
            <v>-4365.8100000000004</v>
          </cell>
          <cell r="T3161">
            <v>0</v>
          </cell>
        </row>
        <row r="3162">
          <cell r="Q3162">
            <v>-4341.46</v>
          </cell>
          <cell r="T3162">
            <v>0</v>
          </cell>
        </row>
        <row r="3163">
          <cell r="Q3163">
            <v>-40357.35</v>
          </cell>
          <cell r="T3163">
            <v>0</v>
          </cell>
        </row>
        <row r="3164">
          <cell r="Q3164">
            <v>-9640.73</v>
          </cell>
          <cell r="T3164">
            <v>0</v>
          </cell>
        </row>
        <row r="3165">
          <cell r="Q3165">
            <v>-4850</v>
          </cell>
          <cell r="T3165">
            <v>0</v>
          </cell>
        </row>
        <row r="3166">
          <cell r="Q3166">
            <v>-9514.08</v>
          </cell>
          <cell r="T3166">
            <v>0</v>
          </cell>
        </row>
        <row r="3167">
          <cell r="Q3167">
            <v>-8386.76</v>
          </cell>
          <cell r="T3167">
            <v>0</v>
          </cell>
        </row>
        <row r="3168">
          <cell r="Q3168">
            <v>-2825</v>
          </cell>
          <cell r="T3168">
            <v>0</v>
          </cell>
        </row>
        <row r="3169">
          <cell r="Q3169">
            <v>-3616</v>
          </cell>
          <cell r="T3169">
            <v>0</v>
          </cell>
        </row>
        <row r="3170">
          <cell r="Q3170">
            <v>-4774</v>
          </cell>
          <cell r="T3170">
            <v>0</v>
          </cell>
        </row>
        <row r="3171">
          <cell r="Q3171">
            <v>-7148.54</v>
          </cell>
          <cell r="T3171">
            <v>0</v>
          </cell>
        </row>
        <row r="3172">
          <cell r="Q3172">
            <v>-11071.12</v>
          </cell>
          <cell r="T3172">
            <v>0</v>
          </cell>
        </row>
        <row r="3173">
          <cell r="Q3173">
            <v>-1495</v>
          </cell>
          <cell r="T3173">
            <v>0</v>
          </cell>
        </row>
        <row r="3174">
          <cell r="Q3174">
            <v>-1230</v>
          </cell>
          <cell r="T3174">
            <v>0</v>
          </cell>
        </row>
        <row r="3175">
          <cell r="Q3175">
            <v>-270</v>
          </cell>
          <cell r="T3175">
            <v>0</v>
          </cell>
        </row>
        <row r="3176">
          <cell r="Q3176">
            <v>-3000</v>
          </cell>
          <cell r="T3176">
            <v>0</v>
          </cell>
        </row>
        <row r="3177">
          <cell r="Q3177">
            <v>-16186.65</v>
          </cell>
          <cell r="T3177">
            <v>0</v>
          </cell>
        </row>
        <row r="3178">
          <cell r="Q3178">
            <v>-5695.35</v>
          </cell>
          <cell r="T3178">
            <v>0</v>
          </cell>
        </row>
        <row r="3179">
          <cell r="Q3179">
            <v>-18386.740000000002</v>
          </cell>
          <cell r="T3179">
            <v>0</v>
          </cell>
        </row>
        <row r="3180">
          <cell r="Q3180">
            <v>-19571.740000000002</v>
          </cell>
          <cell r="T3180">
            <v>0</v>
          </cell>
        </row>
        <row r="3181">
          <cell r="Q3181">
            <v>-23758.34</v>
          </cell>
          <cell r="T3181">
            <v>0</v>
          </cell>
        </row>
        <row r="3182">
          <cell r="Q3182">
            <v>-5748.58</v>
          </cell>
          <cell r="T3182">
            <v>0</v>
          </cell>
        </row>
        <row r="3183">
          <cell r="Q3183">
            <v>-4918.8599999999997</v>
          </cell>
          <cell r="T3183">
            <v>0</v>
          </cell>
        </row>
        <row r="3184">
          <cell r="Q3184">
            <v>-8191.9</v>
          </cell>
          <cell r="T3184">
            <v>0</v>
          </cell>
        </row>
        <row r="3185">
          <cell r="Q3185">
            <v>-7288.35</v>
          </cell>
          <cell r="T3185">
            <v>0</v>
          </cell>
        </row>
        <row r="3186">
          <cell r="Q3186">
            <v>-6995.47</v>
          </cell>
          <cell r="T3186">
            <v>0</v>
          </cell>
        </row>
        <row r="3187">
          <cell r="Q3187">
            <v>-3900</v>
          </cell>
          <cell r="T3187">
            <v>0</v>
          </cell>
        </row>
        <row r="3188">
          <cell r="Q3188">
            <v>-4974.41</v>
          </cell>
          <cell r="T3188">
            <v>0</v>
          </cell>
        </row>
        <row r="3189">
          <cell r="Q3189">
            <v>-12950.23</v>
          </cell>
          <cell r="T3189">
            <v>0</v>
          </cell>
        </row>
        <row r="3190">
          <cell r="Q3190">
            <v>-7233.25</v>
          </cell>
          <cell r="T3190">
            <v>0</v>
          </cell>
        </row>
        <row r="3191">
          <cell r="Q3191">
            <v>-12837.23</v>
          </cell>
          <cell r="T3191">
            <v>0</v>
          </cell>
        </row>
        <row r="3192">
          <cell r="Q3192">
            <v>-23279.279999999999</v>
          </cell>
          <cell r="T3192">
            <v>0</v>
          </cell>
        </row>
        <row r="3193">
          <cell r="Q3193">
            <v>-7333.87</v>
          </cell>
          <cell r="T3193">
            <v>0</v>
          </cell>
        </row>
        <row r="3194">
          <cell r="Q3194">
            <v>-3429.99</v>
          </cell>
          <cell r="T3194">
            <v>0</v>
          </cell>
        </row>
        <row r="3195">
          <cell r="Q3195">
            <v>-70315.259999999995</v>
          </cell>
          <cell r="T3195">
            <v>0</v>
          </cell>
        </row>
        <row r="3196">
          <cell r="Q3196">
            <v>-136600.32000000001</v>
          </cell>
          <cell r="T3196">
            <v>0</v>
          </cell>
        </row>
        <row r="3197">
          <cell r="Q3197">
            <v>-20814.57</v>
          </cell>
          <cell r="T3197">
            <v>0</v>
          </cell>
        </row>
        <row r="3198">
          <cell r="Q3198">
            <v>-3109.45</v>
          </cell>
          <cell r="T3198">
            <v>0</v>
          </cell>
        </row>
        <row r="3199">
          <cell r="Q3199">
            <v>-738.12</v>
          </cell>
          <cell r="T3199">
            <v>0</v>
          </cell>
        </row>
        <row r="3200">
          <cell r="Q3200">
            <v>-4032.11</v>
          </cell>
          <cell r="T3200">
            <v>0</v>
          </cell>
        </row>
        <row r="3201">
          <cell r="Q3201">
            <v>-8398.7999999999993</v>
          </cell>
          <cell r="T3201">
            <v>0</v>
          </cell>
        </row>
        <row r="3202">
          <cell r="Q3202">
            <v>-15244.06</v>
          </cell>
          <cell r="T3202">
            <v>0</v>
          </cell>
        </row>
        <row r="3203">
          <cell r="Q3203">
            <v>-7622.02</v>
          </cell>
          <cell r="T3203">
            <v>0</v>
          </cell>
        </row>
        <row r="3204">
          <cell r="Q3204">
            <v>-10943.19</v>
          </cell>
          <cell r="T3204">
            <v>0</v>
          </cell>
        </row>
        <row r="3205">
          <cell r="Q3205">
            <v>-5550.19</v>
          </cell>
          <cell r="T3205">
            <v>0</v>
          </cell>
        </row>
        <row r="3206">
          <cell r="Q3206">
            <v>-4578.59</v>
          </cell>
          <cell r="T3206">
            <v>0</v>
          </cell>
        </row>
        <row r="3207">
          <cell r="Q3207">
            <v>-1387.76</v>
          </cell>
          <cell r="T3207">
            <v>0</v>
          </cell>
        </row>
        <row r="3208">
          <cell r="Q3208">
            <v>-5367.03</v>
          </cell>
          <cell r="T3208">
            <v>0</v>
          </cell>
        </row>
        <row r="3209">
          <cell r="Q3209">
            <v>-52508.09</v>
          </cell>
          <cell r="T3209">
            <v>0</v>
          </cell>
        </row>
        <row r="3210">
          <cell r="Q3210">
            <v>-5350.29</v>
          </cell>
          <cell r="T3210">
            <v>0</v>
          </cell>
        </row>
        <row r="3211">
          <cell r="Q3211">
            <v>-5591.06</v>
          </cell>
          <cell r="T3211">
            <v>0</v>
          </cell>
        </row>
        <row r="3212">
          <cell r="Q3212">
            <v>-17905.79</v>
          </cell>
          <cell r="T3212">
            <v>0</v>
          </cell>
        </row>
        <row r="3213">
          <cell r="Q3213">
            <v>-120</v>
          </cell>
          <cell r="T3213">
            <v>0</v>
          </cell>
        </row>
        <row r="3214">
          <cell r="Q3214">
            <v>-235</v>
          </cell>
          <cell r="T3214">
            <v>0</v>
          </cell>
        </row>
        <row r="3215">
          <cell r="Q3215">
            <v>-2250</v>
          </cell>
          <cell r="T3215">
            <v>0</v>
          </cell>
        </row>
        <row r="3216">
          <cell r="Q3216">
            <v>-8576.4699999999993</v>
          </cell>
          <cell r="T3216">
            <v>0</v>
          </cell>
        </row>
        <row r="3217">
          <cell r="Q3217">
            <v>-5669.14</v>
          </cell>
          <cell r="T3217">
            <v>0</v>
          </cell>
        </row>
        <row r="3218">
          <cell r="Q3218">
            <v>-4602.13</v>
          </cell>
          <cell r="T3218">
            <v>0</v>
          </cell>
        </row>
        <row r="3219">
          <cell r="Q3219">
            <v>-5100.8599999999997</v>
          </cell>
          <cell r="T3219">
            <v>0</v>
          </cell>
        </row>
        <row r="3220">
          <cell r="Q3220">
            <v>-10585.57</v>
          </cell>
          <cell r="T3220">
            <v>0</v>
          </cell>
        </row>
        <row r="3221">
          <cell r="Q3221">
            <v>-10682.54</v>
          </cell>
          <cell r="T3221">
            <v>0</v>
          </cell>
        </row>
        <row r="3222">
          <cell r="Q3222">
            <v>-6102.9</v>
          </cell>
          <cell r="T3222">
            <v>0</v>
          </cell>
        </row>
        <row r="3223">
          <cell r="Q3223">
            <v>-9805.5</v>
          </cell>
          <cell r="T3223">
            <v>0</v>
          </cell>
        </row>
        <row r="3224">
          <cell r="Q3224">
            <v>-6216.81</v>
          </cell>
          <cell r="T3224">
            <v>0</v>
          </cell>
        </row>
        <row r="3225">
          <cell r="Q3225">
            <v>-21407.51</v>
          </cell>
          <cell r="T3225">
            <v>0</v>
          </cell>
        </row>
        <row r="3226">
          <cell r="Q3226">
            <v>0</v>
          </cell>
          <cell r="T3226">
            <v>0</v>
          </cell>
        </row>
        <row r="3227">
          <cell r="Q3227">
            <v>0</v>
          </cell>
          <cell r="T3227">
            <v>0</v>
          </cell>
        </row>
        <row r="3228">
          <cell r="Q3228">
            <v>0</v>
          </cell>
          <cell r="T3228">
            <v>0</v>
          </cell>
        </row>
        <row r="3229">
          <cell r="Q3229">
            <v>-62897.29</v>
          </cell>
          <cell r="T3229">
            <v>0</v>
          </cell>
        </row>
        <row r="3230">
          <cell r="Q3230">
            <v>0</v>
          </cell>
          <cell r="T3230">
            <v>0</v>
          </cell>
        </row>
        <row r="3231">
          <cell r="Q3231">
            <v>0</v>
          </cell>
          <cell r="T3231">
            <v>0</v>
          </cell>
        </row>
        <row r="3232">
          <cell r="Q3232">
            <v>0</v>
          </cell>
          <cell r="T3232">
            <v>0</v>
          </cell>
        </row>
        <row r="3233">
          <cell r="Q3233">
            <v>-20591.990000000002</v>
          </cell>
          <cell r="T3233">
            <v>0</v>
          </cell>
        </row>
        <row r="3234">
          <cell r="Q3234">
            <v>0</v>
          </cell>
          <cell r="T3234">
            <v>0</v>
          </cell>
        </row>
        <row r="3235">
          <cell r="Q3235">
            <v>0</v>
          </cell>
          <cell r="T3235">
            <v>0</v>
          </cell>
        </row>
        <row r="3236">
          <cell r="Q3236">
            <v>-9632.08</v>
          </cell>
          <cell r="T3236">
            <v>0</v>
          </cell>
        </row>
        <row r="3237">
          <cell r="Q3237">
            <v>0</v>
          </cell>
          <cell r="T3237">
            <v>0</v>
          </cell>
        </row>
        <row r="3238">
          <cell r="Q3238">
            <v>0</v>
          </cell>
          <cell r="T3238">
            <v>0</v>
          </cell>
        </row>
        <row r="3239">
          <cell r="Q3239">
            <v>-5586.69</v>
          </cell>
          <cell r="T3239">
            <v>0</v>
          </cell>
        </row>
        <row r="3240">
          <cell r="Q3240">
            <v>-7605.35</v>
          </cell>
          <cell r="T3240">
            <v>0</v>
          </cell>
        </row>
        <row r="3241">
          <cell r="Q3241">
            <v>-7738.62</v>
          </cell>
          <cell r="T3241">
            <v>0</v>
          </cell>
        </row>
        <row r="3242">
          <cell r="Q3242">
            <v>-11791.4</v>
          </cell>
          <cell r="T3242">
            <v>0</v>
          </cell>
        </row>
        <row r="3243">
          <cell r="Q3243">
            <v>-11791.4</v>
          </cell>
          <cell r="T3243">
            <v>0</v>
          </cell>
        </row>
        <row r="3244">
          <cell r="Q3244">
            <v>-3464.31</v>
          </cell>
          <cell r="T3244">
            <v>0</v>
          </cell>
        </row>
        <row r="3245">
          <cell r="Q3245">
            <v>-11772.27</v>
          </cell>
          <cell r="T3245">
            <v>0</v>
          </cell>
        </row>
        <row r="3246">
          <cell r="Q3246">
            <v>-8300.83</v>
          </cell>
          <cell r="T3246">
            <v>0</v>
          </cell>
        </row>
        <row r="3247">
          <cell r="Q3247">
            <v>-20757.71</v>
          </cell>
          <cell r="T3247">
            <v>0</v>
          </cell>
        </row>
        <row r="3248">
          <cell r="Q3248">
            <v>-11730.8</v>
          </cell>
          <cell r="T3248">
            <v>0</v>
          </cell>
        </row>
        <row r="3249">
          <cell r="Q3249">
            <v>-11730.8</v>
          </cell>
          <cell r="T3249">
            <v>0</v>
          </cell>
        </row>
        <row r="3250">
          <cell r="Q3250">
            <v>-11711.67</v>
          </cell>
          <cell r="T3250">
            <v>0</v>
          </cell>
        </row>
        <row r="3251">
          <cell r="Q3251">
            <v>-4178.3999999999996</v>
          </cell>
          <cell r="T3251">
            <v>0</v>
          </cell>
        </row>
        <row r="3252">
          <cell r="Q3252">
            <v>-11663.84</v>
          </cell>
          <cell r="T3252">
            <v>0</v>
          </cell>
        </row>
        <row r="3253">
          <cell r="Q3253">
            <v>-11673.4</v>
          </cell>
          <cell r="T3253">
            <v>0</v>
          </cell>
        </row>
        <row r="3254">
          <cell r="Q3254">
            <v>-11619.18</v>
          </cell>
          <cell r="T3254">
            <v>0</v>
          </cell>
        </row>
        <row r="3255">
          <cell r="Q3255">
            <v>-11615.99</v>
          </cell>
          <cell r="T3255">
            <v>0</v>
          </cell>
        </row>
        <row r="3256">
          <cell r="Q3256">
            <v>-20470.669999999998</v>
          </cell>
          <cell r="T3256">
            <v>0</v>
          </cell>
        </row>
        <row r="3257">
          <cell r="Q3257">
            <v>-11606.43</v>
          </cell>
          <cell r="T3257">
            <v>0</v>
          </cell>
        </row>
        <row r="3258">
          <cell r="Q3258">
            <v>-11590.04</v>
          </cell>
          <cell r="T3258">
            <v>0</v>
          </cell>
        </row>
        <row r="3259">
          <cell r="Q3259">
            <v>-9478.07</v>
          </cell>
          <cell r="T3259">
            <v>0</v>
          </cell>
        </row>
        <row r="3260">
          <cell r="Q3260">
            <v>-4256.09</v>
          </cell>
          <cell r="T3260">
            <v>0</v>
          </cell>
        </row>
        <row r="3261">
          <cell r="Q3261">
            <v>-1352.33</v>
          </cell>
          <cell r="T3261">
            <v>0</v>
          </cell>
        </row>
        <row r="3262">
          <cell r="Q3262">
            <v>-5409.31</v>
          </cell>
          <cell r="T3262">
            <v>0</v>
          </cell>
        </row>
        <row r="3263">
          <cell r="Q3263">
            <v>-16501.7</v>
          </cell>
          <cell r="T3263">
            <v>0</v>
          </cell>
        </row>
        <row r="3264">
          <cell r="Q3264">
            <v>-11418.26</v>
          </cell>
          <cell r="T3264">
            <v>0</v>
          </cell>
        </row>
        <row r="3265">
          <cell r="Q3265">
            <v>-4173.6099999999997</v>
          </cell>
          <cell r="T3265">
            <v>0</v>
          </cell>
        </row>
        <row r="3266">
          <cell r="Q3266">
            <v>-4173.6099999999997</v>
          </cell>
          <cell r="T3266">
            <v>0</v>
          </cell>
        </row>
        <row r="3267">
          <cell r="Q3267">
            <v>-9211.98</v>
          </cell>
          <cell r="T3267">
            <v>0</v>
          </cell>
        </row>
        <row r="3268">
          <cell r="Q3268">
            <v>-36097.54</v>
          </cell>
          <cell r="T3268">
            <v>0</v>
          </cell>
        </row>
        <row r="3269">
          <cell r="Q3269">
            <v>-14041.87</v>
          </cell>
          <cell r="T3269">
            <v>0</v>
          </cell>
        </row>
        <row r="3270">
          <cell r="Q3270">
            <v>-4879.28</v>
          </cell>
          <cell r="T3270">
            <v>0</v>
          </cell>
        </row>
        <row r="3271">
          <cell r="Q3271">
            <v>-10018.16</v>
          </cell>
          <cell r="T3271">
            <v>0</v>
          </cell>
        </row>
        <row r="3272">
          <cell r="Q3272">
            <v>-8864.84</v>
          </cell>
          <cell r="T3272">
            <v>0</v>
          </cell>
        </row>
        <row r="3273">
          <cell r="Q3273">
            <v>-14584.28</v>
          </cell>
          <cell r="T3273">
            <v>0</v>
          </cell>
        </row>
        <row r="3274">
          <cell r="Q3274">
            <v>-8217.56</v>
          </cell>
          <cell r="T3274">
            <v>0</v>
          </cell>
        </row>
        <row r="3275">
          <cell r="Q3275">
            <v>-7542.9</v>
          </cell>
          <cell r="T3275">
            <v>0</v>
          </cell>
        </row>
        <row r="3276">
          <cell r="Q3276">
            <v>-8519.43</v>
          </cell>
          <cell r="T3276">
            <v>0</v>
          </cell>
        </row>
        <row r="3277">
          <cell r="Q3277">
            <v>-3351.8</v>
          </cell>
          <cell r="T3277">
            <v>0</v>
          </cell>
        </row>
        <row r="3278">
          <cell r="Q3278">
            <v>-7791.86</v>
          </cell>
          <cell r="T3278">
            <v>0</v>
          </cell>
        </row>
        <row r="3279">
          <cell r="Q3279">
            <v>-4856.46</v>
          </cell>
          <cell r="T3279">
            <v>0</v>
          </cell>
        </row>
        <row r="3280">
          <cell r="Q3280">
            <v>-6300.28</v>
          </cell>
          <cell r="T3280">
            <v>0</v>
          </cell>
        </row>
        <row r="3281">
          <cell r="Q3281">
            <v>-3542.89</v>
          </cell>
          <cell r="T3281">
            <v>0</v>
          </cell>
        </row>
        <row r="3282">
          <cell r="Q3282">
            <v>-7621.54</v>
          </cell>
          <cell r="T3282">
            <v>0</v>
          </cell>
        </row>
        <row r="3283">
          <cell r="Q3283">
            <v>-16928.75</v>
          </cell>
          <cell r="T3283">
            <v>0</v>
          </cell>
        </row>
        <row r="3284">
          <cell r="Q3284">
            <v>-9652.16</v>
          </cell>
          <cell r="T3284">
            <v>0</v>
          </cell>
        </row>
        <row r="3285">
          <cell r="Q3285">
            <v>-8268.0300000000007</v>
          </cell>
          <cell r="T3285">
            <v>0</v>
          </cell>
        </row>
        <row r="3286">
          <cell r="Q3286">
            <v>-11070.63</v>
          </cell>
          <cell r="T3286">
            <v>0</v>
          </cell>
        </row>
        <row r="3287">
          <cell r="Q3287">
            <v>-11070.63</v>
          </cell>
          <cell r="T3287">
            <v>0</v>
          </cell>
        </row>
        <row r="3288">
          <cell r="Q3288">
            <v>-11233.28</v>
          </cell>
          <cell r="T3288">
            <v>0</v>
          </cell>
        </row>
        <row r="3289">
          <cell r="Q3289">
            <v>-10087.99</v>
          </cell>
          <cell r="T3289">
            <v>0</v>
          </cell>
        </row>
        <row r="3290">
          <cell r="Q3290">
            <v>-10087.99</v>
          </cell>
          <cell r="T3290">
            <v>0</v>
          </cell>
        </row>
        <row r="3291">
          <cell r="Q3291">
            <v>-4175.8900000000003</v>
          </cell>
          <cell r="T3291">
            <v>0</v>
          </cell>
        </row>
        <row r="3292">
          <cell r="Q3292">
            <v>-11064.25</v>
          </cell>
          <cell r="T3292">
            <v>0</v>
          </cell>
        </row>
        <row r="3293">
          <cell r="Q3293">
            <v>-10997.28</v>
          </cell>
          <cell r="T3293">
            <v>0</v>
          </cell>
        </row>
        <row r="3294">
          <cell r="Q3294">
            <v>-11566.3</v>
          </cell>
          <cell r="T3294">
            <v>0</v>
          </cell>
        </row>
        <row r="3295">
          <cell r="Q3295">
            <v>-9755.3799999999992</v>
          </cell>
          <cell r="T3295">
            <v>0</v>
          </cell>
        </row>
        <row r="3296">
          <cell r="Q3296">
            <v>-10412.469999999999</v>
          </cell>
          <cell r="T3296">
            <v>0</v>
          </cell>
        </row>
        <row r="3297">
          <cell r="Q3297">
            <v>-11010.03</v>
          </cell>
          <cell r="T3297">
            <v>0</v>
          </cell>
        </row>
        <row r="3298">
          <cell r="Q3298">
            <v>-10974.95</v>
          </cell>
          <cell r="T3298">
            <v>0</v>
          </cell>
        </row>
        <row r="3299">
          <cell r="Q3299">
            <v>-10965.39</v>
          </cell>
          <cell r="T3299">
            <v>0</v>
          </cell>
        </row>
        <row r="3300">
          <cell r="Q3300">
            <v>-10946.25</v>
          </cell>
          <cell r="T3300">
            <v>0</v>
          </cell>
        </row>
        <row r="3301">
          <cell r="Q3301">
            <v>-10962.2</v>
          </cell>
          <cell r="T3301">
            <v>0</v>
          </cell>
        </row>
        <row r="3302">
          <cell r="Q3302">
            <v>-10952.63</v>
          </cell>
          <cell r="T3302">
            <v>0</v>
          </cell>
        </row>
        <row r="3303">
          <cell r="Q3303">
            <v>-10952.63</v>
          </cell>
          <cell r="T3303">
            <v>0</v>
          </cell>
        </row>
        <row r="3304">
          <cell r="Q3304">
            <v>-10952.63</v>
          </cell>
          <cell r="T3304">
            <v>0</v>
          </cell>
        </row>
        <row r="3305">
          <cell r="Q3305">
            <v>-10949.44</v>
          </cell>
          <cell r="T3305">
            <v>0</v>
          </cell>
        </row>
        <row r="3306">
          <cell r="Q3306">
            <v>-6774.7</v>
          </cell>
          <cell r="T3306">
            <v>0</v>
          </cell>
        </row>
        <row r="3307">
          <cell r="Q3307">
            <v>-8147.24</v>
          </cell>
          <cell r="T3307">
            <v>0</v>
          </cell>
        </row>
        <row r="3308">
          <cell r="Q3308">
            <v>-10907.98</v>
          </cell>
          <cell r="T3308">
            <v>0</v>
          </cell>
        </row>
        <row r="3309">
          <cell r="Q3309">
            <v>-10879.28</v>
          </cell>
          <cell r="T3309">
            <v>0</v>
          </cell>
        </row>
        <row r="3310">
          <cell r="Q3310">
            <v>-10879.28</v>
          </cell>
          <cell r="T3310">
            <v>0</v>
          </cell>
        </row>
        <row r="3311">
          <cell r="Q3311">
            <v>-10895.22</v>
          </cell>
          <cell r="T3311">
            <v>0</v>
          </cell>
        </row>
        <row r="3312">
          <cell r="Q3312">
            <v>-10920.73</v>
          </cell>
          <cell r="T3312">
            <v>0</v>
          </cell>
        </row>
        <row r="3313">
          <cell r="Q3313">
            <v>-10891.68</v>
          </cell>
          <cell r="T3313">
            <v>0</v>
          </cell>
        </row>
        <row r="3314">
          <cell r="Q3314">
            <v>-4406.6499999999996</v>
          </cell>
          <cell r="T3314">
            <v>0</v>
          </cell>
        </row>
        <row r="3315">
          <cell r="Q3315">
            <v>-4469.45</v>
          </cell>
          <cell r="T3315">
            <v>0</v>
          </cell>
        </row>
        <row r="3316">
          <cell r="Q3316">
            <v>-10793.17</v>
          </cell>
          <cell r="T3316">
            <v>0</v>
          </cell>
        </row>
        <row r="3317">
          <cell r="Q3317">
            <v>-10955.82</v>
          </cell>
          <cell r="T3317">
            <v>0</v>
          </cell>
        </row>
        <row r="3318">
          <cell r="Q3318">
            <v>-4843</v>
          </cell>
          <cell r="T3318">
            <v>0</v>
          </cell>
        </row>
        <row r="3319">
          <cell r="Q3319">
            <v>-3798</v>
          </cell>
          <cell r="T3319">
            <v>0</v>
          </cell>
        </row>
        <row r="3320">
          <cell r="Q3320">
            <v>-2732.43</v>
          </cell>
          <cell r="T3320">
            <v>0</v>
          </cell>
        </row>
        <row r="3321">
          <cell r="Q3321">
            <v>-2680.64</v>
          </cell>
          <cell r="T3321">
            <v>0</v>
          </cell>
        </row>
        <row r="3322">
          <cell r="Q3322">
            <v>-2557.54</v>
          </cell>
          <cell r="T3322">
            <v>0</v>
          </cell>
        </row>
        <row r="3323">
          <cell r="Q3323">
            <v>-5626.13</v>
          </cell>
          <cell r="T3323">
            <v>0</v>
          </cell>
        </row>
        <row r="3324">
          <cell r="Q3324">
            <v>-914.07</v>
          </cell>
          <cell r="T3324">
            <v>0</v>
          </cell>
        </row>
        <row r="3325">
          <cell r="Q3325">
            <v>-14701.03</v>
          </cell>
          <cell r="T3325">
            <v>0</v>
          </cell>
        </row>
        <row r="3326">
          <cell r="Q3326">
            <v>-4569.72</v>
          </cell>
          <cell r="T3326">
            <v>0</v>
          </cell>
        </row>
        <row r="3327">
          <cell r="Q3327">
            <v>-2139.04</v>
          </cell>
          <cell r="T3327">
            <v>0</v>
          </cell>
        </row>
        <row r="3328">
          <cell r="Q3328">
            <v>-2194.59</v>
          </cell>
          <cell r="T3328">
            <v>0</v>
          </cell>
        </row>
        <row r="3329">
          <cell r="Q3329">
            <v>-2834.95</v>
          </cell>
          <cell r="T3329">
            <v>0</v>
          </cell>
        </row>
        <row r="3330">
          <cell r="Q3330">
            <v>-7864.8</v>
          </cell>
          <cell r="T3330">
            <v>0</v>
          </cell>
        </row>
        <row r="3331">
          <cell r="Q3331">
            <v>-56653.72</v>
          </cell>
          <cell r="T3331">
            <v>0</v>
          </cell>
        </row>
        <row r="3332">
          <cell r="Q3332">
            <v>-9112.5300000000007</v>
          </cell>
          <cell r="T3332">
            <v>0</v>
          </cell>
        </row>
        <row r="3333">
          <cell r="Q3333">
            <v>-3990.49</v>
          </cell>
          <cell r="T3333">
            <v>0</v>
          </cell>
        </row>
        <row r="3334">
          <cell r="Q3334">
            <v>-11078.13</v>
          </cell>
          <cell r="T3334">
            <v>0</v>
          </cell>
        </row>
        <row r="3335">
          <cell r="Q3335">
            <v>-10342.799999999999</v>
          </cell>
          <cell r="T3335">
            <v>0</v>
          </cell>
        </row>
        <row r="3336">
          <cell r="Q3336">
            <v>-15529.41</v>
          </cell>
          <cell r="T3336">
            <v>0</v>
          </cell>
        </row>
        <row r="3337">
          <cell r="Q3337">
            <v>-10295.780000000001</v>
          </cell>
          <cell r="T3337">
            <v>0</v>
          </cell>
        </row>
        <row r="3338">
          <cell r="Q3338">
            <v>-6719.53</v>
          </cell>
          <cell r="T3338">
            <v>0</v>
          </cell>
        </row>
        <row r="3339">
          <cell r="Q3339">
            <v>-10853.23</v>
          </cell>
          <cell r="T3339">
            <v>0</v>
          </cell>
        </row>
        <row r="3340">
          <cell r="Q3340">
            <v>-1064.75</v>
          </cell>
          <cell r="T3340">
            <v>0</v>
          </cell>
        </row>
        <row r="3341">
          <cell r="Q3341">
            <v>-20012.2</v>
          </cell>
          <cell r="T3341">
            <v>0</v>
          </cell>
        </row>
        <row r="3342">
          <cell r="Q3342">
            <v>-11947.59</v>
          </cell>
          <cell r="T3342">
            <v>0</v>
          </cell>
        </row>
        <row r="3343">
          <cell r="Q3343">
            <v>-45699.51</v>
          </cell>
          <cell r="T3343">
            <v>0</v>
          </cell>
        </row>
        <row r="3344">
          <cell r="Q3344">
            <v>-21401.24</v>
          </cell>
          <cell r="T3344">
            <v>0</v>
          </cell>
        </row>
        <row r="3345">
          <cell r="Q3345">
            <v>-7115</v>
          </cell>
          <cell r="T3345">
            <v>0</v>
          </cell>
        </row>
        <row r="3346">
          <cell r="Q3346">
            <v>-5797.53</v>
          </cell>
          <cell r="T3346">
            <v>0</v>
          </cell>
        </row>
        <row r="3347">
          <cell r="Q3347">
            <v>-9401.27</v>
          </cell>
          <cell r="T3347">
            <v>0</v>
          </cell>
        </row>
        <row r="3348">
          <cell r="Q3348">
            <v>-4839.76</v>
          </cell>
          <cell r="T3348">
            <v>0</v>
          </cell>
        </row>
        <row r="3349">
          <cell r="Q3349">
            <v>-4174.22</v>
          </cell>
          <cell r="T3349">
            <v>0</v>
          </cell>
        </row>
        <row r="3350">
          <cell r="Q3350">
            <v>-2877.56</v>
          </cell>
          <cell r="T3350">
            <v>0</v>
          </cell>
        </row>
        <row r="3351">
          <cell r="Q3351">
            <v>-7382.74</v>
          </cell>
          <cell r="T3351">
            <v>0</v>
          </cell>
        </row>
        <row r="3352">
          <cell r="Q3352">
            <v>-1590.55</v>
          </cell>
          <cell r="T3352">
            <v>0</v>
          </cell>
        </row>
        <row r="3353">
          <cell r="Q3353">
            <v>-1504.58</v>
          </cell>
          <cell r="T3353">
            <v>0</v>
          </cell>
        </row>
        <row r="3354">
          <cell r="Q3354">
            <v>-1472.8</v>
          </cell>
          <cell r="T3354">
            <v>0</v>
          </cell>
        </row>
        <row r="3355">
          <cell r="Q3355">
            <v>-6990.71</v>
          </cell>
          <cell r="T3355">
            <v>0</v>
          </cell>
        </row>
        <row r="3356">
          <cell r="Q3356">
            <v>-2381.08</v>
          </cell>
          <cell r="T3356">
            <v>0</v>
          </cell>
        </row>
        <row r="3357">
          <cell r="Q3357">
            <v>-4589.26</v>
          </cell>
          <cell r="T3357">
            <v>0</v>
          </cell>
        </row>
        <row r="3358">
          <cell r="Q3358">
            <v>-2536.17</v>
          </cell>
          <cell r="T3358">
            <v>0</v>
          </cell>
        </row>
        <row r="3359">
          <cell r="Q3359">
            <v>-4150.42</v>
          </cell>
          <cell r="T3359">
            <v>0</v>
          </cell>
        </row>
        <row r="3360">
          <cell r="Q3360">
            <v>-4387.59</v>
          </cell>
          <cell r="T3360">
            <v>0</v>
          </cell>
        </row>
        <row r="3361">
          <cell r="Q3361">
            <v>-15363.64</v>
          </cell>
          <cell r="T3361">
            <v>0</v>
          </cell>
        </row>
        <row r="3362">
          <cell r="Q3362">
            <v>-2182.0500000000002</v>
          </cell>
          <cell r="T3362">
            <v>0</v>
          </cell>
        </row>
        <row r="3363">
          <cell r="Q3363">
            <v>-3412.28</v>
          </cell>
          <cell r="T3363">
            <v>0</v>
          </cell>
        </row>
        <row r="3364">
          <cell r="Q3364">
            <v>-4657.45</v>
          </cell>
          <cell r="T3364">
            <v>0</v>
          </cell>
        </row>
        <row r="3365">
          <cell r="Q3365">
            <v>-6504.82</v>
          </cell>
          <cell r="T3365">
            <v>0</v>
          </cell>
        </row>
        <row r="3366">
          <cell r="Q3366">
            <v>-2947.02</v>
          </cell>
          <cell r="T3366">
            <v>0</v>
          </cell>
        </row>
        <row r="3367">
          <cell r="Q3367">
            <v>-2486.89</v>
          </cell>
          <cell r="T3367">
            <v>0</v>
          </cell>
        </row>
        <row r="3368">
          <cell r="Q3368">
            <v>-2968.16</v>
          </cell>
          <cell r="T3368">
            <v>0</v>
          </cell>
        </row>
        <row r="3369">
          <cell r="Q3369">
            <v>-5936.32</v>
          </cell>
          <cell r="T3369">
            <v>0</v>
          </cell>
        </row>
        <row r="3370">
          <cell r="Q3370">
            <v>-4925.8</v>
          </cell>
          <cell r="T3370">
            <v>0</v>
          </cell>
        </row>
        <row r="3371">
          <cell r="Q3371">
            <v>-2950.54</v>
          </cell>
          <cell r="T3371">
            <v>0</v>
          </cell>
        </row>
        <row r="3372">
          <cell r="Q3372">
            <v>-5594.59</v>
          </cell>
          <cell r="T3372">
            <v>0</v>
          </cell>
        </row>
        <row r="3373">
          <cell r="Q3373">
            <v>-1857.23</v>
          </cell>
          <cell r="T3373">
            <v>0</v>
          </cell>
        </row>
        <row r="3374">
          <cell r="Q3374">
            <v>-11897.43</v>
          </cell>
          <cell r="T3374">
            <v>0</v>
          </cell>
        </row>
        <row r="3375">
          <cell r="Q3375">
            <v>-1877.78</v>
          </cell>
          <cell r="T3375">
            <v>0</v>
          </cell>
        </row>
        <row r="3376">
          <cell r="Q3376">
            <v>-2287.63</v>
          </cell>
          <cell r="T3376">
            <v>0</v>
          </cell>
        </row>
        <row r="3377">
          <cell r="Q3377">
            <v>-1256.55</v>
          </cell>
          <cell r="T3377">
            <v>0</v>
          </cell>
        </row>
        <row r="3378">
          <cell r="Q3378">
            <v>-1434.47</v>
          </cell>
          <cell r="T3378">
            <v>0</v>
          </cell>
        </row>
        <row r="3379">
          <cell r="Q3379">
            <v>-1214.8599999999999</v>
          </cell>
          <cell r="T3379">
            <v>0</v>
          </cell>
        </row>
        <row r="3380">
          <cell r="Q3380">
            <v>-624.75</v>
          </cell>
          <cell r="T3380">
            <v>0</v>
          </cell>
        </row>
        <row r="3381">
          <cell r="Q3381">
            <v>-68323.070000000007</v>
          </cell>
          <cell r="T3381">
            <v>0</v>
          </cell>
        </row>
        <row r="3382">
          <cell r="Q3382">
            <v>-309082.53999999998</v>
          </cell>
          <cell r="T3382">
            <v>0</v>
          </cell>
        </row>
        <row r="3383">
          <cell r="Q3383">
            <v>-18623.39</v>
          </cell>
          <cell r="T3383">
            <v>0</v>
          </cell>
        </row>
        <row r="3384">
          <cell r="Q3384">
            <v>-4654.18</v>
          </cell>
          <cell r="T3384">
            <v>0</v>
          </cell>
        </row>
        <row r="3385">
          <cell r="Q3385">
            <v>-3749.46</v>
          </cell>
          <cell r="T3385">
            <v>0</v>
          </cell>
        </row>
        <row r="3386">
          <cell r="Q3386">
            <v>-5202.72</v>
          </cell>
          <cell r="T3386">
            <v>0</v>
          </cell>
        </row>
        <row r="3387">
          <cell r="Q3387">
            <v>-1306.9100000000001</v>
          </cell>
          <cell r="T3387">
            <v>0</v>
          </cell>
        </row>
        <row r="3388">
          <cell r="Q3388">
            <v>-1531.82</v>
          </cell>
          <cell r="T3388">
            <v>0</v>
          </cell>
        </row>
        <row r="3389">
          <cell r="Q3389">
            <v>-1215.73</v>
          </cell>
          <cell r="T3389">
            <v>0</v>
          </cell>
        </row>
        <row r="3390">
          <cell r="Q3390">
            <v>-44864.25</v>
          </cell>
          <cell r="T3390">
            <v>0</v>
          </cell>
        </row>
        <row r="3391">
          <cell r="Q3391">
            <v>-76411.64</v>
          </cell>
          <cell r="T3391">
            <v>0</v>
          </cell>
        </row>
        <row r="3392">
          <cell r="Q3392">
            <v>-21961.42</v>
          </cell>
          <cell r="T3392">
            <v>0</v>
          </cell>
        </row>
        <row r="3393">
          <cell r="Q3393">
            <v>-3135.15</v>
          </cell>
          <cell r="T3393">
            <v>0</v>
          </cell>
        </row>
        <row r="3394">
          <cell r="Q3394">
            <v>-3588.94</v>
          </cell>
          <cell r="T3394">
            <v>0</v>
          </cell>
        </row>
        <row r="3395">
          <cell r="Q3395">
            <v>-1847.36</v>
          </cell>
          <cell r="T3395">
            <v>0</v>
          </cell>
        </row>
        <row r="3396">
          <cell r="Q3396">
            <v>-5628.67</v>
          </cell>
          <cell r="T3396">
            <v>0</v>
          </cell>
        </row>
        <row r="3397">
          <cell r="Q3397">
            <v>-10092.73</v>
          </cell>
          <cell r="T3397">
            <v>0</v>
          </cell>
        </row>
        <row r="3398">
          <cell r="Q3398">
            <v>-5384.19</v>
          </cell>
          <cell r="T3398">
            <v>0</v>
          </cell>
        </row>
        <row r="3399">
          <cell r="Q3399">
            <v>-10710.49</v>
          </cell>
          <cell r="T3399">
            <v>0</v>
          </cell>
        </row>
        <row r="3400">
          <cell r="Q3400">
            <v>-3310.77</v>
          </cell>
          <cell r="T3400">
            <v>0</v>
          </cell>
        </row>
        <row r="3401">
          <cell r="Q3401">
            <v>-2017.99</v>
          </cell>
          <cell r="T3401">
            <v>0</v>
          </cell>
        </row>
        <row r="3402">
          <cell r="Q3402">
            <v>-10735.76</v>
          </cell>
          <cell r="T3402">
            <v>0</v>
          </cell>
        </row>
        <row r="3403">
          <cell r="Q3403">
            <v>-2851.06</v>
          </cell>
          <cell r="T3403">
            <v>0</v>
          </cell>
        </row>
        <row r="3404">
          <cell r="Q3404">
            <v>-7804.03</v>
          </cell>
          <cell r="T3404">
            <v>0</v>
          </cell>
        </row>
        <row r="3405">
          <cell r="Q3405">
            <v>-11587.03</v>
          </cell>
          <cell r="T3405">
            <v>0</v>
          </cell>
        </row>
        <row r="3406">
          <cell r="Q3406">
            <v>-10003.26</v>
          </cell>
          <cell r="T3406">
            <v>0</v>
          </cell>
        </row>
        <row r="3407">
          <cell r="Q3407">
            <v>-4817.4399999999996</v>
          </cell>
          <cell r="T3407">
            <v>0</v>
          </cell>
        </row>
        <row r="3408">
          <cell r="Q3408">
            <v>-10390.549999999999</v>
          </cell>
          <cell r="T3408">
            <v>0</v>
          </cell>
        </row>
        <row r="3409">
          <cell r="Q3409">
            <v>-7192.95</v>
          </cell>
          <cell r="T3409">
            <v>0</v>
          </cell>
        </row>
        <row r="3410">
          <cell r="Q3410">
            <v>-3542.8</v>
          </cell>
          <cell r="T3410">
            <v>0</v>
          </cell>
        </row>
        <row r="3411">
          <cell r="Q3411">
            <v>-10640.94</v>
          </cell>
          <cell r="T3411">
            <v>0</v>
          </cell>
        </row>
        <row r="3412">
          <cell r="Q3412">
            <v>-10682.66</v>
          </cell>
          <cell r="T3412">
            <v>0</v>
          </cell>
        </row>
        <row r="3413">
          <cell r="Q3413">
            <v>-4065.69</v>
          </cell>
          <cell r="T3413">
            <v>0</v>
          </cell>
        </row>
        <row r="3414">
          <cell r="Q3414">
            <v>-6567.65</v>
          </cell>
          <cell r="T3414">
            <v>0</v>
          </cell>
        </row>
        <row r="3415">
          <cell r="Q3415">
            <v>-6239.3</v>
          </cell>
          <cell r="T3415">
            <v>0</v>
          </cell>
        </row>
        <row r="3416">
          <cell r="Q3416">
            <v>-4367.5</v>
          </cell>
          <cell r="T3416">
            <v>0</v>
          </cell>
        </row>
        <row r="3417">
          <cell r="Q3417">
            <v>-5774.56</v>
          </cell>
          <cell r="T3417">
            <v>0</v>
          </cell>
        </row>
        <row r="3418">
          <cell r="Q3418">
            <v>-9890.06</v>
          </cell>
          <cell r="T3418">
            <v>0</v>
          </cell>
        </row>
        <row r="3419">
          <cell r="Q3419">
            <v>-10511.98</v>
          </cell>
          <cell r="T3419">
            <v>0</v>
          </cell>
        </row>
        <row r="3420">
          <cell r="Q3420">
            <v>-8344.74</v>
          </cell>
          <cell r="T3420">
            <v>0</v>
          </cell>
        </row>
        <row r="3421">
          <cell r="Q3421">
            <v>-1236.26</v>
          </cell>
          <cell r="T3421">
            <v>0</v>
          </cell>
        </row>
        <row r="3422">
          <cell r="Q3422">
            <v>-927.2</v>
          </cell>
          <cell r="T3422">
            <v>0</v>
          </cell>
        </row>
        <row r="3423">
          <cell r="Q3423">
            <v>-2222.85</v>
          </cell>
          <cell r="T3423">
            <v>0</v>
          </cell>
        </row>
        <row r="3424">
          <cell r="Q3424">
            <v>-1106.49</v>
          </cell>
          <cell r="T3424">
            <v>0</v>
          </cell>
        </row>
        <row r="3425">
          <cell r="Q3425">
            <v>-5252.2</v>
          </cell>
          <cell r="T3425">
            <v>0</v>
          </cell>
        </row>
        <row r="3426">
          <cell r="Q3426">
            <v>-5252.2</v>
          </cell>
          <cell r="T3426">
            <v>0</v>
          </cell>
        </row>
        <row r="3427">
          <cell r="Q3427">
            <v>-9632.36</v>
          </cell>
          <cell r="T3427">
            <v>0</v>
          </cell>
        </row>
        <row r="3428">
          <cell r="Q3428">
            <v>-864.45</v>
          </cell>
          <cell r="T3428">
            <v>0</v>
          </cell>
        </row>
        <row r="3429">
          <cell r="Q3429">
            <v>-6035.79</v>
          </cell>
          <cell r="T3429">
            <v>0</v>
          </cell>
        </row>
        <row r="3430">
          <cell r="Q3430">
            <v>-2463.59</v>
          </cell>
          <cell r="T3430">
            <v>0</v>
          </cell>
        </row>
        <row r="3431">
          <cell r="Q3431">
            <v>-1970.87</v>
          </cell>
          <cell r="T3431">
            <v>0</v>
          </cell>
        </row>
        <row r="3432">
          <cell r="Q3432">
            <v>-10436.120000000001</v>
          </cell>
          <cell r="T3432">
            <v>0</v>
          </cell>
        </row>
        <row r="3433">
          <cell r="Q3433">
            <v>-5912.49</v>
          </cell>
          <cell r="T3433">
            <v>0</v>
          </cell>
        </row>
        <row r="3434">
          <cell r="Q3434">
            <v>-4667.75</v>
          </cell>
          <cell r="T3434">
            <v>0</v>
          </cell>
        </row>
        <row r="3435">
          <cell r="Q3435">
            <v>-6574.59</v>
          </cell>
          <cell r="T3435">
            <v>0</v>
          </cell>
        </row>
        <row r="3436">
          <cell r="Q3436">
            <v>-10735.76</v>
          </cell>
          <cell r="T3436">
            <v>0</v>
          </cell>
        </row>
        <row r="3437">
          <cell r="Q3437">
            <v>-23446.69</v>
          </cell>
          <cell r="T3437">
            <v>0</v>
          </cell>
        </row>
        <row r="3438">
          <cell r="Q3438">
            <v>-6694.06</v>
          </cell>
          <cell r="T3438">
            <v>0</v>
          </cell>
        </row>
        <row r="3439">
          <cell r="Q3439">
            <v>-2210.3000000000002</v>
          </cell>
          <cell r="T3439">
            <v>0</v>
          </cell>
        </row>
        <row r="3440">
          <cell r="Q3440">
            <v>-10735.76</v>
          </cell>
          <cell r="T3440">
            <v>0</v>
          </cell>
        </row>
        <row r="3441">
          <cell r="Q3441">
            <v>-5316.17</v>
          </cell>
          <cell r="T3441">
            <v>0</v>
          </cell>
        </row>
        <row r="3442">
          <cell r="Q3442">
            <v>-4725.4799999999996</v>
          </cell>
          <cell r="T3442">
            <v>0</v>
          </cell>
        </row>
        <row r="3443">
          <cell r="Q3443">
            <v>-5198.04</v>
          </cell>
          <cell r="T3443">
            <v>0</v>
          </cell>
        </row>
        <row r="3444">
          <cell r="Q3444">
            <v>-4843.62</v>
          </cell>
          <cell r="T3444">
            <v>0</v>
          </cell>
        </row>
        <row r="3445">
          <cell r="Q3445">
            <v>-6497.55</v>
          </cell>
          <cell r="T3445">
            <v>0</v>
          </cell>
        </row>
        <row r="3446">
          <cell r="Q3446">
            <v>-3544.11</v>
          </cell>
          <cell r="T3446">
            <v>0</v>
          </cell>
        </row>
        <row r="3447">
          <cell r="Q3447">
            <v>-9950.6299999999992</v>
          </cell>
          <cell r="T3447">
            <v>0</v>
          </cell>
        </row>
        <row r="3448">
          <cell r="Q3448">
            <v>-5441.51</v>
          </cell>
          <cell r="T3448">
            <v>0</v>
          </cell>
        </row>
        <row r="3449">
          <cell r="Q3449">
            <v>-9927.8700000000008</v>
          </cell>
          <cell r="T3449">
            <v>0</v>
          </cell>
        </row>
        <row r="3450">
          <cell r="Q3450">
            <v>-1745.28</v>
          </cell>
          <cell r="T3450">
            <v>0</v>
          </cell>
        </row>
        <row r="3451">
          <cell r="Q3451">
            <v>-5184.79</v>
          </cell>
          <cell r="T3451">
            <v>0</v>
          </cell>
        </row>
        <row r="3452">
          <cell r="Q3452">
            <v>-4663.42</v>
          </cell>
          <cell r="T3452">
            <v>0</v>
          </cell>
        </row>
        <row r="3453">
          <cell r="Q3453">
            <v>-5205.74</v>
          </cell>
          <cell r="T3453">
            <v>0</v>
          </cell>
        </row>
        <row r="3454">
          <cell r="Q3454">
            <v>-2024.45</v>
          </cell>
          <cell r="T3454">
            <v>0</v>
          </cell>
        </row>
        <row r="3455">
          <cell r="Q3455">
            <v>-2602.87</v>
          </cell>
          <cell r="T3455">
            <v>0</v>
          </cell>
        </row>
        <row r="3456">
          <cell r="Q3456">
            <v>-2714.35</v>
          </cell>
          <cell r="T3456">
            <v>0</v>
          </cell>
        </row>
        <row r="3457">
          <cell r="Q3457">
            <v>-5206.7299999999996</v>
          </cell>
          <cell r="T3457">
            <v>0</v>
          </cell>
        </row>
        <row r="3458">
          <cell r="Q3458">
            <v>-4520.13</v>
          </cell>
          <cell r="T3458">
            <v>0</v>
          </cell>
        </row>
        <row r="3459">
          <cell r="Q3459">
            <v>-9122.5400000000009</v>
          </cell>
          <cell r="T3459">
            <v>0</v>
          </cell>
        </row>
        <row r="3460">
          <cell r="Q3460">
            <v>-5117.21</v>
          </cell>
          <cell r="T3460">
            <v>0</v>
          </cell>
        </row>
        <row r="3461">
          <cell r="Q3461">
            <v>-8567.43</v>
          </cell>
          <cell r="T3461">
            <v>0</v>
          </cell>
        </row>
        <row r="3462">
          <cell r="Q3462">
            <v>-5277.11</v>
          </cell>
          <cell r="T3462">
            <v>0</v>
          </cell>
        </row>
        <row r="3463">
          <cell r="Q3463">
            <v>-376.55</v>
          </cell>
          <cell r="T3463">
            <v>0</v>
          </cell>
        </row>
        <row r="3464">
          <cell r="Q3464">
            <v>-1012.91</v>
          </cell>
          <cell r="T3464">
            <v>0</v>
          </cell>
        </row>
        <row r="3465">
          <cell r="Q3465">
            <v>-122405.74</v>
          </cell>
          <cell r="T3465">
            <v>0</v>
          </cell>
        </row>
        <row r="3466">
          <cell r="Q3466">
            <v>-10451.81</v>
          </cell>
          <cell r="T3466">
            <v>0</v>
          </cell>
        </row>
        <row r="3467">
          <cell r="Q3467">
            <v>-1078.03</v>
          </cell>
          <cell r="T3467">
            <v>0</v>
          </cell>
        </row>
        <row r="3468">
          <cell r="Q3468">
            <v>-42051.47</v>
          </cell>
          <cell r="T3468">
            <v>0</v>
          </cell>
        </row>
        <row r="3469">
          <cell r="Q3469">
            <v>-2583.83</v>
          </cell>
          <cell r="T3469">
            <v>0</v>
          </cell>
        </row>
        <row r="3470">
          <cell r="Q3470">
            <v>-191073.1</v>
          </cell>
          <cell r="T3470">
            <v>0</v>
          </cell>
        </row>
        <row r="3471">
          <cell r="Q3471">
            <v>-2171.6999999999998</v>
          </cell>
          <cell r="T3471">
            <v>0</v>
          </cell>
        </row>
        <row r="3472">
          <cell r="Q3472">
            <v>-2114.54</v>
          </cell>
          <cell r="T3472">
            <v>0</v>
          </cell>
        </row>
        <row r="3473">
          <cell r="Q3473">
            <v>-1885.94</v>
          </cell>
          <cell r="T3473">
            <v>0</v>
          </cell>
        </row>
        <row r="3474">
          <cell r="Q3474">
            <v>-457.2</v>
          </cell>
          <cell r="T3474">
            <v>0</v>
          </cell>
        </row>
        <row r="3475">
          <cell r="Q3475">
            <v>-971.55</v>
          </cell>
          <cell r="T3475">
            <v>0</v>
          </cell>
        </row>
        <row r="3476">
          <cell r="Q3476">
            <v>-2000.25</v>
          </cell>
          <cell r="T3476">
            <v>0</v>
          </cell>
        </row>
        <row r="3477">
          <cell r="Q3477">
            <v>-6438.86</v>
          </cell>
          <cell r="T3477">
            <v>0</v>
          </cell>
        </row>
        <row r="3478">
          <cell r="Q3478">
            <v>-7050.75</v>
          </cell>
          <cell r="T3478">
            <v>0</v>
          </cell>
        </row>
        <row r="3479">
          <cell r="Q3479">
            <v>-9002.0400000000009</v>
          </cell>
          <cell r="T3479">
            <v>0</v>
          </cell>
        </row>
        <row r="3480">
          <cell r="Q3480">
            <v>-2709.72</v>
          </cell>
          <cell r="T3480">
            <v>0</v>
          </cell>
        </row>
        <row r="3481">
          <cell r="Q3481">
            <v>-62326.02</v>
          </cell>
          <cell r="T3481">
            <v>0</v>
          </cell>
        </row>
        <row r="3482">
          <cell r="Q3482">
            <v>-18003.689999999999</v>
          </cell>
          <cell r="T3482">
            <v>0</v>
          </cell>
        </row>
        <row r="3483">
          <cell r="Q3483">
            <v>-12869.25</v>
          </cell>
          <cell r="T3483">
            <v>0</v>
          </cell>
        </row>
        <row r="3484">
          <cell r="Q3484">
            <v>-129819.05</v>
          </cell>
          <cell r="T3484">
            <v>0</v>
          </cell>
        </row>
        <row r="3485">
          <cell r="Q3485">
            <v>-8964.0400000000009</v>
          </cell>
          <cell r="T3485">
            <v>0</v>
          </cell>
        </row>
        <row r="3486">
          <cell r="Q3486">
            <v>-128893.46</v>
          </cell>
          <cell r="T3486">
            <v>0</v>
          </cell>
        </row>
        <row r="3487">
          <cell r="Q3487">
            <v>-11822.65</v>
          </cell>
          <cell r="T3487">
            <v>0</v>
          </cell>
        </row>
        <row r="3488">
          <cell r="Q3488">
            <v>-11037.71</v>
          </cell>
          <cell r="T3488">
            <v>0</v>
          </cell>
        </row>
        <row r="3489">
          <cell r="Q3489">
            <v>-6667.07</v>
          </cell>
          <cell r="T3489">
            <v>0</v>
          </cell>
        </row>
        <row r="3490">
          <cell r="Q3490">
            <v>-4288.84</v>
          </cell>
          <cell r="T3490">
            <v>0</v>
          </cell>
        </row>
        <row r="3491">
          <cell r="Q3491">
            <v>-1682.57</v>
          </cell>
          <cell r="T3491">
            <v>0</v>
          </cell>
        </row>
        <row r="3492">
          <cell r="Q3492">
            <v>-88067.42</v>
          </cell>
          <cell r="T3492">
            <v>0</v>
          </cell>
        </row>
        <row r="3493">
          <cell r="Q3493">
            <v>-10084.25</v>
          </cell>
          <cell r="T3493">
            <v>0</v>
          </cell>
        </row>
        <row r="3494">
          <cell r="Q3494">
            <v>-103189.32</v>
          </cell>
          <cell r="T3494">
            <v>0</v>
          </cell>
        </row>
        <row r="3495">
          <cell r="Q3495">
            <v>-10862.26</v>
          </cell>
          <cell r="T3495">
            <v>0</v>
          </cell>
        </row>
        <row r="3496">
          <cell r="Q3496">
            <v>-80442</v>
          </cell>
          <cell r="T3496">
            <v>0</v>
          </cell>
        </row>
        <row r="3497">
          <cell r="Q3497">
            <v>-12623.22</v>
          </cell>
          <cell r="T3497">
            <v>0</v>
          </cell>
        </row>
        <row r="3498">
          <cell r="Q3498">
            <v>-419632.84</v>
          </cell>
          <cell r="T3498">
            <v>0</v>
          </cell>
        </row>
        <row r="3499">
          <cell r="Q3499">
            <v>-11300.7</v>
          </cell>
          <cell r="T3499">
            <v>0</v>
          </cell>
        </row>
        <row r="3500">
          <cell r="Q3500">
            <v>-5713.51</v>
          </cell>
          <cell r="T3500">
            <v>0</v>
          </cell>
        </row>
        <row r="3501">
          <cell r="Q3501">
            <v>-1807.63</v>
          </cell>
          <cell r="T3501">
            <v>0</v>
          </cell>
        </row>
        <row r="3502">
          <cell r="Q3502">
            <v>-2650.64</v>
          </cell>
          <cell r="T3502">
            <v>0</v>
          </cell>
        </row>
        <row r="3503">
          <cell r="Q3503">
            <v>-2734.27</v>
          </cell>
          <cell r="T3503">
            <v>0</v>
          </cell>
        </row>
        <row r="3504">
          <cell r="Q3504">
            <v>-2395.61</v>
          </cell>
          <cell r="T3504">
            <v>0</v>
          </cell>
        </row>
        <row r="3505">
          <cell r="Q3505">
            <v>-921.15</v>
          </cell>
          <cell r="T3505">
            <v>0</v>
          </cell>
        </row>
        <row r="3506">
          <cell r="Q3506">
            <v>-2134.46</v>
          </cell>
          <cell r="T3506">
            <v>0</v>
          </cell>
        </row>
        <row r="3507">
          <cell r="Q3507">
            <v>-3492.73</v>
          </cell>
          <cell r="T3507">
            <v>0</v>
          </cell>
        </row>
        <row r="3508">
          <cell r="Q3508">
            <v>-3492.73</v>
          </cell>
          <cell r="T3508">
            <v>0</v>
          </cell>
        </row>
        <row r="3509">
          <cell r="Q3509">
            <v>-2716.57</v>
          </cell>
          <cell r="T3509">
            <v>0</v>
          </cell>
        </row>
        <row r="3510">
          <cell r="Q3510">
            <v>-2134.46</v>
          </cell>
          <cell r="T3510">
            <v>0</v>
          </cell>
        </row>
        <row r="3511">
          <cell r="Q3511">
            <v>-13330.68</v>
          </cell>
          <cell r="T3511">
            <v>0</v>
          </cell>
        </row>
        <row r="3512">
          <cell r="Q3512">
            <v>-2199.87</v>
          </cell>
          <cell r="T3512">
            <v>0</v>
          </cell>
        </row>
        <row r="3513">
          <cell r="Q3513">
            <v>-4821.4399999999996</v>
          </cell>
          <cell r="T3513">
            <v>0</v>
          </cell>
        </row>
        <row r="3514">
          <cell r="Q3514">
            <v>-5785.72</v>
          </cell>
          <cell r="T3514">
            <v>0</v>
          </cell>
        </row>
        <row r="3515">
          <cell r="Q3515">
            <v>-344.38</v>
          </cell>
          <cell r="T3515">
            <v>0</v>
          </cell>
        </row>
        <row r="3516">
          <cell r="Q3516">
            <v>-309.95</v>
          </cell>
          <cell r="T3516">
            <v>0</v>
          </cell>
        </row>
        <row r="3517">
          <cell r="Q3517">
            <v>-62465.75</v>
          </cell>
          <cell r="T3517">
            <v>0</v>
          </cell>
        </row>
        <row r="3518">
          <cell r="Q3518">
            <v>-10278.24</v>
          </cell>
          <cell r="T3518">
            <v>0</v>
          </cell>
        </row>
        <row r="3519">
          <cell r="Q3519">
            <v>-5848.36</v>
          </cell>
          <cell r="T3519">
            <v>0</v>
          </cell>
        </row>
        <row r="3520">
          <cell r="Q3520">
            <v>-13339.33</v>
          </cell>
          <cell r="T3520">
            <v>0</v>
          </cell>
        </row>
        <row r="3521">
          <cell r="Q3521">
            <v>-7503.37</v>
          </cell>
          <cell r="T3521">
            <v>0</v>
          </cell>
        </row>
        <row r="3522">
          <cell r="Q3522">
            <v>-10421.35</v>
          </cell>
          <cell r="T3522">
            <v>0</v>
          </cell>
        </row>
        <row r="3523">
          <cell r="Q3523">
            <v>-24703.79</v>
          </cell>
          <cell r="T3523">
            <v>0</v>
          </cell>
        </row>
        <row r="3524">
          <cell r="Q3524">
            <v>-17075.55</v>
          </cell>
          <cell r="T3524">
            <v>0</v>
          </cell>
        </row>
        <row r="3525">
          <cell r="Q3525">
            <v>-18049.63</v>
          </cell>
          <cell r="T3525">
            <v>0</v>
          </cell>
        </row>
        <row r="3526">
          <cell r="Q3526">
            <v>-16209.3</v>
          </cell>
          <cell r="T3526">
            <v>0</v>
          </cell>
        </row>
        <row r="3527">
          <cell r="Q3527">
            <v>-16380.86</v>
          </cell>
          <cell r="T3527">
            <v>0</v>
          </cell>
        </row>
        <row r="3528">
          <cell r="Q3528">
            <v>-5389.78</v>
          </cell>
          <cell r="T3528">
            <v>0</v>
          </cell>
        </row>
        <row r="3529">
          <cell r="Q3529">
            <v>-22189.52</v>
          </cell>
          <cell r="T3529">
            <v>0</v>
          </cell>
        </row>
        <row r="3530">
          <cell r="Q3530">
            <v>-182359.64</v>
          </cell>
          <cell r="T3530">
            <v>0</v>
          </cell>
        </row>
        <row r="3531">
          <cell r="Q3531">
            <v>-7756.74</v>
          </cell>
          <cell r="T3531">
            <v>0</v>
          </cell>
        </row>
        <row r="3532">
          <cell r="Q3532">
            <v>-2715.1</v>
          </cell>
          <cell r="T3532">
            <v>0</v>
          </cell>
        </row>
        <row r="3533">
          <cell r="Q3533">
            <v>-35896.31</v>
          </cell>
          <cell r="T3533">
            <v>0</v>
          </cell>
        </row>
        <row r="3534">
          <cell r="Q3534">
            <v>-702512.65</v>
          </cell>
          <cell r="T3534">
            <v>0</v>
          </cell>
        </row>
        <row r="3535">
          <cell r="Q3535">
            <v>-59202.46</v>
          </cell>
          <cell r="T3535">
            <v>0</v>
          </cell>
        </row>
        <row r="3536">
          <cell r="Q3536">
            <v>-1788.41</v>
          </cell>
          <cell r="T3536">
            <v>0</v>
          </cell>
        </row>
        <row r="3537">
          <cell r="Q3537">
            <v>-285.93</v>
          </cell>
          <cell r="T3537">
            <v>0</v>
          </cell>
        </row>
        <row r="3538">
          <cell r="Q3538">
            <v>-274.58999999999997</v>
          </cell>
          <cell r="T3538">
            <v>0</v>
          </cell>
        </row>
        <row r="3539">
          <cell r="Q3539">
            <v>-4170.47</v>
          </cell>
          <cell r="T3539">
            <v>0</v>
          </cell>
        </row>
        <row r="3540">
          <cell r="Q3540">
            <v>-5103.78</v>
          </cell>
          <cell r="T3540">
            <v>0</v>
          </cell>
        </row>
        <row r="3541">
          <cell r="Q3541">
            <v>-1189.0899999999999</v>
          </cell>
          <cell r="T3541">
            <v>0</v>
          </cell>
        </row>
        <row r="3542">
          <cell r="Q3542">
            <v>-1629.47</v>
          </cell>
          <cell r="T3542">
            <v>0</v>
          </cell>
        </row>
        <row r="3543">
          <cell r="Q3543">
            <v>-176169.35</v>
          </cell>
          <cell r="T3543">
            <v>0</v>
          </cell>
        </row>
        <row r="3544">
          <cell r="Q3544">
            <v>-2525.1799999999998</v>
          </cell>
          <cell r="T3544">
            <v>0</v>
          </cell>
        </row>
        <row r="3545">
          <cell r="Q3545">
            <v>-584</v>
          </cell>
          <cell r="T3545">
            <v>0</v>
          </cell>
        </row>
        <row r="3546">
          <cell r="Q3546">
            <v>-11091.21</v>
          </cell>
          <cell r="T3546">
            <v>0</v>
          </cell>
        </row>
        <row r="3547">
          <cell r="Q3547">
            <v>-48968.46</v>
          </cell>
          <cell r="T3547">
            <v>0</v>
          </cell>
        </row>
        <row r="3548">
          <cell r="Q3548">
            <v>-4293.37</v>
          </cell>
          <cell r="T3548">
            <v>0</v>
          </cell>
        </row>
        <row r="3549">
          <cell r="Q3549">
            <v>-53667.16</v>
          </cell>
          <cell r="T3549">
            <v>0</v>
          </cell>
        </row>
        <row r="3550">
          <cell r="Q3550">
            <v>-3220.02</v>
          </cell>
          <cell r="T3550">
            <v>0</v>
          </cell>
        </row>
        <row r="3551">
          <cell r="Q3551">
            <v>-20984.45</v>
          </cell>
          <cell r="T3551">
            <v>0</v>
          </cell>
        </row>
        <row r="3552">
          <cell r="Q3552">
            <v>-2177.15</v>
          </cell>
          <cell r="T3552">
            <v>0</v>
          </cell>
        </row>
        <row r="3553">
          <cell r="Q3553">
            <v>-4927.42</v>
          </cell>
          <cell r="T3553">
            <v>0</v>
          </cell>
        </row>
        <row r="3554">
          <cell r="Q3554">
            <v>-54069.279999999999</v>
          </cell>
          <cell r="T3554">
            <v>0</v>
          </cell>
        </row>
        <row r="3555">
          <cell r="Q3555">
            <v>-2935.22</v>
          </cell>
          <cell r="T3555">
            <v>0</v>
          </cell>
        </row>
        <row r="3556">
          <cell r="Q3556">
            <v>-6074.05</v>
          </cell>
          <cell r="T3556">
            <v>0</v>
          </cell>
        </row>
        <row r="3557">
          <cell r="Q3557">
            <v>-10053.879999999999</v>
          </cell>
          <cell r="T3557">
            <v>0</v>
          </cell>
        </row>
        <row r="3558">
          <cell r="Q3558">
            <v>-2412.21</v>
          </cell>
          <cell r="T3558">
            <v>0</v>
          </cell>
        </row>
        <row r="3559">
          <cell r="Q3559">
            <v>-3199.14</v>
          </cell>
          <cell r="T3559">
            <v>0</v>
          </cell>
        </row>
        <row r="3560">
          <cell r="Q3560">
            <v>-115101.68</v>
          </cell>
          <cell r="T3560">
            <v>0</v>
          </cell>
        </row>
        <row r="3561">
          <cell r="Q3561">
            <v>-5827.02</v>
          </cell>
          <cell r="T3561">
            <v>0</v>
          </cell>
        </row>
        <row r="3562">
          <cell r="Q3562">
            <v>-2342.23</v>
          </cell>
          <cell r="T3562">
            <v>0</v>
          </cell>
        </row>
        <row r="3563">
          <cell r="Q3563">
            <v>-4324.55</v>
          </cell>
          <cell r="T3563">
            <v>0</v>
          </cell>
        </row>
        <row r="3564">
          <cell r="Q3564">
            <v>-7783.45</v>
          </cell>
          <cell r="T3564">
            <v>0</v>
          </cell>
        </row>
        <row r="3565">
          <cell r="Q3565">
            <v>-2285.1</v>
          </cell>
          <cell r="T3565">
            <v>0</v>
          </cell>
        </row>
        <row r="3566">
          <cell r="Q3566">
            <v>-13118.81</v>
          </cell>
          <cell r="T3566">
            <v>0</v>
          </cell>
        </row>
        <row r="3567">
          <cell r="Q3567">
            <v>-2969.47</v>
          </cell>
          <cell r="T3567">
            <v>0</v>
          </cell>
        </row>
        <row r="3568">
          <cell r="Q3568">
            <v>-16708.52</v>
          </cell>
          <cell r="T3568">
            <v>0</v>
          </cell>
        </row>
        <row r="3569">
          <cell r="Q3569">
            <v>-1557.25</v>
          </cell>
          <cell r="T3569">
            <v>0</v>
          </cell>
        </row>
        <row r="3570">
          <cell r="Q3570">
            <v>-13480.96</v>
          </cell>
          <cell r="T3570">
            <v>0</v>
          </cell>
        </row>
        <row r="3571">
          <cell r="Q3571">
            <v>-1348.13</v>
          </cell>
          <cell r="T3571">
            <v>0</v>
          </cell>
        </row>
        <row r="3572">
          <cell r="Q3572">
            <v>-6628.68</v>
          </cell>
          <cell r="T3572">
            <v>0</v>
          </cell>
        </row>
        <row r="3573">
          <cell r="Q3573">
            <v>-2584.35</v>
          </cell>
          <cell r="T3573">
            <v>0</v>
          </cell>
        </row>
        <row r="3574">
          <cell r="Q3574">
            <v>-11777.31</v>
          </cell>
          <cell r="T3574">
            <v>0</v>
          </cell>
        </row>
        <row r="3575">
          <cell r="Q3575">
            <v>-5677.21</v>
          </cell>
          <cell r="T3575">
            <v>0</v>
          </cell>
        </row>
        <row r="3576">
          <cell r="Q3576">
            <v>-353.23</v>
          </cell>
          <cell r="T3576">
            <v>0</v>
          </cell>
        </row>
        <row r="3577">
          <cell r="Q3577">
            <v>-12114.95</v>
          </cell>
          <cell r="T3577">
            <v>0</v>
          </cell>
        </row>
        <row r="3578">
          <cell r="Q3578">
            <v>-1091.1199999999999</v>
          </cell>
          <cell r="T3578">
            <v>0</v>
          </cell>
        </row>
        <row r="3579">
          <cell r="Q3579">
            <v>-823.36</v>
          </cell>
          <cell r="T3579">
            <v>0</v>
          </cell>
        </row>
        <row r="3580">
          <cell r="Q3580">
            <v>-568.5</v>
          </cell>
          <cell r="T3580">
            <v>0</v>
          </cell>
        </row>
        <row r="3581">
          <cell r="Q3581">
            <v>-584.89</v>
          </cell>
          <cell r="T3581">
            <v>0</v>
          </cell>
        </row>
        <row r="3582">
          <cell r="Q3582">
            <v>-467.91</v>
          </cell>
          <cell r="T3582">
            <v>0</v>
          </cell>
        </row>
        <row r="3583">
          <cell r="Q3583">
            <v>-258.81</v>
          </cell>
          <cell r="T3583">
            <v>0</v>
          </cell>
        </row>
        <row r="3584">
          <cell r="Q3584">
            <v>-292.45</v>
          </cell>
          <cell r="T3584">
            <v>0</v>
          </cell>
        </row>
        <row r="3585">
          <cell r="Q3585">
            <v>-1059.6199999999999</v>
          </cell>
          <cell r="T3585">
            <v>0</v>
          </cell>
        </row>
        <row r="3586">
          <cell r="Q3586">
            <v>-29.25</v>
          </cell>
          <cell r="T3586">
            <v>0</v>
          </cell>
        </row>
        <row r="3587">
          <cell r="Q3587">
            <v>-1601.07</v>
          </cell>
          <cell r="T3587">
            <v>0</v>
          </cell>
        </row>
        <row r="3588">
          <cell r="Q3588">
            <v>-584</v>
          </cell>
          <cell r="T3588">
            <v>0</v>
          </cell>
        </row>
        <row r="3589">
          <cell r="Q3589">
            <v>-201.89</v>
          </cell>
          <cell r="T3589">
            <v>0</v>
          </cell>
        </row>
        <row r="3590">
          <cell r="Q3590">
            <v>-63.06</v>
          </cell>
          <cell r="T3590">
            <v>0</v>
          </cell>
        </row>
        <row r="3591">
          <cell r="Q3591">
            <v>-1493.78</v>
          </cell>
          <cell r="T3591">
            <v>0</v>
          </cell>
        </row>
        <row r="3592">
          <cell r="Q3592">
            <v>-497.54</v>
          </cell>
          <cell r="T3592">
            <v>0</v>
          </cell>
        </row>
        <row r="3593">
          <cell r="Q3593">
            <v>-815.09</v>
          </cell>
          <cell r="T3593">
            <v>0</v>
          </cell>
        </row>
        <row r="3594">
          <cell r="Q3594">
            <v>-4072.91</v>
          </cell>
          <cell r="T3594">
            <v>0</v>
          </cell>
        </row>
        <row r="3595">
          <cell r="Q3595">
            <v>-627.69000000000005</v>
          </cell>
          <cell r="T3595">
            <v>0</v>
          </cell>
        </row>
        <row r="3596">
          <cell r="Q3596">
            <v>-1178.24</v>
          </cell>
          <cell r="T3596">
            <v>0</v>
          </cell>
        </row>
        <row r="3597">
          <cell r="Q3597">
            <v>-40.729999999999997</v>
          </cell>
          <cell r="T3597">
            <v>0</v>
          </cell>
        </row>
        <row r="3598">
          <cell r="Q3598">
            <v>-192.56</v>
          </cell>
          <cell r="T3598">
            <v>0</v>
          </cell>
        </row>
        <row r="3599">
          <cell r="Q3599">
            <v>-671.85</v>
          </cell>
          <cell r="T3599">
            <v>0</v>
          </cell>
        </row>
        <row r="3600">
          <cell r="Q3600">
            <v>-204.47</v>
          </cell>
          <cell r="T3600">
            <v>0</v>
          </cell>
        </row>
        <row r="3601">
          <cell r="Q3601">
            <v>-309.39999999999998</v>
          </cell>
          <cell r="T3601">
            <v>0</v>
          </cell>
        </row>
        <row r="3602">
          <cell r="Q3602">
            <v>-595.45000000000005</v>
          </cell>
          <cell r="T3602">
            <v>0</v>
          </cell>
        </row>
        <row r="3603">
          <cell r="Q3603">
            <v>-1143.75</v>
          </cell>
          <cell r="T3603">
            <v>0</v>
          </cell>
        </row>
        <row r="3604">
          <cell r="Q3604">
            <v>-587.55999999999995</v>
          </cell>
          <cell r="T3604">
            <v>0</v>
          </cell>
        </row>
        <row r="3605">
          <cell r="Q3605">
            <v>-1023.56</v>
          </cell>
          <cell r="T3605">
            <v>0</v>
          </cell>
        </row>
        <row r="3606">
          <cell r="Q3606">
            <v>-20.38</v>
          </cell>
          <cell r="T3606">
            <v>0</v>
          </cell>
        </row>
        <row r="3607">
          <cell r="Q3607">
            <v>-1345.23</v>
          </cell>
          <cell r="T3607">
            <v>0</v>
          </cell>
        </row>
        <row r="3608">
          <cell r="Q3608">
            <v>-872.64</v>
          </cell>
          <cell r="T3608">
            <v>0</v>
          </cell>
        </row>
        <row r="3609">
          <cell r="Q3609">
            <v>-20.38</v>
          </cell>
          <cell r="T3609">
            <v>0</v>
          </cell>
        </row>
        <row r="3610">
          <cell r="Q3610">
            <v>-168.98</v>
          </cell>
          <cell r="T3610">
            <v>0</v>
          </cell>
        </row>
        <row r="3611">
          <cell r="Q3611">
            <v>-2387.9699999999998</v>
          </cell>
          <cell r="T3611">
            <v>0</v>
          </cell>
        </row>
        <row r="3612">
          <cell r="Q3612">
            <v>-1051.1400000000001</v>
          </cell>
          <cell r="T3612">
            <v>0</v>
          </cell>
        </row>
        <row r="3613">
          <cell r="Q3613">
            <v>-64.650000000000006</v>
          </cell>
          <cell r="T3613">
            <v>0</v>
          </cell>
        </row>
        <row r="3614">
          <cell r="Q3614">
            <v>-895.52</v>
          </cell>
          <cell r="T3614">
            <v>0</v>
          </cell>
        </row>
        <row r="3615">
          <cell r="Q3615">
            <v>-423.09</v>
          </cell>
          <cell r="T3615">
            <v>0</v>
          </cell>
        </row>
        <row r="3616">
          <cell r="Q3616">
            <v>-168.77</v>
          </cell>
          <cell r="T3616">
            <v>0</v>
          </cell>
        </row>
        <row r="3617">
          <cell r="Q3617">
            <v>-771.13</v>
          </cell>
          <cell r="T3617">
            <v>0</v>
          </cell>
        </row>
        <row r="3618">
          <cell r="Q3618">
            <v>-16.3</v>
          </cell>
          <cell r="T3618">
            <v>0</v>
          </cell>
        </row>
        <row r="3619">
          <cell r="Q3619">
            <v>-1171.1099999999999</v>
          </cell>
          <cell r="T3619">
            <v>0</v>
          </cell>
        </row>
        <row r="3620">
          <cell r="Q3620">
            <v>-292.89</v>
          </cell>
          <cell r="T3620">
            <v>0</v>
          </cell>
        </row>
        <row r="3621">
          <cell r="Q3621">
            <v>-158.07</v>
          </cell>
          <cell r="T3621">
            <v>0</v>
          </cell>
        </row>
        <row r="3622">
          <cell r="Q3622">
            <v>-35.5</v>
          </cell>
          <cell r="T3622">
            <v>0</v>
          </cell>
        </row>
        <row r="3623">
          <cell r="Q3623">
            <v>-622.1</v>
          </cell>
          <cell r="T3623">
            <v>0</v>
          </cell>
        </row>
        <row r="3624">
          <cell r="Q3624">
            <v>-23.28</v>
          </cell>
          <cell r="T3624">
            <v>0</v>
          </cell>
        </row>
        <row r="3625">
          <cell r="Q3625">
            <v>-429.25</v>
          </cell>
          <cell r="T3625">
            <v>0</v>
          </cell>
        </row>
        <row r="3626">
          <cell r="Q3626">
            <v>-767.04</v>
          </cell>
          <cell r="T3626">
            <v>0</v>
          </cell>
        </row>
        <row r="3627">
          <cell r="Q3627">
            <v>-252.19</v>
          </cell>
          <cell r="T3627">
            <v>0</v>
          </cell>
        </row>
        <row r="3628">
          <cell r="Q3628">
            <v>-3434.92</v>
          </cell>
          <cell r="T3628">
            <v>0</v>
          </cell>
        </row>
        <row r="3629">
          <cell r="Q3629">
            <v>-31.99</v>
          </cell>
          <cell r="T3629">
            <v>0</v>
          </cell>
        </row>
        <row r="3630">
          <cell r="Q3630">
            <v>-46.55</v>
          </cell>
          <cell r="T3630">
            <v>0</v>
          </cell>
        </row>
        <row r="3631">
          <cell r="Q3631">
            <v>-69.84</v>
          </cell>
          <cell r="T3631">
            <v>0</v>
          </cell>
        </row>
        <row r="3632">
          <cell r="Q3632">
            <v>-146.66</v>
          </cell>
          <cell r="T3632">
            <v>0</v>
          </cell>
        </row>
        <row r="3633">
          <cell r="Q3633">
            <v>-37.82</v>
          </cell>
          <cell r="T3633">
            <v>0</v>
          </cell>
        </row>
        <row r="3634">
          <cell r="Q3634">
            <v>-60.52</v>
          </cell>
          <cell r="T3634">
            <v>0</v>
          </cell>
        </row>
        <row r="3635">
          <cell r="Q3635">
            <v>-162.96</v>
          </cell>
          <cell r="T3635">
            <v>0</v>
          </cell>
        </row>
        <row r="3636">
          <cell r="Q3636">
            <v>-871.97</v>
          </cell>
          <cell r="T3636">
            <v>0</v>
          </cell>
        </row>
        <row r="3637">
          <cell r="Q3637">
            <v>-196.65</v>
          </cell>
          <cell r="T3637">
            <v>0</v>
          </cell>
        </row>
        <row r="3638">
          <cell r="Q3638">
            <v>-72921.279999999999</v>
          </cell>
          <cell r="T3638">
            <v>0</v>
          </cell>
        </row>
        <row r="3639">
          <cell r="Q3639">
            <v>-650.23</v>
          </cell>
          <cell r="T3639">
            <v>0</v>
          </cell>
        </row>
        <row r="3640">
          <cell r="Q3640">
            <v>-630.95000000000005</v>
          </cell>
          <cell r="T3640">
            <v>0</v>
          </cell>
        </row>
        <row r="3641">
          <cell r="Q3641">
            <v>-481.98</v>
          </cell>
          <cell r="T3641">
            <v>0</v>
          </cell>
        </row>
        <row r="3642">
          <cell r="Q3642">
            <v>-595.9</v>
          </cell>
          <cell r="T3642">
            <v>0</v>
          </cell>
        </row>
        <row r="3643">
          <cell r="Q3643">
            <v>-277.33999999999997</v>
          </cell>
          <cell r="T3643">
            <v>0</v>
          </cell>
        </row>
        <row r="3644">
          <cell r="Q3644">
            <v>-928.19</v>
          </cell>
          <cell r="T3644">
            <v>0</v>
          </cell>
        </row>
        <row r="3645">
          <cell r="Q3645">
            <v>-215.5</v>
          </cell>
          <cell r="T3645">
            <v>0</v>
          </cell>
        </row>
        <row r="3646">
          <cell r="Q3646">
            <v>-2139.62</v>
          </cell>
          <cell r="T3646">
            <v>0</v>
          </cell>
        </row>
        <row r="3647">
          <cell r="Q3647">
            <v>-437.16</v>
          </cell>
          <cell r="T3647">
            <v>0</v>
          </cell>
        </row>
        <row r="3648">
          <cell r="Q3648">
            <v>-53.54</v>
          </cell>
          <cell r="T3648">
            <v>0</v>
          </cell>
        </row>
        <row r="3649">
          <cell r="Q3649">
            <v>-926.07</v>
          </cell>
          <cell r="T3649">
            <v>0</v>
          </cell>
        </row>
        <row r="3650">
          <cell r="Q3650">
            <v>-377.12</v>
          </cell>
          <cell r="T3650">
            <v>0</v>
          </cell>
        </row>
        <row r="3651">
          <cell r="Q3651">
            <v>-928.55</v>
          </cell>
          <cell r="T3651">
            <v>0</v>
          </cell>
        </row>
        <row r="3652">
          <cell r="Q3652">
            <v>-12109.84</v>
          </cell>
          <cell r="T3652">
            <v>0</v>
          </cell>
        </row>
        <row r="3653">
          <cell r="Q3653">
            <v>-402665.38</v>
          </cell>
          <cell r="T3653">
            <v>0</v>
          </cell>
        </row>
        <row r="3654">
          <cell r="Q3654">
            <v>-86546.33</v>
          </cell>
          <cell r="T3654">
            <v>0</v>
          </cell>
        </row>
        <row r="3655">
          <cell r="Q3655">
            <v>-2387.0500000000002</v>
          </cell>
          <cell r="T3655">
            <v>0</v>
          </cell>
        </row>
        <row r="3656">
          <cell r="Q3656">
            <v>-1703.43</v>
          </cell>
          <cell r="T3656">
            <v>0</v>
          </cell>
        </row>
        <row r="3657">
          <cell r="Q3657">
            <v>-58555.44</v>
          </cell>
          <cell r="T3657">
            <v>0</v>
          </cell>
        </row>
        <row r="3658">
          <cell r="Q3658">
            <v>-58555.44</v>
          </cell>
          <cell r="T3658">
            <v>0</v>
          </cell>
        </row>
        <row r="3659">
          <cell r="Q3659">
            <v>-8900.4500000000007</v>
          </cell>
          <cell r="T3659">
            <v>0</v>
          </cell>
        </row>
        <row r="3660">
          <cell r="Q3660">
            <v>-89004.49</v>
          </cell>
          <cell r="T3660">
            <v>0</v>
          </cell>
        </row>
        <row r="3661">
          <cell r="Q3661">
            <v>-15112.97</v>
          </cell>
          <cell r="T3661">
            <v>0</v>
          </cell>
        </row>
        <row r="3662">
          <cell r="Q3662">
            <v>-60451.88</v>
          </cell>
          <cell r="T3662">
            <v>0</v>
          </cell>
        </row>
        <row r="3663">
          <cell r="Q3663">
            <v>-2156.64</v>
          </cell>
          <cell r="T3663">
            <v>0</v>
          </cell>
        </row>
        <row r="3664">
          <cell r="Q3664">
            <v>-15737.69</v>
          </cell>
          <cell r="T3664">
            <v>0</v>
          </cell>
        </row>
        <row r="3665">
          <cell r="Q3665">
            <v>-7783.64</v>
          </cell>
          <cell r="T3665">
            <v>0</v>
          </cell>
        </row>
        <row r="3666">
          <cell r="Q3666">
            <v>-115013.63</v>
          </cell>
          <cell r="T3666">
            <v>0</v>
          </cell>
        </row>
        <row r="3667">
          <cell r="Q3667">
            <v>-29143.85</v>
          </cell>
          <cell r="T3667">
            <v>0</v>
          </cell>
        </row>
        <row r="3668">
          <cell r="Q3668">
            <v>-18084.59</v>
          </cell>
          <cell r="T3668">
            <v>0</v>
          </cell>
        </row>
        <row r="3669">
          <cell r="Q3669">
            <v>-35326.400000000001</v>
          </cell>
          <cell r="T3669">
            <v>0</v>
          </cell>
        </row>
        <row r="3670">
          <cell r="Q3670">
            <v>-113044.49</v>
          </cell>
          <cell r="T3670">
            <v>0</v>
          </cell>
        </row>
        <row r="3671">
          <cell r="Q3671">
            <v>-97323.68</v>
          </cell>
          <cell r="T3671">
            <v>0</v>
          </cell>
        </row>
        <row r="3672">
          <cell r="Q3672">
            <v>-6362.49</v>
          </cell>
          <cell r="T3672">
            <v>0</v>
          </cell>
        </row>
        <row r="3673">
          <cell r="Q3673">
            <v>-9652.7099999999991</v>
          </cell>
          <cell r="T3673">
            <v>0</v>
          </cell>
        </row>
        <row r="3674">
          <cell r="Q3674">
            <v>-1479.63</v>
          </cell>
          <cell r="T3674">
            <v>0</v>
          </cell>
        </row>
        <row r="3675">
          <cell r="Q3675">
            <v>-506.47</v>
          </cell>
          <cell r="T3675">
            <v>0</v>
          </cell>
        </row>
        <row r="3676">
          <cell r="Q3676">
            <v>-868.97</v>
          </cell>
          <cell r="T3676">
            <v>0</v>
          </cell>
        </row>
        <row r="3677">
          <cell r="Q3677">
            <v>-2377.02</v>
          </cell>
          <cell r="T3677">
            <v>0</v>
          </cell>
        </row>
        <row r="3678">
          <cell r="Q3678">
            <v>-630.25</v>
          </cell>
          <cell r="T3678">
            <v>0</v>
          </cell>
        </row>
        <row r="3679">
          <cell r="Q3679">
            <v>-3480.25</v>
          </cell>
          <cell r="T3679">
            <v>0</v>
          </cell>
        </row>
        <row r="3680">
          <cell r="Q3680">
            <v>-3470.25</v>
          </cell>
          <cell r="T3680">
            <v>0</v>
          </cell>
        </row>
        <row r="3681">
          <cell r="Q3681">
            <v>-16407.43</v>
          </cell>
          <cell r="T3681">
            <v>0</v>
          </cell>
        </row>
        <row r="3682">
          <cell r="Q3682">
            <v>-5604.78</v>
          </cell>
          <cell r="T3682">
            <v>0</v>
          </cell>
        </row>
        <row r="3683">
          <cell r="Q3683">
            <v>-693.8</v>
          </cell>
          <cell r="T3683">
            <v>0</v>
          </cell>
        </row>
        <row r="3684">
          <cell r="Q3684">
            <v>-10031.24</v>
          </cell>
          <cell r="T3684">
            <v>0</v>
          </cell>
        </row>
        <row r="3685">
          <cell r="Q3685">
            <v>-24239.599999999999</v>
          </cell>
          <cell r="T3685">
            <v>0</v>
          </cell>
        </row>
        <row r="3686">
          <cell r="Q3686">
            <v>-8097.48</v>
          </cell>
          <cell r="T3686">
            <v>0</v>
          </cell>
        </row>
        <row r="3687">
          <cell r="Q3687">
            <v>-15094.7</v>
          </cell>
          <cell r="T3687">
            <v>0</v>
          </cell>
        </row>
        <row r="3688">
          <cell r="Q3688">
            <v>-685.5</v>
          </cell>
          <cell r="T3688">
            <v>0</v>
          </cell>
        </row>
        <row r="3689">
          <cell r="Q3689">
            <v>-6533.62</v>
          </cell>
          <cell r="T3689">
            <v>0</v>
          </cell>
        </row>
        <row r="3690">
          <cell r="Q3690">
            <v>-5076.7</v>
          </cell>
          <cell r="T3690">
            <v>0</v>
          </cell>
        </row>
        <row r="3691">
          <cell r="Q3691">
            <v>-1701.08</v>
          </cell>
          <cell r="T3691">
            <v>0</v>
          </cell>
        </row>
        <row r="3692">
          <cell r="Q3692">
            <v>-3402.18</v>
          </cell>
          <cell r="T3692">
            <v>0</v>
          </cell>
        </row>
        <row r="3693">
          <cell r="Q3693">
            <v>-1582.41</v>
          </cell>
          <cell r="T3693">
            <v>0</v>
          </cell>
        </row>
        <row r="3694">
          <cell r="Q3694">
            <v>-3436.79</v>
          </cell>
          <cell r="T3694">
            <v>0</v>
          </cell>
        </row>
        <row r="3695">
          <cell r="Q3695">
            <v>-1838.93</v>
          </cell>
          <cell r="T3695">
            <v>0</v>
          </cell>
        </row>
        <row r="3696">
          <cell r="Q3696">
            <v>-1199.17</v>
          </cell>
          <cell r="T3696">
            <v>0</v>
          </cell>
        </row>
        <row r="3697">
          <cell r="Q3697">
            <v>-309.06</v>
          </cell>
          <cell r="T3697">
            <v>0</v>
          </cell>
        </row>
        <row r="3698">
          <cell r="Q3698">
            <v>-2070.73</v>
          </cell>
          <cell r="T3698">
            <v>0</v>
          </cell>
        </row>
        <row r="3699">
          <cell r="Q3699">
            <v>-11188.12</v>
          </cell>
          <cell r="T3699">
            <v>0</v>
          </cell>
        </row>
        <row r="3700">
          <cell r="Q3700">
            <v>-108201.31</v>
          </cell>
          <cell r="T3700">
            <v>0</v>
          </cell>
        </row>
        <row r="3701">
          <cell r="Q3701">
            <v>-140661.07999999999</v>
          </cell>
          <cell r="T3701">
            <v>0</v>
          </cell>
        </row>
        <row r="3702">
          <cell r="Q3702">
            <v>-15382.11</v>
          </cell>
          <cell r="T3702">
            <v>0</v>
          </cell>
        </row>
        <row r="3703">
          <cell r="Q3703">
            <v>-1379.4</v>
          </cell>
          <cell r="T3703">
            <v>0</v>
          </cell>
        </row>
        <row r="3704">
          <cell r="Q3704">
            <v>-140.32</v>
          </cell>
          <cell r="T3704">
            <v>0</v>
          </cell>
        </row>
        <row r="3705">
          <cell r="Q3705">
            <v>-201.78</v>
          </cell>
          <cell r="T3705">
            <v>0</v>
          </cell>
        </row>
        <row r="3706">
          <cell r="Q3706">
            <v>-9.7799999999999994</v>
          </cell>
          <cell r="T3706">
            <v>0</v>
          </cell>
        </row>
        <row r="3707">
          <cell r="Q3707">
            <v>-1631.31</v>
          </cell>
          <cell r="T3707">
            <v>0</v>
          </cell>
        </row>
        <row r="3708">
          <cell r="Q3708">
            <v>-1859.37</v>
          </cell>
          <cell r="T3708">
            <v>0</v>
          </cell>
        </row>
        <row r="3709">
          <cell r="Q3709">
            <v>-1521.86</v>
          </cell>
          <cell r="T3709">
            <v>0</v>
          </cell>
        </row>
        <row r="3710">
          <cell r="Q3710">
            <v>-117.39</v>
          </cell>
          <cell r="T3710">
            <v>0</v>
          </cell>
        </row>
        <row r="3711">
          <cell r="Q3711">
            <v>-116.79</v>
          </cell>
          <cell r="T3711">
            <v>0</v>
          </cell>
        </row>
        <row r="3712">
          <cell r="Q3712">
            <v>-78.27</v>
          </cell>
          <cell r="T3712">
            <v>0</v>
          </cell>
        </row>
        <row r="3713">
          <cell r="Q3713">
            <v>-541.12</v>
          </cell>
          <cell r="T3713">
            <v>0</v>
          </cell>
        </row>
        <row r="3714">
          <cell r="Q3714">
            <v>-1462.55</v>
          </cell>
          <cell r="T3714">
            <v>0</v>
          </cell>
        </row>
        <row r="3715">
          <cell r="Q3715">
            <v>-1526.15</v>
          </cell>
          <cell r="T3715">
            <v>0</v>
          </cell>
        </row>
        <row r="3716">
          <cell r="Q3716">
            <v>-2049.5300000000002</v>
          </cell>
          <cell r="T3716">
            <v>0</v>
          </cell>
        </row>
        <row r="3717">
          <cell r="Q3717">
            <v>-708.65</v>
          </cell>
          <cell r="T3717">
            <v>0</v>
          </cell>
        </row>
        <row r="3718">
          <cell r="Q3718">
            <v>-121.68</v>
          </cell>
          <cell r="T3718">
            <v>0</v>
          </cell>
        </row>
        <row r="3719">
          <cell r="Q3719">
            <v>-12311.86</v>
          </cell>
          <cell r="T3719">
            <v>0</v>
          </cell>
        </row>
        <row r="3720">
          <cell r="Q3720">
            <v>-15476.84</v>
          </cell>
          <cell r="T3720">
            <v>0</v>
          </cell>
        </row>
        <row r="3721">
          <cell r="Q3721">
            <v>-30173.26</v>
          </cell>
          <cell r="T3721">
            <v>0</v>
          </cell>
        </row>
        <row r="3722">
          <cell r="Q3722">
            <v>-9981.2000000000007</v>
          </cell>
          <cell r="T3722">
            <v>0</v>
          </cell>
        </row>
        <row r="3723">
          <cell r="Q3723">
            <v>-16629.22</v>
          </cell>
          <cell r="T3723">
            <v>0</v>
          </cell>
        </row>
        <row r="3724">
          <cell r="Q3724">
            <v>-5976.02</v>
          </cell>
          <cell r="T3724">
            <v>0</v>
          </cell>
        </row>
        <row r="3725">
          <cell r="Q3725">
            <v>-1226.5999999999999</v>
          </cell>
          <cell r="T3725">
            <v>0</v>
          </cell>
        </row>
        <row r="3726">
          <cell r="Q3726">
            <v>-2729.84</v>
          </cell>
          <cell r="T3726">
            <v>0</v>
          </cell>
        </row>
        <row r="3727">
          <cell r="Q3727">
            <v>-24898.49</v>
          </cell>
          <cell r="T3727">
            <v>0</v>
          </cell>
        </row>
        <row r="3728">
          <cell r="Q3728">
            <v>-2696.74</v>
          </cell>
          <cell r="T3728">
            <v>0</v>
          </cell>
        </row>
        <row r="3729">
          <cell r="Q3729">
            <v>-696.35</v>
          </cell>
          <cell r="T3729">
            <v>0</v>
          </cell>
        </row>
        <row r="3730">
          <cell r="Q3730">
            <v>-5320.18</v>
          </cell>
          <cell r="T3730">
            <v>0</v>
          </cell>
        </row>
        <row r="3731">
          <cell r="Q3731">
            <v>-4403.93</v>
          </cell>
          <cell r="T3731">
            <v>0</v>
          </cell>
        </row>
        <row r="3732">
          <cell r="Q3732">
            <v>-3714.74</v>
          </cell>
          <cell r="T3732">
            <v>0</v>
          </cell>
        </row>
        <row r="3733">
          <cell r="Q3733">
            <v>-2373.17</v>
          </cell>
          <cell r="T3733">
            <v>0</v>
          </cell>
        </row>
        <row r="3734">
          <cell r="Q3734">
            <v>-1124.68</v>
          </cell>
          <cell r="T3734">
            <v>0</v>
          </cell>
        </row>
        <row r="3735">
          <cell r="Q3735">
            <v>-4019.28</v>
          </cell>
          <cell r="T3735">
            <v>0</v>
          </cell>
        </row>
        <row r="3736">
          <cell r="Q3736">
            <v>-637.32000000000005</v>
          </cell>
          <cell r="T3736">
            <v>0</v>
          </cell>
        </row>
        <row r="3737">
          <cell r="Q3737">
            <v>-547.41</v>
          </cell>
          <cell r="T3737">
            <v>0</v>
          </cell>
        </row>
        <row r="3738">
          <cell r="Q3738">
            <v>-3669.31</v>
          </cell>
          <cell r="T3738">
            <v>0</v>
          </cell>
        </row>
        <row r="3739">
          <cell r="Q3739">
            <v>-11572.75</v>
          </cell>
          <cell r="T3739">
            <v>0</v>
          </cell>
        </row>
        <row r="3740">
          <cell r="Q3740">
            <v>-578.63</v>
          </cell>
          <cell r="T3740">
            <v>0</v>
          </cell>
        </row>
        <row r="3741">
          <cell r="Q3741">
            <v>-2148.48</v>
          </cell>
          <cell r="T3741">
            <v>0</v>
          </cell>
        </row>
        <row r="3742">
          <cell r="Q3742">
            <v>-408.51</v>
          </cell>
          <cell r="T3742">
            <v>0</v>
          </cell>
        </row>
        <row r="3743">
          <cell r="Q3743">
            <v>-1591.25</v>
          </cell>
          <cell r="T3743">
            <v>0</v>
          </cell>
        </row>
        <row r="3744">
          <cell r="Q3744">
            <v>-1012.61</v>
          </cell>
          <cell r="T3744">
            <v>0</v>
          </cell>
        </row>
        <row r="3745">
          <cell r="Q3745">
            <v>-1374.26</v>
          </cell>
          <cell r="T3745">
            <v>0</v>
          </cell>
        </row>
        <row r="3746">
          <cell r="Q3746">
            <v>-3925.48</v>
          </cell>
          <cell r="T3746">
            <v>0</v>
          </cell>
        </row>
        <row r="3747">
          <cell r="Q3747">
            <v>-3182.51</v>
          </cell>
          <cell r="T3747">
            <v>0</v>
          </cell>
        </row>
        <row r="3748">
          <cell r="Q3748">
            <v>-1056.02</v>
          </cell>
          <cell r="T3748">
            <v>0</v>
          </cell>
        </row>
        <row r="3749">
          <cell r="Q3749">
            <v>-1301.94</v>
          </cell>
          <cell r="T3749">
            <v>0</v>
          </cell>
        </row>
        <row r="3750">
          <cell r="Q3750">
            <v>-3478.46</v>
          </cell>
          <cell r="T3750">
            <v>0</v>
          </cell>
        </row>
        <row r="3751">
          <cell r="Q3751">
            <v>-3631.76</v>
          </cell>
          <cell r="T3751">
            <v>0</v>
          </cell>
        </row>
        <row r="3752">
          <cell r="Q3752">
            <v>-3631.76</v>
          </cell>
          <cell r="T3752">
            <v>0</v>
          </cell>
        </row>
        <row r="3753">
          <cell r="Q3753">
            <v>-1032.43</v>
          </cell>
          <cell r="T3753">
            <v>0</v>
          </cell>
        </row>
        <row r="3754">
          <cell r="Q3754">
            <v>-1033.1600000000001</v>
          </cell>
          <cell r="T3754">
            <v>0</v>
          </cell>
        </row>
        <row r="3755">
          <cell r="Q3755">
            <v>-590.24</v>
          </cell>
          <cell r="T3755">
            <v>0</v>
          </cell>
        </row>
        <row r="3756">
          <cell r="Q3756">
            <v>-3470.57</v>
          </cell>
          <cell r="T3756">
            <v>0</v>
          </cell>
        </row>
        <row r="3757">
          <cell r="Q3757">
            <v>-3638.74</v>
          </cell>
          <cell r="T3757">
            <v>0</v>
          </cell>
        </row>
        <row r="3758">
          <cell r="Q3758">
            <v>-4002.97</v>
          </cell>
          <cell r="T3758">
            <v>0</v>
          </cell>
        </row>
        <row r="3759">
          <cell r="Q3759">
            <v>-777.16</v>
          </cell>
          <cell r="T3759">
            <v>0</v>
          </cell>
        </row>
        <row r="3760">
          <cell r="Q3760">
            <v>-3378.01</v>
          </cell>
          <cell r="T3760">
            <v>0</v>
          </cell>
        </row>
        <row r="3761">
          <cell r="Q3761">
            <v>-13925.97</v>
          </cell>
          <cell r="T3761">
            <v>0</v>
          </cell>
        </row>
        <row r="3762">
          <cell r="Q3762">
            <v>-52491.78</v>
          </cell>
          <cell r="T3762">
            <v>0</v>
          </cell>
        </row>
        <row r="3763">
          <cell r="Q3763">
            <v>-2969.5</v>
          </cell>
          <cell r="T3763">
            <v>0</v>
          </cell>
        </row>
        <row r="3764">
          <cell r="Q3764">
            <v>-3063.51</v>
          </cell>
          <cell r="T3764">
            <v>0</v>
          </cell>
        </row>
        <row r="3765">
          <cell r="Q3765">
            <v>-1990.73</v>
          </cell>
          <cell r="T3765">
            <v>0</v>
          </cell>
        </row>
        <row r="3766">
          <cell r="Q3766">
            <v>-1028.54</v>
          </cell>
          <cell r="T3766">
            <v>0</v>
          </cell>
        </row>
        <row r="3767">
          <cell r="Q3767">
            <v>-5153.78</v>
          </cell>
          <cell r="T3767">
            <v>0</v>
          </cell>
        </row>
        <row r="3768">
          <cell r="Q3768">
            <v>-1470.93</v>
          </cell>
          <cell r="T3768">
            <v>0</v>
          </cell>
        </row>
        <row r="3769">
          <cell r="Q3769">
            <v>-2936.33</v>
          </cell>
          <cell r="T3769">
            <v>0</v>
          </cell>
        </row>
        <row r="3770">
          <cell r="Q3770">
            <v>-331.79</v>
          </cell>
          <cell r="T3770">
            <v>0</v>
          </cell>
        </row>
        <row r="3771">
          <cell r="Q3771">
            <v>-497.68</v>
          </cell>
          <cell r="T3771">
            <v>0</v>
          </cell>
        </row>
        <row r="3772">
          <cell r="Q3772">
            <v>-995.37</v>
          </cell>
          <cell r="T3772">
            <v>0</v>
          </cell>
        </row>
        <row r="3773">
          <cell r="Q3773">
            <v>-884.76</v>
          </cell>
          <cell r="T3773">
            <v>0</v>
          </cell>
        </row>
        <row r="3774">
          <cell r="Q3774">
            <v>-4445.97</v>
          </cell>
          <cell r="T3774">
            <v>0</v>
          </cell>
        </row>
        <row r="3775">
          <cell r="Q3775">
            <v>-8929.93</v>
          </cell>
          <cell r="T3775">
            <v>0</v>
          </cell>
        </row>
        <row r="3776">
          <cell r="Q3776">
            <v>-1935.43</v>
          </cell>
          <cell r="T3776">
            <v>0</v>
          </cell>
        </row>
        <row r="3777">
          <cell r="Q3777">
            <v>-19150.27</v>
          </cell>
          <cell r="T3777">
            <v>0</v>
          </cell>
        </row>
        <row r="3778">
          <cell r="Q3778">
            <v>-10138.379999999999</v>
          </cell>
          <cell r="T3778">
            <v>0</v>
          </cell>
        </row>
        <row r="3779">
          <cell r="Q3779">
            <v>-10836.57</v>
          </cell>
          <cell r="T3779">
            <v>0</v>
          </cell>
        </row>
        <row r="3780">
          <cell r="Q3780">
            <v>-2283.69</v>
          </cell>
          <cell r="T3780">
            <v>0</v>
          </cell>
        </row>
        <row r="3781">
          <cell r="Q3781">
            <v>-140705.65</v>
          </cell>
          <cell r="T3781">
            <v>0</v>
          </cell>
        </row>
        <row r="3782">
          <cell r="Q3782">
            <v>-1712.74</v>
          </cell>
          <cell r="T3782">
            <v>0</v>
          </cell>
        </row>
        <row r="3783">
          <cell r="Q3783">
            <v>-9381.69</v>
          </cell>
          <cell r="T3783">
            <v>0</v>
          </cell>
        </row>
        <row r="3784">
          <cell r="Q3784">
            <v>-9465.14</v>
          </cell>
          <cell r="T3784">
            <v>0</v>
          </cell>
        </row>
        <row r="3785">
          <cell r="Q3785">
            <v>-1179.1600000000001</v>
          </cell>
          <cell r="T3785">
            <v>0</v>
          </cell>
        </row>
        <row r="3786">
          <cell r="Q3786">
            <v>-30234.71</v>
          </cell>
          <cell r="T3786">
            <v>0</v>
          </cell>
        </row>
        <row r="3787">
          <cell r="Q3787">
            <v>-4573.1400000000003</v>
          </cell>
          <cell r="T3787">
            <v>0</v>
          </cell>
        </row>
        <row r="3788">
          <cell r="Q3788">
            <v>-155685.20000000001</v>
          </cell>
          <cell r="T3788">
            <v>0</v>
          </cell>
        </row>
        <row r="3789">
          <cell r="Q3789">
            <v>-3224.11</v>
          </cell>
          <cell r="T3789">
            <v>0</v>
          </cell>
        </row>
        <row r="3790">
          <cell r="Q3790">
            <v>-647.14</v>
          </cell>
          <cell r="T3790">
            <v>0</v>
          </cell>
        </row>
        <row r="3791">
          <cell r="Q3791">
            <v>-7136.86</v>
          </cell>
          <cell r="T3791">
            <v>0</v>
          </cell>
        </row>
        <row r="3792">
          <cell r="Q3792">
            <v>-310.18</v>
          </cell>
          <cell r="T3792">
            <v>0</v>
          </cell>
        </row>
        <row r="3793">
          <cell r="Q3793">
            <v>-3184.15</v>
          </cell>
          <cell r="T3793">
            <v>0</v>
          </cell>
        </row>
        <row r="3794">
          <cell r="Q3794">
            <v>-5709.5</v>
          </cell>
          <cell r="T3794">
            <v>0</v>
          </cell>
        </row>
        <row r="3795">
          <cell r="Q3795">
            <v>-7735.48</v>
          </cell>
          <cell r="T3795">
            <v>0</v>
          </cell>
        </row>
        <row r="3796">
          <cell r="Q3796">
            <v>-1657.6</v>
          </cell>
          <cell r="T3796">
            <v>0</v>
          </cell>
        </row>
        <row r="3797">
          <cell r="Q3797">
            <v>-9552.3799999999992</v>
          </cell>
          <cell r="T3797">
            <v>0</v>
          </cell>
        </row>
        <row r="3798">
          <cell r="Q3798">
            <v>-5883.26</v>
          </cell>
          <cell r="T3798">
            <v>0</v>
          </cell>
        </row>
        <row r="3799">
          <cell r="Q3799">
            <v>-3733.61</v>
          </cell>
          <cell r="T3799">
            <v>0</v>
          </cell>
        </row>
        <row r="3800">
          <cell r="Q3800">
            <v>-2118.2800000000002</v>
          </cell>
          <cell r="T3800">
            <v>0</v>
          </cell>
        </row>
        <row r="3801">
          <cell r="Q3801">
            <v>-1283.23</v>
          </cell>
          <cell r="T3801">
            <v>0</v>
          </cell>
        </row>
        <row r="3802">
          <cell r="Q3802">
            <v>-4738.26</v>
          </cell>
          <cell r="T3802">
            <v>0</v>
          </cell>
        </row>
        <row r="3803">
          <cell r="Q3803">
            <v>-1031.27</v>
          </cell>
          <cell r="T3803">
            <v>0</v>
          </cell>
        </row>
        <row r="3804">
          <cell r="Q3804">
            <v>-1672.32</v>
          </cell>
          <cell r="T3804">
            <v>0</v>
          </cell>
        </row>
        <row r="3805">
          <cell r="Q3805">
            <v>-919.78</v>
          </cell>
          <cell r="T3805">
            <v>0</v>
          </cell>
        </row>
        <row r="3806">
          <cell r="Q3806">
            <v>-1003.4</v>
          </cell>
          <cell r="T3806">
            <v>0</v>
          </cell>
        </row>
        <row r="3807">
          <cell r="Q3807">
            <v>-2168.4499999999998</v>
          </cell>
          <cell r="T3807">
            <v>0</v>
          </cell>
        </row>
        <row r="3808">
          <cell r="Q3808">
            <v>-1788.28</v>
          </cell>
          <cell r="T3808">
            <v>0</v>
          </cell>
        </row>
        <row r="3809">
          <cell r="Q3809">
            <v>-91454.04</v>
          </cell>
          <cell r="T3809">
            <v>0</v>
          </cell>
        </row>
        <row r="3810">
          <cell r="Q3810">
            <v>-31965.96</v>
          </cell>
          <cell r="T3810">
            <v>0</v>
          </cell>
        </row>
        <row r="3811">
          <cell r="Q3811">
            <v>-2150.35</v>
          </cell>
          <cell r="T3811">
            <v>0</v>
          </cell>
        </row>
        <row r="3812">
          <cell r="Q3812">
            <v>-6548.65</v>
          </cell>
          <cell r="T3812">
            <v>0</v>
          </cell>
        </row>
        <row r="3813">
          <cell r="Q3813">
            <v>-17212.37</v>
          </cell>
          <cell r="T3813">
            <v>0</v>
          </cell>
        </row>
        <row r="3814">
          <cell r="Q3814">
            <v>-7745.57</v>
          </cell>
          <cell r="T3814">
            <v>0</v>
          </cell>
        </row>
        <row r="3815">
          <cell r="Q3815">
            <v>-7130.83</v>
          </cell>
          <cell r="T3815">
            <v>0</v>
          </cell>
        </row>
        <row r="3816">
          <cell r="Q3816">
            <v>-6548.65</v>
          </cell>
          <cell r="T3816">
            <v>0</v>
          </cell>
        </row>
        <row r="3817">
          <cell r="Q3817">
            <v>-6548.65</v>
          </cell>
          <cell r="T3817">
            <v>0</v>
          </cell>
        </row>
        <row r="3818">
          <cell r="Q3818">
            <v>-6548.65</v>
          </cell>
          <cell r="T3818">
            <v>0</v>
          </cell>
        </row>
        <row r="3819">
          <cell r="Q3819">
            <v>-49221.16</v>
          </cell>
          <cell r="T3819">
            <v>0</v>
          </cell>
        </row>
        <row r="3820">
          <cell r="Q3820">
            <v>-65277.07</v>
          </cell>
          <cell r="T3820">
            <v>0</v>
          </cell>
        </row>
        <row r="3821">
          <cell r="Q3821">
            <v>-62352.13</v>
          </cell>
          <cell r="T3821">
            <v>0</v>
          </cell>
        </row>
        <row r="3822">
          <cell r="Q3822">
            <v>-9569.2099999999991</v>
          </cell>
          <cell r="T3822">
            <v>0</v>
          </cell>
        </row>
        <row r="3823">
          <cell r="Q3823">
            <v>-9229.65</v>
          </cell>
          <cell r="T3823">
            <v>0</v>
          </cell>
        </row>
        <row r="3824">
          <cell r="Q3824">
            <v>-3211.39</v>
          </cell>
          <cell r="T3824">
            <v>0</v>
          </cell>
        </row>
        <row r="3825">
          <cell r="Q3825">
            <v>-5455.04</v>
          </cell>
          <cell r="T3825">
            <v>0</v>
          </cell>
        </row>
        <row r="3826">
          <cell r="Q3826">
            <v>-4566.21</v>
          </cell>
          <cell r="T3826">
            <v>0</v>
          </cell>
        </row>
        <row r="3827">
          <cell r="Q3827">
            <v>-417.35</v>
          </cell>
          <cell r="T3827">
            <v>0</v>
          </cell>
        </row>
        <row r="3828">
          <cell r="Q3828">
            <v>-2238.64</v>
          </cell>
          <cell r="T3828">
            <v>0</v>
          </cell>
        </row>
        <row r="3829">
          <cell r="Q3829">
            <v>-5883.09</v>
          </cell>
          <cell r="T3829">
            <v>0</v>
          </cell>
        </row>
        <row r="3830">
          <cell r="Q3830">
            <v>-318.63</v>
          </cell>
          <cell r="T3830">
            <v>0</v>
          </cell>
        </row>
        <row r="3831">
          <cell r="Q3831">
            <v>-15137.67</v>
          </cell>
          <cell r="T3831">
            <v>0</v>
          </cell>
        </row>
        <row r="3832">
          <cell r="Q3832">
            <v>-14491.88</v>
          </cell>
          <cell r="T3832">
            <v>0</v>
          </cell>
        </row>
        <row r="3833">
          <cell r="Q3833">
            <v>-7245.94</v>
          </cell>
          <cell r="T3833">
            <v>0</v>
          </cell>
        </row>
        <row r="3834">
          <cell r="Q3834">
            <v>-724.59</v>
          </cell>
          <cell r="T3834">
            <v>0</v>
          </cell>
        </row>
        <row r="3835">
          <cell r="Q3835">
            <v>-452.87</v>
          </cell>
          <cell r="T3835">
            <v>0</v>
          </cell>
        </row>
        <row r="3836">
          <cell r="Q3836">
            <v>-8308.0499999999993</v>
          </cell>
          <cell r="T3836">
            <v>0</v>
          </cell>
        </row>
        <row r="3837">
          <cell r="Q3837">
            <v>-10145.969999999999</v>
          </cell>
          <cell r="T3837">
            <v>0</v>
          </cell>
        </row>
        <row r="3838">
          <cell r="Q3838">
            <v>-17859.84</v>
          </cell>
          <cell r="T3838">
            <v>0</v>
          </cell>
        </row>
        <row r="3839">
          <cell r="Q3839">
            <v>-17859.84</v>
          </cell>
          <cell r="T3839">
            <v>0</v>
          </cell>
        </row>
        <row r="3840">
          <cell r="Q3840">
            <v>-17859.84</v>
          </cell>
          <cell r="T3840">
            <v>0</v>
          </cell>
        </row>
        <row r="3841">
          <cell r="Q3841">
            <v>-17859.84</v>
          </cell>
          <cell r="T3841">
            <v>0</v>
          </cell>
        </row>
        <row r="3842">
          <cell r="Q3842">
            <v>-17859.84</v>
          </cell>
          <cell r="T3842">
            <v>0</v>
          </cell>
        </row>
        <row r="3843">
          <cell r="Q3843">
            <v>-6757.67</v>
          </cell>
          <cell r="T3843">
            <v>0</v>
          </cell>
        </row>
        <row r="3844">
          <cell r="Q3844">
            <v>-4867.75</v>
          </cell>
          <cell r="T3844">
            <v>0</v>
          </cell>
        </row>
        <row r="3845">
          <cell r="Q3845">
            <v>-1587.89</v>
          </cell>
          <cell r="T3845">
            <v>0</v>
          </cell>
        </row>
        <row r="3846">
          <cell r="Q3846">
            <v>-2182.0500000000002</v>
          </cell>
          <cell r="T3846">
            <v>0</v>
          </cell>
        </row>
        <row r="3847">
          <cell r="Q3847">
            <v>-3412.28</v>
          </cell>
          <cell r="T3847">
            <v>0</v>
          </cell>
        </row>
        <row r="3848">
          <cell r="Q3848">
            <v>-1565.24</v>
          </cell>
          <cell r="T3848">
            <v>0</v>
          </cell>
        </row>
        <row r="3849">
          <cell r="Q3849">
            <v>-264.33</v>
          </cell>
          <cell r="T3849">
            <v>0</v>
          </cell>
        </row>
        <row r="3850">
          <cell r="Q3850">
            <v>-302.62</v>
          </cell>
          <cell r="T3850">
            <v>0</v>
          </cell>
        </row>
        <row r="3851">
          <cell r="Q3851">
            <v>-8869.7199999999993</v>
          </cell>
          <cell r="T3851">
            <v>0</v>
          </cell>
        </row>
        <row r="3852">
          <cell r="Q3852">
            <v>-2257.08</v>
          </cell>
          <cell r="T3852">
            <v>0</v>
          </cell>
        </row>
        <row r="3853">
          <cell r="Q3853">
            <v>-635.53</v>
          </cell>
          <cell r="T3853">
            <v>0</v>
          </cell>
        </row>
        <row r="3854">
          <cell r="Q3854">
            <v>-4119.5</v>
          </cell>
          <cell r="T3854">
            <v>0</v>
          </cell>
        </row>
        <row r="3855">
          <cell r="Q3855">
            <v>-4634.4399999999996</v>
          </cell>
          <cell r="T3855">
            <v>0</v>
          </cell>
        </row>
        <row r="3856">
          <cell r="Q3856">
            <v>-790.85</v>
          </cell>
          <cell r="T3856">
            <v>0</v>
          </cell>
        </row>
        <row r="3857">
          <cell r="Q3857">
            <v>-790.85</v>
          </cell>
          <cell r="T3857">
            <v>0</v>
          </cell>
        </row>
        <row r="3858">
          <cell r="Q3858">
            <v>-694.43</v>
          </cell>
          <cell r="T3858">
            <v>0</v>
          </cell>
        </row>
        <row r="3859">
          <cell r="Q3859">
            <v>-5147.75</v>
          </cell>
          <cell r="T3859">
            <v>0</v>
          </cell>
        </row>
        <row r="3860">
          <cell r="Q3860">
            <v>-3559.89</v>
          </cell>
          <cell r="T3860">
            <v>0</v>
          </cell>
        </row>
        <row r="3861">
          <cell r="Q3861">
            <v>-1697</v>
          </cell>
          <cell r="T3861">
            <v>0</v>
          </cell>
        </row>
        <row r="3862">
          <cell r="Q3862">
            <v>-688.93</v>
          </cell>
          <cell r="T3862">
            <v>0</v>
          </cell>
        </row>
        <row r="3863">
          <cell r="Q3863">
            <v>-1843.77</v>
          </cell>
          <cell r="T3863">
            <v>0</v>
          </cell>
        </row>
        <row r="3864">
          <cell r="Q3864">
            <v>-6780.4</v>
          </cell>
          <cell r="T3864">
            <v>0</v>
          </cell>
        </row>
        <row r="3865">
          <cell r="Q3865">
            <v>-2034.09</v>
          </cell>
          <cell r="T3865">
            <v>0</v>
          </cell>
        </row>
        <row r="3866">
          <cell r="Q3866">
            <v>-9752.4699999999993</v>
          </cell>
          <cell r="T3866">
            <v>0</v>
          </cell>
        </row>
        <row r="3867">
          <cell r="Q3867">
            <v>-41746.86</v>
          </cell>
          <cell r="T3867">
            <v>0</v>
          </cell>
        </row>
        <row r="3868">
          <cell r="Q3868">
            <v>-808.86</v>
          </cell>
          <cell r="T3868">
            <v>0</v>
          </cell>
        </row>
        <row r="3869">
          <cell r="Q3869">
            <v>-444937.18</v>
          </cell>
          <cell r="T3869">
            <v>0</v>
          </cell>
        </row>
        <row r="3870">
          <cell r="Q3870">
            <v>-3910.56</v>
          </cell>
          <cell r="T3870">
            <v>0</v>
          </cell>
        </row>
        <row r="3871">
          <cell r="Q3871">
            <v>-4302.43</v>
          </cell>
          <cell r="T3871">
            <v>0</v>
          </cell>
        </row>
        <row r="3872">
          <cell r="Q3872">
            <v>-4302.43</v>
          </cell>
          <cell r="T3872">
            <v>0</v>
          </cell>
        </row>
        <row r="3873">
          <cell r="Q3873">
            <v>-8231.2800000000007</v>
          </cell>
          <cell r="T3873">
            <v>0</v>
          </cell>
        </row>
        <row r="3874">
          <cell r="Q3874">
            <v>-6734.68</v>
          </cell>
          <cell r="T3874">
            <v>0</v>
          </cell>
        </row>
        <row r="3875">
          <cell r="Q3875">
            <v>-8513.1200000000008</v>
          </cell>
          <cell r="T3875">
            <v>0</v>
          </cell>
        </row>
        <row r="3876">
          <cell r="Q3876">
            <v>-1372.23</v>
          </cell>
          <cell r="T3876">
            <v>0</v>
          </cell>
        </row>
        <row r="3877">
          <cell r="Q3877">
            <v>-5178.8599999999997</v>
          </cell>
          <cell r="T3877">
            <v>0</v>
          </cell>
        </row>
        <row r="3878">
          <cell r="Q3878">
            <v>-5409.6</v>
          </cell>
          <cell r="T3878">
            <v>0</v>
          </cell>
        </row>
        <row r="3879">
          <cell r="Q3879">
            <v>-4327.68</v>
          </cell>
          <cell r="T3879">
            <v>0</v>
          </cell>
        </row>
        <row r="3880">
          <cell r="Q3880">
            <v>-9278.49</v>
          </cell>
          <cell r="T3880">
            <v>0</v>
          </cell>
        </row>
        <row r="3881">
          <cell r="Q3881">
            <v>-10582.28</v>
          </cell>
          <cell r="T3881">
            <v>0</v>
          </cell>
        </row>
        <row r="3882">
          <cell r="Q3882">
            <v>-19527.330000000002</v>
          </cell>
          <cell r="T3882">
            <v>0</v>
          </cell>
        </row>
        <row r="3883">
          <cell r="Q3883">
            <v>-4917.82</v>
          </cell>
          <cell r="T3883">
            <v>0</v>
          </cell>
        </row>
        <row r="3884">
          <cell r="Q3884">
            <v>-4917.82</v>
          </cell>
          <cell r="T3884">
            <v>0</v>
          </cell>
        </row>
        <row r="3885">
          <cell r="Q3885">
            <v>-8360.2999999999993</v>
          </cell>
          <cell r="T3885">
            <v>0</v>
          </cell>
        </row>
        <row r="3886">
          <cell r="Q3886">
            <v>-3529.47</v>
          </cell>
          <cell r="T3886">
            <v>0</v>
          </cell>
        </row>
        <row r="3887">
          <cell r="Q3887">
            <v>-41608.120000000003</v>
          </cell>
          <cell r="T3887">
            <v>0</v>
          </cell>
        </row>
        <row r="3888">
          <cell r="Q3888">
            <v>-26353.87</v>
          </cell>
          <cell r="T3888">
            <v>0</v>
          </cell>
        </row>
        <row r="3889">
          <cell r="Q3889">
            <v>-16094.77</v>
          </cell>
          <cell r="T3889">
            <v>0</v>
          </cell>
        </row>
        <row r="3890">
          <cell r="Q3890">
            <v>-4751.6400000000003</v>
          </cell>
          <cell r="T3890">
            <v>0</v>
          </cell>
        </row>
        <row r="3891">
          <cell r="Q3891">
            <v>-9265.7099999999991</v>
          </cell>
          <cell r="T3891">
            <v>0</v>
          </cell>
        </row>
        <row r="3892">
          <cell r="Q3892">
            <v>-1857.9</v>
          </cell>
          <cell r="T3892">
            <v>0</v>
          </cell>
        </row>
        <row r="3893">
          <cell r="Q3893">
            <v>-8272.4699999999993</v>
          </cell>
          <cell r="T3893">
            <v>0</v>
          </cell>
        </row>
        <row r="3894">
          <cell r="Q3894">
            <v>-10600</v>
          </cell>
          <cell r="T3894">
            <v>0</v>
          </cell>
        </row>
        <row r="3895">
          <cell r="Q3895">
            <v>-3222.57</v>
          </cell>
          <cell r="T3895">
            <v>0</v>
          </cell>
        </row>
        <row r="3896">
          <cell r="Q3896">
            <v>-9815.36</v>
          </cell>
          <cell r="T3896">
            <v>0</v>
          </cell>
        </row>
        <row r="3897">
          <cell r="Q3897">
            <v>-944769.47</v>
          </cell>
          <cell r="T3897">
            <v>0</v>
          </cell>
        </row>
        <row r="3898">
          <cell r="Q3898">
            <v>-137467.31</v>
          </cell>
          <cell r="T3898">
            <v>0</v>
          </cell>
        </row>
        <row r="3899">
          <cell r="Q3899">
            <v>-68140.05</v>
          </cell>
          <cell r="T3899">
            <v>0</v>
          </cell>
        </row>
        <row r="3900">
          <cell r="Q3900">
            <v>-114832.47</v>
          </cell>
          <cell r="T3900">
            <v>0</v>
          </cell>
        </row>
        <row r="3901">
          <cell r="Q3901">
            <v>-3478.83</v>
          </cell>
          <cell r="T3901">
            <v>0</v>
          </cell>
        </row>
        <row r="3902">
          <cell r="Q3902">
            <v>-231907.38</v>
          </cell>
          <cell r="T3902">
            <v>0</v>
          </cell>
        </row>
        <row r="3903">
          <cell r="Q3903">
            <v>-452316.59</v>
          </cell>
          <cell r="T3903">
            <v>0</v>
          </cell>
        </row>
        <row r="3904">
          <cell r="Q3904">
            <v>-39000.06</v>
          </cell>
          <cell r="T3904">
            <v>0</v>
          </cell>
        </row>
        <row r="3905">
          <cell r="Q3905">
            <v>-12476.39</v>
          </cell>
          <cell r="T3905">
            <v>0</v>
          </cell>
        </row>
        <row r="3906">
          <cell r="Q3906">
            <v>-11552.21</v>
          </cell>
          <cell r="T3906">
            <v>0</v>
          </cell>
        </row>
        <row r="3907">
          <cell r="Q3907">
            <v>-14440.29</v>
          </cell>
          <cell r="T3907">
            <v>0</v>
          </cell>
        </row>
        <row r="3908">
          <cell r="Q3908">
            <v>-18436.349999999999</v>
          </cell>
          <cell r="T3908">
            <v>0</v>
          </cell>
        </row>
        <row r="3909">
          <cell r="Q3909">
            <v>-9080.0400000000009</v>
          </cell>
          <cell r="T3909">
            <v>0</v>
          </cell>
        </row>
        <row r="3910">
          <cell r="Q3910">
            <v>-4056.79</v>
          </cell>
          <cell r="T3910">
            <v>0</v>
          </cell>
        </row>
        <row r="3911">
          <cell r="Q3911">
            <v>-5001.83</v>
          </cell>
          <cell r="T3911">
            <v>0</v>
          </cell>
        </row>
        <row r="3912">
          <cell r="Q3912">
            <v>-2412.38</v>
          </cell>
          <cell r="T3912">
            <v>0</v>
          </cell>
        </row>
        <row r="3913">
          <cell r="Q3913">
            <v>-2784.23</v>
          </cell>
          <cell r="T3913">
            <v>0</v>
          </cell>
        </row>
        <row r="3914">
          <cell r="Q3914">
            <v>-2458.86</v>
          </cell>
          <cell r="T3914">
            <v>0</v>
          </cell>
        </row>
        <row r="3915">
          <cell r="Q3915">
            <v>-246.36</v>
          </cell>
          <cell r="T3915">
            <v>0</v>
          </cell>
        </row>
        <row r="3916">
          <cell r="Q3916">
            <v>-7823.01</v>
          </cell>
          <cell r="T3916">
            <v>0</v>
          </cell>
        </row>
        <row r="3917">
          <cell r="Q3917">
            <v>-9373.5400000000009</v>
          </cell>
          <cell r="T3917">
            <v>0</v>
          </cell>
        </row>
        <row r="3918">
          <cell r="Q3918">
            <v>-1121.8399999999999</v>
          </cell>
          <cell r="T3918">
            <v>0</v>
          </cell>
        </row>
        <row r="3919">
          <cell r="Q3919">
            <v>-1526.6</v>
          </cell>
          <cell r="T3919">
            <v>0</v>
          </cell>
        </row>
        <row r="3920">
          <cell r="Q3920">
            <v>-5936.33</v>
          </cell>
          <cell r="T3920">
            <v>0</v>
          </cell>
        </row>
        <row r="3921">
          <cell r="Q3921">
            <v>-26381.1</v>
          </cell>
          <cell r="T3921">
            <v>0</v>
          </cell>
        </row>
        <row r="3922">
          <cell r="Q3922">
            <v>-11223.96</v>
          </cell>
          <cell r="T3922">
            <v>0</v>
          </cell>
        </row>
        <row r="3923">
          <cell r="Q3923">
            <v>-3865.14</v>
          </cell>
          <cell r="T3923">
            <v>0</v>
          </cell>
        </row>
        <row r="3924">
          <cell r="Q3924">
            <v>-18206.560000000001</v>
          </cell>
          <cell r="T3924">
            <v>0</v>
          </cell>
        </row>
        <row r="3925">
          <cell r="Q3925">
            <v>-4665.62</v>
          </cell>
          <cell r="T3925">
            <v>0</v>
          </cell>
        </row>
        <row r="3926">
          <cell r="Q3926">
            <v>-4221.2700000000004</v>
          </cell>
          <cell r="T3926">
            <v>0</v>
          </cell>
        </row>
        <row r="3927">
          <cell r="Q3927">
            <v>-5072.96</v>
          </cell>
          <cell r="T3927">
            <v>0</v>
          </cell>
        </row>
        <row r="3928">
          <cell r="Q3928">
            <v>-11033.97</v>
          </cell>
          <cell r="T3928">
            <v>0</v>
          </cell>
        </row>
        <row r="3929">
          <cell r="Q3929">
            <v>-5096.0600000000004</v>
          </cell>
          <cell r="T3929">
            <v>0</v>
          </cell>
        </row>
        <row r="3930">
          <cell r="Q3930">
            <v>-864.51</v>
          </cell>
          <cell r="T3930">
            <v>0</v>
          </cell>
        </row>
        <row r="3931">
          <cell r="Q3931">
            <v>-5062.5</v>
          </cell>
          <cell r="T3931">
            <v>0</v>
          </cell>
        </row>
        <row r="3932">
          <cell r="Q3932">
            <v>-2615.33</v>
          </cell>
          <cell r="T3932">
            <v>0</v>
          </cell>
        </row>
        <row r="3933">
          <cell r="Q3933">
            <v>-8020.18</v>
          </cell>
          <cell r="T3933">
            <v>0</v>
          </cell>
        </row>
        <row r="3934">
          <cell r="Q3934">
            <v>-519870.29</v>
          </cell>
          <cell r="T3934">
            <v>0</v>
          </cell>
        </row>
        <row r="3935">
          <cell r="Q3935">
            <v>-236486.68</v>
          </cell>
          <cell r="T3935">
            <v>0</v>
          </cell>
        </row>
        <row r="3936">
          <cell r="Q3936">
            <v>-6391.32</v>
          </cell>
          <cell r="T3936">
            <v>0</v>
          </cell>
        </row>
        <row r="3937">
          <cell r="Q3937">
            <v>-4764.2</v>
          </cell>
          <cell r="T3937">
            <v>0</v>
          </cell>
        </row>
        <row r="3938">
          <cell r="Q3938">
            <v>-8526.31</v>
          </cell>
          <cell r="T3938">
            <v>0</v>
          </cell>
        </row>
        <row r="3939">
          <cell r="Q3939">
            <v>-4961.68</v>
          </cell>
          <cell r="T3939">
            <v>0</v>
          </cell>
        </row>
        <row r="3940">
          <cell r="Q3940">
            <v>-5729.04</v>
          </cell>
          <cell r="T3940">
            <v>0</v>
          </cell>
        </row>
        <row r="3941">
          <cell r="Q3941">
            <v>-4627.3</v>
          </cell>
          <cell r="T3941">
            <v>0</v>
          </cell>
        </row>
        <row r="3942">
          <cell r="Q3942">
            <v>-528.84</v>
          </cell>
          <cell r="T3942">
            <v>0</v>
          </cell>
        </row>
        <row r="3943">
          <cell r="Q3943">
            <v>-2335.69</v>
          </cell>
          <cell r="T3943">
            <v>0</v>
          </cell>
        </row>
        <row r="3944">
          <cell r="Q3944">
            <v>-3778.87</v>
          </cell>
          <cell r="T3944">
            <v>0</v>
          </cell>
        </row>
        <row r="3945">
          <cell r="Q3945">
            <v>-9533.32</v>
          </cell>
          <cell r="T3945">
            <v>0</v>
          </cell>
        </row>
        <row r="3946">
          <cell r="Q3946">
            <v>-6600.48</v>
          </cell>
          <cell r="T3946">
            <v>0</v>
          </cell>
        </row>
        <row r="3947">
          <cell r="Q3947">
            <v>-880.07</v>
          </cell>
          <cell r="T3947">
            <v>0</v>
          </cell>
        </row>
        <row r="3948">
          <cell r="Q3948">
            <v>-3044.03</v>
          </cell>
          <cell r="T3948">
            <v>0</v>
          </cell>
        </row>
        <row r="3949">
          <cell r="Q3949">
            <v>-3039.61</v>
          </cell>
          <cell r="T3949">
            <v>0</v>
          </cell>
        </row>
        <row r="3950">
          <cell r="Q3950">
            <v>-11898.78</v>
          </cell>
          <cell r="T3950">
            <v>0</v>
          </cell>
        </row>
        <row r="3951">
          <cell r="Q3951">
            <v>-11658.63</v>
          </cell>
          <cell r="T3951">
            <v>0</v>
          </cell>
        </row>
        <row r="3952">
          <cell r="Q3952">
            <v>-794.46</v>
          </cell>
          <cell r="T3952">
            <v>0</v>
          </cell>
        </row>
        <row r="3953">
          <cell r="Q3953">
            <v>-1669.95</v>
          </cell>
          <cell r="T3953">
            <v>0</v>
          </cell>
        </row>
        <row r="3954">
          <cell r="Q3954">
            <v>-270.77</v>
          </cell>
          <cell r="T3954">
            <v>0</v>
          </cell>
        </row>
        <row r="3955">
          <cell r="Q3955">
            <v>-3878.08</v>
          </cell>
          <cell r="T3955">
            <v>0</v>
          </cell>
        </row>
        <row r="3956">
          <cell r="Q3956">
            <v>-1842.45</v>
          </cell>
          <cell r="T3956">
            <v>0</v>
          </cell>
        </row>
        <row r="3957">
          <cell r="Q3957">
            <v>-17701.39</v>
          </cell>
          <cell r="T3957">
            <v>0</v>
          </cell>
        </row>
        <row r="3958">
          <cell r="Q3958">
            <v>-5255.76</v>
          </cell>
          <cell r="T3958">
            <v>0</v>
          </cell>
        </row>
        <row r="3959">
          <cell r="Q3959">
            <v>-3573.92</v>
          </cell>
          <cell r="T3959">
            <v>0</v>
          </cell>
        </row>
        <row r="3960">
          <cell r="Q3960">
            <v>-1219.3399999999999</v>
          </cell>
          <cell r="T3960">
            <v>0</v>
          </cell>
        </row>
        <row r="3961">
          <cell r="Q3961">
            <v>-1916.31</v>
          </cell>
          <cell r="T3961">
            <v>0</v>
          </cell>
        </row>
        <row r="3962">
          <cell r="Q3962">
            <v>-2702.38</v>
          </cell>
          <cell r="T3962">
            <v>0</v>
          </cell>
        </row>
        <row r="3963">
          <cell r="Q3963">
            <v>-4818.1499999999996</v>
          </cell>
          <cell r="T3963">
            <v>0</v>
          </cell>
        </row>
        <row r="3964">
          <cell r="Q3964">
            <v>-4312.7299999999996</v>
          </cell>
          <cell r="T3964">
            <v>0</v>
          </cell>
        </row>
        <row r="3965">
          <cell r="Q3965">
            <v>-7085.8</v>
          </cell>
          <cell r="T3965">
            <v>0</v>
          </cell>
        </row>
        <row r="3966">
          <cell r="Q3966">
            <v>-3029.43</v>
          </cell>
          <cell r="T3966">
            <v>0</v>
          </cell>
        </row>
        <row r="3967">
          <cell r="Q3967">
            <v>-3029.43</v>
          </cell>
          <cell r="T3967">
            <v>0</v>
          </cell>
        </row>
        <row r="3968">
          <cell r="Q3968">
            <v>-3029.43</v>
          </cell>
          <cell r="T3968">
            <v>0</v>
          </cell>
        </row>
        <row r="3969">
          <cell r="Q3969">
            <v>-4105.09</v>
          </cell>
          <cell r="T3969">
            <v>0</v>
          </cell>
        </row>
        <row r="3970">
          <cell r="Q3970">
            <v>-5747.84</v>
          </cell>
          <cell r="T3970">
            <v>0</v>
          </cell>
        </row>
        <row r="3971">
          <cell r="Q3971">
            <v>-1337.96</v>
          </cell>
          <cell r="T3971">
            <v>0</v>
          </cell>
        </row>
        <row r="3972">
          <cell r="Q3972">
            <v>-21754.99</v>
          </cell>
          <cell r="T3972">
            <v>0</v>
          </cell>
        </row>
        <row r="3973">
          <cell r="Q3973">
            <v>-5306.43</v>
          </cell>
          <cell r="T3973">
            <v>0</v>
          </cell>
        </row>
        <row r="3974">
          <cell r="Q3974">
            <v>-8446.5400000000009</v>
          </cell>
          <cell r="T3974">
            <v>0</v>
          </cell>
        </row>
        <row r="3975">
          <cell r="Q3975">
            <v>-6346.97</v>
          </cell>
          <cell r="T3975">
            <v>0</v>
          </cell>
        </row>
        <row r="3976">
          <cell r="Q3976">
            <v>-1166233.8799999999</v>
          </cell>
          <cell r="T3976">
            <v>0</v>
          </cell>
        </row>
        <row r="3977">
          <cell r="Q3977">
            <v>-3918.38</v>
          </cell>
          <cell r="T3977">
            <v>0</v>
          </cell>
        </row>
        <row r="3978">
          <cell r="Q3978">
            <v>-2939.23</v>
          </cell>
          <cell r="T3978">
            <v>0</v>
          </cell>
        </row>
        <row r="3979">
          <cell r="Q3979">
            <v>-2939.23</v>
          </cell>
          <cell r="T3979">
            <v>0</v>
          </cell>
        </row>
        <row r="3980">
          <cell r="Q3980">
            <v>-2939.23</v>
          </cell>
          <cell r="T3980">
            <v>0</v>
          </cell>
        </row>
        <row r="3981">
          <cell r="Q3981">
            <v>-2939.23</v>
          </cell>
          <cell r="T3981">
            <v>0</v>
          </cell>
        </row>
        <row r="3982">
          <cell r="Q3982">
            <v>-4731.0600000000004</v>
          </cell>
          <cell r="T3982">
            <v>0</v>
          </cell>
        </row>
        <row r="3983">
          <cell r="Q3983">
            <v>-3154.04</v>
          </cell>
          <cell r="T3983">
            <v>0</v>
          </cell>
        </row>
        <row r="3984">
          <cell r="Q3984">
            <v>-3308.11</v>
          </cell>
          <cell r="T3984">
            <v>0</v>
          </cell>
        </row>
        <row r="3985">
          <cell r="Q3985">
            <v>-1269.18</v>
          </cell>
          <cell r="T3985">
            <v>0</v>
          </cell>
        </row>
        <row r="3986">
          <cell r="Q3986">
            <v>-908.59</v>
          </cell>
          <cell r="T3986">
            <v>0</v>
          </cell>
        </row>
        <row r="3987">
          <cell r="Q3987">
            <v>-622.07000000000005</v>
          </cell>
          <cell r="T3987">
            <v>0</v>
          </cell>
        </row>
        <row r="3988">
          <cell r="Q3988">
            <v>-2487.91</v>
          </cell>
          <cell r="T3988">
            <v>0</v>
          </cell>
        </row>
        <row r="3989">
          <cell r="Q3989">
            <v>-4785.99</v>
          </cell>
          <cell r="T3989">
            <v>0</v>
          </cell>
        </row>
        <row r="3990">
          <cell r="Q3990">
            <v>-6753.09</v>
          </cell>
          <cell r="T3990">
            <v>0</v>
          </cell>
        </row>
        <row r="3991">
          <cell r="Q3991">
            <v>-2650.03</v>
          </cell>
          <cell r="T3991">
            <v>0</v>
          </cell>
        </row>
        <row r="3992">
          <cell r="Q3992">
            <v>-5296.66</v>
          </cell>
          <cell r="T3992">
            <v>0</v>
          </cell>
        </row>
        <row r="3993">
          <cell r="Q3993">
            <v>-3631.97</v>
          </cell>
          <cell r="T3993">
            <v>0</v>
          </cell>
        </row>
        <row r="3994">
          <cell r="Q3994">
            <v>-8274.57</v>
          </cell>
          <cell r="T3994">
            <v>0</v>
          </cell>
        </row>
        <row r="3995">
          <cell r="Q3995">
            <v>-2639.59</v>
          </cell>
          <cell r="T3995">
            <v>0</v>
          </cell>
        </row>
        <row r="3996">
          <cell r="Q3996">
            <v>-2433.2199999999998</v>
          </cell>
          <cell r="T3996">
            <v>0</v>
          </cell>
        </row>
        <row r="3997">
          <cell r="Q3997">
            <v>-5466.14</v>
          </cell>
          <cell r="T3997">
            <v>0</v>
          </cell>
        </row>
        <row r="3998">
          <cell r="Q3998">
            <v>-2997.33</v>
          </cell>
          <cell r="T3998">
            <v>0</v>
          </cell>
        </row>
        <row r="3999">
          <cell r="Q3999">
            <v>-3234.15</v>
          </cell>
          <cell r="T3999">
            <v>0</v>
          </cell>
        </row>
        <row r="4000">
          <cell r="Q4000">
            <v>-1869.07</v>
          </cell>
          <cell r="T4000">
            <v>0</v>
          </cell>
        </row>
        <row r="4001">
          <cell r="Q4001">
            <v>-6638.92</v>
          </cell>
          <cell r="T4001">
            <v>0</v>
          </cell>
        </row>
        <row r="4002">
          <cell r="Q4002">
            <v>-5584.52</v>
          </cell>
          <cell r="T4002">
            <v>0</v>
          </cell>
        </row>
        <row r="4003">
          <cell r="Q4003">
            <v>-6115.31</v>
          </cell>
          <cell r="T4003">
            <v>0</v>
          </cell>
        </row>
        <row r="4004">
          <cell r="Q4004">
            <v>-51720.480000000003</v>
          </cell>
          <cell r="T4004">
            <v>0</v>
          </cell>
        </row>
        <row r="4005">
          <cell r="Q4005">
            <v>-51720.480000000003</v>
          </cell>
          <cell r="T4005">
            <v>0</v>
          </cell>
        </row>
        <row r="4006">
          <cell r="Q4006">
            <v>-51720.480000000003</v>
          </cell>
          <cell r="T4006">
            <v>0</v>
          </cell>
        </row>
        <row r="4007">
          <cell r="Q4007">
            <v>-51720.480000000003</v>
          </cell>
          <cell r="T4007">
            <v>0</v>
          </cell>
        </row>
        <row r="4008">
          <cell r="Q4008">
            <v>-51720.480000000003</v>
          </cell>
          <cell r="T4008">
            <v>0</v>
          </cell>
        </row>
        <row r="4009">
          <cell r="Q4009">
            <v>-51720.480000000003</v>
          </cell>
          <cell r="T4009">
            <v>0</v>
          </cell>
        </row>
        <row r="4010">
          <cell r="Q4010">
            <v>-51720.480000000003</v>
          </cell>
          <cell r="T4010">
            <v>0</v>
          </cell>
        </row>
        <row r="4011">
          <cell r="Q4011">
            <v>-24045.200000000001</v>
          </cell>
          <cell r="T4011">
            <v>0</v>
          </cell>
        </row>
        <row r="4012">
          <cell r="Q4012">
            <v>-24044.83</v>
          </cell>
          <cell r="T4012">
            <v>0</v>
          </cell>
        </row>
        <row r="4013">
          <cell r="Q4013">
            <v>-24044.83</v>
          </cell>
          <cell r="T4013">
            <v>0</v>
          </cell>
        </row>
        <row r="4014">
          <cell r="Q4014">
            <v>-24044.720000000001</v>
          </cell>
          <cell r="T4014">
            <v>0</v>
          </cell>
        </row>
        <row r="4015">
          <cell r="Q4015">
            <v>-24044.09</v>
          </cell>
          <cell r="T4015">
            <v>0</v>
          </cell>
        </row>
        <row r="4016">
          <cell r="Q4016">
            <v>-24044.09</v>
          </cell>
          <cell r="T4016">
            <v>0</v>
          </cell>
        </row>
        <row r="4017">
          <cell r="Q4017">
            <v>-24044.17</v>
          </cell>
          <cell r="T4017">
            <v>0</v>
          </cell>
        </row>
        <row r="4018">
          <cell r="Q4018">
            <v>-4892.45</v>
          </cell>
          <cell r="T4018">
            <v>0</v>
          </cell>
        </row>
        <row r="4019">
          <cell r="Q4019">
            <v>-4965.76</v>
          </cell>
          <cell r="T4019">
            <v>0</v>
          </cell>
        </row>
        <row r="4020">
          <cell r="Q4020">
            <v>-3384.1</v>
          </cell>
          <cell r="T4020">
            <v>0</v>
          </cell>
        </row>
        <row r="4021">
          <cell r="Q4021">
            <v>-2519.2800000000002</v>
          </cell>
          <cell r="T4021">
            <v>0</v>
          </cell>
        </row>
        <row r="4022">
          <cell r="Q4022">
            <v>-488.81</v>
          </cell>
          <cell r="T4022">
            <v>0</v>
          </cell>
        </row>
        <row r="4023">
          <cell r="Q4023">
            <v>-5011.51</v>
          </cell>
          <cell r="T4023">
            <v>0</v>
          </cell>
        </row>
        <row r="4024">
          <cell r="Q4024">
            <v>-2896.63</v>
          </cell>
          <cell r="T4024">
            <v>0</v>
          </cell>
        </row>
        <row r="4025">
          <cell r="Q4025">
            <v>-506.91</v>
          </cell>
          <cell r="T4025">
            <v>0</v>
          </cell>
        </row>
        <row r="4026">
          <cell r="Q4026">
            <v>-199.15</v>
          </cell>
          <cell r="T4026">
            <v>0</v>
          </cell>
        </row>
        <row r="4027">
          <cell r="Q4027">
            <v>-2989.51</v>
          </cell>
          <cell r="T4027">
            <v>0</v>
          </cell>
        </row>
        <row r="4028">
          <cell r="Q4028">
            <v>-1866.78</v>
          </cell>
          <cell r="T4028">
            <v>0</v>
          </cell>
        </row>
        <row r="4029">
          <cell r="Q4029">
            <v>-1896.58</v>
          </cell>
          <cell r="T4029">
            <v>0</v>
          </cell>
        </row>
        <row r="4030">
          <cell r="Q4030">
            <v>-1665.13</v>
          </cell>
          <cell r="T4030">
            <v>0</v>
          </cell>
        </row>
        <row r="4031">
          <cell r="Q4031">
            <v>-386540.52</v>
          </cell>
          <cell r="T4031">
            <v>0</v>
          </cell>
        </row>
        <row r="4032">
          <cell r="Q4032">
            <v>-3942.86</v>
          </cell>
          <cell r="T4032">
            <v>0</v>
          </cell>
        </row>
        <row r="4033">
          <cell r="Q4033">
            <v>-35992.92</v>
          </cell>
          <cell r="T4033">
            <v>0</v>
          </cell>
        </row>
        <row r="4034">
          <cell r="Q4034">
            <v>-10056.9</v>
          </cell>
          <cell r="T4034">
            <v>0</v>
          </cell>
        </row>
        <row r="4035">
          <cell r="Q4035">
            <v>-6217.37</v>
          </cell>
          <cell r="T4035">
            <v>0</v>
          </cell>
        </row>
        <row r="4036">
          <cell r="Q4036">
            <v>-1548.11</v>
          </cell>
          <cell r="T4036">
            <v>0</v>
          </cell>
        </row>
        <row r="4037">
          <cell r="Q4037">
            <v>-3187.49</v>
          </cell>
          <cell r="T4037">
            <v>0</v>
          </cell>
        </row>
        <row r="4038">
          <cell r="Q4038">
            <v>-3442.9</v>
          </cell>
          <cell r="T4038">
            <v>0</v>
          </cell>
        </row>
        <row r="4039">
          <cell r="Q4039">
            <v>-1993.25</v>
          </cell>
          <cell r="T4039">
            <v>0</v>
          </cell>
        </row>
        <row r="4040">
          <cell r="Q4040">
            <v>-4711.34</v>
          </cell>
          <cell r="T4040">
            <v>0</v>
          </cell>
        </row>
        <row r="4041">
          <cell r="Q4041">
            <v>-4213.38</v>
          </cell>
          <cell r="T4041">
            <v>0</v>
          </cell>
        </row>
        <row r="4042">
          <cell r="Q4042">
            <v>-4208.0600000000004</v>
          </cell>
          <cell r="T4042">
            <v>0</v>
          </cell>
        </row>
        <row r="4043">
          <cell r="Q4043">
            <v>-3725.2</v>
          </cell>
          <cell r="T4043">
            <v>0</v>
          </cell>
        </row>
        <row r="4044">
          <cell r="Q4044">
            <v>-4488.87</v>
          </cell>
          <cell r="T4044">
            <v>0</v>
          </cell>
        </row>
        <row r="4045">
          <cell r="Q4045">
            <v>-1519.85</v>
          </cell>
          <cell r="T4045">
            <v>0</v>
          </cell>
        </row>
        <row r="4046">
          <cell r="Q4046">
            <v>-9531.57</v>
          </cell>
          <cell r="T4046">
            <v>0</v>
          </cell>
        </row>
        <row r="4047">
          <cell r="Q4047">
            <v>-575.54</v>
          </cell>
          <cell r="T4047">
            <v>0</v>
          </cell>
        </row>
        <row r="4048">
          <cell r="Q4048">
            <v>-366.25</v>
          </cell>
          <cell r="T4048">
            <v>0</v>
          </cell>
        </row>
        <row r="4049">
          <cell r="Q4049">
            <v>-2269.42</v>
          </cell>
          <cell r="T4049">
            <v>0</v>
          </cell>
        </row>
        <row r="4050">
          <cell r="Q4050">
            <v>-3665.99</v>
          </cell>
          <cell r="T4050">
            <v>0</v>
          </cell>
        </row>
        <row r="4051">
          <cell r="Q4051">
            <v>-5935.42</v>
          </cell>
          <cell r="T4051">
            <v>0</v>
          </cell>
        </row>
        <row r="4052">
          <cell r="Q4052">
            <v>-4846.1899999999996</v>
          </cell>
          <cell r="T4052">
            <v>0</v>
          </cell>
        </row>
        <row r="4053">
          <cell r="Q4053">
            <v>-2036.45</v>
          </cell>
          <cell r="T4053">
            <v>0</v>
          </cell>
        </row>
        <row r="4054">
          <cell r="Q4054">
            <v>-6810.35</v>
          </cell>
          <cell r="T4054">
            <v>0</v>
          </cell>
        </row>
        <row r="4055">
          <cell r="Q4055">
            <v>-3698.25</v>
          </cell>
          <cell r="T4055">
            <v>0</v>
          </cell>
        </row>
        <row r="4056">
          <cell r="Q4056">
            <v>-2017.23</v>
          </cell>
          <cell r="T4056">
            <v>0</v>
          </cell>
        </row>
        <row r="4057">
          <cell r="Q4057">
            <v>-4386.63</v>
          </cell>
          <cell r="T4057">
            <v>0</v>
          </cell>
        </row>
        <row r="4058">
          <cell r="Q4058">
            <v>-6248.58</v>
          </cell>
          <cell r="T4058">
            <v>0</v>
          </cell>
        </row>
        <row r="4059">
          <cell r="Q4059">
            <v>-10531.76</v>
          </cell>
          <cell r="T4059">
            <v>0</v>
          </cell>
        </row>
        <row r="4060">
          <cell r="Q4060">
            <v>-1588.84</v>
          </cell>
          <cell r="T4060">
            <v>0</v>
          </cell>
        </row>
        <row r="4061">
          <cell r="Q4061">
            <v>-5280.56</v>
          </cell>
          <cell r="T4061">
            <v>0</v>
          </cell>
        </row>
        <row r="4062">
          <cell r="Q4062">
            <v>-2053.62</v>
          </cell>
          <cell r="T4062">
            <v>0</v>
          </cell>
        </row>
        <row r="4063">
          <cell r="Q4063">
            <v>-577.33000000000004</v>
          </cell>
          <cell r="T4063">
            <v>0</v>
          </cell>
        </row>
        <row r="4064">
          <cell r="Q4064">
            <v>-3753.32</v>
          </cell>
          <cell r="T4064">
            <v>0</v>
          </cell>
        </row>
        <row r="4065">
          <cell r="Q4065">
            <v>-5602.71</v>
          </cell>
          <cell r="T4065">
            <v>0</v>
          </cell>
        </row>
        <row r="4066">
          <cell r="Q4066">
            <v>-452742.55</v>
          </cell>
          <cell r="T4066">
            <v>0</v>
          </cell>
        </row>
        <row r="4067">
          <cell r="Q4067">
            <v>-47605.760000000002</v>
          </cell>
          <cell r="T4067">
            <v>0</v>
          </cell>
        </row>
        <row r="4068">
          <cell r="Q4068">
            <v>-10432.16</v>
          </cell>
          <cell r="T4068">
            <v>0</v>
          </cell>
        </row>
        <row r="4069">
          <cell r="Q4069">
            <v>-59227.95</v>
          </cell>
          <cell r="T4069">
            <v>0</v>
          </cell>
        </row>
        <row r="4070">
          <cell r="Q4070">
            <v>-835933.67</v>
          </cell>
          <cell r="T4070">
            <v>0</v>
          </cell>
        </row>
        <row r="4071">
          <cell r="Q4071">
            <v>-32424.36</v>
          </cell>
          <cell r="T4071">
            <v>0</v>
          </cell>
        </row>
        <row r="4072">
          <cell r="Q4072">
            <v>-15593.24</v>
          </cell>
          <cell r="T4072">
            <v>0</v>
          </cell>
        </row>
        <row r="4073">
          <cell r="Q4073">
            <v>-100637.75999999999</v>
          </cell>
          <cell r="T4073">
            <v>0</v>
          </cell>
        </row>
        <row r="4074">
          <cell r="Q4074">
            <v>-194057.75</v>
          </cell>
          <cell r="T4074">
            <v>0</v>
          </cell>
        </row>
        <row r="4075">
          <cell r="Q4075">
            <v>-258713.47</v>
          </cell>
          <cell r="T4075">
            <v>0</v>
          </cell>
        </row>
        <row r="4076">
          <cell r="Q4076">
            <v>-10051.56</v>
          </cell>
          <cell r="T4076">
            <v>0</v>
          </cell>
        </row>
        <row r="4077">
          <cell r="Q4077">
            <v>-1683.73</v>
          </cell>
          <cell r="T4077">
            <v>0</v>
          </cell>
        </row>
        <row r="4078">
          <cell r="Q4078">
            <v>-5514.21</v>
          </cell>
          <cell r="T4078">
            <v>0</v>
          </cell>
        </row>
        <row r="4079">
          <cell r="Q4079">
            <v>-17381.509999999998</v>
          </cell>
          <cell r="T4079">
            <v>0</v>
          </cell>
        </row>
        <row r="4080">
          <cell r="Q4080">
            <v>-567.62</v>
          </cell>
          <cell r="T4080">
            <v>0</v>
          </cell>
        </row>
        <row r="4081">
          <cell r="Q4081">
            <v>-6211.14</v>
          </cell>
          <cell r="T4081">
            <v>0</v>
          </cell>
        </row>
        <row r="4082">
          <cell r="Q4082">
            <v>-4079.48</v>
          </cell>
          <cell r="T4082">
            <v>0</v>
          </cell>
        </row>
        <row r="4083">
          <cell r="Q4083">
            <v>-1349.99</v>
          </cell>
          <cell r="T4083">
            <v>0</v>
          </cell>
        </row>
        <row r="4084">
          <cell r="Q4084">
            <v>-4633.9799999999996</v>
          </cell>
          <cell r="T4084">
            <v>0</v>
          </cell>
        </row>
        <row r="4085">
          <cell r="Q4085">
            <v>-7261.12</v>
          </cell>
          <cell r="T4085">
            <v>0</v>
          </cell>
        </row>
        <row r="4086">
          <cell r="Q4086">
            <v>-6027.69</v>
          </cell>
          <cell r="T4086">
            <v>0</v>
          </cell>
        </row>
        <row r="4087">
          <cell r="Q4087">
            <v>-1643.15</v>
          </cell>
          <cell r="T4087">
            <v>0</v>
          </cell>
        </row>
        <row r="4088">
          <cell r="Q4088">
            <v>-3896.19</v>
          </cell>
          <cell r="T4088">
            <v>0</v>
          </cell>
        </row>
        <row r="4089">
          <cell r="Q4089">
            <v>-3952.76</v>
          </cell>
          <cell r="T4089">
            <v>0</v>
          </cell>
        </row>
        <row r="4090">
          <cell r="Q4090">
            <v>-9146.1299999999992</v>
          </cell>
          <cell r="T4090">
            <v>0</v>
          </cell>
        </row>
        <row r="4091">
          <cell r="Q4091">
            <v>-5182.8</v>
          </cell>
          <cell r="T4091">
            <v>0</v>
          </cell>
        </row>
        <row r="4092">
          <cell r="Q4092">
            <v>-1756.12</v>
          </cell>
          <cell r="T4092">
            <v>0</v>
          </cell>
        </row>
        <row r="4093">
          <cell r="Q4093">
            <v>-5003.3</v>
          </cell>
          <cell r="T4093">
            <v>0</v>
          </cell>
        </row>
        <row r="4094">
          <cell r="Q4094">
            <v>-8853.7099999999991</v>
          </cell>
          <cell r="T4094">
            <v>0</v>
          </cell>
        </row>
        <row r="4095">
          <cell r="Q4095">
            <v>-8951.18</v>
          </cell>
          <cell r="T4095">
            <v>0</v>
          </cell>
        </row>
        <row r="4096">
          <cell r="Q4096">
            <v>-5182.8</v>
          </cell>
          <cell r="T4096">
            <v>0</v>
          </cell>
        </row>
        <row r="4097">
          <cell r="Q4097">
            <v>-17540</v>
          </cell>
          <cell r="T4097">
            <v>0</v>
          </cell>
        </row>
        <row r="4098">
          <cell r="Q4098">
            <v>-21400.13</v>
          </cell>
          <cell r="T4098">
            <v>0</v>
          </cell>
        </row>
        <row r="4099">
          <cell r="Q4099">
            <v>-15583.68</v>
          </cell>
          <cell r="T4099">
            <v>0</v>
          </cell>
        </row>
        <row r="4100">
          <cell r="Q4100">
            <v>-4927.3500000000004</v>
          </cell>
          <cell r="T4100">
            <v>0</v>
          </cell>
        </row>
        <row r="4101">
          <cell r="Q4101">
            <v>-8415.08</v>
          </cell>
          <cell r="T4101">
            <v>0</v>
          </cell>
        </row>
        <row r="4102">
          <cell r="Q4102">
            <v>-6693.7</v>
          </cell>
          <cell r="T4102">
            <v>0</v>
          </cell>
        </row>
        <row r="4103">
          <cell r="Q4103">
            <v>-2401.85</v>
          </cell>
          <cell r="T4103">
            <v>0</v>
          </cell>
        </row>
        <row r="4104">
          <cell r="Q4104">
            <v>-2345.9899999999998</v>
          </cell>
          <cell r="T4104">
            <v>0</v>
          </cell>
        </row>
        <row r="4105">
          <cell r="Q4105">
            <v>-4971.22</v>
          </cell>
          <cell r="T4105">
            <v>0</v>
          </cell>
        </row>
        <row r="4106">
          <cell r="Q4106">
            <v>-152.71</v>
          </cell>
          <cell r="T4106">
            <v>0</v>
          </cell>
        </row>
        <row r="4107">
          <cell r="Q4107">
            <v>-3898.35</v>
          </cell>
          <cell r="T4107">
            <v>0</v>
          </cell>
        </row>
        <row r="4108">
          <cell r="Q4108">
            <v>-4714.66</v>
          </cell>
          <cell r="T4108">
            <v>0</v>
          </cell>
        </row>
        <row r="4109">
          <cell r="Q4109">
            <v>-4775.45</v>
          </cell>
          <cell r="T4109">
            <v>0</v>
          </cell>
        </row>
        <row r="4110">
          <cell r="Q4110">
            <v>-4589.04</v>
          </cell>
          <cell r="T4110">
            <v>0</v>
          </cell>
        </row>
        <row r="4111">
          <cell r="Q4111">
            <v>-4575.2299999999996</v>
          </cell>
          <cell r="T4111">
            <v>0</v>
          </cell>
        </row>
        <row r="4112">
          <cell r="Q4112">
            <v>-4630.46</v>
          </cell>
          <cell r="T4112">
            <v>0</v>
          </cell>
        </row>
        <row r="4113">
          <cell r="Q4113">
            <v>-3303.22</v>
          </cell>
          <cell r="T4113">
            <v>0</v>
          </cell>
        </row>
        <row r="4114">
          <cell r="Q4114">
            <v>-1706.77</v>
          </cell>
          <cell r="T4114">
            <v>0</v>
          </cell>
        </row>
        <row r="4115">
          <cell r="Q4115">
            <v>-1563.62</v>
          </cell>
          <cell r="T4115">
            <v>0</v>
          </cell>
        </row>
        <row r="4116">
          <cell r="Q4116">
            <v>-3127.22</v>
          </cell>
          <cell r="T4116">
            <v>0</v>
          </cell>
        </row>
        <row r="4117">
          <cell r="Q4117">
            <v>-3193.56</v>
          </cell>
          <cell r="T4117">
            <v>0</v>
          </cell>
        </row>
        <row r="4118">
          <cell r="Q4118">
            <v>-2643.36</v>
          </cell>
          <cell r="T4118">
            <v>0</v>
          </cell>
        </row>
        <row r="4119">
          <cell r="Q4119">
            <v>-1963.05</v>
          </cell>
          <cell r="T4119">
            <v>0</v>
          </cell>
        </row>
        <row r="4120">
          <cell r="Q4120">
            <v>-3398.39</v>
          </cell>
          <cell r="T4120">
            <v>0</v>
          </cell>
        </row>
        <row r="4121">
          <cell r="Q4121">
            <v>-4444.05</v>
          </cell>
          <cell r="T4121">
            <v>0</v>
          </cell>
        </row>
        <row r="4122">
          <cell r="Q4122">
            <v>-1589.25</v>
          </cell>
          <cell r="T4122">
            <v>0</v>
          </cell>
        </row>
        <row r="4123">
          <cell r="Q4123">
            <v>-1451.25</v>
          </cell>
          <cell r="T4123">
            <v>0</v>
          </cell>
        </row>
        <row r="4124">
          <cell r="Q4124">
            <v>-4347.3900000000003</v>
          </cell>
          <cell r="T4124">
            <v>0</v>
          </cell>
        </row>
        <row r="4125">
          <cell r="Q4125">
            <v>-8037.38</v>
          </cell>
          <cell r="T4125">
            <v>0</v>
          </cell>
        </row>
        <row r="4126">
          <cell r="Q4126">
            <v>-4243.82</v>
          </cell>
          <cell r="T4126">
            <v>0</v>
          </cell>
        </row>
        <row r="4127">
          <cell r="Q4127">
            <v>-9485.93</v>
          </cell>
          <cell r="T4127">
            <v>0</v>
          </cell>
        </row>
        <row r="4128">
          <cell r="Q4128">
            <v>-4368.1000000000004</v>
          </cell>
          <cell r="T4128">
            <v>0</v>
          </cell>
        </row>
        <row r="4129">
          <cell r="Q4129">
            <v>-4287.5</v>
          </cell>
          <cell r="T4129">
            <v>0</v>
          </cell>
        </row>
        <row r="4130">
          <cell r="Q4130">
            <v>-4299.05</v>
          </cell>
          <cell r="T4130">
            <v>0</v>
          </cell>
        </row>
        <row r="4131">
          <cell r="Q4131">
            <v>-4292.1499999999996</v>
          </cell>
          <cell r="T4131">
            <v>0</v>
          </cell>
        </row>
        <row r="4132">
          <cell r="Q4132">
            <v>-4292.1499999999996</v>
          </cell>
          <cell r="T4132">
            <v>0</v>
          </cell>
        </row>
        <row r="4133">
          <cell r="Q4133">
            <v>-3738.46</v>
          </cell>
          <cell r="T4133">
            <v>0</v>
          </cell>
        </row>
        <row r="4134">
          <cell r="Q4134">
            <v>-4223.1099999999997</v>
          </cell>
          <cell r="T4134">
            <v>0</v>
          </cell>
        </row>
        <row r="4135">
          <cell r="Q4135">
            <v>-4409.53</v>
          </cell>
          <cell r="T4135">
            <v>0</v>
          </cell>
        </row>
        <row r="4136">
          <cell r="Q4136">
            <v>-4271.4399999999996</v>
          </cell>
          <cell r="T4136">
            <v>0</v>
          </cell>
        </row>
        <row r="4137">
          <cell r="Q4137">
            <v>-1286.1400000000001</v>
          </cell>
          <cell r="T4137">
            <v>0</v>
          </cell>
        </row>
        <row r="4138">
          <cell r="Q4138">
            <v>-4195.49</v>
          </cell>
          <cell r="T4138">
            <v>0</v>
          </cell>
        </row>
        <row r="4139">
          <cell r="Q4139">
            <v>-4167.88</v>
          </cell>
          <cell r="T4139">
            <v>0</v>
          </cell>
        </row>
        <row r="4140">
          <cell r="Q4140">
            <v>-5429.53</v>
          </cell>
          <cell r="T4140">
            <v>0</v>
          </cell>
        </row>
        <row r="4141">
          <cell r="Q4141">
            <v>-1440.49</v>
          </cell>
          <cell r="T4141">
            <v>0</v>
          </cell>
        </row>
        <row r="4142">
          <cell r="Q4142">
            <v>-1572.84</v>
          </cell>
          <cell r="T4142">
            <v>0</v>
          </cell>
        </row>
        <row r="4143">
          <cell r="Q4143">
            <v>-6288.99</v>
          </cell>
          <cell r="T4143">
            <v>0</v>
          </cell>
        </row>
        <row r="4144">
          <cell r="Q4144">
            <v>-2104.6</v>
          </cell>
          <cell r="T4144">
            <v>0</v>
          </cell>
        </row>
        <row r="4145">
          <cell r="Q4145">
            <v>-3974.56</v>
          </cell>
          <cell r="T4145">
            <v>0</v>
          </cell>
        </row>
        <row r="4146">
          <cell r="Q4146">
            <v>-659.36</v>
          </cell>
          <cell r="T4146">
            <v>0</v>
          </cell>
        </row>
        <row r="4147">
          <cell r="Q4147">
            <v>-4002.18</v>
          </cell>
          <cell r="T4147">
            <v>0</v>
          </cell>
        </row>
        <row r="4148">
          <cell r="Q4148">
            <v>-4271.4399999999996</v>
          </cell>
          <cell r="T4148">
            <v>0</v>
          </cell>
        </row>
        <row r="4149">
          <cell r="Q4149">
            <v>-4368.1000000000004</v>
          </cell>
          <cell r="T4149">
            <v>0</v>
          </cell>
        </row>
        <row r="4150">
          <cell r="Q4150">
            <v>-3953.85</v>
          </cell>
          <cell r="T4150">
            <v>0</v>
          </cell>
        </row>
        <row r="4151">
          <cell r="Q4151">
            <v>-3919.33</v>
          </cell>
          <cell r="T4151">
            <v>0</v>
          </cell>
        </row>
        <row r="4152">
          <cell r="Q4152">
            <v>-3891.71</v>
          </cell>
          <cell r="T4152">
            <v>0</v>
          </cell>
        </row>
        <row r="4153">
          <cell r="Q4153">
            <v>-887.64</v>
          </cell>
          <cell r="T4153">
            <v>0</v>
          </cell>
        </row>
        <row r="4154">
          <cell r="Q4154">
            <v>-2872.57</v>
          </cell>
          <cell r="T4154">
            <v>0</v>
          </cell>
        </row>
        <row r="4155">
          <cell r="Q4155">
            <v>-1071.6099999999999</v>
          </cell>
          <cell r="T4155">
            <v>0</v>
          </cell>
        </row>
        <row r="4156">
          <cell r="Q4156">
            <v>-282.17</v>
          </cell>
          <cell r="T4156">
            <v>0</v>
          </cell>
        </row>
        <row r="4157">
          <cell r="Q4157">
            <v>-1021.1</v>
          </cell>
          <cell r="T4157">
            <v>0</v>
          </cell>
        </row>
        <row r="4158">
          <cell r="Q4158">
            <v>-3836.48</v>
          </cell>
          <cell r="T4158">
            <v>0</v>
          </cell>
        </row>
        <row r="4159">
          <cell r="Q4159">
            <v>-3877.9</v>
          </cell>
          <cell r="T4159">
            <v>0</v>
          </cell>
        </row>
        <row r="4160">
          <cell r="Q4160">
            <v>-5339.98</v>
          </cell>
          <cell r="T4160">
            <v>0</v>
          </cell>
        </row>
        <row r="4161">
          <cell r="Q4161">
            <v>-2945.05</v>
          </cell>
          <cell r="T4161">
            <v>0</v>
          </cell>
        </row>
        <row r="4162">
          <cell r="Q4162">
            <v>-4069.05</v>
          </cell>
          <cell r="T4162">
            <v>0</v>
          </cell>
        </row>
        <row r="4163">
          <cell r="Q4163">
            <v>-2625.24</v>
          </cell>
          <cell r="T4163">
            <v>0</v>
          </cell>
        </row>
        <row r="4164">
          <cell r="Q4164">
            <v>-4815.59</v>
          </cell>
          <cell r="T4164">
            <v>0</v>
          </cell>
        </row>
        <row r="4165">
          <cell r="Q4165">
            <v>-3677.67</v>
          </cell>
          <cell r="T4165">
            <v>0</v>
          </cell>
        </row>
        <row r="4166">
          <cell r="Q4166">
            <v>-4466.68</v>
          </cell>
          <cell r="T4166">
            <v>0</v>
          </cell>
        </row>
        <row r="4167">
          <cell r="Q4167">
            <v>-3133.87</v>
          </cell>
          <cell r="T4167">
            <v>0</v>
          </cell>
        </row>
        <row r="4168">
          <cell r="Q4168">
            <v>-10349.629999999999</v>
          </cell>
          <cell r="T4168">
            <v>0</v>
          </cell>
        </row>
        <row r="4169">
          <cell r="Q4169">
            <v>-6217.4</v>
          </cell>
          <cell r="T4169">
            <v>0</v>
          </cell>
        </row>
        <row r="4170">
          <cell r="Q4170">
            <v>-3484.35</v>
          </cell>
          <cell r="T4170">
            <v>0</v>
          </cell>
        </row>
        <row r="4171">
          <cell r="Q4171">
            <v>-3525.78</v>
          </cell>
          <cell r="T4171">
            <v>0</v>
          </cell>
        </row>
        <row r="4172">
          <cell r="Q4172">
            <v>-822.03</v>
          </cell>
          <cell r="T4172">
            <v>0</v>
          </cell>
        </row>
        <row r="4173">
          <cell r="Q4173">
            <v>-3587.92</v>
          </cell>
          <cell r="T4173">
            <v>0</v>
          </cell>
        </row>
        <row r="4174">
          <cell r="Q4174">
            <v>-3050.06</v>
          </cell>
          <cell r="T4174">
            <v>0</v>
          </cell>
        </row>
        <row r="4175">
          <cell r="Q4175">
            <v>-3380.79</v>
          </cell>
          <cell r="T4175">
            <v>0</v>
          </cell>
        </row>
        <row r="4176">
          <cell r="Q4176">
            <v>-3198.15</v>
          </cell>
          <cell r="T4176">
            <v>0</v>
          </cell>
        </row>
        <row r="4177">
          <cell r="Q4177">
            <v>-6862.01</v>
          </cell>
          <cell r="T4177">
            <v>0</v>
          </cell>
        </row>
        <row r="4178">
          <cell r="Q4178">
            <v>-5496.88</v>
          </cell>
          <cell r="T4178">
            <v>0</v>
          </cell>
        </row>
        <row r="4179">
          <cell r="Q4179">
            <v>-2591.7399999999998</v>
          </cell>
          <cell r="T4179">
            <v>0</v>
          </cell>
        </row>
        <row r="4180">
          <cell r="Q4180">
            <v>-2087.54</v>
          </cell>
          <cell r="T4180">
            <v>0</v>
          </cell>
        </row>
        <row r="4181">
          <cell r="Q4181">
            <v>-5429.02</v>
          </cell>
          <cell r="T4181">
            <v>0</v>
          </cell>
        </row>
        <row r="4182">
          <cell r="Q4182">
            <v>-462.06</v>
          </cell>
          <cell r="T4182">
            <v>0</v>
          </cell>
        </row>
        <row r="4183">
          <cell r="Q4183">
            <v>-13692.93</v>
          </cell>
          <cell r="T4183">
            <v>0</v>
          </cell>
        </row>
        <row r="4184">
          <cell r="Q4184">
            <v>-165264.09</v>
          </cell>
          <cell r="T4184">
            <v>0</v>
          </cell>
        </row>
        <row r="4185">
          <cell r="Q4185">
            <v>-593913.37</v>
          </cell>
          <cell r="T4185">
            <v>0</v>
          </cell>
        </row>
        <row r="4186">
          <cell r="Q4186">
            <v>-35211.29</v>
          </cell>
          <cell r="T4186">
            <v>0</v>
          </cell>
        </row>
        <row r="4187">
          <cell r="Q4187">
            <v>-8989.6</v>
          </cell>
          <cell r="T4187">
            <v>0</v>
          </cell>
        </row>
        <row r="4188">
          <cell r="Q4188">
            <v>-6748.35</v>
          </cell>
          <cell r="T4188">
            <v>0</v>
          </cell>
        </row>
        <row r="4189">
          <cell r="Q4189">
            <v>-1344.23</v>
          </cell>
          <cell r="T4189">
            <v>0</v>
          </cell>
        </row>
        <row r="4190">
          <cell r="Q4190">
            <v>-43006.23</v>
          </cell>
          <cell r="T4190">
            <v>0</v>
          </cell>
        </row>
        <row r="4191">
          <cell r="Q4191">
            <v>-2203.69</v>
          </cell>
          <cell r="T4191">
            <v>0</v>
          </cell>
        </row>
        <row r="4192">
          <cell r="Q4192">
            <v>-3463.64</v>
          </cell>
          <cell r="T4192">
            <v>0</v>
          </cell>
        </row>
        <row r="4193">
          <cell r="Q4193">
            <v>-3380.79</v>
          </cell>
          <cell r="T4193">
            <v>0</v>
          </cell>
        </row>
        <row r="4194">
          <cell r="Q4194">
            <v>-3746.71</v>
          </cell>
          <cell r="T4194">
            <v>0</v>
          </cell>
        </row>
        <row r="4195">
          <cell r="Q4195">
            <v>-3394.6</v>
          </cell>
          <cell r="T4195">
            <v>0</v>
          </cell>
        </row>
        <row r="4196">
          <cell r="Q4196">
            <v>-3933.13</v>
          </cell>
          <cell r="T4196">
            <v>0</v>
          </cell>
        </row>
        <row r="4197">
          <cell r="Q4197">
            <v>-5828.18</v>
          </cell>
          <cell r="T4197">
            <v>0</v>
          </cell>
        </row>
        <row r="4198">
          <cell r="Q4198">
            <v>-3121.2</v>
          </cell>
          <cell r="T4198">
            <v>0</v>
          </cell>
        </row>
        <row r="4199">
          <cell r="Q4199">
            <v>0</v>
          </cell>
          <cell r="T4199">
            <v>0</v>
          </cell>
        </row>
        <row r="4200">
          <cell r="Q4200">
            <v>-1518.09</v>
          </cell>
          <cell r="T4200">
            <v>0</v>
          </cell>
        </row>
        <row r="4201">
          <cell r="Q4201">
            <v>-1075.54</v>
          </cell>
          <cell r="T4201">
            <v>0</v>
          </cell>
        </row>
        <row r="4202">
          <cell r="Q4202">
            <v>-35998.83</v>
          </cell>
          <cell r="T4202">
            <v>0</v>
          </cell>
        </row>
        <row r="4203">
          <cell r="Q4203">
            <v>-23055.73</v>
          </cell>
          <cell r="T4203">
            <v>0</v>
          </cell>
        </row>
        <row r="4204">
          <cell r="Q4204">
            <v>-3305.24</v>
          </cell>
          <cell r="T4204">
            <v>0</v>
          </cell>
        </row>
        <row r="4205">
          <cell r="Q4205">
            <v>-9826.83</v>
          </cell>
          <cell r="T4205">
            <v>0</v>
          </cell>
        </row>
        <row r="4206">
          <cell r="Q4206">
            <v>-4750.08</v>
          </cell>
          <cell r="T4206">
            <v>0</v>
          </cell>
        </row>
        <row r="4207">
          <cell r="Q4207">
            <v>-3152.95</v>
          </cell>
          <cell r="T4207">
            <v>0</v>
          </cell>
        </row>
        <row r="4208">
          <cell r="Q4208">
            <v>-15661</v>
          </cell>
          <cell r="T4208">
            <v>0</v>
          </cell>
        </row>
        <row r="4209">
          <cell r="Q4209">
            <v>-6029.37</v>
          </cell>
          <cell r="T4209">
            <v>0</v>
          </cell>
        </row>
        <row r="4210">
          <cell r="Q4210">
            <v>-834.57</v>
          </cell>
          <cell r="T4210">
            <v>0</v>
          </cell>
        </row>
        <row r="4211">
          <cell r="Q4211">
            <v>-33232.69</v>
          </cell>
          <cell r="T4211">
            <v>0</v>
          </cell>
        </row>
        <row r="4212">
          <cell r="Q4212">
            <v>-4559.88</v>
          </cell>
          <cell r="T4212">
            <v>0</v>
          </cell>
        </row>
        <row r="4213">
          <cell r="Q4213">
            <v>-3272.62</v>
          </cell>
          <cell r="T4213">
            <v>0</v>
          </cell>
        </row>
        <row r="4214">
          <cell r="Q4214">
            <v>-4543.3500000000004</v>
          </cell>
          <cell r="T4214">
            <v>0</v>
          </cell>
        </row>
        <row r="4215">
          <cell r="Q4215">
            <v>-7854.34</v>
          </cell>
          <cell r="T4215">
            <v>0</v>
          </cell>
        </row>
        <row r="4216">
          <cell r="Q4216">
            <v>-70031.839999999997</v>
          </cell>
          <cell r="T4216">
            <v>0</v>
          </cell>
        </row>
        <row r="4217">
          <cell r="Q4217">
            <v>-3896.96</v>
          </cell>
          <cell r="T4217">
            <v>0</v>
          </cell>
        </row>
        <row r="4218">
          <cell r="Q4218">
            <v>-2857.82</v>
          </cell>
          <cell r="T4218">
            <v>0</v>
          </cell>
        </row>
        <row r="4219">
          <cell r="Q4219">
            <v>-2500.09</v>
          </cell>
          <cell r="T4219">
            <v>0</v>
          </cell>
        </row>
        <row r="4220">
          <cell r="Q4220">
            <v>-3280.31</v>
          </cell>
          <cell r="T4220">
            <v>0</v>
          </cell>
        </row>
        <row r="4221">
          <cell r="Q4221">
            <v>-14323.49</v>
          </cell>
          <cell r="T4221">
            <v>0</v>
          </cell>
        </row>
        <row r="4222">
          <cell r="Q4222">
            <v>-3575.61</v>
          </cell>
          <cell r="T4222">
            <v>0</v>
          </cell>
        </row>
        <row r="4223">
          <cell r="Q4223">
            <v>-2950.55</v>
          </cell>
          <cell r="T4223">
            <v>0</v>
          </cell>
        </row>
        <row r="4224">
          <cell r="Q4224">
            <v>-2493.06</v>
          </cell>
          <cell r="T4224">
            <v>0</v>
          </cell>
        </row>
        <row r="4225">
          <cell r="Q4225">
            <v>-2294.98</v>
          </cell>
          <cell r="T4225">
            <v>0</v>
          </cell>
        </row>
        <row r="4226">
          <cell r="Q4226">
            <v>-2243.41</v>
          </cell>
          <cell r="T4226">
            <v>0</v>
          </cell>
        </row>
        <row r="4227">
          <cell r="Q4227">
            <v>-5072.96</v>
          </cell>
          <cell r="T4227">
            <v>0</v>
          </cell>
        </row>
        <row r="4228">
          <cell r="Q4228">
            <v>-636.54</v>
          </cell>
          <cell r="T4228">
            <v>0</v>
          </cell>
        </row>
        <row r="4229">
          <cell r="Q4229">
            <v>-3290.73</v>
          </cell>
          <cell r="T4229">
            <v>0</v>
          </cell>
        </row>
        <row r="4230">
          <cell r="Q4230">
            <v>-2781.95</v>
          </cell>
          <cell r="T4230">
            <v>0</v>
          </cell>
        </row>
        <row r="4231">
          <cell r="Q4231">
            <v>-1085.8</v>
          </cell>
          <cell r="T4231">
            <v>0</v>
          </cell>
        </row>
        <row r="4232">
          <cell r="Q4232">
            <v>-170963.19</v>
          </cell>
          <cell r="T4232">
            <v>0</v>
          </cell>
        </row>
        <row r="4233">
          <cell r="Q4233">
            <v>-15817.79</v>
          </cell>
          <cell r="T4233">
            <v>0</v>
          </cell>
        </row>
        <row r="4234">
          <cell r="Q4234">
            <v>-12203.87</v>
          </cell>
          <cell r="T4234">
            <v>0</v>
          </cell>
        </row>
        <row r="4235">
          <cell r="Q4235">
            <v>-4314.25</v>
          </cell>
          <cell r="T4235">
            <v>0</v>
          </cell>
        </row>
        <row r="4236">
          <cell r="Q4236">
            <v>-6778.13</v>
          </cell>
          <cell r="T4236">
            <v>0</v>
          </cell>
        </row>
        <row r="4237">
          <cell r="Q4237">
            <v>-2856.33</v>
          </cell>
          <cell r="T4237">
            <v>0</v>
          </cell>
        </row>
        <row r="4238">
          <cell r="Q4238">
            <v>-46593.87</v>
          </cell>
          <cell r="T4238">
            <v>0</v>
          </cell>
        </row>
        <row r="4239">
          <cell r="Q4239">
            <v>-3476.69</v>
          </cell>
          <cell r="T4239">
            <v>0</v>
          </cell>
        </row>
        <row r="4240">
          <cell r="Q4240">
            <v>-4522.5200000000004</v>
          </cell>
          <cell r="T4240">
            <v>0</v>
          </cell>
        </row>
        <row r="4241">
          <cell r="Q4241">
            <v>-2486.89</v>
          </cell>
          <cell r="T4241">
            <v>0</v>
          </cell>
        </row>
        <row r="4242">
          <cell r="Q4242">
            <v>-4295.71</v>
          </cell>
          <cell r="T4242">
            <v>0</v>
          </cell>
        </row>
        <row r="4243">
          <cell r="Q4243">
            <v>-534.15</v>
          </cell>
          <cell r="T4243">
            <v>0</v>
          </cell>
        </row>
        <row r="4244">
          <cell r="Q4244">
            <v>-7554.17</v>
          </cell>
          <cell r="T4244">
            <v>0</v>
          </cell>
        </row>
        <row r="4245">
          <cell r="Q4245">
            <v>-3496.18</v>
          </cell>
          <cell r="T4245">
            <v>0</v>
          </cell>
        </row>
        <row r="4246">
          <cell r="Q4246">
            <v>-2907.37</v>
          </cell>
          <cell r="T4246">
            <v>0</v>
          </cell>
        </row>
        <row r="4247">
          <cell r="Q4247">
            <v>-1699.92</v>
          </cell>
          <cell r="T4247">
            <v>0</v>
          </cell>
        </row>
        <row r="4248">
          <cell r="Q4248">
            <v>-5070.3599999999997</v>
          </cell>
          <cell r="T4248">
            <v>0</v>
          </cell>
        </row>
        <row r="4249">
          <cell r="Q4249">
            <v>-234.89</v>
          </cell>
          <cell r="T4249">
            <v>0</v>
          </cell>
        </row>
        <row r="4250">
          <cell r="Q4250">
            <v>-315.39999999999998</v>
          </cell>
          <cell r="T4250">
            <v>0</v>
          </cell>
        </row>
        <row r="4251">
          <cell r="Q4251">
            <v>-121</v>
          </cell>
          <cell r="T4251">
            <v>0</v>
          </cell>
        </row>
        <row r="4252">
          <cell r="Q4252">
            <v>-576.23</v>
          </cell>
          <cell r="T4252">
            <v>0</v>
          </cell>
        </row>
        <row r="4253">
          <cell r="Q4253">
            <v>-186.86</v>
          </cell>
          <cell r="T4253">
            <v>0</v>
          </cell>
        </row>
        <row r="4254">
          <cell r="Q4254">
            <v>-5283.31</v>
          </cell>
          <cell r="T4254">
            <v>0</v>
          </cell>
        </row>
        <row r="4255">
          <cell r="Q4255">
            <v>-12253.06</v>
          </cell>
          <cell r="T4255">
            <v>0</v>
          </cell>
        </row>
        <row r="4256">
          <cell r="Q4256">
            <v>-11542.55</v>
          </cell>
          <cell r="T4256">
            <v>0</v>
          </cell>
        </row>
        <row r="4257">
          <cell r="Q4257">
            <v>-35009.599999999999</v>
          </cell>
          <cell r="T4257">
            <v>0</v>
          </cell>
        </row>
        <row r="4258">
          <cell r="Q4258">
            <v>-579.53</v>
          </cell>
          <cell r="T4258">
            <v>0</v>
          </cell>
        </row>
        <row r="4259">
          <cell r="Q4259">
            <v>-30217.67</v>
          </cell>
          <cell r="T4259">
            <v>0</v>
          </cell>
        </row>
        <row r="4260">
          <cell r="Q4260">
            <v>-29108.48</v>
          </cell>
          <cell r="T4260">
            <v>0</v>
          </cell>
        </row>
        <row r="4261">
          <cell r="Q4261">
            <v>-3586.25</v>
          </cell>
          <cell r="T4261">
            <v>0</v>
          </cell>
        </row>
        <row r="4262">
          <cell r="Q4262">
            <v>-7298.26</v>
          </cell>
          <cell r="T4262">
            <v>0</v>
          </cell>
        </row>
        <row r="4263">
          <cell r="Q4263">
            <v>-458.26</v>
          </cell>
          <cell r="T4263">
            <v>0</v>
          </cell>
        </row>
        <row r="4264">
          <cell r="Q4264">
            <v>-1681.06</v>
          </cell>
          <cell r="T4264">
            <v>0</v>
          </cell>
        </row>
        <row r="4265">
          <cell r="Q4265">
            <v>-143.22</v>
          </cell>
          <cell r="T4265">
            <v>0</v>
          </cell>
        </row>
        <row r="4266">
          <cell r="Q4266">
            <v>-1469.97</v>
          </cell>
          <cell r="T4266">
            <v>0</v>
          </cell>
        </row>
        <row r="4267">
          <cell r="Q4267">
            <v>-771.66</v>
          </cell>
          <cell r="T4267">
            <v>0</v>
          </cell>
        </row>
        <row r="4268">
          <cell r="Q4268">
            <v>-49090.43</v>
          </cell>
          <cell r="T4268">
            <v>0</v>
          </cell>
        </row>
        <row r="4269">
          <cell r="Q4269">
            <v>-2427.88</v>
          </cell>
          <cell r="T4269">
            <v>0</v>
          </cell>
        </row>
        <row r="4270">
          <cell r="Q4270">
            <v>-4822.04</v>
          </cell>
          <cell r="T4270">
            <v>0</v>
          </cell>
        </row>
        <row r="4271">
          <cell r="Q4271">
            <v>-90478.86</v>
          </cell>
          <cell r="T4271">
            <v>0</v>
          </cell>
        </row>
        <row r="4272">
          <cell r="Q4272">
            <v>-1632.57</v>
          </cell>
          <cell r="T4272">
            <v>0</v>
          </cell>
        </row>
        <row r="4273">
          <cell r="Q4273">
            <v>-2073.81</v>
          </cell>
          <cell r="T4273">
            <v>0</v>
          </cell>
        </row>
        <row r="4274">
          <cell r="Q4274">
            <v>-2082.2399999999998</v>
          </cell>
          <cell r="T4274">
            <v>0</v>
          </cell>
        </row>
        <row r="4275">
          <cell r="Q4275">
            <v>-2082.2399999999998</v>
          </cell>
          <cell r="T4275">
            <v>0</v>
          </cell>
        </row>
        <row r="4276">
          <cell r="Q4276">
            <v>-1964.22</v>
          </cell>
          <cell r="T4276">
            <v>0</v>
          </cell>
        </row>
        <row r="4277">
          <cell r="Q4277">
            <v>-1964.22</v>
          </cell>
          <cell r="T4277">
            <v>0</v>
          </cell>
        </row>
        <row r="4278">
          <cell r="Q4278">
            <v>-2082.2399999999998</v>
          </cell>
          <cell r="T4278">
            <v>0</v>
          </cell>
        </row>
        <row r="4279">
          <cell r="Q4279">
            <v>-242.99</v>
          </cell>
          <cell r="T4279">
            <v>0</v>
          </cell>
        </row>
        <row r="4280">
          <cell r="Q4280">
            <v>-602.61</v>
          </cell>
          <cell r="T4280">
            <v>0</v>
          </cell>
        </row>
        <row r="4281">
          <cell r="Q4281">
            <v>-5826.85</v>
          </cell>
          <cell r="T4281">
            <v>0</v>
          </cell>
        </row>
        <row r="4282">
          <cell r="Q4282">
            <v>-2957.49</v>
          </cell>
          <cell r="T4282">
            <v>0</v>
          </cell>
        </row>
        <row r="4283">
          <cell r="Q4283">
            <v>-2640.28</v>
          </cell>
          <cell r="T4283">
            <v>0</v>
          </cell>
        </row>
        <row r="4284">
          <cell r="Q4284">
            <v>-83.82</v>
          </cell>
          <cell r="T4284">
            <v>0</v>
          </cell>
        </row>
        <row r="4285">
          <cell r="Q4285">
            <v>-5112.92</v>
          </cell>
          <cell r="T4285">
            <v>0</v>
          </cell>
        </row>
        <row r="4286">
          <cell r="Q4286">
            <v>-20242.14</v>
          </cell>
          <cell r="T4286">
            <v>0</v>
          </cell>
        </row>
        <row r="4287">
          <cell r="Q4287">
            <v>-37760.19</v>
          </cell>
          <cell r="T4287">
            <v>0</v>
          </cell>
        </row>
        <row r="4288">
          <cell r="Q4288">
            <v>-69569.259999999995</v>
          </cell>
          <cell r="T4288">
            <v>0</v>
          </cell>
        </row>
        <row r="4289">
          <cell r="Q4289">
            <v>-2388.8200000000002</v>
          </cell>
          <cell r="T4289">
            <v>0</v>
          </cell>
        </row>
        <row r="4290">
          <cell r="Q4290">
            <v>-52344.58</v>
          </cell>
          <cell r="T4290">
            <v>0</v>
          </cell>
        </row>
        <row r="4291">
          <cell r="Q4291">
            <v>-2640.28</v>
          </cell>
          <cell r="T4291">
            <v>0</v>
          </cell>
        </row>
        <row r="4292">
          <cell r="Q4292">
            <v>-15632.13</v>
          </cell>
          <cell r="T4292">
            <v>0</v>
          </cell>
        </row>
        <row r="4293">
          <cell r="Q4293">
            <v>-2807.92</v>
          </cell>
          <cell r="T4293">
            <v>0</v>
          </cell>
        </row>
        <row r="4294">
          <cell r="Q4294">
            <v>-1676.37</v>
          </cell>
          <cell r="T4294">
            <v>0</v>
          </cell>
        </row>
        <row r="4295">
          <cell r="Q4295">
            <v>-1005.82</v>
          </cell>
          <cell r="T4295">
            <v>0</v>
          </cell>
        </row>
        <row r="4296">
          <cell r="Q4296">
            <v>-2598.37</v>
          </cell>
          <cell r="T4296">
            <v>0</v>
          </cell>
        </row>
        <row r="4297">
          <cell r="Q4297">
            <v>-3436.55</v>
          </cell>
          <cell r="T4297">
            <v>0</v>
          </cell>
        </row>
        <row r="4298">
          <cell r="Q4298">
            <v>-1089.6400000000001</v>
          </cell>
          <cell r="T4298">
            <v>0</v>
          </cell>
        </row>
        <row r="4299">
          <cell r="Q4299">
            <v>-51380.67</v>
          </cell>
          <cell r="T4299">
            <v>0</v>
          </cell>
        </row>
        <row r="4300">
          <cell r="Q4300">
            <v>-12530.85</v>
          </cell>
          <cell r="T4300">
            <v>0</v>
          </cell>
        </row>
        <row r="4301">
          <cell r="Q4301">
            <v>-1508.73</v>
          </cell>
          <cell r="T4301">
            <v>0</v>
          </cell>
        </row>
        <row r="4302">
          <cell r="Q4302">
            <v>-32018.62</v>
          </cell>
          <cell r="T4302">
            <v>0</v>
          </cell>
        </row>
        <row r="4303">
          <cell r="Q4303">
            <v>-6998.83</v>
          </cell>
          <cell r="T4303">
            <v>0</v>
          </cell>
        </row>
        <row r="4304">
          <cell r="Q4304">
            <v>-35036.080000000002</v>
          </cell>
          <cell r="T4304">
            <v>0</v>
          </cell>
        </row>
        <row r="4305">
          <cell r="Q4305">
            <v>-7250.3</v>
          </cell>
          <cell r="T4305">
            <v>0</v>
          </cell>
        </row>
        <row r="4306">
          <cell r="Q4306">
            <v>-1964.22</v>
          </cell>
          <cell r="T4306">
            <v>0</v>
          </cell>
        </row>
        <row r="4307">
          <cell r="Q4307">
            <v>-1955.79</v>
          </cell>
          <cell r="T4307">
            <v>0</v>
          </cell>
        </row>
        <row r="4308">
          <cell r="Q4308">
            <v>-1913.64</v>
          </cell>
          <cell r="T4308">
            <v>0</v>
          </cell>
        </row>
        <row r="4309">
          <cell r="Q4309">
            <v>-1955.79</v>
          </cell>
          <cell r="T4309">
            <v>0</v>
          </cell>
        </row>
        <row r="4310">
          <cell r="Q4310">
            <v>-1820.91</v>
          </cell>
          <cell r="T4310">
            <v>0</v>
          </cell>
        </row>
        <row r="4311">
          <cell r="Q4311">
            <v>-1404.81</v>
          </cell>
          <cell r="T4311">
            <v>0</v>
          </cell>
        </row>
        <row r="4312">
          <cell r="Q4312">
            <v>-360.3</v>
          </cell>
          <cell r="T4312">
            <v>0</v>
          </cell>
        </row>
        <row r="4313">
          <cell r="Q4313">
            <v>-1753.47</v>
          </cell>
          <cell r="T4313">
            <v>0</v>
          </cell>
        </row>
        <row r="4314">
          <cell r="Q4314">
            <v>-6391.39</v>
          </cell>
          <cell r="T4314">
            <v>0</v>
          </cell>
        </row>
        <row r="4315">
          <cell r="Q4315">
            <v>-1677.6</v>
          </cell>
          <cell r="T4315">
            <v>0</v>
          </cell>
        </row>
        <row r="4316">
          <cell r="Q4316">
            <v>-348.98</v>
          </cell>
          <cell r="T4316">
            <v>0</v>
          </cell>
        </row>
        <row r="4317">
          <cell r="Q4317">
            <v>-14643.14</v>
          </cell>
          <cell r="T4317">
            <v>0</v>
          </cell>
        </row>
        <row r="4318">
          <cell r="Q4318">
            <v>-33593.1</v>
          </cell>
          <cell r="T4318">
            <v>0</v>
          </cell>
        </row>
        <row r="4319">
          <cell r="Q4319">
            <v>-1234.18</v>
          </cell>
          <cell r="T4319">
            <v>0</v>
          </cell>
        </row>
        <row r="4320">
          <cell r="Q4320">
            <v>-2136.85</v>
          </cell>
          <cell r="T4320">
            <v>0</v>
          </cell>
        </row>
        <row r="4321">
          <cell r="Q4321">
            <v>-603.86</v>
          </cell>
          <cell r="T4321">
            <v>0</v>
          </cell>
        </row>
        <row r="4322">
          <cell r="Q4322">
            <v>-2258.5</v>
          </cell>
          <cell r="T4322">
            <v>0</v>
          </cell>
        </row>
        <row r="4323">
          <cell r="Q4323">
            <v>-7039.66</v>
          </cell>
          <cell r="T4323">
            <v>0</v>
          </cell>
        </row>
        <row r="4324">
          <cell r="Q4324">
            <v>-3017</v>
          </cell>
          <cell r="T4324">
            <v>0</v>
          </cell>
        </row>
        <row r="4325">
          <cell r="Q4325">
            <v>-4190.2700000000004</v>
          </cell>
          <cell r="T4325">
            <v>0</v>
          </cell>
        </row>
        <row r="4326">
          <cell r="Q4326">
            <v>-1634.21</v>
          </cell>
          <cell r="T4326">
            <v>0</v>
          </cell>
        </row>
        <row r="4327">
          <cell r="Q4327">
            <v>-3164.71</v>
          </cell>
          <cell r="T4327">
            <v>0</v>
          </cell>
        </row>
        <row r="4328">
          <cell r="Q4328">
            <v>-3922.1</v>
          </cell>
          <cell r="T4328">
            <v>0</v>
          </cell>
        </row>
        <row r="4329">
          <cell r="Q4329">
            <v>-6735.01</v>
          </cell>
          <cell r="T4329">
            <v>0</v>
          </cell>
        </row>
        <row r="4330">
          <cell r="Q4330">
            <v>-4274.08</v>
          </cell>
          <cell r="T4330">
            <v>0</v>
          </cell>
        </row>
        <row r="4331">
          <cell r="Q4331">
            <v>-2011.33</v>
          </cell>
          <cell r="T4331">
            <v>0</v>
          </cell>
        </row>
        <row r="4332">
          <cell r="Q4332">
            <v>-11732.77</v>
          </cell>
          <cell r="T4332">
            <v>0</v>
          </cell>
        </row>
        <row r="4333">
          <cell r="Q4333">
            <v>-4196.42</v>
          </cell>
          <cell r="T4333">
            <v>0</v>
          </cell>
        </row>
        <row r="4334">
          <cell r="Q4334">
            <v>-1076.47</v>
          </cell>
          <cell r="T4334">
            <v>0</v>
          </cell>
        </row>
        <row r="4335">
          <cell r="Q4335">
            <v>-5231.8500000000004</v>
          </cell>
          <cell r="T4335">
            <v>0</v>
          </cell>
        </row>
        <row r="4336">
          <cell r="Q4336">
            <v>-1887.3</v>
          </cell>
          <cell r="T4336">
            <v>0</v>
          </cell>
        </row>
        <row r="4337">
          <cell r="Q4337">
            <v>-576.84</v>
          </cell>
          <cell r="T4337">
            <v>0</v>
          </cell>
        </row>
        <row r="4338">
          <cell r="Q4338">
            <v>-828.14</v>
          </cell>
          <cell r="T4338">
            <v>0</v>
          </cell>
        </row>
        <row r="4339">
          <cell r="Q4339">
            <v>-740.86</v>
          </cell>
          <cell r="T4339">
            <v>0</v>
          </cell>
        </row>
        <row r="4340">
          <cell r="Q4340">
            <v>-466.38</v>
          </cell>
          <cell r="T4340">
            <v>0</v>
          </cell>
        </row>
        <row r="4341">
          <cell r="Q4341">
            <v>-695.41</v>
          </cell>
          <cell r="T4341">
            <v>0</v>
          </cell>
        </row>
        <row r="4342">
          <cell r="Q4342">
            <v>-2335.64</v>
          </cell>
          <cell r="T4342">
            <v>0</v>
          </cell>
        </row>
        <row r="4343">
          <cell r="Q4343">
            <v>-2413.5</v>
          </cell>
          <cell r="T4343">
            <v>0</v>
          </cell>
        </row>
        <row r="4344">
          <cell r="Q4344">
            <v>-1245.68</v>
          </cell>
          <cell r="T4344">
            <v>0</v>
          </cell>
        </row>
        <row r="4345">
          <cell r="Q4345">
            <v>-1167.82</v>
          </cell>
          <cell r="T4345">
            <v>0</v>
          </cell>
        </row>
        <row r="4346">
          <cell r="Q4346">
            <v>-4204.16</v>
          </cell>
          <cell r="T4346">
            <v>0</v>
          </cell>
        </row>
        <row r="4347">
          <cell r="Q4347">
            <v>-5415.12</v>
          </cell>
          <cell r="T4347">
            <v>0</v>
          </cell>
        </row>
        <row r="4348">
          <cell r="Q4348">
            <v>-657.55</v>
          </cell>
          <cell r="T4348">
            <v>0</v>
          </cell>
        </row>
        <row r="4349">
          <cell r="Q4349">
            <v>-657.55</v>
          </cell>
          <cell r="T4349">
            <v>0</v>
          </cell>
        </row>
        <row r="4350">
          <cell r="Q4350">
            <v>-1044.3499999999999</v>
          </cell>
          <cell r="T4350">
            <v>0</v>
          </cell>
        </row>
        <row r="4351">
          <cell r="Q4351">
            <v>-889.63</v>
          </cell>
          <cell r="T4351">
            <v>0</v>
          </cell>
        </row>
        <row r="4352">
          <cell r="Q4352">
            <v>-360.41</v>
          </cell>
          <cell r="T4352">
            <v>0</v>
          </cell>
        </row>
        <row r="4353">
          <cell r="Q4353">
            <v>-335.32</v>
          </cell>
          <cell r="T4353">
            <v>0</v>
          </cell>
        </row>
        <row r="4354">
          <cell r="Q4354">
            <v>-3070.06</v>
          </cell>
          <cell r="T4354">
            <v>0</v>
          </cell>
        </row>
        <row r="4355">
          <cell r="Q4355">
            <v>-3074.52</v>
          </cell>
          <cell r="T4355">
            <v>0</v>
          </cell>
        </row>
        <row r="4356">
          <cell r="Q4356">
            <v>-977.5</v>
          </cell>
          <cell r="T4356">
            <v>0</v>
          </cell>
        </row>
        <row r="4357">
          <cell r="Q4357">
            <v>-1450.98</v>
          </cell>
          <cell r="T4357">
            <v>0</v>
          </cell>
        </row>
        <row r="4358">
          <cell r="Q4358">
            <v>-931.68</v>
          </cell>
          <cell r="T4358">
            <v>0</v>
          </cell>
        </row>
        <row r="4359">
          <cell r="Q4359">
            <v>-532.48</v>
          </cell>
          <cell r="T4359">
            <v>0</v>
          </cell>
        </row>
        <row r="4360">
          <cell r="Q4360">
            <v>-5930.92</v>
          </cell>
          <cell r="T4360">
            <v>0</v>
          </cell>
        </row>
        <row r="4361">
          <cell r="Q4361">
            <v>-155.32</v>
          </cell>
          <cell r="T4361">
            <v>0</v>
          </cell>
        </row>
        <row r="4362">
          <cell r="Q4362">
            <v>0</v>
          </cell>
          <cell r="T4362">
            <v>0</v>
          </cell>
        </row>
        <row r="4363">
          <cell r="Q4363">
            <v>-157286.98000000001</v>
          </cell>
          <cell r="T4363">
            <v>0</v>
          </cell>
        </row>
        <row r="4364">
          <cell r="Q4364">
            <v>-13900.53</v>
          </cell>
          <cell r="T4364">
            <v>0</v>
          </cell>
        </row>
        <row r="4365">
          <cell r="Q4365">
            <v>-2281.73</v>
          </cell>
          <cell r="T4365">
            <v>0</v>
          </cell>
        </row>
        <row r="4366">
          <cell r="Q4366">
            <v>-1066.4100000000001</v>
          </cell>
          <cell r="T4366">
            <v>0</v>
          </cell>
        </row>
        <row r="4367">
          <cell r="Q4367">
            <v>-221.7</v>
          </cell>
          <cell r="T4367">
            <v>0</v>
          </cell>
        </row>
        <row r="4368">
          <cell r="Q4368">
            <v>-3908.03</v>
          </cell>
          <cell r="T4368">
            <v>0</v>
          </cell>
        </row>
        <row r="4369">
          <cell r="Q4369">
            <v>-13644.54</v>
          </cell>
          <cell r="T4369">
            <v>0</v>
          </cell>
        </row>
        <row r="4370">
          <cell r="Q4370">
            <v>-1773.72</v>
          </cell>
          <cell r="T4370">
            <v>0</v>
          </cell>
        </row>
        <row r="4371">
          <cell r="Q4371">
            <v>-42204.07</v>
          </cell>
          <cell r="T4371">
            <v>0</v>
          </cell>
        </row>
        <row r="4372">
          <cell r="Q4372">
            <v>-4265.6499999999996</v>
          </cell>
          <cell r="T4372">
            <v>0</v>
          </cell>
        </row>
        <row r="4373">
          <cell r="Q4373">
            <v>-504.62</v>
          </cell>
          <cell r="T4373">
            <v>0</v>
          </cell>
        </row>
        <row r="4374">
          <cell r="Q4374">
            <v>-1198.47</v>
          </cell>
          <cell r="T4374">
            <v>0</v>
          </cell>
        </row>
        <row r="4375">
          <cell r="Q4375">
            <v>-1366.67</v>
          </cell>
          <cell r="T4375">
            <v>0</v>
          </cell>
        </row>
        <row r="4376">
          <cell r="Q4376">
            <v>-1197.08</v>
          </cell>
          <cell r="T4376">
            <v>0</v>
          </cell>
        </row>
        <row r="4377">
          <cell r="Q4377">
            <v>-924.21</v>
          </cell>
          <cell r="T4377">
            <v>0</v>
          </cell>
        </row>
        <row r="4378">
          <cell r="Q4378">
            <v>-1165.82</v>
          </cell>
          <cell r="T4378">
            <v>0</v>
          </cell>
        </row>
        <row r="4379">
          <cell r="Q4379">
            <v>-123.66</v>
          </cell>
          <cell r="T4379">
            <v>0</v>
          </cell>
        </row>
        <row r="4380">
          <cell r="Q4380">
            <v>-810.04</v>
          </cell>
          <cell r="T4380">
            <v>0</v>
          </cell>
        </row>
        <row r="4381">
          <cell r="Q4381">
            <v>-51511.99</v>
          </cell>
          <cell r="T4381">
            <v>0</v>
          </cell>
        </row>
        <row r="4382">
          <cell r="Q4382">
            <v>-2502.89</v>
          </cell>
          <cell r="T4382">
            <v>0</v>
          </cell>
        </row>
        <row r="4383">
          <cell r="Q4383">
            <v>-1678.88</v>
          </cell>
          <cell r="T4383">
            <v>0</v>
          </cell>
        </row>
        <row r="4384">
          <cell r="Q4384">
            <v>-10541.28</v>
          </cell>
          <cell r="T4384">
            <v>0</v>
          </cell>
        </row>
        <row r="4385">
          <cell r="Q4385">
            <v>-424.4</v>
          </cell>
          <cell r="T4385">
            <v>0</v>
          </cell>
        </row>
        <row r="4386">
          <cell r="Q4386">
            <v>-102263.45</v>
          </cell>
          <cell r="T4386">
            <v>0</v>
          </cell>
        </row>
        <row r="4387">
          <cell r="Q4387">
            <v>-1547.24</v>
          </cell>
          <cell r="T4387">
            <v>0</v>
          </cell>
        </row>
        <row r="4388">
          <cell r="Q4388">
            <v>-22719.22</v>
          </cell>
          <cell r="T4388">
            <v>0</v>
          </cell>
        </row>
        <row r="4389">
          <cell r="Q4389">
            <v>-545.38</v>
          </cell>
          <cell r="T4389">
            <v>0</v>
          </cell>
        </row>
        <row r="4390">
          <cell r="Q4390">
            <v>-542.21</v>
          </cell>
          <cell r="T4390">
            <v>0</v>
          </cell>
        </row>
        <row r="4391">
          <cell r="Q4391">
            <v>-47677.93</v>
          </cell>
          <cell r="T4391">
            <v>0</v>
          </cell>
        </row>
        <row r="4392">
          <cell r="Q4392">
            <v>-26430.43</v>
          </cell>
          <cell r="T4392">
            <v>0</v>
          </cell>
        </row>
        <row r="4393">
          <cell r="Q4393">
            <v>-32118.63</v>
          </cell>
          <cell r="T4393">
            <v>0</v>
          </cell>
        </row>
        <row r="4394">
          <cell r="Q4394">
            <v>-326.47000000000003</v>
          </cell>
          <cell r="T4394">
            <v>0</v>
          </cell>
        </row>
        <row r="4395">
          <cell r="Q4395">
            <v>-3096.68</v>
          </cell>
          <cell r="T4395">
            <v>0</v>
          </cell>
        </row>
        <row r="4396">
          <cell r="Q4396">
            <v>-6187.61</v>
          </cell>
          <cell r="T4396">
            <v>0</v>
          </cell>
        </row>
        <row r="4397">
          <cell r="Q4397">
            <v>-862.42</v>
          </cell>
          <cell r="T4397">
            <v>0</v>
          </cell>
        </row>
        <row r="4398">
          <cell r="Q4398">
            <v>-2165.58</v>
          </cell>
          <cell r="T4398">
            <v>0</v>
          </cell>
        </row>
        <row r="4399">
          <cell r="Q4399">
            <v>-1035.29</v>
          </cell>
          <cell r="T4399">
            <v>0</v>
          </cell>
        </row>
        <row r="4400">
          <cell r="Q4400">
            <v>-431.8</v>
          </cell>
          <cell r="T4400">
            <v>0</v>
          </cell>
        </row>
        <row r="4401">
          <cell r="Q4401">
            <v>-278.99</v>
          </cell>
          <cell r="T4401">
            <v>0</v>
          </cell>
        </row>
        <row r="4402">
          <cell r="Q4402">
            <v>-1521.54</v>
          </cell>
          <cell r="T4402">
            <v>0</v>
          </cell>
        </row>
        <row r="4403">
          <cell r="Q4403">
            <v>-773.6</v>
          </cell>
          <cell r="T4403">
            <v>0</v>
          </cell>
        </row>
        <row r="4404">
          <cell r="Q4404">
            <v>-1250.47</v>
          </cell>
          <cell r="T4404">
            <v>0</v>
          </cell>
        </row>
        <row r="4405">
          <cell r="Q4405">
            <v>-54.77</v>
          </cell>
          <cell r="T4405">
            <v>0</v>
          </cell>
        </row>
        <row r="4406">
          <cell r="Q4406">
            <v>-1119.1400000000001</v>
          </cell>
          <cell r="T4406">
            <v>0</v>
          </cell>
        </row>
        <row r="4407">
          <cell r="Q4407">
            <v>-198.28</v>
          </cell>
          <cell r="T4407">
            <v>0</v>
          </cell>
        </row>
        <row r="4408">
          <cell r="Q4408">
            <v>-441.84</v>
          </cell>
          <cell r="T4408">
            <v>0</v>
          </cell>
        </row>
        <row r="4409">
          <cell r="Q4409">
            <v>-472.05</v>
          </cell>
          <cell r="T4409">
            <v>0</v>
          </cell>
        </row>
        <row r="4410">
          <cell r="Q4410">
            <v>-299.2</v>
          </cell>
          <cell r="T4410">
            <v>0</v>
          </cell>
        </row>
        <row r="4411">
          <cell r="Q4411">
            <v>-659.42</v>
          </cell>
          <cell r="T4411">
            <v>0</v>
          </cell>
        </row>
        <row r="4412">
          <cell r="Q4412">
            <v>-265.8</v>
          </cell>
          <cell r="T4412">
            <v>0</v>
          </cell>
        </row>
        <row r="4413">
          <cell r="Q4413">
            <v>-132.9</v>
          </cell>
          <cell r="T4413">
            <v>0</v>
          </cell>
        </row>
        <row r="4414">
          <cell r="Q4414">
            <v>-523.44000000000005</v>
          </cell>
          <cell r="T4414">
            <v>0</v>
          </cell>
        </row>
        <row r="4415">
          <cell r="Q4415">
            <v>-485.49</v>
          </cell>
          <cell r="T4415">
            <v>0</v>
          </cell>
        </row>
        <row r="4416">
          <cell r="Q4416">
            <v>-96.58</v>
          </cell>
          <cell r="T4416">
            <v>0</v>
          </cell>
        </row>
        <row r="4417">
          <cell r="Q4417">
            <v>-238.98</v>
          </cell>
          <cell r="T4417">
            <v>0</v>
          </cell>
        </row>
        <row r="4418">
          <cell r="Q4418">
            <v>-598.54</v>
          </cell>
          <cell r="T4418">
            <v>0</v>
          </cell>
        </row>
        <row r="4419">
          <cell r="Q4419">
            <v>-800.86</v>
          </cell>
          <cell r="T4419">
            <v>0</v>
          </cell>
        </row>
        <row r="4420">
          <cell r="Q4420">
            <v>-1172.78</v>
          </cell>
          <cell r="T4420">
            <v>0</v>
          </cell>
        </row>
        <row r="4421">
          <cell r="Q4421">
            <v>-702.07</v>
          </cell>
          <cell r="T4421">
            <v>0</v>
          </cell>
        </row>
        <row r="4422">
          <cell r="Q4422">
            <v>-1280.47</v>
          </cell>
          <cell r="T4422">
            <v>0</v>
          </cell>
        </row>
        <row r="4423">
          <cell r="Q4423">
            <v>-340.28</v>
          </cell>
          <cell r="T4423">
            <v>0</v>
          </cell>
        </row>
        <row r="4424">
          <cell r="Q4424">
            <v>-1660.67</v>
          </cell>
          <cell r="T4424">
            <v>0</v>
          </cell>
        </row>
        <row r="4425">
          <cell r="Q4425">
            <v>-302.85000000000002</v>
          </cell>
          <cell r="T4425">
            <v>0</v>
          </cell>
        </row>
        <row r="4426">
          <cell r="Q4426">
            <v>-88.37</v>
          </cell>
          <cell r="T4426">
            <v>0</v>
          </cell>
        </row>
        <row r="4427">
          <cell r="Q4427">
            <v>-324.91000000000003</v>
          </cell>
          <cell r="T4427">
            <v>0</v>
          </cell>
        </row>
        <row r="4428">
          <cell r="Q4428">
            <v>-438.33</v>
          </cell>
          <cell r="T4428">
            <v>0</v>
          </cell>
        </row>
        <row r="4429">
          <cell r="Q4429">
            <v>-5035.08</v>
          </cell>
          <cell r="T4429">
            <v>0</v>
          </cell>
        </row>
        <row r="4430">
          <cell r="Q4430">
            <v>-6422.69</v>
          </cell>
          <cell r="T4430">
            <v>0</v>
          </cell>
        </row>
        <row r="4431">
          <cell r="Q4431">
            <v>-6319.18</v>
          </cell>
          <cell r="T4431">
            <v>0</v>
          </cell>
        </row>
        <row r="4432">
          <cell r="Q4432">
            <v>-5776.59</v>
          </cell>
          <cell r="T4432">
            <v>0</v>
          </cell>
        </row>
        <row r="4433">
          <cell r="Q4433">
            <v>-2227.94</v>
          </cell>
          <cell r="T4433">
            <v>0</v>
          </cell>
        </row>
        <row r="4434">
          <cell r="Q4434">
            <v>-4028.2</v>
          </cell>
          <cell r="T4434">
            <v>0</v>
          </cell>
        </row>
        <row r="4435">
          <cell r="Q4435">
            <v>-12058.51</v>
          </cell>
          <cell r="T4435">
            <v>0</v>
          </cell>
        </row>
        <row r="4436">
          <cell r="Q4436">
            <v>-1088.23</v>
          </cell>
          <cell r="T4436">
            <v>0</v>
          </cell>
        </row>
        <row r="4437">
          <cell r="Q4437">
            <v>-22910.14</v>
          </cell>
          <cell r="T4437">
            <v>0</v>
          </cell>
        </row>
        <row r="4438">
          <cell r="Q4438">
            <v>-2487.83</v>
          </cell>
          <cell r="T4438">
            <v>0</v>
          </cell>
        </row>
        <row r="4439">
          <cell r="Q4439">
            <v>-1711.71</v>
          </cell>
          <cell r="T4439">
            <v>0</v>
          </cell>
        </row>
        <row r="4440">
          <cell r="Q4440">
            <v>-1566.07</v>
          </cell>
          <cell r="T4440">
            <v>0</v>
          </cell>
        </row>
        <row r="4441">
          <cell r="Q4441">
            <v>-1448.98</v>
          </cell>
          <cell r="T4441">
            <v>0</v>
          </cell>
        </row>
        <row r="4442">
          <cell r="Q4442">
            <v>-3428.02</v>
          </cell>
          <cell r="T4442">
            <v>0</v>
          </cell>
        </row>
        <row r="4443">
          <cell r="Q4443">
            <v>-3915.74</v>
          </cell>
          <cell r="T4443">
            <v>0</v>
          </cell>
        </row>
        <row r="4444">
          <cell r="Q4444">
            <v>-278.91000000000003</v>
          </cell>
          <cell r="T4444">
            <v>0</v>
          </cell>
        </row>
        <row r="4445">
          <cell r="Q4445">
            <v>-99.18</v>
          </cell>
          <cell r="T4445">
            <v>0</v>
          </cell>
        </row>
        <row r="4446">
          <cell r="Q4446">
            <v>0</v>
          </cell>
          <cell r="T4446">
            <v>0</v>
          </cell>
        </row>
        <row r="4447">
          <cell r="Q4447">
            <v>0</v>
          </cell>
          <cell r="T4447">
            <v>0</v>
          </cell>
        </row>
        <row r="4448">
          <cell r="Q4448">
            <v>-6279.71</v>
          </cell>
          <cell r="T4448">
            <v>0</v>
          </cell>
        </row>
        <row r="4449">
          <cell r="Q4449">
            <v>-114.49</v>
          </cell>
          <cell r="T4449">
            <v>0</v>
          </cell>
        </row>
        <row r="4450">
          <cell r="Q4450">
            <v>-197.89</v>
          </cell>
          <cell r="T4450">
            <v>0</v>
          </cell>
        </row>
        <row r="4451">
          <cell r="Q4451">
            <v>-49.59</v>
          </cell>
          <cell r="T4451">
            <v>0</v>
          </cell>
        </row>
        <row r="4452">
          <cell r="Q4452">
            <v>-855.05</v>
          </cell>
          <cell r="T4452">
            <v>0</v>
          </cell>
        </row>
        <row r="4453">
          <cell r="Q4453">
            <v>-764.02</v>
          </cell>
          <cell r="T4453">
            <v>0</v>
          </cell>
        </row>
        <row r="4454">
          <cell r="Q4454">
            <v>-34.17</v>
          </cell>
          <cell r="T4454">
            <v>0</v>
          </cell>
        </row>
        <row r="4455">
          <cell r="Q4455">
            <v>-2217.98</v>
          </cell>
          <cell r="T4455">
            <v>0</v>
          </cell>
        </row>
        <row r="4456">
          <cell r="Q4456">
            <v>-220.92</v>
          </cell>
          <cell r="T4456">
            <v>0</v>
          </cell>
        </row>
        <row r="4457">
          <cell r="Q4457">
            <v>-3992.91</v>
          </cell>
          <cell r="T4457">
            <v>0</v>
          </cell>
        </row>
        <row r="4458">
          <cell r="Q4458">
            <v>-50.73</v>
          </cell>
          <cell r="T4458">
            <v>0</v>
          </cell>
        </row>
        <row r="4459">
          <cell r="Q4459">
            <v>-130.12</v>
          </cell>
          <cell r="T4459">
            <v>0</v>
          </cell>
        </row>
        <row r="4460">
          <cell r="Q4460">
            <v>-521.91</v>
          </cell>
          <cell r="T4460">
            <v>0</v>
          </cell>
        </row>
        <row r="4461">
          <cell r="Q4461">
            <v>-480.56</v>
          </cell>
          <cell r="T4461">
            <v>0</v>
          </cell>
        </row>
        <row r="4462">
          <cell r="Q4462">
            <v>-17459.060000000001</v>
          </cell>
          <cell r="T4462">
            <v>0</v>
          </cell>
        </row>
        <row r="4463">
          <cell r="Q4463">
            <v>-541.12</v>
          </cell>
          <cell r="T4463">
            <v>0</v>
          </cell>
        </row>
        <row r="4464">
          <cell r="Q4464">
            <v>-63.08</v>
          </cell>
          <cell r="T4464">
            <v>0</v>
          </cell>
        </row>
        <row r="4465">
          <cell r="Q4465">
            <v>-30373.75</v>
          </cell>
          <cell r="T4465">
            <v>0</v>
          </cell>
        </row>
        <row r="4466">
          <cell r="Q4466">
            <v>-103.02</v>
          </cell>
          <cell r="T4466">
            <v>0</v>
          </cell>
        </row>
        <row r="4467">
          <cell r="Q4467">
            <v>-137.96</v>
          </cell>
          <cell r="T4467">
            <v>0</v>
          </cell>
        </row>
        <row r="4468">
          <cell r="Q4468">
            <v>-310.81</v>
          </cell>
          <cell r="T4468">
            <v>0</v>
          </cell>
        </row>
        <row r="4469">
          <cell r="Q4469">
            <v>-396.22</v>
          </cell>
          <cell r="T4469">
            <v>0</v>
          </cell>
        </row>
        <row r="4470">
          <cell r="Q4470">
            <v>-244.16</v>
          </cell>
          <cell r="T4470">
            <v>0</v>
          </cell>
        </row>
        <row r="4471">
          <cell r="Q4471">
            <v>-150.47</v>
          </cell>
          <cell r="T4471">
            <v>0</v>
          </cell>
        </row>
        <row r="4472">
          <cell r="Q4472">
            <v>-137.58000000000001</v>
          </cell>
          <cell r="T4472">
            <v>0</v>
          </cell>
        </row>
        <row r="4473">
          <cell r="Q4473">
            <v>-134.56</v>
          </cell>
          <cell r="T4473">
            <v>0</v>
          </cell>
        </row>
        <row r="4474">
          <cell r="Q4474">
            <v>-101.52</v>
          </cell>
          <cell r="T4474">
            <v>0</v>
          </cell>
        </row>
        <row r="4475">
          <cell r="Q4475">
            <v>-105.67</v>
          </cell>
          <cell r="T4475">
            <v>0</v>
          </cell>
        </row>
        <row r="4476">
          <cell r="Q4476">
            <v>-239.09</v>
          </cell>
          <cell r="T4476">
            <v>0</v>
          </cell>
        </row>
        <row r="4477">
          <cell r="Q4477">
            <v>-168.6</v>
          </cell>
          <cell r="T4477">
            <v>0</v>
          </cell>
        </row>
        <row r="4478">
          <cell r="Q4478">
            <v>-84.3</v>
          </cell>
          <cell r="T4478">
            <v>0</v>
          </cell>
        </row>
        <row r="4479">
          <cell r="Q4479">
            <v>-4338.0200000000004</v>
          </cell>
          <cell r="T4479">
            <v>0</v>
          </cell>
        </row>
        <row r="4480">
          <cell r="Q4480">
            <v>-1903.73</v>
          </cell>
          <cell r="T4480">
            <v>0</v>
          </cell>
        </row>
        <row r="4481">
          <cell r="Q4481">
            <v>-228.83</v>
          </cell>
          <cell r="T4481">
            <v>0</v>
          </cell>
        </row>
        <row r="4482">
          <cell r="Q4482">
            <v>0</v>
          </cell>
          <cell r="T4482">
            <v>0</v>
          </cell>
        </row>
        <row r="4483">
          <cell r="Q4483">
            <v>0</v>
          </cell>
          <cell r="T4483">
            <v>0</v>
          </cell>
        </row>
        <row r="4484">
          <cell r="Q4484">
            <v>-104.36</v>
          </cell>
          <cell r="T4484">
            <v>0</v>
          </cell>
        </row>
        <row r="4485">
          <cell r="Q4485">
            <v>-73.52</v>
          </cell>
          <cell r="T4485">
            <v>0</v>
          </cell>
        </row>
        <row r="4486">
          <cell r="Q4486">
            <v>-1050.07</v>
          </cell>
          <cell r="T4486">
            <v>0</v>
          </cell>
        </row>
        <row r="4487">
          <cell r="Q4487">
            <v>-370.33</v>
          </cell>
          <cell r="T4487">
            <v>0</v>
          </cell>
        </row>
        <row r="4488">
          <cell r="Q4488">
            <v>-9007.85</v>
          </cell>
          <cell r="T4488">
            <v>0</v>
          </cell>
        </row>
        <row r="4489">
          <cell r="Q4489">
            <v>-5.45</v>
          </cell>
          <cell r="T4489">
            <v>0</v>
          </cell>
        </row>
        <row r="4490">
          <cell r="Q4490">
            <v>-3.07</v>
          </cell>
          <cell r="T4490">
            <v>0</v>
          </cell>
        </row>
        <row r="4491">
          <cell r="Q4491">
            <v>-1.66</v>
          </cell>
          <cell r="T4491">
            <v>0</v>
          </cell>
        </row>
        <row r="4492">
          <cell r="Q4492">
            <v>-1.93</v>
          </cell>
          <cell r="T4492">
            <v>0</v>
          </cell>
        </row>
        <row r="4493">
          <cell r="Q4493">
            <v>-1.49</v>
          </cell>
          <cell r="T4493">
            <v>0</v>
          </cell>
        </row>
        <row r="4494">
          <cell r="Q4494">
            <v>-0.74</v>
          </cell>
          <cell r="T4494">
            <v>0</v>
          </cell>
        </row>
        <row r="4495">
          <cell r="Q4495">
            <v>-35.479999999999997</v>
          </cell>
          <cell r="T4495">
            <v>0</v>
          </cell>
        </row>
        <row r="4496">
          <cell r="Q4496">
            <v>-16.649999999999999</v>
          </cell>
          <cell r="T4496">
            <v>0</v>
          </cell>
        </row>
        <row r="4497">
          <cell r="Q4497">
            <v>-20.23</v>
          </cell>
          <cell r="T4497">
            <v>0</v>
          </cell>
        </row>
        <row r="4498">
          <cell r="Q4498">
            <v>-7.14</v>
          </cell>
          <cell r="T4498">
            <v>0</v>
          </cell>
        </row>
        <row r="4499">
          <cell r="Q4499">
            <v>-143.30000000000001</v>
          </cell>
          <cell r="T4499">
            <v>0</v>
          </cell>
        </row>
        <row r="4500">
          <cell r="Q4500">
            <v>-168.6</v>
          </cell>
          <cell r="T4500">
            <v>0</v>
          </cell>
        </row>
        <row r="4501">
          <cell r="Q4501">
            <v>-4.49</v>
          </cell>
          <cell r="T4501">
            <v>0</v>
          </cell>
        </row>
        <row r="4502">
          <cell r="Q4502">
            <v>-4.43</v>
          </cell>
          <cell r="T4502">
            <v>0</v>
          </cell>
        </row>
        <row r="4503">
          <cell r="Q4503">
            <v>-7.71</v>
          </cell>
          <cell r="T4503">
            <v>0</v>
          </cell>
        </row>
        <row r="4504">
          <cell r="Q4504">
            <v>-101.16</v>
          </cell>
          <cell r="T4504">
            <v>0</v>
          </cell>
        </row>
        <row r="4505">
          <cell r="Q4505">
            <v>-893.68</v>
          </cell>
          <cell r="T4505">
            <v>0</v>
          </cell>
        </row>
        <row r="4506">
          <cell r="Q4506">
            <v>-27.89</v>
          </cell>
          <cell r="T4506">
            <v>0</v>
          </cell>
        </row>
        <row r="4507">
          <cell r="Q4507">
            <v>-1163.3599999999999</v>
          </cell>
          <cell r="T4507">
            <v>0</v>
          </cell>
        </row>
        <row r="4508">
          <cell r="Q4508">
            <v>0</v>
          </cell>
          <cell r="T4508">
            <v>0</v>
          </cell>
        </row>
        <row r="4509">
          <cell r="Q4509">
            <v>0</v>
          </cell>
          <cell r="T4509">
            <v>0</v>
          </cell>
        </row>
        <row r="4510">
          <cell r="Q4510">
            <v>0</v>
          </cell>
          <cell r="T4510">
            <v>0</v>
          </cell>
        </row>
        <row r="4511">
          <cell r="Q4511">
            <v>0</v>
          </cell>
          <cell r="T4511">
            <v>0</v>
          </cell>
        </row>
        <row r="4512">
          <cell r="Q4512">
            <v>0</v>
          </cell>
          <cell r="T4512">
            <v>0</v>
          </cell>
        </row>
        <row r="4513">
          <cell r="Q4513">
            <v>0</v>
          </cell>
          <cell r="T4513">
            <v>0</v>
          </cell>
        </row>
        <row r="4514">
          <cell r="Q4514">
            <v>0</v>
          </cell>
          <cell r="T4514">
            <v>0</v>
          </cell>
        </row>
        <row r="4515">
          <cell r="Q4515">
            <v>0</v>
          </cell>
          <cell r="T4515">
            <v>0</v>
          </cell>
        </row>
        <row r="4516">
          <cell r="Q4516">
            <v>0</v>
          </cell>
          <cell r="T4516">
            <v>0</v>
          </cell>
        </row>
        <row r="4517">
          <cell r="Q4517">
            <v>0</v>
          </cell>
          <cell r="T4517">
            <v>0</v>
          </cell>
        </row>
        <row r="4518">
          <cell r="Q4518">
            <v>0</v>
          </cell>
          <cell r="T4518">
            <v>0</v>
          </cell>
        </row>
        <row r="4519">
          <cell r="Q4519">
            <v>0</v>
          </cell>
          <cell r="T4519">
            <v>0</v>
          </cell>
        </row>
        <row r="4520">
          <cell r="Q4520">
            <v>0</v>
          </cell>
          <cell r="T4520">
            <v>0</v>
          </cell>
        </row>
        <row r="4521">
          <cell r="Q4521">
            <v>0</v>
          </cell>
          <cell r="T4521">
            <v>0</v>
          </cell>
        </row>
        <row r="4522">
          <cell r="Q4522">
            <v>0</v>
          </cell>
          <cell r="T4522">
            <v>0</v>
          </cell>
        </row>
        <row r="4523">
          <cell r="Q4523">
            <v>0</v>
          </cell>
          <cell r="T4523">
            <v>0</v>
          </cell>
        </row>
        <row r="4524">
          <cell r="Q4524">
            <v>0</v>
          </cell>
          <cell r="T4524">
            <v>0</v>
          </cell>
        </row>
        <row r="4525">
          <cell r="Q4525">
            <v>0</v>
          </cell>
          <cell r="T4525">
            <v>0</v>
          </cell>
        </row>
        <row r="4526">
          <cell r="Q4526">
            <v>0</v>
          </cell>
          <cell r="T4526">
            <v>0</v>
          </cell>
        </row>
        <row r="4527">
          <cell r="Q4527">
            <v>0</v>
          </cell>
          <cell r="T4527">
            <v>0</v>
          </cell>
        </row>
        <row r="4528">
          <cell r="Q4528">
            <v>0</v>
          </cell>
          <cell r="T4528">
            <v>0</v>
          </cell>
        </row>
        <row r="4529">
          <cell r="Q4529">
            <v>0</v>
          </cell>
          <cell r="T4529">
            <v>0</v>
          </cell>
        </row>
        <row r="4530">
          <cell r="Q4530">
            <v>0</v>
          </cell>
          <cell r="T4530">
            <v>0</v>
          </cell>
        </row>
        <row r="4531">
          <cell r="Q4531">
            <v>0</v>
          </cell>
          <cell r="T4531">
            <v>0</v>
          </cell>
        </row>
        <row r="4532">
          <cell r="Q4532">
            <v>0</v>
          </cell>
          <cell r="T4532">
            <v>0</v>
          </cell>
        </row>
        <row r="4533">
          <cell r="Q4533">
            <v>0</v>
          </cell>
          <cell r="T4533">
            <v>0</v>
          </cell>
        </row>
        <row r="4534">
          <cell r="Q4534">
            <v>0</v>
          </cell>
          <cell r="T4534">
            <v>0</v>
          </cell>
        </row>
        <row r="4535">
          <cell r="Q4535">
            <v>0</v>
          </cell>
          <cell r="T4535">
            <v>0</v>
          </cell>
        </row>
        <row r="4536">
          <cell r="Q4536">
            <v>0</v>
          </cell>
          <cell r="T4536">
            <v>0</v>
          </cell>
        </row>
        <row r="4537">
          <cell r="Q4537">
            <v>0</v>
          </cell>
          <cell r="T4537">
            <v>0</v>
          </cell>
        </row>
        <row r="4538">
          <cell r="Q4538">
            <v>0</v>
          </cell>
          <cell r="T4538">
            <v>0</v>
          </cell>
        </row>
        <row r="4539">
          <cell r="Q4539">
            <v>0</v>
          </cell>
          <cell r="T4539">
            <v>0</v>
          </cell>
        </row>
        <row r="4540">
          <cell r="Q4540">
            <v>0</v>
          </cell>
          <cell r="T4540">
            <v>0</v>
          </cell>
        </row>
        <row r="4541">
          <cell r="Q4541">
            <v>0</v>
          </cell>
          <cell r="T4541">
            <v>0</v>
          </cell>
        </row>
        <row r="4542">
          <cell r="Q4542">
            <v>0</v>
          </cell>
          <cell r="T4542">
            <v>0</v>
          </cell>
        </row>
        <row r="4543">
          <cell r="Q4543">
            <v>0</v>
          </cell>
          <cell r="T4543">
            <v>0</v>
          </cell>
        </row>
        <row r="4544">
          <cell r="Q4544">
            <v>0</v>
          </cell>
          <cell r="T4544">
            <v>0</v>
          </cell>
        </row>
        <row r="4545">
          <cell r="Q4545">
            <v>0</v>
          </cell>
          <cell r="T4545">
            <v>0</v>
          </cell>
        </row>
        <row r="4546">
          <cell r="Q4546">
            <v>0</v>
          </cell>
          <cell r="T4546">
            <v>0</v>
          </cell>
        </row>
        <row r="4547">
          <cell r="Q4547">
            <v>0</v>
          </cell>
          <cell r="T4547">
            <v>0</v>
          </cell>
        </row>
        <row r="4548">
          <cell r="Q4548">
            <v>0</v>
          </cell>
          <cell r="T4548">
            <v>0</v>
          </cell>
        </row>
        <row r="4549">
          <cell r="Q4549">
            <v>0</v>
          </cell>
          <cell r="T4549">
            <v>0</v>
          </cell>
        </row>
        <row r="4550">
          <cell r="Q4550">
            <v>0</v>
          </cell>
          <cell r="T4550">
            <v>0</v>
          </cell>
        </row>
        <row r="4551">
          <cell r="Q4551">
            <v>0</v>
          </cell>
          <cell r="T4551">
            <v>0</v>
          </cell>
        </row>
        <row r="4552">
          <cell r="Q4552">
            <v>0</v>
          </cell>
          <cell r="T4552">
            <v>0</v>
          </cell>
        </row>
        <row r="4553">
          <cell r="Q4553">
            <v>0</v>
          </cell>
          <cell r="T4553">
            <v>0</v>
          </cell>
        </row>
        <row r="4554">
          <cell r="Q4554">
            <v>0</v>
          </cell>
          <cell r="T4554">
            <v>0</v>
          </cell>
        </row>
        <row r="4555">
          <cell r="Q4555">
            <v>0</v>
          </cell>
          <cell r="T4555">
            <v>0</v>
          </cell>
        </row>
        <row r="4556">
          <cell r="Q4556">
            <v>0</v>
          </cell>
          <cell r="T4556">
            <v>0</v>
          </cell>
        </row>
        <row r="4557">
          <cell r="Q4557">
            <v>0</v>
          </cell>
          <cell r="T4557">
            <v>0</v>
          </cell>
        </row>
        <row r="4558">
          <cell r="Q4558">
            <v>0</v>
          </cell>
          <cell r="T4558">
            <v>0</v>
          </cell>
        </row>
        <row r="4559">
          <cell r="Q4559">
            <v>0</v>
          </cell>
          <cell r="T4559">
            <v>0</v>
          </cell>
        </row>
        <row r="4560">
          <cell r="Q4560">
            <v>0</v>
          </cell>
          <cell r="T4560">
            <v>0</v>
          </cell>
        </row>
        <row r="4561">
          <cell r="Q4561">
            <v>0</v>
          </cell>
          <cell r="T4561">
            <v>0</v>
          </cell>
        </row>
        <row r="4562">
          <cell r="Q4562">
            <v>0</v>
          </cell>
          <cell r="T4562">
            <v>0</v>
          </cell>
        </row>
        <row r="4563">
          <cell r="Q4563">
            <v>0</v>
          </cell>
          <cell r="T4563">
            <v>0</v>
          </cell>
        </row>
        <row r="4564">
          <cell r="Q4564">
            <v>0</v>
          </cell>
          <cell r="T4564">
            <v>0</v>
          </cell>
        </row>
        <row r="4565">
          <cell r="Q4565">
            <v>0</v>
          </cell>
          <cell r="T4565">
            <v>0</v>
          </cell>
        </row>
        <row r="4566">
          <cell r="Q4566">
            <v>0</v>
          </cell>
          <cell r="T4566">
            <v>0</v>
          </cell>
        </row>
        <row r="4567">
          <cell r="Q4567">
            <v>0</v>
          </cell>
          <cell r="T4567">
            <v>0</v>
          </cell>
        </row>
        <row r="4568">
          <cell r="Q4568">
            <v>0</v>
          </cell>
          <cell r="T4568">
            <v>0</v>
          </cell>
        </row>
        <row r="4569">
          <cell r="Q4569">
            <v>0</v>
          </cell>
          <cell r="T4569">
            <v>0</v>
          </cell>
        </row>
        <row r="4570">
          <cell r="Q4570">
            <v>0</v>
          </cell>
          <cell r="T4570">
            <v>0</v>
          </cell>
        </row>
        <row r="4571">
          <cell r="Q4571">
            <v>0</v>
          </cell>
          <cell r="T4571">
            <v>0</v>
          </cell>
        </row>
        <row r="4572">
          <cell r="Q4572">
            <v>0</v>
          </cell>
          <cell r="T4572">
            <v>0</v>
          </cell>
        </row>
        <row r="4573">
          <cell r="Q4573">
            <v>0</v>
          </cell>
          <cell r="T4573">
            <v>0</v>
          </cell>
        </row>
        <row r="4574">
          <cell r="Q4574">
            <v>0</v>
          </cell>
          <cell r="T4574">
            <v>0</v>
          </cell>
        </row>
        <row r="4575">
          <cell r="Q4575">
            <v>0</v>
          </cell>
          <cell r="T4575">
            <v>0</v>
          </cell>
        </row>
        <row r="4576">
          <cell r="Q4576">
            <v>0</v>
          </cell>
          <cell r="T4576">
            <v>0</v>
          </cell>
        </row>
        <row r="4577">
          <cell r="Q4577">
            <v>0</v>
          </cell>
          <cell r="T4577">
            <v>0</v>
          </cell>
        </row>
        <row r="4578">
          <cell r="Q4578">
            <v>0</v>
          </cell>
          <cell r="T4578">
            <v>0</v>
          </cell>
        </row>
        <row r="4579">
          <cell r="Q4579">
            <v>0</v>
          </cell>
          <cell r="T4579">
            <v>0</v>
          </cell>
        </row>
        <row r="4580">
          <cell r="Q4580">
            <v>0</v>
          </cell>
          <cell r="T4580">
            <v>0</v>
          </cell>
        </row>
        <row r="4581">
          <cell r="Q4581">
            <v>0</v>
          </cell>
          <cell r="T4581">
            <v>0</v>
          </cell>
        </row>
        <row r="4582">
          <cell r="Q4582">
            <v>0</v>
          </cell>
          <cell r="T4582">
            <v>0</v>
          </cell>
        </row>
        <row r="4583">
          <cell r="Q4583">
            <v>0</v>
          </cell>
          <cell r="T4583">
            <v>0</v>
          </cell>
        </row>
        <row r="4584">
          <cell r="Q4584">
            <v>0</v>
          </cell>
          <cell r="T4584">
            <v>0</v>
          </cell>
        </row>
        <row r="4585">
          <cell r="Q4585">
            <v>0</v>
          </cell>
          <cell r="T4585">
            <v>0</v>
          </cell>
        </row>
        <row r="4586">
          <cell r="Q4586">
            <v>0</v>
          </cell>
          <cell r="T4586">
            <v>0</v>
          </cell>
        </row>
        <row r="4587">
          <cell r="Q4587">
            <v>0</v>
          </cell>
          <cell r="T4587">
            <v>0</v>
          </cell>
        </row>
        <row r="4588">
          <cell r="Q4588">
            <v>0</v>
          </cell>
          <cell r="T4588">
            <v>0</v>
          </cell>
        </row>
        <row r="4589">
          <cell r="Q4589">
            <v>0</v>
          </cell>
          <cell r="T4589">
            <v>0</v>
          </cell>
        </row>
        <row r="4590">
          <cell r="Q4590">
            <v>0</v>
          </cell>
          <cell r="T4590">
            <v>0</v>
          </cell>
        </row>
        <row r="4591">
          <cell r="Q4591">
            <v>0</v>
          </cell>
          <cell r="T4591">
            <v>0</v>
          </cell>
        </row>
        <row r="4592">
          <cell r="Q4592">
            <v>0</v>
          </cell>
          <cell r="T4592">
            <v>0</v>
          </cell>
        </row>
        <row r="4593">
          <cell r="Q4593">
            <v>0</v>
          </cell>
          <cell r="T4593">
            <v>0</v>
          </cell>
        </row>
        <row r="4594">
          <cell r="Q4594">
            <v>0</v>
          </cell>
          <cell r="T4594">
            <v>0</v>
          </cell>
        </row>
        <row r="4595">
          <cell r="Q4595">
            <v>0</v>
          </cell>
          <cell r="T4595">
            <v>0</v>
          </cell>
        </row>
        <row r="4596">
          <cell r="Q4596">
            <v>0</v>
          </cell>
          <cell r="T4596">
            <v>0</v>
          </cell>
        </row>
        <row r="4597">
          <cell r="Q4597">
            <v>0</v>
          </cell>
          <cell r="T4597">
            <v>0</v>
          </cell>
        </row>
        <row r="4598">
          <cell r="Q4598">
            <v>0</v>
          </cell>
          <cell r="T4598">
            <v>0</v>
          </cell>
        </row>
        <row r="4599">
          <cell r="Q4599">
            <v>0</v>
          </cell>
          <cell r="T4599">
            <v>0</v>
          </cell>
        </row>
        <row r="4600">
          <cell r="Q4600">
            <v>0</v>
          </cell>
          <cell r="T4600">
            <v>0</v>
          </cell>
        </row>
        <row r="4601">
          <cell r="Q4601">
            <v>0</v>
          </cell>
          <cell r="T4601">
            <v>0</v>
          </cell>
        </row>
        <row r="4602">
          <cell r="Q4602">
            <v>0</v>
          </cell>
          <cell r="T4602">
            <v>0</v>
          </cell>
        </row>
        <row r="4603">
          <cell r="Q4603">
            <v>0</v>
          </cell>
          <cell r="T4603">
            <v>0</v>
          </cell>
        </row>
        <row r="4604">
          <cell r="Q4604">
            <v>0</v>
          </cell>
          <cell r="T4604">
            <v>0</v>
          </cell>
        </row>
        <row r="4605">
          <cell r="Q4605">
            <v>0</v>
          </cell>
          <cell r="T4605">
            <v>0</v>
          </cell>
        </row>
        <row r="4606">
          <cell r="Q4606">
            <v>0</v>
          </cell>
          <cell r="T4606">
            <v>0</v>
          </cell>
        </row>
        <row r="4607">
          <cell r="Q4607">
            <v>0</v>
          </cell>
          <cell r="T4607">
            <v>0</v>
          </cell>
        </row>
        <row r="4608">
          <cell r="Q4608">
            <v>0</v>
          </cell>
          <cell r="T4608">
            <v>0</v>
          </cell>
        </row>
        <row r="4609">
          <cell r="Q4609">
            <v>0</v>
          </cell>
          <cell r="T4609">
            <v>0</v>
          </cell>
        </row>
        <row r="4610">
          <cell r="Q4610">
            <v>0</v>
          </cell>
          <cell r="T4610">
            <v>0</v>
          </cell>
        </row>
        <row r="4611">
          <cell r="Q4611">
            <v>0</v>
          </cell>
          <cell r="T4611">
            <v>0</v>
          </cell>
        </row>
        <row r="4612">
          <cell r="Q4612">
            <v>0</v>
          </cell>
          <cell r="T4612">
            <v>0</v>
          </cell>
        </row>
        <row r="4613">
          <cell r="Q4613">
            <v>0</v>
          </cell>
          <cell r="T4613">
            <v>0</v>
          </cell>
        </row>
        <row r="4614">
          <cell r="Q4614">
            <v>0</v>
          </cell>
          <cell r="T4614">
            <v>0</v>
          </cell>
        </row>
        <row r="4615">
          <cell r="Q4615">
            <v>0</v>
          </cell>
          <cell r="T4615">
            <v>0</v>
          </cell>
        </row>
        <row r="4616">
          <cell r="Q4616">
            <v>0</v>
          </cell>
          <cell r="T4616">
            <v>0</v>
          </cell>
        </row>
        <row r="4617">
          <cell r="Q4617">
            <v>0</v>
          </cell>
          <cell r="T4617">
            <v>0</v>
          </cell>
        </row>
        <row r="4618">
          <cell r="Q4618">
            <v>0</v>
          </cell>
          <cell r="T4618">
            <v>0</v>
          </cell>
        </row>
        <row r="4619">
          <cell r="Q4619">
            <v>0</v>
          </cell>
          <cell r="T4619">
            <v>0</v>
          </cell>
        </row>
        <row r="4620">
          <cell r="Q4620">
            <v>-2800</v>
          </cell>
          <cell r="T4620">
            <v>0</v>
          </cell>
        </row>
        <row r="4621">
          <cell r="Q4621">
            <v>-2000</v>
          </cell>
          <cell r="T4621">
            <v>0</v>
          </cell>
        </row>
        <row r="4622">
          <cell r="Q4622">
            <v>-3087.2</v>
          </cell>
          <cell r="T4622">
            <v>0</v>
          </cell>
        </row>
        <row r="4623">
          <cell r="Q4623">
            <v>-3087.2</v>
          </cell>
          <cell r="T4623">
            <v>0</v>
          </cell>
        </row>
        <row r="4624">
          <cell r="Q4624">
            <v>-3087.2</v>
          </cell>
          <cell r="T4624">
            <v>0</v>
          </cell>
        </row>
        <row r="4625">
          <cell r="Q4625">
            <v>-3087.2</v>
          </cell>
          <cell r="T4625">
            <v>0</v>
          </cell>
        </row>
        <row r="4626">
          <cell r="Q4626">
            <v>-3087.2</v>
          </cell>
          <cell r="T4626">
            <v>0</v>
          </cell>
        </row>
        <row r="4627">
          <cell r="Q4627">
            <v>-3087.2</v>
          </cell>
          <cell r="T4627">
            <v>0</v>
          </cell>
        </row>
        <row r="4628">
          <cell r="Q4628">
            <v>-3087.2</v>
          </cell>
          <cell r="T4628">
            <v>0</v>
          </cell>
        </row>
        <row r="4629">
          <cell r="Q4629">
            <v>-3087.2</v>
          </cell>
          <cell r="T4629">
            <v>0</v>
          </cell>
        </row>
        <row r="4630">
          <cell r="Q4630">
            <v>-3087.2</v>
          </cell>
          <cell r="T4630">
            <v>0</v>
          </cell>
        </row>
        <row r="4631">
          <cell r="Q4631">
            <v>-3087.2</v>
          </cell>
          <cell r="T4631">
            <v>0</v>
          </cell>
        </row>
        <row r="4632">
          <cell r="Q4632">
            <v>-3094</v>
          </cell>
          <cell r="T4632">
            <v>0</v>
          </cell>
        </row>
        <row r="4633">
          <cell r="Q4633">
            <v>-3094</v>
          </cell>
          <cell r="T4633">
            <v>0</v>
          </cell>
        </row>
        <row r="4634">
          <cell r="Q4634">
            <v>-3094</v>
          </cell>
          <cell r="T4634">
            <v>0</v>
          </cell>
        </row>
        <row r="4635">
          <cell r="Q4635">
            <v>-3094</v>
          </cell>
          <cell r="T4635">
            <v>0</v>
          </cell>
        </row>
        <row r="4636">
          <cell r="Q4636">
            <v>-3094</v>
          </cell>
          <cell r="T4636">
            <v>0</v>
          </cell>
        </row>
        <row r="4637">
          <cell r="Q4637">
            <v>-3094</v>
          </cell>
          <cell r="T4637">
            <v>0</v>
          </cell>
        </row>
        <row r="4638">
          <cell r="Q4638">
            <v>-3094</v>
          </cell>
          <cell r="T4638">
            <v>0</v>
          </cell>
        </row>
        <row r="4639">
          <cell r="Q4639">
            <v>-3094</v>
          </cell>
          <cell r="T4639">
            <v>0</v>
          </cell>
        </row>
        <row r="4640">
          <cell r="Q4640">
            <v>-4294</v>
          </cell>
          <cell r="T4640">
            <v>0</v>
          </cell>
        </row>
        <row r="4641">
          <cell r="Q4641">
            <v>-3094</v>
          </cell>
          <cell r="T4641">
            <v>0</v>
          </cell>
        </row>
        <row r="4642">
          <cell r="Q4642">
            <v>-3094</v>
          </cell>
          <cell r="T4642">
            <v>0</v>
          </cell>
        </row>
        <row r="4643">
          <cell r="Q4643">
            <v>-3094</v>
          </cell>
          <cell r="T4643">
            <v>0</v>
          </cell>
        </row>
        <row r="4644">
          <cell r="Q4644">
            <v>-2250</v>
          </cell>
          <cell r="T4644">
            <v>0</v>
          </cell>
        </row>
        <row r="4645">
          <cell r="Q4645">
            <v>-2250</v>
          </cell>
          <cell r="T4645">
            <v>0</v>
          </cell>
        </row>
        <row r="4646">
          <cell r="Q4646">
            <v>-2250</v>
          </cell>
          <cell r="T4646">
            <v>0</v>
          </cell>
        </row>
        <row r="4647">
          <cell r="Q4647">
            <v>-3060</v>
          </cell>
          <cell r="T4647">
            <v>0</v>
          </cell>
        </row>
        <row r="4648">
          <cell r="Q4648">
            <v>-900</v>
          </cell>
          <cell r="T4648">
            <v>0</v>
          </cell>
        </row>
        <row r="4649">
          <cell r="Q4649">
            <v>-2300</v>
          </cell>
          <cell r="T4649">
            <v>0</v>
          </cell>
        </row>
        <row r="4650">
          <cell r="Q4650">
            <v>-3200</v>
          </cell>
          <cell r="T4650">
            <v>0</v>
          </cell>
        </row>
        <row r="4651">
          <cell r="Q4651">
            <v>-3200</v>
          </cell>
          <cell r="T4651">
            <v>0</v>
          </cell>
        </row>
        <row r="4652">
          <cell r="Q4652">
            <v>-3200</v>
          </cell>
          <cell r="T4652">
            <v>0</v>
          </cell>
        </row>
        <row r="4653">
          <cell r="Q4653">
            <v>-3200</v>
          </cell>
          <cell r="T4653">
            <v>0</v>
          </cell>
        </row>
        <row r="4654">
          <cell r="Q4654">
            <v>-950</v>
          </cell>
          <cell r="T4654">
            <v>0</v>
          </cell>
        </row>
        <row r="4655">
          <cell r="Q4655">
            <v>-950</v>
          </cell>
          <cell r="T4655">
            <v>0</v>
          </cell>
        </row>
        <row r="4656">
          <cell r="Q4656">
            <v>-950</v>
          </cell>
          <cell r="T4656">
            <v>0</v>
          </cell>
        </row>
        <row r="4657">
          <cell r="Q4657">
            <v>-1420</v>
          </cell>
          <cell r="T4657">
            <v>0</v>
          </cell>
        </row>
        <row r="4658">
          <cell r="Q4658">
            <v>-5010</v>
          </cell>
          <cell r="T4658">
            <v>0</v>
          </cell>
        </row>
        <row r="4659">
          <cell r="Q4659">
            <v>-3500</v>
          </cell>
          <cell r="T4659">
            <v>0</v>
          </cell>
        </row>
        <row r="4660">
          <cell r="Q4660">
            <v>-3500</v>
          </cell>
          <cell r="T4660">
            <v>0</v>
          </cell>
        </row>
        <row r="4661">
          <cell r="Q4661">
            <v>-1200</v>
          </cell>
          <cell r="T4661">
            <v>0</v>
          </cell>
        </row>
        <row r="4662">
          <cell r="Q4662">
            <v>-1200</v>
          </cell>
          <cell r="T4662">
            <v>0</v>
          </cell>
        </row>
        <row r="4663">
          <cell r="Q4663">
            <v>-1200</v>
          </cell>
          <cell r="T4663">
            <v>0</v>
          </cell>
        </row>
        <row r="4664">
          <cell r="Q4664">
            <v>-1200</v>
          </cell>
          <cell r="T4664">
            <v>0</v>
          </cell>
        </row>
        <row r="4665">
          <cell r="Q4665">
            <v>-1200</v>
          </cell>
          <cell r="T4665">
            <v>0</v>
          </cell>
        </row>
        <row r="4666">
          <cell r="Q4666">
            <v>-1200</v>
          </cell>
          <cell r="T4666">
            <v>0</v>
          </cell>
        </row>
        <row r="4667">
          <cell r="Q4667">
            <v>-1200</v>
          </cell>
          <cell r="T4667">
            <v>0</v>
          </cell>
        </row>
        <row r="4668">
          <cell r="Q4668">
            <v>-1200</v>
          </cell>
          <cell r="T4668">
            <v>0</v>
          </cell>
        </row>
        <row r="4669">
          <cell r="Q4669">
            <v>-1200</v>
          </cell>
          <cell r="T4669">
            <v>0</v>
          </cell>
        </row>
        <row r="4670">
          <cell r="Q4670">
            <v>-1200</v>
          </cell>
          <cell r="T4670">
            <v>0</v>
          </cell>
        </row>
        <row r="4671">
          <cell r="Q4671">
            <v>-1200</v>
          </cell>
          <cell r="T4671">
            <v>0</v>
          </cell>
        </row>
        <row r="4672">
          <cell r="Q4672">
            <v>-2544.39</v>
          </cell>
          <cell r="T4672">
            <v>0</v>
          </cell>
        </row>
        <row r="4673">
          <cell r="Q4673">
            <v>-2544.39</v>
          </cell>
          <cell r="T4673">
            <v>0</v>
          </cell>
        </row>
        <row r="4674">
          <cell r="Q4674">
            <v>-2544.39</v>
          </cell>
          <cell r="T4674">
            <v>0</v>
          </cell>
        </row>
        <row r="4675">
          <cell r="Q4675">
            <v>-643.09</v>
          </cell>
          <cell r="T4675">
            <v>0</v>
          </cell>
        </row>
        <row r="4676">
          <cell r="Q4676">
            <v>-643.09</v>
          </cell>
          <cell r="T4676">
            <v>0</v>
          </cell>
        </row>
        <row r="4677">
          <cell r="Q4677">
            <v>-643.09</v>
          </cell>
          <cell r="T4677">
            <v>0</v>
          </cell>
        </row>
        <row r="4678">
          <cell r="Q4678">
            <v>-4751.4799999999996</v>
          </cell>
          <cell r="T4678">
            <v>0</v>
          </cell>
        </row>
        <row r="4679">
          <cell r="Q4679">
            <v>-4751.55</v>
          </cell>
          <cell r="T4679">
            <v>0</v>
          </cell>
        </row>
        <row r="4680">
          <cell r="Q4680">
            <v>-2385.5300000000002</v>
          </cell>
          <cell r="T4680">
            <v>0</v>
          </cell>
        </row>
        <row r="4681">
          <cell r="Q4681">
            <v>-455</v>
          </cell>
          <cell r="T4681">
            <v>0</v>
          </cell>
        </row>
        <row r="4682">
          <cell r="Q4682">
            <v>-4400</v>
          </cell>
          <cell r="T4682">
            <v>0</v>
          </cell>
        </row>
        <row r="4683">
          <cell r="Q4683">
            <v>-1196</v>
          </cell>
          <cell r="T4683">
            <v>0</v>
          </cell>
        </row>
        <row r="4684">
          <cell r="Q4684">
            <v>-2500</v>
          </cell>
          <cell r="T4684">
            <v>0</v>
          </cell>
        </row>
        <row r="4685">
          <cell r="Q4685">
            <v>-14000</v>
          </cell>
          <cell r="T4685">
            <v>0</v>
          </cell>
        </row>
        <row r="4686">
          <cell r="Q4686">
            <v>-3100</v>
          </cell>
          <cell r="T4686">
            <v>0</v>
          </cell>
        </row>
        <row r="4687">
          <cell r="Q4687">
            <v>-4500</v>
          </cell>
          <cell r="T4687">
            <v>0</v>
          </cell>
        </row>
        <row r="4688">
          <cell r="Q4688">
            <v>-552.54</v>
          </cell>
          <cell r="T4688">
            <v>0</v>
          </cell>
        </row>
        <row r="4689">
          <cell r="Q4689">
            <v>-569.76</v>
          </cell>
          <cell r="T4689">
            <v>0</v>
          </cell>
        </row>
        <row r="4690">
          <cell r="Q4690">
            <v>-1349.43</v>
          </cell>
          <cell r="T4690">
            <v>0</v>
          </cell>
        </row>
        <row r="4691">
          <cell r="Q4691">
            <v>-466.47</v>
          </cell>
          <cell r="T4691">
            <v>0</v>
          </cell>
        </row>
        <row r="4692">
          <cell r="Q4692">
            <v>-824.65</v>
          </cell>
          <cell r="T4692">
            <v>0</v>
          </cell>
        </row>
        <row r="4693">
          <cell r="Q4693">
            <v>-2020</v>
          </cell>
          <cell r="T4693">
            <v>0</v>
          </cell>
        </row>
        <row r="4694">
          <cell r="Q4694">
            <v>-4100</v>
          </cell>
          <cell r="T4694">
            <v>0</v>
          </cell>
        </row>
        <row r="4695">
          <cell r="Q4695">
            <v>-4500</v>
          </cell>
          <cell r="T4695">
            <v>0</v>
          </cell>
        </row>
        <row r="4696">
          <cell r="Q4696">
            <v>-6750</v>
          </cell>
          <cell r="T4696">
            <v>0</v>
          </cell>
        </row>
        <row r="4697">
          <cell r="Q4697">
            <v>-1389.01</v>
          </cell>
          <cell r="T4697">
            <v>0</v>
          </cell>
        </row>
        <row r="4698">
          <cell r="Q4698">
            <v>-688.81</v>
          </cell>
          <cell r="T4698">
            <v>0</v>
          </cell>
        </row>
        <row r="4699">
          <cell r="Q4699">
            <v>-933.59</v>
          </cell>
          <cell r="T4699">
            <v>0</v>
          </cell>
        </row>
        <row r="4700">
          <cell r="Q4700">
            <v>-905.13</v>
          </cell>
          <cell r="T4700">
            <v>0</v>
          </cell>
        </row>
        <row r="4701">
          <cell r="Q4701">
            <v>-3740</v>
          </cell>
          <cell r="T4701">
            <v>0</v>
          </cell>
        </row>
        <row r="4702">
          <cell r="Q4702">
            <v>-1185</v>
          </cell>
          <cell r="T4702">
            <v>0</v>
          </cell>
        </row>
        <row r="4703">
          <cell r="Q4703">
            <v>-4500</v>
          </cell>
          <cell r="T4703">
            <v>0</v>
          </cell>
        </row>
        <row r="4704">
          <cell r="Q4704">
            <v>-22200</v>
          </cell>
          <cell r="T4704">
            <v>0</v>
          </cell>
        </row>
        <row r="4705">
          <cell r="Q4705">
            <v>-6250</v>
          </cell>
          <cell r="T4705">
            <v>0</v>
          </cell>
        </row>
        <row r="4706">
          <cell r="Q4706">
            <v>-4250</v>
          </cell>
          <cell r="T4706">
            <v>0</v>
          </cell>
        </row>
        <row r="4707">
          <cell r="Q4707">
            <v>-5560</v>
          </cell>
          <cell r="T4707">
            <v>0</v>
          </cell>
        </row>
        <row r="4708">
          <cell r="Q4708">
            <v>-3751</v>
          </cell>
          <cell r="T4708">
            <v>0</v>
          </cell>
        </row>
        <row r="4709">
          <cell r="Q4709">
            <v>-8100</v>
          </cell>
          <cell r="T4709">
            <v>0</v>
          </cell>
        </row>
        <row r="4710">
          <cell r="Q4710">
            <v>-1800</v>
          </cell>
          <cell r="T4710">
            <v>0</v>
          </cell>
        </row>
        <row r="4711">
          <cell r="Q4711">
            <v>-1958</v>
          </cell>
          <cell r="T4711">
            <v>0</v>
          </cell>
        </row>
        <row r="4712">
          <cell r="Q4712">
            <v>-4700</v>
          </cell>
          <cell r="T4712">
            <v>0</v>
          </cell>
        </row>
        <row r="4713">
          <cell r="Q4713">
            <v>-6626.67</v>
          </cell>
          <cell r="T4713">
            <v>0</v>
          </cell>
        </row>
        <row r="4714">
          <cell r="Q4714">
            <v>-19780</v>
          </cell>
          <cell r="T4714">
            <v>0</v>
          </cell>
        </row>
        <row r="4715">
          <cell r="Q4715">
            <v>-1980</v>
          </cell>
          <cell r="T4715">
            <v>0</v>
          </cell>
        </row>
        <row r="4716">
          <cell r="Q4716">
            <v>-3425</v>
          </cell>
          <cell r="T4716">
            <v>0</v>
          </cell>
        </row>
        <row r="4717">
          <cell r="Q4717">
            <v>-8400</v>
          </cell>
          <cell r="T4717">
            <v>0</v>
          </cell>
        </row>
        <row r="4718">
          <cell r="Q4718">
            <v>-1700</v>
          </cell>
          <cell r="T4718">
            <v>0</v>
          </cell>
        </row>
        <row r="4719">
          <cell r="Q4719">
            <v>-149.76</v>
          </cell>
          <cell r="T4719">
            <v>0</v>
          </cell>
        </row>
        <row r="4720">
          <cell r="Q4720">
            <v>0</v>
          </cell>
          <cell r="T4720">
            <v>0</v>
          </cell>
        </row>
        <row r="4721">
          <cell r="Q4721">
            <v>0</v>
          </cell>
          <cell r="T4721">
            <v>0</v>
          </cell>
        </row>
        <row r="4722">
          <cell r="Q4722">
            <v>0</v>
          </cell>
          <cell r="T4722">
            <v>0</v>
          </cell>
        </row>
        <row r="4723">
          <cell r="Q4723">
            <v>0</v>
          </cell>
          <cell r="T4723">
            <v>0</v>
          </cell>
        </row>
        <row r="4724">
          <cell r="Q4724">
            <v>0</v>
          </cell>
          <cell r="T4724">
            <v>0</v>
          </cell>
        </row>
        <row r="4725">
          <cell r="Q4725">
            <v>0</v>
          </cell>
          <cell r="T4725">
            <v>0</v>
          </cell>
        </row>
        <row r="4726">
          <cell r="Q4726">
            <v>0</v>
          </cell>
          <cell r="T4726">
            <v>0</v>
          </cell>
        </row>
        <row r="4727">
          <cell r="Q4727">
            <v>0</v>
          </cell>
          <cell r="T4727">
            <v>0</v>
          </cell>
        </row>
        <row r="4728">
          <cell r="Q4728">
            <v>0</v>
          </cell>
          <cell r="T4728">
            <v>0</v>
          </cell>
        </row>
        <row r="4729">
          <cell r="Q4729">
            <v>0</v>
          </cell>
          <cell r="T4729">
            <v>0</v>
          </cell>
        </row>
        <row r="4730">
          <cell r="Q4730">
            <v>0</v>
          </cell>
          <cell r="T4730">
            <v>0</v>
          </cell>
        </row>
        <row r="4731">
          <cell r="Q4731">
            <v>-11508.71</v>
          </cell>
          <cell r="T4731">
            <v>0</v>
          </cell>
        </row>
        <row r="4732">
          <cell r="Q4732">
            <v>-26976.87</v>
          </cell>
          <cell r="T4732">
            <v>0</v>
          </cell>
        </row>
        <row r="4733">
          <cell r="Q4733">
            <v>-522.5</v>
          </cell>
          <cell r="T4733">
            <v>0</v>
          </cell>
        </row>
        <row r="4734">
          <cell r="Q4734">
            <v>-281.2</v>
          </cell>
          <cell r="T4734">
            <v>0</v>
          </cell>
        </row>
        <row r="4735">
          <cell r="Q4735">
            <v>-133</v>
          </cell>
          <cell r="T4735">
            <v>0</v>
          </cell>
        </row>
        <row r="4736">
          <cell r="Q4736">
            <v>-76</v>
          </cell>
          <cell r="T4736">
            <v>0</v>
          </cell>
        </row>
        <row r="4737">
          <cell r="Q4737">
            <v>-266</v>
          </cell>
          <cell r="T4737">
            <v>0</v>
          </cell>
        </row>
        <row r="4738">
          <cell r="Q4738">
            <v>-1282.5</v>
          </cell>
          <cell r="T4738">
            <v>0</v>
          </cell>
        </row>
        <row r="4739">
          <cell r="Q4739">
            <v>-76</v>
          </cell>
          <cell r="T4739">
            <v>0</v>
          </cell>
        </row>
        <row r="4740">
          <cell r="Q4740">
            <v>-76</v>
          </cell>
          <cell r="T4740">
            <v>0</v>
          </cell>
        </row>
        <row r="4741">
          <cell r="Q4741">
            <v>-319.2</v>
          </cell>
          <cell r="T4741">
            <v>0</v>
          </cell>
        </row>
        <row r="4742">
          <cell r="Q4742">
            <v>-216.6</v>
          </cell>
          <cell r="T4742">
            <v>0</v>
          </cell>
        </row>
        <row r="4743">
          <cell r="Q4743">
            <v>-302.08999999999997</v>
          </cell>
          <cell r="T4743">
            <v>0</v>
          </cell>
        </row>
        <row r="4744">
          <cell r="Q4744">
            <v>-123.5</v>
          </cell>
          <cell r="T4744">
            <v>0</v>
          </cell>
        </row>
        <row r="4745">
          <cell r="Q4745">
            <v>-189.99</v>
          </cell>
          <cell r="T4745">
            <v>0</v>
          </cell>
        </row>
        <row r="4746">
          <cell r="Q4746">
            <v>-891.07</v>
          </cell>
          <cell r="T4746">
            <v>0</v>
          </cell>
        </row>
        <row r="4747">
          <cell r="Q4747">
            <v>-948.07</v>
          </cell>
          <cell r="T4747">
            <v>0</v>
          </cell>
        </row>
        <row r="4748">
          <cell r="Q4748">
            <v>-47.5</v>
          </cell>
          <cell r="T4748">
            <v>0</v>
          </cell>
        </row>
        <row r="4749">
          <cell r="Q4749">
            <v>-478.78</v>
          </cell>
          <cell r="T4749">
            <v>0</v>
          </cell>
        </row>
        <row r="4750">
          <cell r="Q4750">
            <v>-484.54</v>
          </cell>
          <cell r="T4750">
            <v>0</v>
          </cell>
        </row>
        <row r="4751">
          <cell r="Q4751">
            <v>-928.21</v>
          </cell>
          <cell r="T4751">
            <v>0</v>
          </cell>
        </row>
        <row r="4752">
          <cell r="Q4752">
            <v>-1068.82</v>
          </cell>
          <cell r="T4752">
            <v>0</v>
          </cell>
        </row>
        <row r="4753">
          <cell r="Q4753">
            <v>-1068.82</v>
          </cell>
          <cell r="T4753">
            <v>0</v>
          </cell>
        </row>
        <row r="4754">
          <cell r="Q4754">
            <v>-528.23</v>
          </cell>
          <cell r="T4754">
            <v>0</v>
          </cell>
        </row>
        <row r="4755">
          <cell r="Q4755">
            <v>-684.04</v>
          </cell>
          <cell r="T4755">
            <v>0</v>
          </cell>
        </row>
        <row r="4756">
          <cell r="Q4756">
            <v>-399.03</v>
          </cell>
          <cell r="T4756">
            <v>0</v>
          </cell>
        </row>
        <row r="4757">
          <cell r="Q4757">
            <v>-171.01</v>
          </cell>
          <cell r="T4757">
            <v>0</v>
          </cell>
        </row>
        <row r="4758">
          <cell r="Q4758">
            <v>-51.3</v>
          </cell>
          <cell r="T4758">
            <v>0</v>
          </cell>
        </row>
        <row r="4759">
          <cell r="Q4759">
            <v>-85.5</v>
          </cell>
          <cell r="T4759">
            <v>0</v>
          </cell>
        </row>
        <row r="4760">
          <cell r="Q4760">
            <v>-1425</v>
          </cell>
          <cell r="T4760">
            <v>0</v>
          </cell>
        </row>
        <row r="4761">
          <cell r="Q4761">
            <v>-12577.92</v>
          </cell>
          <cell r="T4761">
            <v>0</v>
          </cell>
        </row>
        <row r="4762">
          <cell r="Q4762">
            <v>-15003.88</v>
          </cell>
          <cell r="T4762">
            <v>0</v>
          </cell>
        </row>
        <row r="4763">
          <cell r="Q4763">
            <v>-441.74</v>
          </cell>
          <cell r="T4763">
            <v>0</v>
          </cell>
        </row>
        <row r="4764">
          <cell r="Q4764">
            <v>-225.62</v>
          </cell>
          <cell r="T4764">
            <v>0</v>
          </cell>
        </row>
        <row r="4765">
          <cell r="Q4765">
            <v>-9974.9</v>
          </cell>
          <cell r="T4765">
            <v>0</v>
          </cell>
        </row>
        <row r="4766">
          <cell r="Q4766">
            <v>-261.25</v>
          </cell>
          <cell r="T4766">
            <v>0</v>
          </cell>
        </row>
        <row r="4767">
          <cell r="Q4767">
            <v>-427.5</v>
          </cell>
          <cell r="T4767">
            <v>0</v>
          </cell>
        </row>
        <row r="4768">
          <cell r="Q4768">
            <v>-104.5</v>
          </cell>
          <cell r="T4768">
            <v>0</v>
          </cell>
        </row>
        <row r="4769">
          <cell r="Q4769">
            <v>-237.5</v>
          </cell>
          <cell r="T4769">
            <v>0</v>
          </cell>
        </row>
        <row r="4770">
          <cell r="Q4770">
            <v>-645.99</v>
          </cell>
          <cell r="T4770">
            <v>0</v>
          </cell>
        </row>
        <row r="4771">
          <cell r="Q4771">
            <v>-6288.96</v>
          </cell>
          <cell r="T4771">
            <v>0</v>
          </cell>
        </row>
        <row r="4772">
          <cell r="Q4772">
            <v>-5549.08</v>
          </cell>
          <cell r="T4772">
            <v>0</v>
          </cell>
        </row>
        <row r="4773">
          <cell r="Q4773">
            <v>-180.5</v>
          </cell>
          <cell r="T4773">
            <v>0</v>
          </cell>
        </row>
        <row r="4774">
          <cell r="Q4774">
            <v>-142.47999999999999</v>
          </cell>
          <cell r="T4774">
            <v>0</v>
          </cell>
        </row>
        <row r="4775">
          <cell r="Q4775">
            <v>-641.17999999999995</v>
          </cell>
          <cell r="T4775">
            <v>0</v>
          </cell>
        </row>
        <row r="4776">
          <cell r="Q4776">
            <v>-612.67999999999995</v>
          </cell>
          <cell r="T4776">
            <v>0</v>
          </cell>
        </row>
        <row r="4777">
          <cell r="Q4777">
            <v>-427.45</v>
          </cell>
          <cell r="T4777">
            <v>0</v>
          </cell>
        </row>
        <row r="4778">
          <cell r="Q4778">
            <v>-820.71</v>
          </cell>
          <cell r="T4778">
            <v>0</v>
          </cell>
        </row>
        <row r="4779">
          <cell r="Q4779">
            <v>-2374.91</v>
          </cell>
          <cell r="T4779">
            <v>0</v>
          </cell>
        </row>
        <row r="4780">
          <cell r="Q4780">
            <v>-2754.9</v>
          </cell>
          <cell r="T4780">
            <v>0</v>
          </cell>
        </row>
        <row r="4781">
          <cell r="Q4781">
            <v>-1686.19</v>
          </cell>
          <cell r="T4781">
            <v>0</v>
          </cell>
        </row>
        <row r="4782">
          <cell r="Q4782">
            <v>-547.26</v>
          </cell>
          <cell r="T4782">
            <v>0</v>
          </cell>
        </row>
        <row r="4783">
          <cell r="Q4783">
            <v>-319.23</v>
          </cell>
          <cell r="T4783">
            <v>0</v>
          </cell>
        </row>
        <row r="4784">
          <cell r="Q4784">
            <v>-1923.96</v>
          </cell>
          <cell r="T4784">
            <v>0</v>
          </cell>
        </row>
        <row r="4785">
          <cell r="Q4785">
            <v>-484.55</v>
          </cell>
          <cell r="T4785">
            <v>0</v>
          </cell>
        </row>
        <row r="4786">
          <cell r="Q4786">
            <v>-997.5</v>
          </cell>
          <cell r="T4786">
            <v>0</v>
          </cell>
        </row>
        <row r="4787">
          <cell r="Q4787">
            <v>-24230.89</v>
          </cell>
          <cell r="T4787">
            <v>0</v>
          </cell>
        </row>
        <row r="4788">
          <cell r="Q4788">
            <v>-950</v>
          </cell>
          <cell r="T4788">
            <v>0</v>
          </cell>
        </row>
        <row r="4789">
          <cell r="Q4789">
            <v>-349.6</v>
          </cell>
          <cell r="T4789">
            <v>0</v>
          </cell>
        </row>
        <row r="4790">
          <cell r="Q4790">
            <v>-114</v>
          </cell>
          <cell r="T4790">
            <v>0</v>
          </cell>
        </row>
        <row r="4791">
          <cell r="Q4791">
            <v>-1425</v>
          </cell>
          <cell r="T4791">
            <v>0</v>
          </cell>
        </row>
        <row r="4792">
          <cell r="Q4792">
            <v>-676.4</v>
          </cell>
          <cell r="T4792">
            <v>0</v>
          </cell>
        </row>
        <row r="4793">
          <cell r="Q4793">
            <v>-3990</v>
          </cell>
          <cell r="T4793">
            <v>0</v>
          </cell>
        </row>
        <row r="4794">
          <cell r="Q4794">
            <v>-2660</v>
          </cell>
          <cell r="T4794">
            <v>0</v>
          </cell>
        </row>
        <row r="4795">
          <cell r="Q4795">
            <v>-570</v>
          </cell>
          <cell r="T4795">
            <v>0</v>
          </cell>
        </row>
        <row r="4796">
          <cell r="Q4796">
            <v>-570</v>
          </cell>
          <cell r="T4796">
            <v>0</v>
          </cell>
        </row>
        <row r="4797">
          <cell r="Q4797">
            <v>-570</v>
          </cell>
          <cell r="T4797">
            <v>0</v>
          </cell>
        </row>
        <row r="4798">
          <cell r="Q4798">
            <v>-1216.03</v>
          </cell>
          <cell r="T4798">
            <v>0</v>
          </cell>
        </row>
        <row r="4799">
          <cell r="Q4799">
            <v>-5107.32</v>
          </cell>
          <cell r="T4799">
            <v>0</v>
          </cell>
        </row>
        <row r="4800">
          <cell r="Q4800">
            <v>-902.52</v>
          </cell>
          <cell r="T4800">
            <v>0</v>
          </cell>
        </row>
        <row r="4801">
          <cell r="Q4801">
            <v>-598.51</v>
          </cell>
          <cell r="T4801">
            <v>0</v>
          </cell>
        </row>
        <row r="4802">
          <cell r="Q4802">
            <v>-209.94</v>
          </cell>
          <cell r="T4802">
            <v>0</v>
          </cell>
        </row>
        <row r="4803">
          <cell r="Q4803">
            <v>-3040.07</v>
          </cell>
          <cell r="T4803">
            <v>0</v>
          </cell>
        </row>
        <row r="4804">
          <cell r="Q4804">
            <v>-501.61</v>
          </cell>
          <cell r="T4804">
            <v>0</v>
          </cell>
        </row>
        <row r="4805">
          <cell r="Q4805">
            <v>-142.5</v>
          </cell>
          <cell r="T4805">
            <v>0</v>
          </cell>
        </row>
        <row r="4806">
          <cell r="Q4806">
            <v>-1424.98</v>
          </cell>
          <cell r="T4806">
            <v>0</v>
          </cell>
        </row>
        <row r="4807">
          <cell r="Q4807">
            <v>-569.99</v>
          </cell>
          <cell r="T4807">
            <v>0</v>
          </cell>
        </row>
        <row r="4808">
          <cell r="Q4808">
            <v>-3134.96</v>
          </cell>
          <cell r="T4808">
            <v>0</v>
          </cell>
        </row>
        <row r="4809">
          <cell r="Q4809">
            <v>-786.59</v>
          </cell>
          <cell r="T4809">
            <v>0</v>
          </cell>
        </row>
        <row r="4810">
          <cell r="Q4810">
            <v>-493.99</v>
          </cell>
          <cell r="T4810">
            <v>0</v>
          </cell>
        </row>
        <row r="4811">
          <cell r="Q4811">
            <v>-797.99</v>
          </cell>
          <cell r="T4811">
            <v>0</v>
          </cell>
        </row>
        <row r="4812">
          <cell r="Q4812">
            <v>-2042.5</v>
          </cell>
          <cell r="T4812">
            <v>0</v>
          </cell>
        </row>
        <row r="4813">
          <cell r="Q4813">
            <v>-10407.16</v>
          </cell>
          <cell r="T4813">
            <v>0</v>
          </cell>
        </row>
        <row r="4814">
          <cell r="Q4814">
            <v>-930</v>
          </cell>
          <cell r="T4814">
            <v>0</v>
          </cell>
        </row>
        <row r="4815">
          <cell r="Q4815">
            <v>-14433.1</v>
          </cell>
          <cell r="T4815">
            <v>0</v>
          </cell>
        </row>
        <row r="4816">
          <cell r="Q4816">
            <v>-6175</v>
          </cell>
          <cell r="T4816">
            <v>0</v>
          </cell>
        </row>
        <row r="4817">
          <cell r="Q4817">
            <v>-19152.87</v>
          </cell>
          <cell r="T4817">
            <v>0</v>
          </cell>
        </row>
        <row r="4818">
          <cell r="Q4818">
            <v>-49213.66</v>
          </cell>
          <cell r="T4818">
            <v>0</v>
          </cell>
        </row>
        <row r="4819">
          <cell r="Q4819">
            <v>-10694.8</v>
          </cell>
          <cell r="T4819">
            <v>0</v>
          </cell>
        </row>
        <row r="4820">
          <cell r="Q4820">
            <v>-850</v>
          </cell>
          <cell r="T4820">
            <v>0</v>
          </cell>
        </row>
        <row r="4821">
          <cell r="Q4821">
            <v>-1080</v>
          </cell>
          <cell r="T4821">
            <v>0</v>
          </cell>
        </row>
        <row r="4822">
          <cell r="Q4822">
            <v>-306</v>
          </cell>
          <cell r="T4822">
            <v>0</v>
          </cell>
        </row>
        <row r="4823">
          <cell r="Q4823">
            <v>-178</v>
          </cell>
          <cell r="T4823">
            <v>0</v>
          </cell>
        </row>
        <row r="4824">
          <cell r="Q4824">
            <v>-220</v>
          </cell>
          <cell r="T4824">
            <v>0</v>
          </cell>
        </row>
        <row r="4825">
          <cell r="Q4825">
            <v>-4500</v>
          </cell>
          <cell r="T4825">
            <v>0</v>
          </cell>
        </row>
        <row r="4826">
          <cell r="Q4826">
            <v>-114</v>
          </cell>
          <cell r="T4826">
            <v>0</v>
          </cell>
        </row>
        <row r="4827">
          <cell r="Q4827">
            <v>-1800</v>
          </cell>
          <cell r="T4827">
            <v>0</v>
          </cell>
        </row>
        <row r="4828">
          <cell r="Q4828">
            <v>-660</v>
          </cell>
          <cell r="T4828">
            <v>0</v>
          </cell>
        </row>
        <row r="4829">
          <cell r="Q4829">
            <v>-720</v>
          </cell>
          <cell r="T4829">
            <v>0</v>
          </cell>
        </row>
        <row r="4830">
          <cell r="Q4830">
            <v>-2268</v>
          </cell>
          <cell r="T4830">
            <v>0</v>
          </cell>
        </row>
        <row r="4831">
          <cell r="Q4831">
            <v>-238</v>
          </cell>
          <cell r="T4831">
            <v>0</v>
          </cell>
        </row>
        <row r="4832">
          <cell r="Q4832">
            <v>-575</v>
          </cell>
          <cell r="T4832">
            <v>0</v>
          </cell>
        </row>
        <row r="4833">
          <cell r="Q4833">
            <v>-828</v>
          </cell>
          <cell r="T4833">
            <v>0</v>
          </cell>
        </row>
        <row r="4834">
          <cell r="Q4834">
            <v>-330</v>
          </cell>
          <cell r="T4834">
            <v>0</v>
          </cell>
        </row>
        <row r="4835">
          <cell r="Q4835">
            <v>-648.77</v>
          </cell>
          <cell r="T4835">
            <v>0</v>
          </cell>
        </row>
        <row r="4836">
          <cell r="Q4836">
            <v>-240</v>
          </cell>
          <cell r="T4836">
            <v>0</v>
          </cell>
        </row>
        <row r="4837">
          <cell r="Q4837">
            <v>-108</v>
          </cell>
          <cell r="T4837">
            <v>0</v>
          </cell>
        </row>
        <row r="4838">
          <cell r="Q4838">
            <v>-372</v>
          </cell>
          <cell r="T4838">
            <v>0</v>
          </cell>
        </row>
        <row r="4839">
          <cell r="Q4839">
            <v>-400</v>
          </cell>
          <cell r="T4839">
            <v>0</v>
          </cell>
        </row>
        <row r="4840">
          <cell r="Q4840">
            <v>-280</v>
          </cell>
          <cell r="T4840">
            <v>0</v>
          </cell>
        </row>
        <row r="4841">
          <cell r="Q4841">
            <v>-461</v>
          </cell>
          <cell r="T4841">
            <v>0</v>
          </cell>
        </row>
        <row r="4842">
          <cell r="Q4842">
            <v>-264</v>
          </cell>
          <cell r="T4842">
            <v>0</v>
          </cell>
        </row>
        <row r="4843">
          <cell r="Q4843">
            <v>-4500</v>
          </cell>
          <cell r="T4843">
            <v>0</v>
          </cell>
        </row>
        <row r="4844">
          <cell r="Q4844">
            <v>-2208</v>
          </cell>
          <cell r="T4844">
            <v>0</v>
          </cell>
        </row>
        <row r="4845">
          <cell r="Q4845">
            <v>-864</v>
          </cell>
          <cell r="T4845">
            <v>0</v>
          </cell>
        </row>
        <row r="4846">
          <cell r="Q4846">
            <v>-792</v>
          </cell>
          <cell r="T4846">
            <v>0</v>
          </cell>
        </row>
        <row r="4847">
          <cell r="Q4847">
            <v>-2160</v>
          </cell>
          <cell r="T4847">
            <v>0</v>
          </cell>
        </row>
        <row r="4848">
          <cell r="Q4848">
            <v>-396</v>
          </cell>
          <cell r="T4848">
            <v>0</v>
          </cell>
        </row>
        <row r="4849">
          <cell r="Q4849">
            <v>-1134</v>
          </cell>
          <cell r="T4849">
            <v>0</v>
          </cell>
        </row>
        <row r="4850">
          <cell r="Q4850">
            <v>-228</v>
          </cell>
          <cell r="T4850">
            <v>0</v>
          </cell>
        </row>
        <row r="4851">
          <cell r="Q4851">
            <v>-1700</v>
          </cell>
          <cell r="T4851">
            <v>0</v>
          </cell>
        </row>
        <row r="4852">
          <cell r="Q4852">
            <v>-4798</v>
          </cell>
          <cell r="T4852">
            <v>0</v>
          </cell>
        </row>
        <row r="4853">
          <cell r="Q4853">
            <v>-1797</v>
          </cell>
          <cell r="T4853">
            <v>0</v>
          </cell>
        </row>
        <row r="4854">
          <cell r="Q4854">
            <v>-675</v>
          </cell>
          <cell r="T4854">
            <v>0</v>
          </cell>
        </row>
        <row r="4855">
          <cell r="Q4855">
            <v>-1200</v>
          </cell>
          <cell r="T4855">
            <v>0</v>
          </cell>
        </row>
        <row r="4856">
          <cell r="Q4856">
            <v>-600</v>
          </cell>
          <cell r="T4856">
            <v>0</v>
          </cell>
        </row>
        <row r="4857">
          <cell r="Q4857">
            <v>-1550</v>
          </cell>
          <cell r="T4857">
            <v>0</v>
          </cell>
        </row>
        <row r="4858">
          <cell r="Q4858">
            <v>-1350</v>
          </cell>
          <cell r="T4858">
            <v>0</v>
          </cell>
        </row>
        <row r="4859">
          <cell r="Q4859">
            <v>-80915.47</v>
          </cell>
          <cell r="T4859">
            <v>0</v>
          </cell>
        </row>
        <row r="4860">
          <cell r="Q4860">
            <v>-35259.26</v>
          </cell>
          <cell r="T4860">
            <v>0</v>
          </cell>
        </row>
        <row r="4861">
          <cell r="Q4861">
            <v>-9500.8700000000008</v>
          </cell>
          <cell r="T4861">
            <v>0</v>
          </cell>
        </row>
        <row r="4862">
          <cell r="Q4862">
            <v>-855.08</v>
          </cell>
          <cell r="T4862">
            <v>0</v>
          </cell>
        </row>
        <row r="4863">
          <cell r="Q4863">
            <v>-1581</v>
          </cell>
          <cell r="T4863">
            <v>0</v>
          </cell>
        </row>
        <row r="4864">
          <cell r="Q4864">
            <v>-19326.84</v>
          </cell>
          <cell r="T4864">
            <v>0</v>
          </cell>
        </row>
        <row r="4865">
          <cell r="Q4865">
            <v>-113435.93</v>
          </cell>
          <cell r="T4865">
            <v>0</v>
          </cell>
        </row>
        <row r="4866">
          <cell r="Q4866">
            <v>-1696.78</v>
          </cell>
          <cell r="T4866">
            <v>0</v>
          </cell>
        </row>
        <row r="4867">
          <cell r="Q4867">
            <v>-49.39</v>
          </cell>
          <cell r="T4867">
            <v>0</v>
          </cell>
        </row>
        <row r="4868">
          <cell r="Q4868">
            <v>-127.83</v>
          </cell>
          <cell r="T4868">
            <v>0</v>
          </cell>
        </row>
        <row r="4869">
          <cell r="Q4869">
            <v>-928.53</v>
          </cell>
          <cell r="T4869">
            <v>0</v>
          </cell>
        </row>
        <row r="4870">
          <cell r="Q4870">
            <v>-205.7</v>
          </cell>
          <cell r="T4870">
            <v>0</v>
          </cell>
        </row>
        <row r="4871">
          <cell r="Q4871">
            <v>-1618.24</v>
          </cell>
          <cell r="T4871">
            <v>0</v>
          </cell>
        </row>
        <row r="4872">
          <cell r="Q4872">
            <v>-1434.05</v>
          </cell>
          <cell r="T4872">
            <v>0</v>
          </cell>
        </row>
        <row r="4873">
          <cell r="Q4873">
            <v>-1161.53</v>
          </cell>
          <cell r="T4873">
            <v>0</v>
          </cell>
        </row>
        <row r="4874">
          <cell r="Q4874">
            <v>-1119.69</v>
          </cell>
          <cell r="T4874">
            <v>0</v>
          </cell>
        </row>
        <row r="4875">
          <cell r="Q4875">
            <v>-1095.29</v>
          </cell>
          <cell r="T4875">
            <v>0</v>
          </cell>
        </row>
        <row r="4876">
          <cell r="Q4876">
            <v>-399.77</v>
          </cell>
          <cell r="T4876">
            <v>0</v>
          </cell>
        </row>
        <row r="4877">
          <cell r="Q4877">
            <v>-342.83</v>
          </cell>
          <cell r="T4877">
            <v>0</v>
          </cell>
        </row>
        <row r="4878">
          <cell r="Q4878">
            <v>-110.21</v>
          </cell>
          <cell r="T4878">
            <v>0</v>
          </cell>
        </row>
        <row r="4879">
          <cell r="Q4879">
            <v>-151.25</v>
          </cell>
          <cell r="T4879">
            <v>0</v>
          </cell>
        </row>
        <row r="4880">
          <cell r="Q4880">
            <v>-1102.19</v>
          </cell>
          <cell r="T4880">
            <v>0</v>
          </cell>
        </row>
        <row r="4881">
          <cell r="Q4881">
            <v>-1927.78</v>
          </cell>
          <cell r="T4881">
            <v>0</v>
          </cell>
        </row>
        <row r="4882">
          <cell r="Q4882">
            <v>-2619.2600000000002</v>
          </cell>
          <cell r="T4882">
            <v>0</v>
          </cell>
        </row>
        <row r="4883">
          <cell r="Q4883">
            <v>-742.12</v>
          </cell>
          <cell r="T4883">
            <v>0</v>
          </cell>
        </row>
        <row r="4884">
          <cell r="Q4884">
            <v>-614.66</v>
          </cell>
          <cell r="T4884">
            <v>0</v>
          </cell>
        </row>
        <row r="4885">
          <cell r="Q4885">
            <v>-1257.24</v>
          </cell>
          <cell r="T4885">
            <v>0</v>
          </cell>
        </row>
        <row r="4886">
          <cell r="Q4886">
            <v>-384.16</v>
          </cell>
          <cell r="T4886">
            <v>0</v>
          </cell>
        </row>
        <row r="4887">
          <cell r="Q4887">
            <v>-5820.59</v>
          </cell>
          <cell r="T4887">
            <v>0</v>
          </cell>
        </row>
        <row r="4888">
          <cell r="Q4888">
            <v>-454.01</v>
          </cell>
          <cell r="T4888">
            <v>0</v>
          </cell>
        </row>
        <row r="4889">
          <cell r="Q4889">
            <v>-698.47</v>
          </cell>
          <cell r="T4889">
            <v>0</v>
          </cell>
        </row>
        <row r="4890">
          <cell r="Q4890">
            <v>-1033.74</v>
          </cell>
          <cell r="T4890">
            <v>0</v>
          </cell>
        </row>
        <row r="4891">
          <cell r="Q4891">
            <v>-1967.36</v>
          </cell>
          <cell r="T4891">
            <v>0</v>
          </cell>
        </row>
        <row r="4892">
          <cell r="Q4892">
            <v>-412.1</v>
          </cell>
          <cell r="T4892">
            <v>0</v>
          </cell>
        </row>
        <row r="4893">
          <cell r="Q4893">
            <v>-3635.09</v>
          </cell>
          <cell r="T4893">
            <v>0</v>
          </cell>
        </row>
        <row r="4894">
          <cell r="Q4894">
            <v>-13586.7</v>
          </cell>
          <cell r="T4894">
            <v>0</v>
          </cell>
        </row>
        <row r="4895">
          <cell r="Q4895">
            <v>-3340.79</v>
          </cell>
          <cell r="T4895">
            <v>0</v>
          </cell>
        </row>
        <row r="4896">
          <cell r="Q4896">
            <v>-1046.69</v>
          </cell>
          <cell r="T4896">
            <v>0</v>
          </cell>
        </row>
        <row r="4897">
          <cell r="Q4897">
            <v>-59.05</v>
          </cell>
          <cell r="T4897">
            <v>0</v>
          </cell>
        </row>
        <row r="4898">
          <cell r="Q4898">
            <v>-1556.61</v>
          </cell>
          <cell r="T4898">
            <v>0</v>
          </cell>
        </row>
        <row r="4899">
          <cell r="Q4899">
            <v>-695.11</v>
          </cell>
          <cell r="T4899">
            <v>0</v>
          </cell>
        </row>
        <row r="4900">
          <cell r="Q4900">
            <v>-305.95</v>
          </cell>
          <cell r="T4900">
            <v>0</v>
          </cell>
        </row>
        <row r="4901">
          <cell r="Q4901">
            <v>-697.79</v>
          </cell>
          <cell r="T4901">
            <v>0</v>
          </cell>
        </row>
        <row r="4902">
          <cell r="Q4902">
            <v>-1674.7</v>
          </cell>
          <cell r="T4902">
            <v>0</v>
          </cell>
        </row>
        <row r="4903">
          <cell r="Q4903">
            <v>-644.12</v>
          </cell>
          <cell r="T4903">
            <v>0</v>
          </cell>
        </row>
        <row r="4904">
          <cell r="Q4904">
            <v>-509.93</v>
          </cell>
          <cell r="T4904">
            <v>0</v>
          </cell>
        </row>
        <row r="4905">
          <cell r="Q4905">
            <v>-670.95</v>
          </cell>
          <cell r="T4905">
            <v>0</v>
          </cell>
        </row>
        <row r="4906">
          <cell r="Q4906">
            <v>-35349.17</v>
          </cell>
          <cell r="T4906">
            <v>0</v>
          </cell>
        </row>
        <row r="4907">
          <cell r="Q4907">
            <v>-9621.4</v>
          </cell>
          <cell r="T4907">
            <v>0</v>
          </cell>
        </row>
        <row r="4908">
          <cell r="Q4908">
            <v>-5049.29</v>
          </cell>
          <cell r="T4908">
            <v>0</v>
          </cell>
        </row>
        <row r="4909">
          <cell r="Q4909">
            <v>-4309.5600000000004</v>
          </cell>
          <cell r="T4909">
            <v>0</v>
          </cell>
        </row>
        <row r="4910">
          <cell r="Q4910">
            <v>-1107.75</v>
          </cell>
          <cell r="T4910">
            <v>0</v>
          </cell>
        </row>
        <row r="4911">
          <cell r="Q4911">
            <v>-3599.43</v>
          </cell>
          <cell r="T4911">
            <v>0</v>
          </cell>
        </row>
        <row r="4912">
          <cell r="Q4912">
            <v>-3515.63</v>
          </cell>
          <cell r="T4912">
            <v>0</v>
          </cell>
        </row>
        <row r="4913">
          <cell r="Q4913">
            <v>-2405.9299999999998</v>
          </cell>
          <cell r="T4913">
            <v>0</v>
          </cell>
        </row>
        <row r="4914">
          <cell r="Q4914">
            <v>-5026.66</v>
          </cell>
          <cell r="T4914">
            <v>0</v>
          </cell>
        </row>
        <row r="4915">
          <cell r="Q4915">
            <v>-1506.04</v>
          </cell>
          <cell r="T4915">
            <v>0</v>
          </cell>
        </row>
        <row r="4916">
          <cell r="Q4916">
            <v>-775.47</v>
          </cell>
          <cell r="T4916">
            <v>0</v>
          </cell>
        </row>
        <row r="4917">
          <cell r="Q4917">
            <v>-983.62</v>
          </cell>
          <cell r="T4917">
            <v>0</v>
          </cell>
        </row>
        <row r="4918">
          <cell r="Q4918">
            <v>-3918.17</v>
          </cell>
          <cell r="T4918">
            <v>0</v>
          </cell>
        </row>
        <row r="4919">
          <cell r="Q4919">
            <v>-1330.55</v>
          </cell>
          <cell r="T4919">
            <v>0</v>
          </cell>
        </row>
        <row r="4920">
          <cell r="Q4920">
            <v>-1836.64</v>
          </cell>
          <cell r="T4920">
            <v>0</v>
          </cell>
        </row>
        <row r="4921">
          <cell r="Q4921">
            <v>-1624.41</v>
          </cell>
          <cell r="T4921">
            <v>0</v>
          </cell>
        </row>
        <row r="4922">
          <cell r="Q4922">
            <v>-1942.76</v>
          </cell>
          <cell r="T4922">
            <v>0</v>
          </cell>
        </row>
        <row r="4923">
          <cell r="Q4923">
            <v>-2107.73</v>
          </cell>
          <cell r="T4923">
            <v>0</v>
          </cell>
        </row>
        <row r="4924">
          <cell r="Q4924">
            <v>-494.56</v>
          </cell>
          <cell r="T4924">
            <v>0</v>
          </cell>
        </row>
        <row r="4925">
          <cell r="Q4925">
            <v>0</v>
          </cell>
          <cell r="T4925">
            <v>0</v>
          </cell>
        </row>
        <row r="4926">
          <cell r="Q4926">
            <v>-8099.02</v>
          </cell>
          <cell r="T4926">
            <v>0</v>
          </cell>
        </row>
        <row r="4927">
          <cell r="Q4927">
            <v>-26900.2</v>
          </cell>
          <cell r="T4927">
            <v>0</v>
          </cell>
        </row>
        <row r="4928">
          <cell r="Q4928">
            <v>-2350</v>
          </cell>
          <cell r="T4928">
            <v>0</v>
          </cell>
        </row>
        <row r="4929">
          <cell r="Q4929">
            <v>-11004.99</v>
          </cell>
          <cell r="T4929">
            <v>0</v>
          </cell>
        </row>
        <row r="4930">
          <cell r="Q4930">
            <v>-155.31</v>
          </cell>
          <cell r="T4930">
            <v>0</v>
          </cell>
        </row>
        <row r="4931">
          <cell r="Q4931">
            <v>-188069.2</v>
          </cell>
          <cell r="T4931">
            <v>0</v>
          </cell>
        </row>
        <row r="4932">
          <cell r="Q4932">
            <v>-113804.9</v>
          </cell>
          <cell r="T4932">
            <v>0</v>
          </cell>
        </row>
        <row r="4933">
          <cell r="Q4933">
            <v>-18324.75</v>
          </cell>
          <cell r="T4933">
            <v>0</v>
          </cell>
        </row>
        <row r="4934">
          <cell r="Q4934">
            <v>-17768.63</v>
          </cell>
          <cell r="T4934">
            <v>0</v>
          </cell>
        </row>
        <row r="4935">
          <cell r="Q4935">
            <v>-94732.14</v>
          </cell>
          <cell r="T4935">
            <v>0</v>
          </cell>
        </row>
        <row r="4936">
          <cell r="Q4936">
            <v>-21709.4</v>
          </cell>
          <cell r="T4936">
            <v>0</v>
          </cell>
        </row>
        <row r="4937">
          <cell r="Q4937">
            <v>-35417.89</v>
          </cell>
          <cell r="T4937">
            <v>0</v>
          </cell>
        </row>
        <row r="4938">
          <cell r="Q4938">
            <v>-53060.41</v>
          </cell>
          <cell r="T4938">
            <v>0</v>
          </cell>
        </row>
        <row r="4939">
          <cell r="Q4939">
            <v>-14399.29</v>
          </cell>
          <cell r="T4939">
            <v>0</v>
          </cell>
        </row>
        <row r="4940">
          <cell r="Q4940">
            <v>-73942.539999999994</v>
          </cell>
          <cell r="T4940">
            <v>0</v>
          </cell>
        </row>
        <row r="4941">
          <cell r="Q4941">
            <v>-48207.85</v>
          </cell>
          <cell r="T4941">
            <v>0</v>
          </cell>
        </row>
        <row r="4942">
          <cell r="Q4942">
            <v>-23115.15</v>
          </cell>
          <cell r="T4942">
            <v>0</v>
          </cell>
        </row>
        <row r="4943">
          <cell r="Q4943">
            <v>-11951.03</v>
          </cell>
          <cell r="T4943">
            <v>0</v>
          </cell>
        </row>
        <row r="4944">
          <cell r="Q4944">
            <v>-4477721.22</v>
          </cell>
          <cell r="T4944">
            <v>0</v>
          </cell>
        </row>
        <row r="4945">
          <cell r="Q4945">
            <v>-87749.96</v>
          </cell>
          <cell r="T4945">
            <v>0</v>
          </cell>
        </row>
        <row r="4946">
          <cell r="Q4946">
            <v>-30479.32</v>
          </cell>
          <cell r="T4946">
            <v>0</v>
          </cell>
        </row>
        <row r="4947">
          <cell r="Q4947">
            <v>-56632.54</v>
          </cell>
          <cell r="T4947">
            <v>0</v>
          </cell>
        </row>
        <row r="4948">
          <cell r="Q4948">
            <v>-64204.35</v>
          </cell>
          <cell r="T4948">
            <v>0</v>
          </cell>
        </row>
        <row r="4949">
          <cell r="Q4949">
            <v>-66580.41</v>
          </cell>
          <cell r="T4949">
            <v>0</v>
          </cell>
        </row>
        <row r="4950">
          <cell r="Q4950">
            <v>-36741.839999999997</v>
          </cell>
          <cell r="T4950">
            <v>0</v>
          </cell>
        </row>
        <row r="4951">
          <cell r="Q4951">
            <v>-7395.05</v>
          </cell>
          <cell r="T4951">
            <v>0</v>
          </cell>
        </row>
        <row r="4952">
          <cell r="Q4952">
            <v>-17123.39</v>
          </cell>
          <cell r="T4952">
            <v>0</v>
          </cell>
        </row>
        <row r="4953">
          <cell r="Q4953">
            <v>-6612.07</v>
          </cell>
          <cell r="T4953">
            <v>0</v>
          </cell>
        </row>
        <row r="4954">
          <cell r="Q4954">
            <v>-94190.39</v>
          </cell>
          <cell r="T4954">
            <v>0</v>
          </cell>
        </row>
        <row r="4955">
          <cell r="Q4955">
            <v>-26245</v>
          </cell>
          <cell r="T4955">
            <v>0</v>
          </cell>
        </row>
        <row r="4956">
          <cell r="Q4956">
            <v>-44755.95</v>
          </cell>
          <cell r="T4956">
            <v>0</v>
          </cell>
        </row>
        <row r="4957">
          <cell r="Q4957">
            <v>-7395.05</v>
          </cell>
          <cell r="T4957">
            <v>0</v>
          </cell>
        </row>
        <row r="4958">
          <cell r="Q4958">
            <v>-7699.4</v>
          </cell>
          <cell r="T4958">
            <v>0</v>
          </cell>
        </row>
        <row r="4959">
          <cell r="Q4959">
            <v>-120084.99</v>
          </cell>
          <cell r="T4959">
            <v>0</v>
          </cell>
        </row>
        <row r="4960">
          <cell r="Q4960">
            <v>-12940.62</v>
          </cell>
          <cell r="T4960">
            <v>0</v>
          </cell>
        </row>
        <row r="4961">
          <cell r="Q4961">
            <v>-21003.24</v>
          </cell>
          <cell r="T4961">
            <v>0</v>
          </cell>
        </row>
        <row r="4962">
          <cell r="Q4962">
            <v>-68427.990000000005</v>
          </cell>
          <cell r="T4962">
            <v>0</v>
          </cell>
        </row>
        <row r="4963">
          <cell r="Q4963">
            <v>-5584.55</v>
          </cell>
          <cell r="T4963">
            <v>0</v>
          </cell>
        </row>
        <row r="4964">
          <cell r="Q4964">
            <v>-9595.31</v>
          </cell>
          <cell r="T4964">
            <v>0</v>
          </cell>
        </row>
        <row r="4965">
          <cell r="Q4965">
            <v>-14819.63</v>
          </cell>
          <cell r="T4965">
            <v>0</v>
          </cell>
        </row>
        <row r="4966">
          <cell r="Q4966">
            <v>-345465.61</v>
          </cell>
          <cell r="T4966">
            <v>0</v>
          </cell>
        </row>
        <row r="4967">
          <cell r="Q4967">
            <v>-55077.19</v>
          </cell>
          <cell r="T4967">
            <v>0</v>
          </cell>
        </row>
        <row r="4968">
          <cell r="Q4968">
            <v>-13578.03</v>
          </cell>
          <cell r="T4968">
            <v>0</v>
          </cell>
        </row>
        <row r="4969">
          <cell r="Q4969">
            <v>-6772.19</v>
          </cell>
          <cell r="T4969">
            <v>0</v>
          </cell>
        </row>
        <row r="4970">
          <cell r="Q4970">
            <v>-172131.24</v>
          </cell>
          <cell r="T4970">
            <v>0</v>
          </cell>
        </row>
        <row r="4971">
          <cell r="Q4971">
            <v>-41281.800000000003</v>
          </cell>
          <cell r="T4971">
            <v>0</v>
          </cell>
        </row>
        <row r="4972">
          <cell r="Q4972">
            <v>-41108.120000000003</v>
          </cell>
          <cell r="T4972">
            <v>0</v>
          </cell>
        </row>
        <row r="4973">
          <cell r="Q4973">
            <v>-115327.75</v>
          </cell>
          <cell r="T4973">
            <v>0</v>
          </cell>
        </row>
        <row r="4974">
          <cell r="Q4974">
            <v>-5965.11</v>
          </cell>
          <cell r="T4974">
            <v>0</v>
          </cell>
        </row>
        <row r="4975">
          <cell r="Q4975">
            <v>-198504.09</v>
          </cell>
          <cell r="T4975">
            <v>0</v>
          </cell>
        </row>
        <row r="4976">
          <cell r="Q4976">
            <v>-3600</v>
          </cell>
          <cell r="T4976">
            <v>0</v>
          </cell>
        </row>
        <row r="4977">
          <cell r="Q4977">
            <v>-51700</v>
          </cell>
          <cell r="T4977">
            <v>0</v>
          </cell>
        </row>
        <row r="4978">
          <cell r="Q4978">
            <v>-25094.39</v>
          </cell>
          <cell r="T4978">
            <v>0</v>
          </cell>
        </row>
        <row r="4979">
          <cell r="Q4979">
            <v>-95790</v>
          </cell>
          <cell r="T4979">
            <v>0</v>
          </cell>
        </row>
        <row r="4980">
          <cell r="Q4980">
            <v>-18800</v>
          </cell>
          <cell r="T4980">
            <v>0</v>
          </cell>
        </row>
        <row r="4981">
          <cell r="Q4981">
            <v>-26250</v>
          </cell>
          <cell r="T4981">
            <v>0</v>
          </cell>
        </row>
        <row r="4982">
          <cell r="Q4982">
            <v>-5748</v>
          </cell>
          <cell r="T4982">
            <v>0</v>
          </cell>
        </row>
        <row r="4983">
          <cell r="Q4983">
            <v>-2750</v>
          </cell>
          <cell r="T4983">
            <v>0</v>
          </cell>
        </row>
        <row r="4984">
          <cell r="Q4984">
            <v>-3300</v>
          </cell>
          <cell r="T4984">
            <v>0</v>
          </cell>
        </row>
        <row r="4985">
          <cell r="Q4985">
            <v>-750</v>
          </cell>
          <cell r="T4985">
            <v>0</v>
          </cell>
        </row>
        <row r="4986">
          <cell r="Q4986">
            <v>-2800</v>
          </cell>
          <cell r="T4986">
            <v>0</v>
          </cell>
        </row>
        <row r="4987">
          <cell r="Q4987">
            <v>-3000</v>
          </cell>
          <cell r="T4987">
            <v>0</v>
          </cell>
        </row>
        <row r="4988">
          <cell r="Q4988">
            <v>-550</v>
          </cell>
          <cell r="T4988">
            <v>0</v>
          </cell>
        </row>
        <row r="4989">
          <cell r="Q4989">
            <v>-11440.13</v>
          </cell>
          <cell r="T4989">
            <v>0</v>
          </cell>
        </row>
        <row r="4990">
          <cell r="Q4990">
            <v>-11415.59</v>
          </cell>
          <cell r="T4990">
            <v>0</v>
          </cell>
        </row>
        <row r="4991">
          <cell r="Q4991">
            <v>-7138.57</v>
          </cell>
          <cell r="T4991">
            <v>0</v>
          </cell>
        </row>
        <row r="4992">
          <cell r="Q4992">
            <v>-7383.58</v>
          </cell>
          <cell r="T4992">
            <v>0</v>
          </cell>
        </row>
        <row r="4993">
          <cell r="Q4993">
            <v>-5148.0600000000004</v>
          </cell>
          <cell r="T4993">
            <v>0</v>
          </cell>
        </row>
        <row r="4994">
          <cell r="Q4994">
            <v>-7054.75</v>
          </cell>
          <cell r="T4994">
            <v>0</v>
          </cell>
        </row>
        <row r="4995">
          <cell r="Q4995">
            <v>-104998.25</v>
          </cell>
          <cell r="T4995">
            <v>0</v>
          </cell>
        </row>
        <row r="4996">
          <cell r="Q4996">
            <v>-279823.25</v>
          </cell>
          <cell r="T4996">
            <v>0</v>
          </cell>
        </row>
        <row r="4997">
          <cell r="Q4997">
            <v>-1630.49</v>
          </cell>
          <cell r="T4997">
            <v>0</v>
          </cell>
        </row>
        <row r="4998">
          <cell r="Q4998">
            <v>-7994.05</v>
          </cell>
          <cell r="T4998">
            <v>0</v>
          </cell>
        </row>
        <row r="4999">
          <cell r="Q4999">
            <v>-7337.05</v>
          </cell>
          <cell r="T4999">
            <v>0</v>
          </cell>
        </row>
        <row r="5000">
          <cell r="Q5000">
            <v>-200202.23999999999</v>
          </cell>
          <cell r="T5000">
            <v>0</v>
          </cell>
        </row>
        <row r="5001">
          <cell r="Q5001">
            <v>-11342.98</v>
          </cell>
          <cell r="T5001">
            <v>0</v>
          </cell>
        </row>
        <row r="5002">
          <cell r="Q5002">
            <v>-9906.32</v>
          </cell>
          <cell r="T5002">
            <v>0</v>
          </cell>
        </row>
        <row r="5003">
          <cell r="Q5003">
            <v>-22790.27</v>
          </cell>
          <cell r="T5003">
            <v>0</v>
          </cell>
        </row>
        <row r="5004">
          <cell r="Q5004">
            <v>-271174.01</v>
          </cell>
          <cell r="T5004">
            <v>0</v>
          </cell>
        </row>
        <row r="5005">
          <cell r="Q5005">
            <v>-12768.46</v>
          </cell>
          <cell r="T5005">
            <v>0</v>
          </cell>
        </row>
        <row r="5006">
          <cell r="Q5006">
            <v>-13952.48</v>
          </cell>
          <cell r="T5006">
            <v>0</v>
          </cell>
        </row>
        <row r="5007">
          <cell r="Q5007">
            <v>-5298.54</v>
          </cell>
          <cell r="T5007">
            <v>0</v>
          </cell>
        </row>
        <row r="5008">
          <cell r="Q5008">
            <v>-23956.639999999999</v>
          </cell>
          <cell r="T5008">
            <v>0</v>
          </cell>
        </row>
        <row r="5009">
          <cell r="Q5009">
            <v>-8242.83</v>
          </cell>
          <cell r="T5009">
            <v>0</v>
          </cell>
        </row>
        <row r="5010">
          <cell r="Q5010">
            <v>-215702.28</v>
          </cell>
          <cell r="T5010">
            <v>0</v>
          </cell>
        </row>
        <row r="5011">
          <cell r="Q5011">
            <v>-4971.43</v>
          </cell>
          <cell r="T5011">
            <v>0</v>
          </cell>
        </row>
        <row r="5012">
          <cell r="Q5012">
            <v>-6643.19</v>
          </cell>
          <cell r="T5012">
            <v>0</v>
          </cell>
        </row>
        <row r="5013">
          <cell r="Q5013">
            <v>-316696.8</v>
          </cell>
          <cell r="T5013">
            <v>0</v>
          </cell>
        </row>
        <row r="5014">
          <cell r="Q5014">
            <v>-380120.55</v>
          </cell>
          <cell r="T5014">
            <v>0</v>
          </cell>
        </row>
        <row r="5015">
          <cell r="Q5015">
            <v>-70828.259999999995</v>
          </cell>
          <cell r="T5015">
            <v>0</v>
          </cell>
        </row>
        <row r="5016">
          <cell r="Q5016">
            <v>-99054.23</v>
          </cell>
          <cell r="T5016">
            <v>0</v>
          </cell>
        </row>
        <row r="5017">
          <cell r="Q5017">
            <v>-9432.7900000000009</v>
          </cell>
          <cell r="T5017">
            <v>0</v>
          </cell>
        </row>
        <row r="5018">
          <cell r="Q5018">
            <v>-13678.92</v>
          </cell>
          <cell r="T5018">
            <v>0</v>
          </cell>
        </row>
        <row r="5019">
          <cell r="Q5019">
            <v>-21697.599999999999</v>
          </cell>
          <cell r="T5019">
            <v>0</v>
          </cell>
        </row>
        <row r="5020">
          <cell r="Q5020">
            <v>-104242.74</v>
          </cell>
          <cell r="T5020">
            <v>0</v>
          </cell>
        </row>
        <row r="5021">
          <cell r="Q5021">
            <v>-4839.51</v>
          </cell>
          <cell r="T5021">
            <v>0</v>
          </cell>
        </row>
        <row r="5022">
          <cell r="Q5022">
            <v>-228377.88</v>
          </cell>
          <cell r="T5022">
            <v>0</v>
          </cell>
        </row>
        <row r="5023">
          <cell r="Q5023">
            <v>-163061.82</v>
          </cell>
          <cell r="T5023">
            <v>0</v>
          </cell>
        </row>
        <row r="5024">
          <cell r="Q5024">
            <v>-65684.06</v>
          </cell>
          <cell r="T5024">
            <v>0</v>
          </cell>
        </row>
        <row r="5025">
          <cell r="Q5025">
            <v>-47165.440000000002</v>
          </cell>
          <cell r="T5025">
            <v>0</v>
          </cell>
        </row>
        <row r="5026">
          <cell r="Q5026">
            <v>-101936.03</v>
          </cell>
          <cell r="T5026">
            <v>0</v>
          </cell>
        </row>
        <row r="5027">
          <cell r="Q5027">
            <v>-42677.440000000002</v>
          </cell>
          <cell r="T5027">
            <v>0</v>
          </cell>
        </row>
        <row r="5028">
          <cell r="Q5028">
            <v>-17943.919999999998</v>
          </cell>
          <cell r="T5028">
            <v>0</v>
          </cell>
        </row>
        <row r="5029">
          <cell r="Q5029">
            <v>-31211.61</v>
          </cell>
          <cell r="T5029">
            <v>0</v>
          </cell>
        </row>
        <row r="5030">
          <cell r="Q5030">
            <v>-11611.32</v>
          </cell>
          <cell r="T5030">
            <v>0</v>
          </cell>
        </row>
        <row r="5031">
          <cell r="Q5031">
            <v>-15620.19</v>
          </cell>
          <cell r="T5031">
            <v>0</v>
          </cell>
        </row>
        <row r="5032">
          <cell r="Q5032">
            <v>-43244.75</v>
          </cell>
          <cell r="T5032">
            <v>0</v>
          </cell>
        </row>
        <row r="5033">
          <cell r="Q5033">
            <v>-7439.96</v>
          </cell>
          <cell r="T5033">
            <v>0</v>
          </cell>
        </row>
        <row r="5034">
          <cell r="Q5034">
            <v>-7672.46</v>
          </cell>
          <cell r="T5034">
            <v>0</v>
          </cell>
        </row>
        <row r="5035">
          <cell r="Q5035">
            <v>-129734.26</v>
          </cell>
          <cell r="T5035">
            <v>0</v>
          </cell>
        </row>
        <row r="5036">
          <cell r="Q5036">
            <v>-137137.01999999999</v>
          </cell>
          <cell r="T5036">
            <v>0</v>
          </cell>
        </row>
        <row r="5037">
          <cell r="Q5037">
            <v>-3500</v>
          </cell>
          <cell r="T5037">
            <v>0</v>
          </cell>
        </row>
        <row r="5038">
          <cell r="Q5038">
            <v>-4350</v>
          </cell>
          <cell r="T5038">
            <v>0</v>
          </cell>
        </row>
        <row r="5039">
          <cell r="Q5039">
            <v>-5823.45</v>
          </cell>
          <cell r="T5039">
            <v>0</v>
          </cell>
        </row>
        <row r="5040">
          <cell r="Q5040">
            <v>-27661.38</v>
          </cell>
          <cell r="T5040">
            <v>0</v>
          </cell>
        </row>
        <row r="5041">
          <cell r="Q5041">
            <v>-6211.68</v>
          </cell>
          <cell r="T5041">
            <v>0</v>
          </cell>
        </row>
        <row r="5042">
          <cell r="Q5042">
            <v>-6794.03</v>
          </cell>
          <cell r="T5042">
            <v>0</v>
          </cell>
        </row>
        <row r="5043">
          <cell r="Q5043">
            <v>-114932.55</v>
          </cell>
          <cell r="T5043">
            <v>0</v>
          </cell>
        </row>
        <row r="5044">
          <cell r="Q5044">
            <v>-18592.03</v>
          </cell>
          <cell r="T5044">
            <v>0</v>
          </cell>
        </row>
        <row r="5045">
          <cell r="Q5045">
            <v>-6259.55</v>
          </cell>
          <cell r="T5045">
            <v>0</v>
          </cell>
        </row>
        <row r="5046">
          <cell r="Q5046">
            <v>-5778.05</v>
          </cell>
          <cell r="T5046">
            <v>0</v>
          </cell>
        </row>
        <row r="5047">
          <cell r="Q5047">
            <v>-6334.59</v>
          </cell>
          <cell r="T5047">
            <v>0</v>
          </cell>
        </row>
        <row r="5048">
          <cell r="Q5048">
            <v>-17067.810000000001</v>
          </cell>
          <cell r="T5048">
            <v>0</v>
          </cell>
        </row>
        <row r="5049">
          <cell r="Q5049">
            <v>-15341.85</v>
          </cell>
          <cell r="T5049">
            <v>0</v>
          </cell>
        </row>
        <row r="5050">
          <cell r="Q5050">
            <v>-41854.51</v>
          </cell>
          <cell r="T5050">
            <v>0</v>
          </cell>
        </row>
        <row r="5051">
          <cell r="Q5051">
            <v>-16971.93</v>
          </cell>
          <cell r="T5051">
            <v>0</v>
          </cell>
        </row>
        <row r="5052">
          <cell r="Q5052">
            <v>-43148.97</v>
          </cell>
          <cell r="T5052">
            <v>0</v>
          </cell>
        </row>
        <row r="5053">
          <cell r="Q5053">
            <v>-14836.41</v>
          </cell>
          <cell r="T5053">
            <v>0</v>
          </cell>
        </row>
        <row r="5054">
          <cell r="Q5054">
            <v>-33560.31</v>
          </cell>
          <cell r="T5054">
            <v>0</v>
          </cell>
        </row>
        <row r="5055">
          <cell r="Q5055">
            <v>-425005.4</v>
          </cell>
          <cell r="T5055">
            <v>0</v>
          </cell>
        </row>
        <row r="5056">
          <cell r="Q5056">
            <v>-11780</v>
          </cell>
          <cell r="T5056">
            <v>0</v>
          </cell>
        </row>
        <row r="5057">
          <cell r="Q5057">
            <v>-4785.6400000000003</v>
          </cell>
          <cell r="T5057">
            <v>0</v>
          </cell>
        </row>
        <row r="5058">
          <cell r="Q5058">
            <v>-496143.42</v>
          </cell>
          <cell r="T5058">
            <v>0</v>
          </cell>
        </row>
        <row r="5059">
          <cell r="Q5059">
            <v>-19074.8</v>
          </cell>
          <cell r="T5059">
            <v>0</v>
          </cell>
        </row>
        <row r="5060">
          <cell r="Q5060">
            <v>-15053.02</v>
          </cell>
          <cell r="T5060">
            <v>0</v>
          </cell>
        </row>
        <row r="5061">
          <cell r="Q5061">
            <v>-60186.78</v>
          </cell>
          <cell r="T5061">
            <v>0</v>
          </cell>
        </row>
        <row r="5062">
          <cell r="Q5062">
            <v>-23637.02</v>
          </cell>
          <cell r="T5062">
            <v>0</v>
          </cell>
        </row>
        <row r="5063">
          <cell r="Q5063">
            <v>-14780.01</v>
          </cell>
          <cell r="T5063">
            <v>0</v>
          </cell>
        </row>
        <row r="5064">
          <cell r="Q5064">
            <v>-5006.13</v>
          </cell>
          <cell r="T5064">
            <v>0</v>
          </cell>
        </row>
        <row r="5065">
          <cell r="Q5065">
            <v>-1350</v>
          </cell>
          <cell r="T5065">
            <v>0</v>
          </cell>
        </row>
        <row r="5066">
          <cell r="Q5066">
            <v>-3250</v>
          </cell>
          <cell r="T5066">
            <v>0</v>
          </cell>
        </row>
        <row r="5067">
          <cell r="Q5067">
            <v>-4500</v>
          </cell>
          <cell r="T5067">
            <v>0</v>
          </cell>
        </row>
        <row r="5068">
          <cell r="Q5068">
            <v>-3250</v>
          </cell>
          <cell r="T5068">
            <v>0</v>
          </cell>
        </row>
        <row r="5069">
          <cell r="Q5069">
            <v>-1000</v>
          </cell>
          <cell r="T5069">
            <v>0</v>
          </cell>
        </row>
        <row r="5070">
          <cell r="Q5070">
            <v>-2500</v>
          </cell>
          <cell r="T5070">
            <v>0</v>
          </cell>
        </row>
        <row r="5071">
          <cell r="Q5071">
            <v>-2700</v>
          </cell>
          <cell r="T5071">
            <v>0</v>
          </cell>
        </row>
        <row r="5072">
          <cell r="Q5072">
            <v>-4000</v>
          </cell>
          <cell r="T5072">
            <v>0</v>
          </cell>
        </row>
        <row r="5073">
          <cell r="Q5073">
            <v>-2700</v>
          </cell>
          <cell r="T5073">
            <v>0</v>
          </cell>
        </row>
        <row r="5074">
          <cell r="Q5074">
            <v>-500</v>
          </cell>
          <cell r="T5074">
            <v>0</v>
          </cell>
        </row>
        <row r="5075">
          <cell r="Q5075">
            <v>-2400</v>
          </cell>
          <cell r="T5075">
            <v>0</v>
          </cell>
        </row>
        <row r="5076">
          <cell r="Q5076">
            <v>-18884.05</v>
          </cell>
          <cell r="T5076">
            <v>0</v>
          </cell>
        </row>
        <row r="5077">
          <cell r="Q5077">
            <v>-7840.41</v>
          </cell>
          <cell r="T5077">
            <v>0</v>
          </cell>
        </row>
        <row r="5078">
          <cell r="Q5078">
            <v>-11714.42</v>
          </cell>
          <cell r="T5078">
            <v>0</v>
          </cell>
        </row>
        <row r="5079">
          <cell r="Q5079">
            <v>-9714.4500000000007</v>
          </cell>
          <cell r="T5079">
            <v>0</v>
          </cell>
        </row>
        <row r="5080">
          <cell r="Q5080">
            <v>-10443.040000000001</v>
          </cell>
          <cell r="T5080">
            <v>0</v>
          </cell>
        </row>
        <row r="5081">
          <cell r="Q5081">
            <v>-90344.41</v>
          </cell>
          <cell r="T5081">
            <v>0</v>
          </cell>
        </row>
        <row r="5082">
          <cell r="Q5082">
            <v>-14571.68</v>
          </cell>
          <cell r="T5082">
            <v>0</v>
          </cell>
        </row>
        <row r="5083">
          <cell r="Q5083">
            <v>-23314.69</v>
          </cell>
          <cell r="T5083">
            <v>0</v>
          </cell>
        </row>
        <row r="5084">
          <cell r="Q5084">
            <v>-654551.96</v>
          </cell>
          <cell r="T5084">
            <v>0</v>
          </cell>
        </row>
        <row r="5085">
          <cell r="Q5085">
            <v>-465003.63</v>
          </cell>
          <cell r="T5085">
            <v>0</v>
          </cell>
        </row>
        <row r="5086">
          <cell r="Q5086">
            <v>-29822.29</v>
          </cell>
          <cell r="T5086">
            <v>0</v>
          </cell>
        </row>
        <row r="5087">
          <cell r="Q5087">
            <v>-10663.68</v>
          </cell>
          <cell r="T5087">
            <v>0</v>
          </cell>
        </row>
        <row r="5088">
          <cell r="Q5088">
            <v>-34543.17</v>
          </cell>
          <cell r="T5088">
            <v>0</v>
          </cell>
        </row>
        <row r="5089">
          <cell r="Q5089">
            <v>-12305.38</v>
          </cell>
          <cell r="T5089">
            <v>0</v>
          </cell>
        </row>
        <row r="5090">
          <cell r="Q5090">
            <v>-4853.58</v>
          </cell>
          <cell r="T5090">
            <v>0</v>
          </cell>
        </row>
        <row r="5091">
          <cell r="Q5091">
            <v>-33016.400000000001</v>
          </cell>
          <cell r="T5091">
            <v>0</v>
          </cell>
        </row>
        <row r="5092">
          <cell r="Q5092">
            <v>-4371.88</v>
          </cell>
          <cell r="T5092">
            <v>0</v>
          </cell>
        </row>
        <row r="5093">
          <cell r="Q5093">
            <v>-5069.49</v>
          </cell>
          <cell r="T5093">
            <v>0</v>
          </cell>
        </row>
        <row r="5094">
          <cell r="Q5094">
            <v>-4093.83</v>
          </cell>
          <cell r="T5094">
            <v>0</v>
          </cell>
        </row>
        <row r="5095">
          <cell r="Q5095">
            <v>-6627.04</v>
          </cell>
          <cell r="T5095">
            <v>0</v>
          </cell>
        </row>
        <row r="5096">
          <cell r="Q5096">
            <v>-3188.78</v>
          </cell>
          <cell r="T5096">
            <v>0</v>
          </cell>
        </row>
        <row r="5097">
          <cell r="Q5097">
            <v>-6165</v>
          </cell>
          <cell r="T5097">
            <v>0</v>
          </cell>
        </row>
        <row r="5098">
          <cell r="Q5098">
            <v>-18279.650000000001</v>
          </cell>
          <cell r="T5098">
            <v>0</v>
          </cell>
        </row>
        <row r="5099">
          <cell r="Q5099">
            <v>-4975</v>
          </cell>
          <cell r="T5099">
            <v>0</v>
          </cell>
        </row>
        <row r="5100">
          <cell r="Q5100">
            <v>-21132.76</v>
          </cell>
          <cell r="T5100">
            <v>0</v>
          </cell>
        </row>
        <row r="5101">
          <cell r="Q5101">
            <v>-15636.52</v>
          </cell>
          <cell r="T5101">
            <v>0</v>
          </cell>
        </row>
        <row r="5102">
          <cell r="Q5102">
            <v>-6282</v>
          </cell>
          <cell r="T5102">
            <v>0</v>
          </cell>
        </row>
        <row r="5103">
          <cell r="Q5103">
            <v>-9741</v>
          </cell>
          <cell r="T5103">
            <v>0</v>
          </cell>
        </row>
        <row r="5104">
          <cell r="Q5104">
            <v>-120916.22</v>
          </cell>
          <cell r="T5104">
            <v>0</v>
          </cell>
        </row>
        <row r="5105">
          <cell r="Q5105">
            <v>-114533.97</v>
          </cell>
          <cell r="T5105">
            <v>0</v>
          </cell>
        </row>
        <row r="5106">
          <cell r="Q5106">
            <v>-121450.69</v>
          </cell>
          <cell r="T5106">
            <v>0</v>
          </cell>
        </row>
        <row r="5107">
          <cell r="Q5107">
            <v>-7634.85</v>
          </cell>
          <cell r="T5107">
            <v>0</v>
          </cell>
        </row>
        <row r="5108">
          <cell r="Q5108">
            <v>-6656.39</v>
          </cell>
          <cell r="T5108">
            <v>0</v>
          </cell>
        </row>
        <row r="5109">
          <cell r="Q5109">
            <v>-19314.45</v>
          </cell>
          <cell r="T5109">
            <v>0</v>
          </cell>
        </row>
        <row r="5110">
          <cell r="Q5110">
            <v>-48663.48</v>
          </cell>
          <cell r="T5110">
            <v>0</v>
          </cell>
        </row>
        <row r="5111">
          <cell r="Q5111">
            <v>-1378</v>
          </cell>
          <cell r="T5111">
            <v>0</v>
          </cell>
        </row>
        <row r="5112">
          <cell r="Q5112">
            <v>-76175.850000000006</v>
          </cell>
          <cell r="T5112">
            <v>0</v>
          </cell>
        </row>
        <row r="5113">
          <cell r="Q5113">
            <v>-4340</v>
          </cell>
          <cell r="T5113">
            <v>0</v>
          </cell>
        </row>
        <row r="5114">
          <cell r="Q5114">
            <v>-21823.71</v>
          </cell>
          <cell r="T5114">
            <v>0</v>
          </cell>
        </row>
        <row r="5115">
          <cell r="Q5115">
            <v>-21823.71</v>
          </cell>
          <cell r="T5115">
            <v>0</v>
          </cell>
        </row>
        <row r="5116">
          <cell r="Q5116">
            <v>-36667.64</v>
          </cell>
          <cell r="T5116">
            <v>0</v>
          </cell>
        </row>
        <row r="5117">
          <cell r="Q5117">
            <v>-2760</v>
          </cell>
          <cell r="T5117">
            <v>0</v>
          </cell>
        </row>
        <row r="5118">
          <cell r="Q5118">
            <v>-5400</v>
          </cell>
          <cell r="T5118">
            <v>0</v>
          </cell>
        </row>
        <row r="5119">
          <cell r="Q5119">
            <v>-5400</v>
          </cell>
          <cell r="T5119">
            <v>0</v>
          </cell>
        </row>
        <row r="5120">
          <cell r="Q5120">
            <v>-3100</v>
          </cell>
          <cell r="T5120">
            <v>0</v>
          </cell>
        </row>
        <row r="5121">
          <cell r="Q5121">
            <v>-4490</v>
          </cell>
          <cell r="T5121">
            <v>0</v>
          </cell>
        </row>
        <row r="5122">
          <cell r="Q5122">
            <v>-3100</v>
          </cell>
          <cell r="T5122">
            <v>0</v>
          </cell>
        </row>
        <row r="5123">
          <cell r="Q5123">
            <v>-3699</v>
          </cell>
          <cell r="T5123">
            <v>0</v>
          </cell>
        </row>
        <row r="5124">
          <cell r="Q5124">
            <v>-18300.28</v>
          </cell>
          <cell r="T5124">
            <v>0</v>
          </cell>
        </row>
        <row r="5125">
          <cell r="Q5125">
            <v>-85561.41</v>
          </cell>
          <cell r="T5125">
            <v>0</v>
          </cell>
        </row>
        <row r="5126">
          <cell r="Q5126">
            <v>-93216.61</v>
          </cell>
          <cell r="T5126">
            <v>0</v>
          </cell>
        </row>
        <row r="5127">
          <cell r="Q5127">
            <v>-14657.36</v>
          </cell>
          <cell r="T5127">
            <v>0</v>
          </cell>
        </row>
        <row r="5128">
          <cell r="Q5128">
            <v>-25588.880000000001</v>
          </cell>
          <cell r="T5128">
            <v>0</v>
          </cell>
        </row>
        <row r="5129">
          <cell r="Q5129">
            <v>-9741.51</v>
          </cell>
          <cell r="T5129">
            <v>0</v>
          </cell>
        </row>
        <row r="5130">
          <cell r="Q5130">
            <v>-24767.22</v>
          </cell>
          <cell r="T5130">
            <v>0</v>
          </cell>
        </row>
        <row r="5131">
          <cell r="Q5131">
            <v>-14848.88</v>
          </cell>
          <cell r="T5131">
            <v>0</v>
          </cell>
        </row>
        <row r="5132">
          <cell r="Q5132">
            <v>-1100</v>
          </cell>
          <cell r="T5132">
            <v>0</v>
          </cell>
        </row>
        <row r="5133">
          <cell r="Q5133">
            <v>-5182.1899999999996</v>
          </cell>
          <cell r="T5133">
            <v>0</v>
          </cell>
        </row>
        <row r="5134">
          <cell r="Q5134">
            <v>-1100</v>
          </cell>
          <cell r="T5134">
            <v>0</v>
          </cell>
        </row>
        <row r="5135">
          <cell r="Q5135">
            <v>-5277.93</v>
          </cell>
          <cell r="T5135">
            <v>0</v>
          </cell>
        </row>
        <row r="5136">
          <cell r="Q5136">
            <v>-5722.88</v>
          </cell>
          <cell r="T5136">
            <v>0</v>
          </cell>
        </row>
        <row r="5137">
          <cell r="Q5137">
            <v>-5600</v>
          </cell>
          <cell r="T5137">
            <v>0</v>
          </cell>
        </row>
        <row r="5138">
          <cell r="Q5138">
            <v>-30526.67</v>
          </cell>
          <cell r="T5138">
            <v>0</v>
          </cell>
        </row>
        <row r="5139">
          <cell r="Q5139">
            <v>-1500</v>
          </cell>
          <cell r="T5139">
            <v>0</v>
          </cell>
        </row>
        <row r="5140">
          <cell r="Q5140">
            <v>-23446.74</v>
          </cell>
          <cell r="T5140">
            <v>0</v>
          </cell>
        </row>
        <row r="5141">
          <cell r="Q5141">
            <v>-1395</v>
          </cell>
          <cell r="T5141">
            <v>0</v>
          </cell>
        </row>
        <row r="5142">
          <cell r="Q5142">
            <v>-9229.19</v>
          </cell>
          <cell r="T5142">
            <v>0</v>
          </cell>
        </row>
        <row r="5143">
          <cell r="Q5143">
            <v>-1125</v>
          </cell>
          <cell r="T5143">
            <v>0</v>
          </cell>
        </row>
        <row r="5144">
          <cell r="Q5144">
            <v>-1100</v>
          </cell>
          <cell r="T5144">
            <v>0</v>
          </cell>
        </row>
        <row r="5145">
          <cell r="Q5145">
            <v>-3216.19</v>
          </cell>
          <cell r="T5145">
            <v>0</v>
          </cell>
        </row>
        <row r="5146">
          <cell r="Q5146">
            <v>-4615</v>
          </cell>
          <cell r="T5146">
            <v>0</v>
          </cell>
        </row>
        <row r="5147">
          <cell r="Q5147">
            <v>-11081.09</v>
          </cell>
          <cell r="T5147">
            <v>0</v>
          </cell>
        </row>
        <row r="5148">
          <cell r="Q5148">
            <v>-1000</v>
          </cell>
          <cell r="T5148">
            <v>0</v>
          </cell>
        </row>
        <row r="5149">
          <cell r="Q5149">
            <v>-1000</v>
          </cell>
          <cell r="T5149">
            <v>0</v>
          </cell>
        </row>
        <row r="5150">
          <cell r="Q5150">
            <v>-2300</v>
          </cell>
          <cell r="T5150">
            <v>0</v>
          </cell>
        </row>
        <row r="5151">
          <cell r="Q5151">
            <v>-1000.18</v>
          </cell>
          <cell r="T5151">
            <v>0</v>
          </cell>
        </row>
        <row r="5152">
          <cell r="Q5152">
            <v>-1660</v>
          </cell>
          <cell r="T5152">
            <v>0</v>
          </cell>
        </row>
        <row r="5153">
          <cell r="Q5153">
            <v>-7727.53</v>
          </cell>
          <cell r="T5153">
            <v>0</v>
          </cell>
        </row>
        <row r="5154">
          <cell r="Q5154">
            <v>-1150</v>
          </cell>
          <cell r="T5154">
            <v>0</v>
          </cell>
        </row>
        <row r="5155">
          <cell r="Q5155">
            <v>-4870.7299999999996</v>
          </cell>
          <cell r="T5155">
            <v>0</v>
          </cell>
        </row>
        <row r="5156">
          <cell r="Q5156">
            <v>-1650</v>
          </cell>
          <cell r="T5156">
            <v>0</v>
          </cell>
        </row>
        <row r="5157">
          <cell r="Q5157">
            <v>-1560</v>
          </cell>
          <cell r="T5157">
            <v>0</v>
          </cell>
        </row>
        <row r="5158">
          <cell r="Q5158">
            <v>-13387.75</v>
          </cell>
          <cell r="T5158">
            <v>0</v>
          </cell>
        </row>
        <row r="5159">
          <cell r="Q5159">
            <v>-6430</v>
          </cell>
          <cell r="T5159">
            <v>0</v>
          </cell>
        </row>
        <row r="5160">
          <cell r="Q5160">
            <v>-1560</v>
          </cell>
          <cell r="T5160">
            <v>0</v>
          </cell>
        </row>
        <row r="5161">
          <cell r="Q5161">
            <v>-12322</v>
          </cell>
          <cell r="T5161">
            <v>0</v>
          </cell>
        </row>
        <row r="5162">
          <cell r="Q5162">
            <v>-3000</v>
          </cell>
          <cell r="T5162">
            <v>0</v>
          </cell>
        </row>
        <row r="5163">
          <cell r="Q5163">
            <v>-23056.799999999999</v>
          </cell>
          <cell r="T5163">
            <v>0</v>
          </cell>
        </row>
        <row r="5164">
          <cell r="Q5164">
            <v>-19000</v>
          </cell>
          <cell r="T5164">
            <v>0</v>
          </cell>
        </row>
        <row r="5165">
          <cell r="Q5165">
            <v>-12625.09</v>
          </cell>
          <cell r="T5165">
            <v>0</v>
          </cell>
        </row>
        <row r="5166">
          <cell r="Q5166">
            <v>-14299.22</v>
          </cell>
          <cell r="T5166">
            <v>0</v>
          </cell>
        </row>
        <row r="5167">
          <cell r="Q5167">
            <v>-11129.85</v>
          </cell>
          <cell r="T5167">
            <v>0</v>
          </cell>
        </row>
        <row r="5168">
          <cell r="Q5168">
            <v>-4192.22</v>
          </cell>
          <cell r="T5168">
            <v>0</v>
          </cell>
        </row>
        <row r="5169">
          <cell r="Q5169">
            <v>-2264.11</v>
          </cell>
          <cell r="T5169">
            <v>0</v>
          </cell>
        </row>
        <row r="5170">
          <cell r="Q5170">
            <v>-32100.09</v>
          </cell>
          <cell r="T5170">
            <v>0</v>
          </cell>
        </row>
        <row r="5171">
          <cell r="Q5171">
            <v>-13827.73</v>
          </cell>
          <cell r="T5171">
            <v>0</v>
          </cell>
        </row>
        <row r="5172">
          <cell r="Q5172">
            <v>-4603.95</v>
          </cell>
          <cell r="T5172">
            <v>0</v>
          </cell>
        </row>
        <row r="5173">
          <cell r="Q5173">
            <v>-37510.730000000003</v>
          </cell>
          <cell r="T5173">
            <v>0</v>
          </cell>
        </row>
        <row r="5174">
          <cell r="Q5174">
            <v>-925.41</v>
          </cell>
          <cell r="T5174">
            <v>0</v>
          </cell>
        </row>
        <row r="5175">
          <cell r="Q5175">
            <v>-13934.35</v>
          </cell>
          <cell r="T5175">
            <v>0</v>
          </cell>
        </row>
        <row r="5176">
          <cell r="Q5176">
            <v>-1183.8800000000001</v>
          </cell>
          <cell r="T5176">
            <v>0</v>
          </cell>
        </row>
        <row r="5177">
          <cell r="Q5177">
            <v>-3241.88</v>
          </cell>
          <cell r="T5177">
            <v>0</v>
          </cell>
        </row>
        <row r="5178">
          <cell r="Q5178">
            <v>-52252.17</v>
          </cell>
          <cell r="T5178">
            <v>0</v>
          </cell>
        </row>
        <row r="5179">
          <cell r="Q5179">
            <v>-21239.93</v>
          </cell>
          <cell r="T5179">
            <v>0</v>
          </cell>
        </row>
        <row r="5180">
          <cell r="Q5180">
            <v>-8622.68</v>
          </cell>
          <cell r="T5180">
            <v>0</v>
          </cell>
        </row>
        <row r="5181">
          <cell r="Q5181">
            <v>-71402.7</v>
          </cell>
          <cell r="T5181">
            <v>0</v>
          </cell>
        </row>
        <row r="5182">
          <cell r="Q5182">
            <v>-1082.17</v>
          </cell>
          <cell r="T5182">
            <v>0</v>
          </cell>
        </row>
        <row r="5183">
          <cell r="Q5183">
            <v>-1082.17</v>
          </cell>
          <cell r="T5183">
            <v>0</v>
          </cell>
        </row>
        <row r="5184">
          <cell r="Q5184">
            <v>-127893.07</v>
          </cell>
          <cell r="T5184">
            <v>0</v>
          </cell>
        </row>
        <row r="5185">
          <cell r="Q5185">
            <v>-9242.2900000000009</v>
          </cell>
          <cell r="T5185">
            <v>0</v>
          </cell>
        </row>
        <row r="5186">
          <cell r="Q5186">
            <v>-10405.44</v>
          </cell>
          <cell r="T5186">
            <v>0</v>
          </cell>
        </row>
        <row r="5187">
          <cell r="Q5187">
            <v>-6007.49</v>
          </cell>
          <cell r="T5187">
            <v>0</v>
          </cell>
        </row>
        <row r="5188">
          <cell r="Q5188">
            <v>-20412.39</v>
          </cell>
          <cell r="T5188">
            <v>0</v>
          </cell>
        </row>
        <row r="5189">
          <cell r="Q5189">
            <v>-65570.34</v>
          </cell>
          <cell r="T5189">
            <v>0</v>
          </cell>
        </row>
        <row r="5190">
          <cell r="Q5190">
            <v>-14574.73</v>
          </cell>
          <cell r="T5190">
            <v>0</v>
          </cell>
        </row>
        <row r="5191">
          <cell r="Q5191">
            <v>-14882.28</v>
          </cell>
          <cell r="T5191">
            <v>0</v>
          </cell>
        </row>
        <row r="5192">
          <cell r="Q5192">
            <v>-10069.84</v>
          </cell>
          <cell r="T5192">
            <v>0</v>
          </cell>
        </row>
        <row r="5193">
          <cell r="Q5193">
            <v>-57166.83</v>
          </cell>
          <cell r="T5193">
            <v>0</v>
          </cell>
        </row>
        <row r="5194">
          <cell r="Q5194">
            <v>-10594.21</v>
          </cell>
          <cell r="T5194">
            <v>0</v>
          </cell>
        </row>
        <row r="5195">
          <cell r="Q5195">
            <v>-20075.560000000001</v>
          </cell>
          <cell r="T5195">
            <v>0</v>
          </cell>
        </row>
        <row r="5196">
          <cell r="Q5196">
            <v>-29761.3</v>
          </cell>
          <cell r="T5196">
            <v>0</v>
          </cell>
        </row>
        <row r="5197">
          <cell r="Q5197">
            <v>-10241.540000000001</v>
          </cell>
          <cell r="T5197">
            <v>0</v>
          </cell>
        </row>
        <row r="5198">
          <cell r="Q5198">
            <v>-3200</v>
          </cell>
          <cell r="T5198">
            <v>0</v>
          </cell>
        </row>
        <row r="5199">
          <cell r="Q5199">
            <v>-3000</v>
          </cell>
          <cell r="T5199">
            <v>0</v>
          </cell>
        </row>
        <row r="5200">
          <cell r="Q5200">
            <v>-2500</v>
          </cell>
          <cell r="T5200">
            <v>0</v>
          </cell>
        </row>
        <row r="5201">
          <cell r="Q5201">
            <v>-7841.18</v>
          </cell>
          <cell r="T5201">
            <v>0</v>
          </cell>
        </row>
        <row r="5202">
          <cell r="Q5202">
            <v>-105783.35</v>
          </cell>
          <cell r="T5202">
            <v>0</v>
          </cell>
        </row>
        <row r="5203">
          <cell r="Q5203">
            <v>-5417.54</v>
          </cell>
          <cell r="T5203">
            <v>0</v>
          </cell>
        </row>
        <row r="5204">
          <cell r="Q5204">
            <v>-53281.35</v>
          </cell>
          <cell r="T5204">
            <v>0</v>
          </cell>
        </row>
        <row r="5205">
          <cell r="Q5205">
            <v>-22406.46</v>
          </cell>
          <cell r="T5205">
            <v>0</v>
          </cell>
        </row>
        <row r="5206">
          <cell r="Q5206">
            <v>-54376.29</v>
          </cell>
          <cell r="T5206">
            <v>0</v>
          </cell>
        </row>
        <row r="5207">
          <cell r="Q5207">
            <v>-117069.55</v>
          </cell>
          <cell r="T5207">
            <v>0</v>
          </cell>
        </row>
        <row r="5208">
          <cell r="Q5208">
            <v>-23601.22</v>
          </cell>
          <cell r="T5208">
            <v>0</v>
          </cell>
        </row>
        <row r="5209">
          <cell r="Q5209">
            <v>-5022.43</v>
          </cell>
          <cell r="T5209">
            <v>0</v>
          </cell>
        </row>
        <row r="5210">
          <cell r="Q5210">
            <v>-607572.82999999996</v>
          </cell>
          <cell r="T5210">
            <v>0</v>
          </cell>
        </row>
        <row r="5211">
          <cell r="Q5211">
            <v>-15878.7</v>
          </cell>
          <cell r="T5211">
            <v>0</v>
          </cell>
        </row>
        <row r="5212">
          <cell r="Q5212">
            <v>-3400</v>
          </cell>
          <cell r="T5212">
            <v>0</v>
          </cell>
        </row>
        <row r="5213">
          <cell r="Q5213">
            <v>-4950</v>
          </cell>
          <cell r="T5213">
            <v>0</v>
          </cell>
        </row>
        <row r="5214">
          <cell r="Q5214">
            <v>-1999.22</v>
          </cell>
          <cell r="T5214">
            <v>0</v>
          </cell>
        </row>
        <row r="5215">
          <cell r="Q5215">
            <v>-33274.97</v>
          </cell>
          <cell r="T5215">
            <v>0</v>
          </cell>
        </row>
        <row r="5216">
          <cell r="Q5216">
            <v>-15158.31</v>
          </cell>
          <cell r="T5216">
            <v>0</v>
          </cell>
        </row>
        <row r="5217">
          <cell r="Q5217">
            <v>-5450.36</v>
          </cell>
          <cell r="T5217">
            <v>0</v>
          </cell>
        </row>
        <row r="5218">
          <cell r="Q5218">
            <v>-12054.21</v>
          </cell>
          <cell r="T5218">
            <v>0</v>
          </cell>
        </row>
        <row r="5219">
          <cell r="Q5219">
            <v>-39014.120000000003</v>
          </cell>
          <cell r="T5219">
            <v>0</v>
          </cell>
        </row>
        <row r="5220">
          <cell r="Q5220">
            <v>-36432.480000000003</v>
          </cell>
          <cell r="T5220">
            <v>0</v>
          </cell>
        </row>
        <row r="5221">
          <cell r="Q5221">
            <v>-81468.429999999993</v>
          </cell>
          <cell r="T5221">
            <v>0</v>
          </cell>
        </row>
        <row r="5222">
          <cell r="Q5222">
            <v>-33274.97</v>
          </cell>
          <cell r="T5222">
            <v>0</v>
          </cell>
        </row>
        <row r="5223">
          <cell r="Q5223">
            <v>-8728.18</v>
          </cell>
          <cell r="T5223">
            <v>0</v>
          </cell>
        </row>
        <row r="5224">
          <cell r="Q5224">
            <v>-18127.75</v>
          </cell>
          <cell r="T5224">
            <v>0</v>
          </cell>
        </row>
        <row r="5225">
          <cell r="Q5225">
            <v>-6434.23</v>
          </cell>
          <cell r="T5225">
            <v>0</v>
          </cell>
        </row>
        <row r="5226">
          <cell r="Q5226">
            <v>-37928.44</v>
          </cell>
          <cell r="T5226">
            <v>0</v>
          </cell>
        </row>
        <row r="5227">
          <cell r="Q5227">
            <v>-46914.92</v>
          </cell>
          <cell r="T5227">
            <v>0</v>
          </cell>
        </row>
        <row r="5228">
          <cell r="Q5228">
            <v>-23555.47</v>
          </cell>
          <cell r="T5228">
            <v>0</v>
          </cell>
        </row>
        <row r="5229">
          <cell r="Q5229">
            <v>-7177.31</v>
          </cell>
          <cell r="T5229">
            <v>0</v>
          </cell>
        </row>
        <row r="5230">
          <cell r="Q5230">
            <v>-23162.89</v>
          </cell>
          <cell r="T5230">
            <v>0</v>
          </cell>
        </row>
        <row r="5231">
          <cell r="Q5231">
            <v>-16306.7</v>
          </cell>
          <cell r="T5231">
            <v>0</v>
          </cell>
        </row>
        <row r="5232">
          <cell r="Q5232">
            <v>-5564.31</v>
          </cell>
          <cell r="T5232">
            <v>0</v>
          </cell>
        </row>
        <row r="5233">
          <cell r="Q5233">
            <v>-24403.79</v>
          </cell>
          <cell r="T5233">
            <v>0</v>
          </cell>
        </row>
        <row r="5234">
          <cell r="Q5234">
            <v>-5400.14</v>
          </cell>
          <cell r="T5234">
            <v>0</v>
          </cell>
        </row>
        <row r="5235">
          <cell r="Q5235">
            <v>-13635.57</v>
          </cell>
          <cell r="T5235">
            <v>0</v>
          </cell>
        </row>
        <row r="5236">
          <cell r="Q5236">
            <v>-1568.4</v>
          </cell>
          <cell r="T5236">
            <v>0</v>
          </cell>
        </row>
        <row r="5237">
          <cell r="Q5237">
            <v>-7395.05</v>
          </cell>
          <cell r="T5237">
            <v>0</v>
          </cell>
        </row>
        <row r="5238">
          <cell r="Q5238">
            <v>-55450.42</v>
          </cell>
          <cell r="T5238">
            <v>0</v>
          </cell>
        </row>
        <row r="5239">
          <cell r="Q5239">
            <v>-1568.4</v>
          </cell>
          <cell r="T5239">
            <v>0</v>
          </cell>
        </row>
        <row r="5240">
          <cell r="Q5240">
            <v>-28106.06</v>
          </cell>
          <cell r="T5240">
            <v>0</v>
          </cell>
        </row>
        <row r="5241">
          <cell r="Q5241">
            <v>-23142.11</v>
          </cell>
          <cell r="T5241">
            <v>0</v>
          </cell>
        </row>
        <row r="5242">
          <cell r="Q5242">
            <v>-66941.7</v>
          </cell>
          <cell r="T5242">
            <v>0</v>
          </cell>
        </row>
        <row r="5243">
          <cell r="Q5243">
            <v>-231358.93</v>
          </cell>
          <cell r="T5243">
            <v>0</v>
          </cell>
        </row>
        <row r="5244">
          <cell r="Q5244">
            <v>-32796.92</v>
          </cell>
          <cell r="T5244">
            <v>0</v>
          </cell>
        </row>
        <row r="5245">
          <cell r="Q5245">
            <v>-93646.42</v>
          </cell>
          <cell r="T5245">
            <v>0</v>
          </cell>
        </row>
        <row r="5246">
          <cell r="Q5246">
            <v>-4565.3599999999997</v>
          </cell>
          <cell r="T5246">
            <v>0</v>
          </cell>
        </row>
        <row r="5247">
          <cell r="Q5247">
            <v>-6391.52</v>
          </cell>
          <cell r="T5247">
            <v>0</v>
          </cell>
        </row>
        <row r="5248">
          <cell r="Q5248">
            <v>-5914.03</v>
          </cell>
          <cell r="T5248">
            <v>0</v>
          </cell>
        </row>
        <row r="5249">
          <cell r="Q5249">
            <v>-7174.81</v>
          </cell>
          <cell r="T5249">
            <v>0</v>
          </cell>
        </row>
        <row r="5250">
          <cell r="Q5250">
            <v>-6493.33</v>
          </cell>
          <cell r="T5250">
            <v>0</v>
          </cell>
        </row>
        <row r="5251">
          <cell r="Q5251">
            <v>-34855.160000000003</v>
          </cell>
          <cell r="T5251">
            <v>0</v>
          </cell>
        </row>
        <row r="5252">
          <cell r="Q5252">
            <v>-63103.040000000001</v>
          </cell>
          <cell r="T5252">
            <v>0</v>
          </cell>
        </row>
        <row r="5253">
          <cell r="Q5253">
            <v>-22638.78</v>
          </cell>
          <cell r="T5253">
            <v>0</v>
          </cell>
        </row>
        <row r="5254">
          <cell r="Q5254">
            <v>-19504.07</v>
          </cell>
          <cell r="T5254">
            <v>0</v>
          </cell>
        </row>
        <row r="5255">
          <cell r="Q5255">
            <v>-7184.24</v>
          </cell>
          <cell r="T5255">
            <v>0</v>
          </cell>
        </row>
        <row r="5256">
          <cell r="Q5256">
            <v>-22108.09</v>
          </cell>
          <cell r="T5256">
            <v>0</v>
          </cell>
        </row>
        <row r="5257">
          <cell r="Q5257">
            <v>-9465.82</v>
          </cell>
          <cell r="T5257">
            <v>0</v>
          </cell>
        </row>
        <row r="5258">
          <cell r="Q5258">
            <v>-55178.720000000001</v>
          </cell>
          <cell r="T5258">
            <v>0</v>
          </cell>
        </row>
        <row r="5259">
          <cell r="Q5259">
            <v>-40936.949999999997</v>
          </cell>
          <cell r="T5259">
            <v>0</v>
          </cell>
        </row>
        <row r="5260">
          <cell r="Q5260">
            <v>-21165.13</v>
          </cell>
          <cell r="T5260">
            <v>0</v>
          </cell>
        </row>
        <row r="5261">
          <cell r="Q5261">
            <v>-7470.28</v>
          </cell>
          <cell r="T5261">
            <v>0</v>
          </cell>
        </row>
        <row r="5262">
          <cell r="Q5262">
            <v>-27136.57</v>
          </cell>
          <cell r="T5262">
            <v>0</v>
          </cell>
        </row>
        <row r="5263">
          <cell r="Q5263">
            <v>-30418.46</v>
          </cell>
          <cell r="T5263">
            <v>0</v>
          </cell>
        </row>
        <row r="5264">
          <cell r="Q5264">
            <v>-29576.94</v>
          </cell>
          <cell r="T5264">
            <v>0</v>
          </cell>
        </row>
        <row r="5265">
          <cell r="Q5265">
            <v>-29576.94</v>
          </cell>
          <cell r="T5265">
            <v>0</v>
          </cell>
        </row>
        <row r="5266">
          <cell r="Q5266">
            <v>-14304.84</v>
          </cell>
          <cell r="T5266">
            <v>0</v>
          </cell>
        </row>
        <row r="5267">
          <cell r="Q5267">
            <v>-5669.6</v>
          </cell>
          <cell r="T5267">
            <v>0</v>
          </cell>
        </row>
        <row r="5268">
          <cell r="Q5268">
            <v>-26116.26</v>
          </cell>
          <cell r="T5268">
            <v>0</v>
          </cell>
        </row>
        <row r="5269">
          <cell r="Q5269">
            <v>-10053.24</v>
          </cell>
          <cell r="T5269">
            <v>0</v>
          </cell>
        </row>
        <row r="5270">
          <cell r="Q5270">
            <v>-10053.24</v>
          </cell>
          <cell r="T5270">
            <v>0</v>
          </cell>
        </row>
        <row r="5271">
          <cell r="Q5271">
            <v>-35814.660000000003</v>
          </cell>
          <cell r="T5271">
            <v>0</v>
          </cell>
        </row>
        <row r="5272">
          <cell r="Q5272">
            <v>-21834.560000000001</v>
          </cell>
          <cell r="T5272">
            <v>0</v>
          </cell>
        </row>
        <row r="5273">
          <cell r="Q5273">
            <v>-8824.0300000000007</v>
          </cell>
          <cell r="T5273">
            <v>0</v>
          </cell>
        </row>
        <row r="5274">
          <cell r="Q5274">
            <v>-33720.81</v>
          </cell>
          <cell r="T5274">
            <v>0</v>
          </cell>
        </row>
        <row r="5275">
          <cell r="Q5275">
            <v>-17938.169999999998</v>
          </cell>
          <cell r="T5275">
            <v>0</v>
          </cell>
        </row>
        <row r="5276">
          <cell r="Q5276">
            <v>-110086.28</v>
          </cell>
          <cell r="T5276">
            <v>0</v>
          </cell>
        </row>
        <row r="5277">
          <cell r="Q5277">
            <v>-117949.59</v>
          </cell>
          <cell r="T5277">
            <v>0</v>
          </cell>
        </row>
        <row r="5278">
          <cell r="Q5278">
            <v>-17938.169999999998</v>
          </cell>
          <cell r="T5278">
            <v>0</v>
          </cell>
        </row>
        <row r="5279">
          <cell r="Q5279">
            <v>-249168.5</v>
          </cell>
          <cell r="T5279">
            <v>0</v>
          </cell>
        </row>
        <row r="5280">
          <cell r="Q5280">
            <v>-9927.42</v>
          </cell>
          <cell r="T5280">
            <v>0</v>
          </cell>
        </row>
        <row r="5281">
          <cell r="Q5281">
            <v>-5406.02</v>
          </cell>
          <cell r="T5281">
            <v>0</v>
          </cell>
        </row>
        <row r="5282">
          <cell r="Q5282">
            <v>-1277.79</v>
          </cell>
          <cell r="T5282">
            <v>0</v>
          </cell>
        </row>
        <row r="5283">
          <cell r="Q5283">
            <v>-6585.52</v>
          </cell>
          <cell r="T5283">
            <v>0</v>
          </cell>
        </row>
        <row r="5284">
          <cell r="Q5284">
            <v>-1326.94</v>
          </cell>
          <cell r="T5284">
            <v>0</v>
          </cell>
        </row>
        <row r="5285">
          <cell r="Q5285">
            <v>-112052.11</v>
          </cell>
          <cell r="T5285">
            <v>0</v>
          </cell>
        </row>
        <row r="5286">
          <cell r="Q5286">
            <v>-10511.28</v>
          </cell>
          <cell r="T5286">
            <v>0</v>
          </cell>
        </row>
        <row r="5287">
          <cell r="Q5287">
            <v>-102317.34</v>
          </cell>
          <cell r="T5287">
            <v>0</v>
          </cell>
        </row>
        <row r="5288">
          <cell r="Q5288">
            <v>-82073.25</v>
          </cell>
          <cell r="T5288">
            <v>0</v>
          </cell>
        </row>
        <row r="5289">
          <cell r="Q5289">
            <v>-39316.53</v>
          </cell>
          <cell r="T5289">
            <v>0</v>
          </cell>
        </row>
        <row r="5290">
          <cell r="Q5290">
            <v>-18449.46</v>
          </cell>
          <cell r="T5290">
            <v>0</v>
          </cell>
        </row>
        <row r="5291">
          <cell r="Q5291">
            <v>-105942.51</v>
          </cell>
          <cell r="T5291">
            <v>0</v>
          </cell>
        </row>
        <row r="5292">
          <cell r="Q5292">
            <v>-688304.91</v>
          </cell>
          <cell r="T5292">
            <v>0</v>
          </cell>
        </row>
        <row r="5293">
          <cell r="Q5293">
            <v>-6869.16</v>
          </cell>
          <cell r="T5293">
            <v>0</v>
          </cell>
        </row>
        <row r="5294">
          <cell r="Q5294">
            <v>-8741.9500000000007</v>
          </cell>
          <cell r="T5294">
            <v>0</v>
          </cell>
        </row>
        <row r="5295">
          <cell r="Q5295">
            <v>-58918.71</v>
          </cell>
          <cell r="T5295">
            <v>0</v>
          </cell>
        </row>
        <row r="5296">
          <cell r="Q5296">
            <v>-902.85</v>
          </cell>
          <cell r="T5296">
            <v>0</v>
          </cell>
        </row>
        <row r="5297">
          <cell r="Q5297">
            <v>-2569.65</v>
          </cell>
          <cell r="T5297">
            <v>0</v>
          </cell>
        </row>
        <row r="5298">
          <cell r="Q5298">
            <v>-7146.43</v>
          </cell>
          <cell r="T5298">
            <v>0</v>
          </cell>
        </row>
        <row r="5299">
          <cell r="Q5299">
            <v>-14306.47</v>
          </cell>
          <cell r="T5299">
            <v>0</v>
          </cell>
        </row>
        <row r="5300">
          <cell r="Q5300">
            <v>-20577.8</v>
          </cell>
          <cell r="T5300">
            <v>0</v>
          </cell>
        </row>
        <row r="5301">
          <cell r="Q5301">
            <v>-7143.15</v>
          </cell>
          <cell r="T5301">
            <v>0</v>
          </cell>
        </row>
        <row r="5302">
          <cell r="Q5302">
            <v>-1125.29</v>
          </cell>
          <cell r="T5302">
            <v>0</v>
          </cell>
        </row>
        <row r="5303">
          <cell r="Q5303">
            <v>-20516.38</v>
          </cell>
          <cell r="T5303">
            <v>0</v>
          </cell>
        </row>
        <row r="5304">
          <cell r="Q5304">
            <v>-7159.57</v>
          </cell>
          <cell r="T5304">
            <v>0</v>
          </cell>
        </row>
        <row r="5305">
          <cell r="Q5305">
            <v>-3921.26</v>
          </cell>
          <cell r="T5305">
            <v>0</v>
          </cell>
        </row>
        <row r="5306">
          <cell r="Q5306">
            <v>-184635.54</v>
          </cell>
          <cell r="T5306">
            <v>0</v>
          </cell>
        </row>
        <row r="5307">
          <cell r="Q5307">
            <v>-22699.03</v>
          </cell>
          <cell r="T5307">
            <v>0</v>
          </cell>
        </row>
        <row r="5308">
          <cell r="Q5308">
            <v>-20938.96</v>
          </cell>
          <cell r="T5308">
            <v>0</v>
          </cell>
        </row>
        <row r="5309">
          <cell r="Q5309">
            <v>-7512.06</v>
          </cell>
          <cell r="T5309">
            <v>0</v>
          </cell>
        </row>
        <row r="5310">
          <cell r="Q5310">
            <v>-130555.22</v>
          </cell>
          <cell r="T5310">
            <v>0</v>
          </cell>
        </row>
        <row r="5311">
          <cell r="Q5311">
            <v>-5279.04</v>
          </cell>
          <cell r="T5311">
            <v>0</v>
          </cell>
        </row>
        <row r="5312">
          <cell r="Q5312">
            <v>-11086.26</v>
          </cell>
          <cell r="T5312">
            <v>0</v>
          </cell>
        </row>
        <row r="5313">
          <cell r="Q5313">
            <v>-21981.39</v>
          </cell>
          <cell r="T5313">
            <v>0</v>
          </cell>
        </row>
        <row r="5314">
          <cell r="Q5314">
            <v>-7427.47</v>
          </cell>
          <cell r="T5314">
            <v>0</v>
          </cell>
        </row>
        <row r="5315">
          <cell r="Q5315">
            <v>-4000</v>
          </cell>
          <cell r="T5315">
            <v>0</v>
          </cell>
        </row>
        <row r="5316">
          <cell r="Q5316">
            <v>-5000</v>
          </cell>
          <cell r="T5316">
            <v>0</v>
          </cell>
        </row>
        <row r="5317">
          <cell r="Q5317">
            <v>-5000</v>
          </cell>
          <cell r="T5317">
            <v>0</v>
          </cell>
        </row>
        <row r="5318">
          <cell r="Q5318">
            <v>-450</v>
          </cell>
          <cell r="T5318">
            <v>0</v>
          </cell>
        </row>
        <row r="5319">
          <cell r="Q5319">
            <v>-4702.38</v>
          </cell>
          <cell r="T5319">
            <v>0</v>
          </cell>
        </row>
        <row r="5320">
          <cell r="Q5320">
            <v>-5027.45</v>
          </cell>
          <cell r="T5320">
            <v>0</v>
          </cell>
        </row>
        <row r="5321">
          <cell r="Q5321">
            <v>-5255.22</v>
          </cell>
          <cell r="T5321">
            <v>0</v>
          </cell>
        </row>
        <row r="5322">
          <cell r="Q5322">
            <v>-5380.79</v>
          </cell>
          <cell r="T5322">
            <v>0</v>
          </cell>
        </row>
        <row r="5323">
          <cell r="Q5323">
            <v>-5685.8</v>
          </cell>
          <cell r="T5323">
            <v>0</v>
          </cell>
        </row>
        <row r="5324">
          <cell r="Q5324">
            <v>-5865.56</v>
          </cell>
          <cell r="T5324">
            <v>0</v>
          </cell>
        </row>
        <row r="5325">
          <cell r="Q5325">
            <v>-7392.74</v>
          </cell>
          <cell r="T5325">
            <v>0</v>
          </cell>
        </row>
        <row r="5326">
          <cell r="Q5326">
            <v>-8044.03</v>
          </cell>
          <cell r="T5326">
            <v>0</v>
          </cell>
        </row>
        <row r="5327">
          <cell r="Q5327">
            <v>-12450.51</v>
          </cell>
          <cell r="T5327">
            <v>0</v>
          </cell>
        </row>
        <row r="5328">
          <cell r="Q5328">
            <v>-13902.62</v>
          </cell>
          <cell r="T5328">
            <v>0</v>
          </cell>
        </row>
        <row r="5329">
          <cell r="Q5329">
            <v>-14332.42</v>
          </cell>
          <cell r="T5329">
            <v>0</v>
          </cell>
        </row>
        <row r="5330">
          <cell r="Q5330">
            <v>-14355.39</v>
          </cell>
          <cell r="T5330">
            <v>0</v>
          </cell>
        </row>
        <row r="5331">
          <cell r="Q5331">
            <v>-14697.58</v>
          </cell>
          <cell r="T5331">
            <v>0</v>
          </cell>
        </row>
        <row r="5332">
          <cell r="Q5332">
            <v>-15645.81</v>
          </cell>
          <cell r="T5332">
            <v>0</v>
          </cell>
        </row>
        <row r="5333">
          <cell r="Q5333">
            <v>-16215.21</v>
          </cell>
          <cell r="T5333">
            <v>0</v>
          </cell>
        </row>
        <row r="5334">
          <cell r="Q5334">
            <v>-16910.400000000001</v>
          </cell>
          <cell r="T5334">
            <v>0</v>
          </cell>
        </row>
        <row r="5335">
          <cell r="Q5335">
            <v>-19050.73</v>
          </cell>
          <cell r="T5335">
            <v>0</v>
          </cell>
        </row>
        <row r="5336">
          <cell r="Q5336">
            <v>-19746.71</v>
          </cell>
          <cell r="T5336">
            <v>0</v>
          </cell>
        </row>
        <row r="5337">
          <cell r="Q5337">
            <v>-21946.52</v>
          </cell>
          <cell r="T5337">
            <v>0</v>
          </cell>
        </row>
        <row r="5338">
          <cell r="Q5338">
            <v>-24816.48</v>
          </cell>
          <cell r="T5338">
            <v>0</v>
          </cell>
        </row>
        <row r="5339">
          <cell r="Q5339">
            <v>-26873.29</v>
          </cell>
          <cell r="T5339">
            <v>0</v>
          </cell>
        </row>
        <row r="5340">
          <cell r="Q5340">
            <v>-28669.34</v>
          </cell>
          <cell r="T5340">
            <v>0</v>
          </cell>
        </row>
        <row r="5341">
          <cell r="Q5341">
            <v>-32845.129999999997</v>
          </cell>
          <cell r="T5341">
            <v>0</v>
          </cell>
        </row>
        <row r="5342">
          <cell r="Q5342">
            <v>-46342.080000000002</v>
          </cell>
          <cell r="T5342">
            <v>0</v>
          </cell>
        </row>
        <row r="5343">
          <cell r="Q5343">
            <v>-46342.080000000002</v>
          </cell>
          <cell r="T5343">
            <v>0</v>
          </cell>
        </row>
        <row r="5344">
          <cell r="Q5344">
            <v>-50274.45</v>
          </cell>
          <cell r="T5344">
            <v>0</v>
          </cell>
        </row>
        <row r="5345">
          <cell r="Q5345">
            <v>-51829.31</v>
          </cell>
          <cell r="T5345">
            <v>0</v>
          </cell>
        </row>
        <row r="5346">
          <cell r="Q5346">
            <v>-57590.7</v>
          </cell>
          <cell r="T5346">
            <v>0</v>
          </cell>
        </row>
        <row r="5347">
          <cell r="Q5347">
            <v>-59814.12</v>
          </cell>
          <cell r="T5347">
            <v>0</v>
          </cell>
        </row>
        <row r="5348">
          <cell r="Q5348">
            <v>-61249.66</v>
          </cell>
          <cell r="T5348">
            <v>0</v>
          </cell>
        </row>
        <row r="5349">
          <cell r="Q5349">
            <v>-71964.600000000006</v>
          </cell>
          <cell r="T5349">
            <v>0</v>
          </cell>
        </row>
        <row r="5350">
          <cell r="Q5350">
            <v>-78687.789999999994</v>
          </cell>
          <cell r="T5350">
            <v>0</v>
          </cell>
        </row>
        <row r="5351">
          <cell r="Q5351">
            <v>-231383.98</v>
          </cell>
          <cell r="T5351">
            <v>0</v>
          </cell>
        </row>
        <row r="5352">
          <cell r="Q5352">
            <v>-152067.98000000001</v>
          </cell>
          <cell r="T5352">
            <v>0</v>
          </cell>
        </row>
        <row r="5353">
          <cell r="Q5353">
            <v>-50689.33</v>
          </cell>
          <cell r="T5353">
            <v>0</v>
          </cell>
        </row>
        <row r="5354">
          <cell r="Q5354">
            <v>-50689.33</v>
          </cell>
          <cell r="T5354">
            <v>0</v>
          </cell>
        </row>
        <row r="5355">
          <cell r="Q5355">
            <v>-50689.33</v>
          </cell>
          <cell r="T5355">
            <v>0</v>
          </cell>
        </row>
        <row r="5356">
          <cell r="Q5356">
            <v>-50689.33</v>
          </cell>
          <cell r="T5356">
            <v>0</v>
          </cell>
        </row>
        <row r="5357">
          <cell r="Q5357">
            <v>-5072.79</v>
          </cell>
          <cell r="T5357">
            <v>0</v>
          </cell>
        </row>
        <row r="5358">
          <cell r="Q5358">
            <v>-456</v>
          </cell>
          <cell r="T5358">
            <v>0</v>
          </cell>
        </row>
        <row r="5359">
          <cell r="Q5359">
            <v>-950</v>
          </cell>
          <cell r="T5359">
            <v>0</v>
          </cell>
        </row>
        <row r="5360">
          <cell r="Q5360">
            <v>-1000</v>
          </cell>
          <cell r="T5360">
            <v>0</v>
          </cell>
        </row>
        <row r="5361">
          <cell r="Q5361">
            <v>-2500</v>
          </cell>
          <cell r="T5361">
            <v>0</v>
          </cell>
        </row>
        <row r="5362">
          <cell r="Q5362">
            <v>-3000</v>
          </cell>
          <cell r="T5362">
            <v>0</v>
          </cell>
        </row>
        <row r="5363">
          <cell r="Q5363">
            <v>-3227</v>
          </cell>
          <cell r="T5363">
            <v>0</v>
          </cell>
        </row>
        <row r="5364">
          <cell r="Q5364">
            <v>-3250</v>
          </cell>
          <cell r="T5364">
            <v>0</v>
          </cell>
        </row>
        <row r="5365">
          <cell r="Q5365">
            <v>-4100</v>
          </cell>
          <cell r="T5365">
            <v>0</v>
          </cell>
        </row>
        <row r="5366">
          <cell r="Q5366">
            <v>-2270.31</v>
          </cell>
          <cell r="T5366">
            <v>0</v>
          </cell>
        </row>
        <row r="5367">
          <cell r="Q5367">
            <v>-44029.57</v>
          </cell>
          <cell r="T5367">
            <v>0</v>
          </cell>
        </row>
        <row r="5368">
          <cell r="Q5368">
            <v>-5543.8</v>
          </cell>
          <cell r="T5368">
            <v>0</v>
          </cell>
        </row>
        <row r="5369">
          <cell r="Q5369">
            <v>-8711.15</v>
          </cell>
          <cell r="T5369">
            <v>0</v>
          </cell>
        </row>
        <row r="5370">
          <cell r="Q5370">
            <v>-5035.6099999999997</v>
          </cell>
          <cell r="T5370">
            <v>0</v>
          </cell>
        </row>
        <row r="5371">
          <cell r="Q5371">
            <v>-12932.39</v>
          </cell>
          <cell r="T5371">
            <v>0</v>
          </cell>
        </row>
        <row r="5372">
          <cell r="Q5372">
            <v>-640</v>
          </cell>
          <cell r="T5372">
            <v>0</v>
          </cell>
        </row>
        <row r="5373">
          <cell r="Q5373">
            <v>-625</v>
          </cell>
          <cell r="T5373">
            <v>0</v>
          </cell>
        </row>
        <row r="5374">
          <cell r="Q5374">
            <v>-3330</v>
          </cell>
          <cell r="T5374">
            <v>0</v>
          </cell>
        </row>
        <row r="5375">
          <cell r="Q5375">
            <v>-249615.62</v>
          </cell>
          <cell r="T5375">
            <v>0</v>
          </cell>
        </row>
        <row r="5376">
          <cell r="Q5376">
            <v>-15990</v>
          </cell>
          <cell r="T5376">
            <v>0</v>
          </cell>
        </row>
        <row r="5377">
          <cell r="Q5377">
            <v>-543808.62</v>
          </cell>
          <cell r="T5377">
            <v>0</v>
          </cell>
        </row>
        <row r="5378">
          <cell r="Q5378">
            <v>-83236.77</v>
          </cell>
          <cell r="T5378">
            <v>0</v>
          </cell>
        </row>
        <row r="5379">
          <cell r="Q5379">
            <v>-6762.57</v>
          </cell>
          <cell r="T5379">
            <v>0</v>
          </cell>
        </row>
        <row r="5380">
          <cell r="Q5380">
            <v>-92742.41</v>
          </cell>
          <cell r="T5380">
            <v>0</v>
          </cell>
        </row>
        <row r="5381">
          <cell r="Q5381">
            <v>-45487.08</v>
          </cell>
          <cell r="T5381">
            <v>0</v>
          </cell>
        </row>
        <row r="5382">
          <cell r="Q5382">
            <v>-6732.09</v>
          </cell>
          <cell r="T5382">
            <v>0</v>
          </cell>
        </row>
        <row r="5383">
          <cell r="Q5383">
            <v>-14254.61</v>
          </cell>
          <cell r="T5383">
            <v>0</v>
          </cell>
        </row>
        <row r="5384">
          <cell r="Q5384">
            <v>-46161.82</v>
          </cell>
          <cell r="T5384">
            <v>0</v>
          </cell>
        </row>
        <row r="5385">
          <cell r="Q5385">
            <v>-169777.85</v>
          </cell>
          <cell r="T5385">
            <v>0</v>
          </cell>
        </row>
        <row r="5386">
          <cell r="Q5386">
            <v>-597108.39</v>
          </cell>
          <cell r="T5386">
            <v>0</v>
          </cell>
        </row>
        <row r="5387">
          <cell r="Q5387">
            <v>-94240.54</v>
          </cell>
          <cell r="T5387">
            <v>0</v>
          </cell>
        </row>
        <row r="5388">
          <cell r="Q5388">
            <v>-1331.28</v>
          </cell>
          <cell r="T5388">
            <v>0</v>
          </cell>
        </row>
        <row r="5389">
          <cell r="Q5389">
            <v>-15837.59</v>
          </cell>
          <cell r="T5389">
            <v>0</v>
          </cell>
        </row>
        <row r="5390">
          <cell r="Q5390">
            <v>-39975.18</v>
          </cell>
          <cell r="T5390">
            <v>0</v>
          </cell>
        </row>
        <row r="5391">
          <cell r="Q5391">
            <v>-124586.85</v>
          </cell>
          <cell r="T5391">
            <v>0</v>
          </cell>
        </row>
        <row r="5392">
          <cell r="Q5392">
            <v>-182175.56</v>
          </cell>
          <cell r="T5392">
            <v>0</v>
          </cell>
        </row>
        <row r="5393">
          <cell r="Q5393">
            <v>-41444.94</v>
          </cell>
          <cell r="T5393">
            <v>0</v>
          </cell>
        </row>
        <row r="5394">
          <cell r="Q5394">
            <v>-9539.9599999999991</v>
          </cell>
          <cell r="T5394">
            <v>0</v>
          </cell>
        </row>
        <row r="5395">
          <cell r="Q5395">
            <v>-4751.54</v>
          </cell>
          <cell r="T5395">
            <v>0</v>
          </cell>
        </row>
        <row r="5396">
          <cell r="Q5396">
            <v>-88291.72</v>
          </cell>
          <cell r="T5396">
            <v>0</v>
          </cell>
        </row>
        <row r="5397">
          <cell r="Q5397">
            <v>-37570.879999999997</v>
          </cell>
          <cell r="T5397">
            <v>0</v>
          </cell>
        </row>
        <row r="5398">
          <cell r="Q5398">
            <v>-170049.48</v>
          </cell>
          <cell r="T5398">
            <v>0</v>
          </cell>
        </row>
        <row r="5399">
          <cell r="Q5399">
            <v>-148670.54</v>
          </cell>
          <cell r="T5399">
            <v>0</v>
          </cell>
        </row>
        <row r="5400">
          <cell r="Q5400">
            <v>-14124.11</v>
          </cell>
          <cell r="T5400">
            <v>0</v>
          </cell>
        </row>
        <row r="5401">
          <cell r="Q5401">
            <v>-67927.960000000006</v>
          </cell>
          <cell r="T5401">
            <v>0</v>
          </cell>
        </row>
        <row r="5402">
          <cell r="Q5402">
            <v>-139149.38</v>
          </cell>
          <cell r="T5402">
            <v>0</v>
          </cell>
        </row>
        <row r="5403">
          <cell r="Q5403">
            <v>-8929.2000000000007</v>
          </cell>
          <cell r="T5403">
            <v>0</v>
          </cell>
        </row>
        <row r="5404">
          <cell r="Q5404">
            <v>-640.29999999999995</v>
          </cell>
          <cell r="T5404">
            <v>0</v>
          </cell>
        </row>
        <row r="5405">
          <cell r="Q5405">
            <v>-170185.3</v>
          </cell>
          <cell r="T5405">
            <v>0</v>
          </cell>
        </row>
        <row r="5406">
          <cell r="Q5406">
            <v>-143730.18</v>
          </cell>
          <cell r="T5406">
            <v>0</v>
          </cell>
        </row>
        <row r="5407">
          <cell r="Q5407">
            <v>-48019.19</v>
          </cell>
          <cell r="T5407">
            <v>0</v>
          </cell>
        </row>
        <row r="5408">
          <cell r="Q5408">
            <v>-438.99</v>
          </cell>
          <cell r="T5408">
            <v>0</v>
          </cell>
        </row>
        <row r="5409">
          <cell r="Q5409">
            <v>-40348</v>
          </cell>
          <cell r="T5409">
            <v>0</v>
          </cell>
        </row>
        <row r="5410">
          <cell r="Q5410">
            <v>-182942.51</v>
          </cell>
          <cell r="T5410">
            <v>0</v>
          </cell>
        </row>
        <row r="5411">
          <cell r="Q5411">
            <v>-27667.200000000001</v>
          </cell>
          <cell r="T5411">
            <v>0</v>
          </cell>
        </row>
        <row r="5412">
          <cell r="Q5412">
            <v>-50815.42</v>
          </cell>
          <cell r="T5412">
            <v>0</v>
          </cell>
        </row>
        <row r="5413">
          <cell r="Q5413">
            <v>-14460.41</v>
          </cell>
          <cell r="T5413">
            <v>0</v>
          </cell>
        </row>
        <row r="5414">
          <cell r="Q5414">
            <v>-7395.05</v>
          </cell>
          <cell r="T5414">
            <v>0</v>
          </cell>
        </row>
        <row r="5415">
          <cell r="Q5415">
            <v>-46419.13</v>
          </cell>
          <cell r="T5415">
            <v>0</v>
          </cell>
        </row>
        <row r="5416">
          <cell r="Q5416">
            <v>-7395.05</v>
          </cell>
          <cell r="T5416">
            <v>0</v>
          </cell>
        </row>
        <row r="5417">
          <cell r="Q5417">
            <v>-8692.4699999999993</v>
          </cell>
          <cell r="T5417">
            <v>0</v>
          </cell>
        </row>
        <row r="5418">
          <cell r="Q5418">
            <v>-28364.9</v>
          </cell>
          <cell r="T5418">
            <v>0</v>
          </cell>
        </row>
        <row r="5419">
          <cell r="Q5419">
            <v>-5215.4799999999996</v>
          </cell>
          <cell r="T5419">
            <v>0</v>
          </cell>
        </row>
        <row r="5420">
          <cell r="Q5420">
            <v>-5167.32</v>
          </cell>
          <cell r="T5420">
            <v>0</v>
          </cell>
        </row>
        <row r="5421">
          <cell r="Q5421">
            <v>-5030.1400000000003</v>
          </cell>
          <cell r="T5421">
            <v>0</v>
          </cell>
        </row>
        <row r="5422">
          <cell r="Q5422">
            <v>-2743.71</v>
          </cell>
          <cell r="T5422">
            <v>0</v>
          </cell>
        </row>
        <row r="5423">
          <cell r="Q5423">
            <v>-49013.29</v>
          </cell>
          <cell r="T5423">
            <v>0</v>
          </cell>
        </row>
        <row r="5424">
          <cell r="Q5424">
            <v>-46267.91</v>
          </cell>
          <cell r="T5424">
            <v>0</v>
          </cell>
        </row>
        <row r="5425">
          <cell r="Q5425">
            <v>-7395.05</v>
          </cell>
          <cell r="T5425">
            <v>0</v>
          </cell>
        </row>
        <row r="5426">
          <cell r="Q5426">
            <v>-5015.3</v>
          </cell>
          <cell r="T5426">
            <v>0</v>
          </cell>
        </row>
        <row r="5427">
          <cell r="Q5427">
            <v>-660.49</v>
          </cell>
          <cell r="T5427">
            <v>0</v>
          </cell>
        </row>
        <row r="5428">
          <cell r="Q5428">
            <v>-7104.85</v>
          </cell>
          <cell r="T5428">
            <v>0</v>
          </cell>
        </row>
        <row r="5429">
          <cell r="Q5429">
            <v>-4463.3</v>
          </cell>
          <cell r="T5429">
            <v>0</v>
          </cell>
        </row>
        <row r="5430">
          <cell r="Q5430">
            <v>-48376.87</v>
          </cell>
          <cell r="T5430">
            <v>0</v>
          </cell>
        </row>
        <row r="5431">
          <cell r="Q5431">
            <v>-47241.16</v>
          </cell>
          <cell r="T5431">
            <v>0</v>
          </cell>
        </row>
        <row r="5432">
          <cell r="Q5432">
            <v>-906.76</v>
          </cell>
          <cell r="T5432">
            <v>0</v>
          </cell>
        </row>
        <row r="5433">
          <cell r="Q5433">
            <v>-7072.72</v>
          </cell>
          <cell r="T5433">
            <v>0</v>
          </cell>
        </row>
        <row r="5434">
          <cell r="Q5434">
            <v>-10790.78</v>
          </cell>
          <cell r="T5434">
            <v>0</v>
          </cell>
        </row>
        <row r="5435">
          <cell r="Q5435">
            <v>-5215.55</v>
          </cell>
          <cell r="T5435">
            <v>0</v>
          </cell>
        </row>
        <row r="5436">
          <cell r="Q5436">
            <v>-46180.06</v>
          </cell>
          <cell r="T5436">
            <v>0</v>
          </cell>
        </row>
        <row r="5437">
          <cell r="Q5437">
            <v>-10045.94</v>
          </cell>
          <cell r="T5437">
            <v>0</v>
          </cell>
        </row>
        <row r="5438">
          <cell r="Q5438">
            <v>-9330.08</v>
          </cell>
          <cell r="T5438">
            <v>0</v>
          </cell>
        </row>
        <row r="5439">
          <cell r="Q5439">
            <v>-35276.839999999997</v>
          </cell>
          <cell r="T5439">
            <v>0</v>
          </cell>
        </row>
        <row r="5440">
          <cell r="Q5440">
            <v>-41913.449999999997</v>
          </cell>
          <cell r="T5440">
            <v>0</v>
          </cell>
        </row>
        <row r="5441">
          <cell r="Q5441">
            <v>-41913.449999999997</v>
          </cell>
          <cell r="T5441">
            <v>0</v>
          </cell>
        </row>
        <row r="5442">
          <cell r="Q5442">
            <v>-4191.34</v>
          </cell>
          <cell r="T5442">
            <v>0</v>
          </cell>
        </row>
        <row r="5443">
          <cell r="Q5443">
            <v>-4191.34</v>
          </cell>
          <cell r="T5443">
            <v>0</v>
          </cell>
        </row>
        <row r="5444">
          <cell r="Q5444">
            <v>-13692.99</v>
          </cell>
          <cell r="T5444">
            <v>0</v>
          </cell>
        </row>
        <row r="5445">
          <cell r="Q5445">
            <v>-13453.67</v>
          </cell>
          <cell r="T5445">
            <v>0</v>
          </cell>
        </row>
        <row r="5446">
          <cell r="Q5446">
            <v>-92601.36</v>
          </cell>
          <cell r="T5446">
            <v>0</v>
          </cell>
        </row>
        <row r="5447">
          <cell r="Q5447">
            <v>-24010.29</v>
          </cell>
          <cell r="T5447">
            <v>0</v>
          </cell>
        </row>
        <row r="5448">
          <cell r="Q5448">
            <v>-23942.55</v>
          </cell>
          <cell r="T5448">
            <v>0</v>
          </cell>
        </row>
        <row r="5449">
          <cell r="Q5449">
            <v>-6152.93</v>
          </cell>
          <cell r="T5449">
            <v>0</v>
          </cell>
        </row>
        <row r="5450">
          <cell r="Q5450">
            <v>-10052.44</v>
          </cell>
          <cell r="T5450">
            <v>0</v>
          </cell>
        </row>
        <row r="5451">
          <cell r="Q5451">
            <v>-172113.85</v>
          </cell>
          <cell r="T5451">
            <v>0</v>
          </cell>
        </row>
        <row r="5452">
          <cell r="Q5452">
            <v>-9331.67</v>
          </cell>
          <cell r="T5452">
            <v>0</v>
          </cell>
        </row>
        <row r="5453">
          <cell r="Q5453">
            <v>-12323.16</v>
          </cell>
          <cell r="T5453">
            <v>0</v>
          </cell>
        </row>
        <row r="5454">
          <cell r="Q5454">
            <v>-2856.18</v>
          </cell>
          <cell r="T5454">
            <v>0</v>
          </cell>
        </row>
        <row r="5455">
          <cell r="Q5455">
            <v>-2482.65</v>
          </cell>
          <cell r="T5455">
            <v>0</v>
          </cell>
        </row>
        <row r="5456">
          <cell r="Q5456">
            <v>-28823.45</v>
          </cell>
          <cell r="T5456">
            <v>0</v>
          </cell>
        </row>
        <row r="5457">
          <cell r="Q5457">
            <v>-15610.48</v>
          </cell>
          <cell r="T5457">
            <v>0</v>
          </cell>
        </row>
        <row r="5458">
          <cell r="Q5458">
            <v>-19551.87</v>
          </cell>
          <cell r="T5458">
            <v>0</v>
          </cell>
        </row>
        <row r="5459">
          <cell r="Q5459">
            <v>-16513.400000000001</v>
          </cell>
          <cell r="T5459">
            <v>0</v>
          </cell>
        </row>
        <row r="5460">
          <cell r="Q5460">
            <v>-71950.960000000006</v>
          </cell>
          <cell r="T5460">
            <v>0</v>
          </cell>
        </row>
        <row r="5461">
          <cell r="Q5461">
            <v>-5320.98</v>
          </cell>
          <cell r="T5461">
            <v>0</v>
          </cell>
        </row>
        <row r="5462">
          <cell r="Q5462">
            <v>-3096.98</v>
          </cell>
          <cell r="T5462">
            <v>0</v>
          </cell>
        </row>
        <row r="5463">
          <cell r="Q5463">
            <v>-455.46</v>
          </cell>
          <cell r="T5463">
            <v>0</v>
          </cell>
        </row>
        <row r="5464">
          <cell r="Q5464">
            <v>-10231.81</v>
          </cell>
          <cell r="T5464">
            <v>0</v>
          </cell>
        </row>
        <row r="5465">
          <cell r="Q5465">
            <v>-48857.62</v>
          </cell>
          <cell r="T5465">
            <v>0</v>
          </cell>
        </row>
        <row r="5466">
          <cell r="Q5466">
            <v>-15381.1</v>
          </cell>
          <cell r="T5466">
            <v>0</v>
          </cell>
        </row>
        <row r="5467">
          <cell r="Q5467">
            <v>-4523.8500000000004</v>
          </cell>
          <cell r="T5467">
            <v>0</v>
          </cell>
        </row>
        <row r="5468">
          <cell r="Q5468">
            <v>-6785.78</v>
          </cell>
          <cell r="T5468">
            <v>0</v>
          </cell>
        </row>
        <row r="5469">
          <cell r="Q5469">
            <v>-4715.1499999999996</v>
          </cell>
          <cell r="T5469">
            <v>0</v>
          </cell>
        </row>
        <row r="5470">
          <cell r="Q5470">
            <v>-1269.46</v>
          </cell>
          <cell r="T5470">
            <v>0</v>
          </cell>
        </row>
        <row r="5471">
          <cell r="Q5471">
            <v>-4080.41</v>
          </cell>
          <cell r="T5471">
            <v>0</v>
          </cell>
        </row>
        <row r="5472">
          <cell r="Q5472">
            <v>-30343.95</v>
          </cell>
          <cell r="T5472">
            <v>0</v>
          </cell>
        </row>
        <row r="5473">
          <cell r="Q5473">
            <v>-9195.41</v>
          </cell>
          <cell r="T5473">
            <v>0</v>
          </cell>
        </row>
        <row r="5474">
          <cell r="Q5474">
            <v>-61374.33</v>
          </cell>
          <cell r="T5474">
            <v>0</v>
          </cell>
        </row>
        <row r="5475">
          <cell r="Q5475">
            <v>-6713.35</v>
          </cell>
          <cell r="T5475">
            <v>0</v>
          </cell>
        </row>
        <row r="5476">
          <cell r="Q5476">
            <v>-45824.59</v>
          </cell>
          <cell r="T5476">
            <v>0</v>
          </cell>
        </row>
        <row r="5477">
          <cell r="Q5477">
            <v>-12601.06</v>
          </cell>
          <cell r="T5477">
            <v>0</v>
          </cell>
        </row>
        <row r="5478">
          <cell r="Q5478">
            <v>-30577.599999999999</v>
          </cell>
          <cell r="T5478">
            <v>0</v>
          </cell>
        </row>
        <row r="5479">
          <cell r="Q5479">
            <v>-25310.83</v>
          </cell>
          <cell r="T5479">
            <v>0</v>
          </cell>
        </row>
        <row r="5480">
          <cell r="Q5480">
            <v>-547.29</v>
          </cell>
          <cell r="T5480">
            <v>0</v>
          </cell>
        </row>
        <row r="5481">
          <cell r="Q5481">
            <v>-5290.5</v>
          </cell>
          <cell r="T5481">
            <v>0</v>
          </cell>
        </row>
        <row r="5482">
          <cell r="Q5482">
            <v>-91.22</v>
          </cell>
          <cell r="T5482">
            <v>0</v>
          </cell>
        </row>
        <row r="5483">
          <cell r="Q5483">
            <v>-18223.240000000002</v>
          </cell>
          <cell r="T5483">
            <v>0</v>
          </cell>
        </row>
        <row r="5484">
          <cell r="Q5484">
            <v>-4552.97</v>
          </cell>
          <cell r="T5484">
            <v>0</v>
          </cell>
        </row>
        <row r="5485">
          <cell r="Q5485">
            <v>-5827.8</v>
          </cell>
          <cell r="T5485">
            <v>0</v>
          </cell>
        </row>
        <row r="5486">
          <cell r="Q5486">
            <v>-43708.5</v>
          </cell>
          <cell r="T5486">
            <v>0</v>
          </cell>
        </row>
        <row r="5487">
          <cell r="Q5487">
            <v>-20488.36</v>
          </cell>
          <cell r="T5487">
            <v>0</v>
          </cell>
        </row>
        <row r="5488">
          <cell r="Q5488">
            <v>-362.25</v>
          </cell>
          <cell r="T5488">
            <v>0</v>
          </cell>
        </row>
        <row r="5489">
          <cell r="Q5489">
            <v>-47528.12</v>
          </cell>
          <cell r="T5489">
            <v>0</v>
          </cell>
        </row>
        <row r="5490">
          <cell r="Q5490">
            <v>-3838.22</v>
          </cell>
          <cell r="T5490">
            <v>0</v>
          </cell>
        </row>
        <row r="5491">
          <cell r="Q5491">
            <v>-46228.85</v>
          </cell>
          <cell r="T5491">
            <v>0</v>
          </cell>
        </row>
        <row r="5492">
          <cell r="Q5492">
            <v>-5832.43</v>
          </cell>
          <cell r="T5492">
            <v>0</v>
          </cell>
        </row>
        <row r="5493">
          <cell r="Q5493">
            <v>-4445.55</v>
          </cell>
          <cell r="T5493">
            <v>0</v>
          </cell>
        </row>
        <row r="5494">
          <cell r="Q5494">
            <v>-44638.51</v>
          </cell>
          <cell r="T5494">
            <v>0</v>
          </cell>
        </row>
        <row r="5495">
          <cell r="Q5495">
            <v>-3156.26</v>
          </cell>
          <cell r="T5495">
            <v>0</v>
          </cell>
        </row>
        <row r="5496">
          <cell r="Q5496">
            <v>-15327.99</v>
          </cell>
          <cell r="T5496">
            <v>0</v>
          </cell>
        </row>
        <row r="5497">
          <cell r="Q5497">
            <v>-30474.7</v>
          </cell>
          <cell r="T5497">
            <v>0</v>
          </cell>
        </row>
        <row r="5498">
          <cell r="Q5498">
            <v>-52420</v>
          </cell>
          <cell r="T5498">
            <v>0</v>
          </cell>
        </row>
        <row r="5499">
          <cell r="Q5499">
            <v>-32340.560000000001</v>
          </cell>
          <cell r="T5499">
            <v>0</v>
          </cell>
        </row>
        <row r="5500">
          <cell r="Q5500">
            <v>-32349.66</v>
          </cell>
          <cell r="T5500">
            <v>0</v>
          </cell>
        </row>
        <row r="5501">
          <cell r="Q5501">
            <v>-32349.66</v>
          </cell>
          <cell r="T5501">
            <v>0</v>
          </cell>
        </row>
        <row r="5502">
          <cell r="Q5502">
            <v>-32349.66</v>
          </cell>
          <cell r="T5502">
            <v>0</v>
          </cell>
        </row>
        <row r="5503">
          <cell r="Q5503">
            <v>-32349.66</v>
          </cell>
          <cell r="T5503">
            <v>0</v>
          </cell>
        </row>
        <row r="5504">
          <cell r="Q5504">
            <v>-32349.66</v>
          </cell>
          <cell r="T5504">
            <v>0</v>
          </cell>
        </row>
        <row r="5505">
          <cell r="Q5505">
            <v>-32349.66</v>
          </cell>
          <cell r="T5505">
            <v>0</v>
          </cell>
        </row>
        <row r="5506">
          <cell r="Q5506">
            <v>-32349.66</v>
          </cell>
          <cell r="T5506">
            <v>0</v>
          </cell>
        </row>
        <row r="5507">
          <cell r="Q5507">
            <v>-32349.66</v>
          </cell>
          <cell r="T5507">
            <v>0</v>
          </cell>
        </row>
        <row r="5508">
          <cell r="Q5508">
            <v>-32349.66</v>
          </cell>
          <cell r="T5508">
            <v>0</v>
          </cell>
        </row>
        <row r="5509">
          <cell r="Q5509">
            <v>-32349.66</v>
          </cell>
          <cell r="T5509">
            <v>0</v>
          </cell>
        </row>
        <row r="5510">
          <cell r="Q5510">
            <v>-32349.66</v>
          </cell>
          <cell r="T5510">
            <v>0</v>
          </cell>
        </row>
        <row r="5511">
          <cell r="Q5511">
            <v>-32349.66</v>
          </cell>
          <cell r="T5511">
            <v>0</v>
          </cell>
        </row>
        <row r="5512">
          <cell r="Q5512">
            <v>-32349.66</v>
          </cell>
          <cell r="T5512">
            <v>0</v>
          </cell>
        </row>
        <row r="5513">
          <cell r="Q5513">
            <v>-32349.66</v>
          </cell>
          <cell r="T5513">
            <v>0</v>
          </cell>
        </row>
        <row r="5514">
          <cell r="Q5514">
            <v>-32349.66</v>
          </cell>
          <cell r="T5514">
            <v>0</v>
          </cell>
        </row>
        <row r="5515">
          <cell r="Q5515">
            <v>-32349.66</v>
          </cell>
          <cell r="T5515">
            <v>0</v>
          </cell>
        </row>
        <row r="5516">
          <cell r="Q5516">
            <v>-32349.66</v>
          </cell>
          <cell r="T5516">
            <v>0</v>
          </cell>
        </row>
        <row r="5517">
          <cell r="Q5517">
            <v>-32349.66</v>
          </cell>
          <cell r="T5517">
            <v>0</v>
          </cell>
        </row>
        <row r="5518">
          <cell r="Q5518">
            <v>-32349.66</v>
          </cell>
          <cell r="T5518">
            <v>0</v>
          </cell>
        </row>
        <row r="5519">
          <cell r="Q5519">
            <v>-32349.66</v>
          </cell>
          <cell r="T5519">
            <v>0</v>
          </cell>
        </row>
        <row r="5520">
          <cell r="Q5520">
            <v>-32349.66</v>
          </cell>
          <cell r="T5520">
            <v>0</v>
          </cell>
        </row>
        <row r="5521">
          <cell r="Q5521">
            <v>-32349.66</v>
          </cell>
          <cell r="T5521">
            <v>0</v>
          </cell>
        </row>
        <row r="5522">
          <cell r="Q5522">
            <v>-32349.66</v>
          </cell>
          <cell r="T5522">
            <v>0</v>
          </cell>
        </row>
        <row r="5523">
          <cell r="Q5523">
            <v>-32349.66</v>
          </cell>
          <cell r="T5523">
            <v>0</v>
          </cell>
        </row>
        <row r="5524">
          <cell r="Q5524">
            <v>-33269.64</v>
          </cell>
          <cell r="T5524">
            <v>0</v>
          </cell>
        </row>
        <row r="5525">
          <cell r="Q5525">
            <v>-33269.64</v>
          </cell>
          <cell r="T5525">
            <v>0</v>
          </cell>
        </row>
        <row r="5526">
          <cell r="Q5526">
            <v>-31924.400000000001</v>
          </cell>
          <cell r="T5526">
            <v>0</v>
          </cell>
        </row>
        <row r="5527">
          <cell r="Q5527">
            <v>-32349.66</v>
          </cell>
          <cell r="T5527">
            <v>0</v>
          </cell>
        </row>
        <row r="5528">
          <cell r="Q5528">
            <v>-32349.66</v>
          </cell>
          <cell r="T5528">
            <v>0</v>
          </cell>
        </row>
        <row r="5529">
          <cell r="Q5529">
            <v>-33269.230000000003</v>
          </cell>
          <cell r="T5529">
            <v>0</v>
          </cell>
        </row>
        <row r="5530">
          <cell r="Q5530">
            <v>-33270.06</v>
          </cell>
          <cell r="T5530">
            <v>0</v>
          </cell>
        </row>
        <row r="5531">
          <cell r="Q5531">
            <v>-33270.06</v>
          </cell>
          <cell r="T5531">
            <v>0</v>
          </cell>
        </row>
        <row r="5532">
          <cell r="Q5532">
            <v>-33270.06</v>
          </cell>
          <cell r="T5532">
            <v>0</v>
          </cell>
        </row>
        <row r="5533">
          <cell r="Q5533">
            <v>-13458.17</v>
          </cell>
          <cell r="T5533">
            <v>0</v>
          </cell>
        </row>
        <row r="5534">
          <cell r="Q5534">
            <v>-52204.84</v>
          </cell>
          <cell r="T5534">
            <v>0</v>
          </cell>
        </row>
        <row r="5535">
          <cell r="Q5535">
            <v>-56024.71</v>
          </cell>
          <cell r="T5535">
            <v>0</v>
          </cell>
        </row>
        <row r="5536">
          <cell r="Q5536">
            <v>-12138.69</v>
          </cell>
          <cell r="T5536">
            <v>0</v>
          </cell>
        </row>
        <row r="5537">
          <cell r="Q5537">
            <v>-80641.62</v>
          </cell>
          <cell r="T5537">
            <v>0</v>
          </cell>
        </row>
        <row r="5538">
          <cell r="Q5538">
            <v>-161418.17000000001</v>
          </cell>
          <cell r="T5538">
            <v>0</v>
          </cell>
        </row>
        <row r="5539">
          <cell r="Q5539">
            <v>-161867.92000000001</v>
          </cell>
          <cell r="T5539">
            <v>0</v>
          </cell>
        </row>
        <row r="5540">
          <cell r="Q5540">
            <v>-109409.46</v>
          </cell>
          <cell r="T5540">
            <v>0</v>
          </cell>
        </row>
        <row r="5541">
          <cell r="Q5541">
            <v>-4686.05</v>
          </cell>
          <cell r="T5541">
            <v>0</v>
          </cell>
        </row>
        <row r="5542">
          <cell r="Q5542">
            <v>-44159.13</v>
          </cell>
          <cell r="T5542">
            <v>0</v>
          </cell>
        </row>
        <row r="5543">
          <cell r="Q5543">
            <v>-44159.13</v>
          </cell>
          <cell r="T5543">
            <v>0</v>
          </cell>
        </row>
        <row r="5544">
          <cell r="Q5544">
            <v>-44159.13</v>
          </cell>
          <cell r="T5544">
            <v>0</v>
          </cell>
        </row>
        <row r="5545">
          <cell r="Q5545">
            <v>-44159.13</v>
          </cell>
          <cell r="T5545">
            <v>0</v>
          </cell>
        </row>
        <row r="5546">
          <cell r="Q5546">
            <v>-44159.13</v>
          </cell>
          <cell r="T5546">
            <v>0</v>
          </cell>
        </row>
        <row r="5547">
          <cell r="Q5547">
            <v>-44159.13</v>
          </cell>
          <cell r="T5547">
            <v>0</v>
          </cell>
        </row>
        <row r="5548">
          <cell r="Q5548">
            <v>-44159.13</v>
          </cell>
          <cell r="T5548">
            <v>0</v>
          </cell>
        </row>
        <row r="5549">
          <cell r="Q5549">
            <v>-44159.13</v>
          </cell>
          <cell r="T5549">
            <v>0</v>
          </cell>
        </row>
        <row r="5550">
          <cell r="Q5550">
            <v>-44159.13</v>
          </cell>
          <cell r="T5550">
            <v>0</v>
          </cell>
        </row>
        <row r="5551">
          <cell r="Q5551">
            <v>-44159.13</v>
          </cell>
          <cell r="T5551">
            <v>0</v>
          </cell>
        </row>
        <row r="5552">
          <cell r="Q5552">
            <v>-44159.13</v>
          </cell>
          <cell r="T5552">
            <v>0</v>
          </cell>
        </row>
        <row r="5553">
          <cell r="Q5553">
            <v>-44159.13</v>
          </cell>
          <cell r="T5553">
            <v>0</v>
          </cell>
        </row>
        <row r="5554">
          <cell r="Q5554">
            <v>-44159.13</v>
          </cell>
          <cell r="T5554">
            <v>0</v>
          </cell>
        </row>
        <row r="5555">
          <cell r="Q5555">
            <v>-44159.13</v>
          </cell>
          <cell r="T5555">
            <v>0</v>
          </cell>
        </row>
        <row r="5556">
          <cell r="Q5556">
            <v>-44159.13</v>
          </cell>
          <cell r="T5556">
            <v>0</v>
          </cell>
        </row>
        <row r="5557">
          <cell r="Q5557">
            <v>-44159.13</v>
          </cell>
          <cell r="T5557">
            <v>0</v>
          </cell>
        </row>
        <row r="5558">
          <cell r="Q5558">
            <v>-44159.13</v>
          </cell>
          <cell r="T5558">
            <v>0</v>
          </cell>
        </row>
        <row r="5559">
          <cell r="Q5559">
            <v>-44159.13</v>
          </cell>
          <cell r="T5559">
            <v>0</v>
          </cell>
        </row>
        <row r="5560">
          <cell r="Q5560">
            <v>-44159.13</v>
          </cell>
          <cell r="T5560">
            <v>0</v>
          </cell>
        </row>
        <row r="5561">
          <cell r="Q5561">
            <v>-391712.47</v>
          </cell>
          <cell r="T5561">
            <v>0</v>
          </cell>
        </row>
        <row r="5562">
          <cell r="Q5562">
            <v>-375832.23</v>
          </cell>
          <cell r="T5562">
            <v>0</v>
          </cell>
        </row>
        <row r="5563">
          <cell r="Q5563">
            <v>-365245.41</v>
          </cell>
          <cell r="T5563">
            <v>0</v>
          </cell>
        </row>
        <row r="5564">
          <cell r="Q5564">
            <v>-476406.94</v>
          </cell>
          <cell r="T5564">
            <v>0</v>
          </cell>
        </row>
        <row r="5565">
          <cell r="Q5565">
            <v>-574335.18000000005</v>
          </cell>
          <cell r="T5565">
            <v>0</v>
          </cell>
        </row>
        <row r="5566">
          <cell r="Q5566">
            <v>-1566849.87</v>
          </cell>
          <cell r="T5566">
            <v>0</v>
          </cell>
        </row>
        <row r="5567">
          <cell r="Q5567">
            <v>-2220496.06</v>
          </cell>
          <cell r="T5567">
            <v>0</v>
          </cell>
        </row>
        <row r="5568">
          <cell r="Q5568">
            <v>-83457.539999999994</v>
          </cell>
          <cell r="T5568">
            <v>0</v>
          </cell>
        </row>
        <row r="5569">
          <cell r="Q5569">
            <v>-240850.24</v>
          </cell>
          <cell r="T5569">
            <v>0</v>
          </cell>
        </row>
        <row r="5570">
          <cell r="Q5570">
            <v>-240850.24</v>
          </cell>
          <cell r="T5570">
            <v>0</v>
          </cell>
        </row>
        <row r="5571">
          <cell r="Q5571">
            <v>-890689.08</v>
          </cell>
          <cell r="T5571">
            <v>0</v>
          </cell>
        </row>
        <row r="5572">
          <cell r="Q5572">
            <v>-70326.95</v>
          </cell>
          <cell r="T5572">
            <v>0</v>
          </cell>
        </row>
        <row r="5573">
          <cell r="Q5573">
            <v>-70326.95</v>
          </cell>
          <cell r="T5573">
            <v>0</v>
          </cell>
        </row>
        <row r="5574">
          <cell r="Q5574">
            <v>-70326.95</v>
          </cell>
          <cell r="T5574">
            <v>0</v>
          </cell>
        </row>
        <row r="5575">
          <cell r="Q5575">
            <v>-970397.86</v>
          </cell>
          <cell r="T5575">
            <v>0</v>
          </cell>
        </row>
        <row r="5576">
          <cell r="Q5576">
            <v>-70326.95</v>
          </cell>
          <cell r="T5576">
            <v>0</v>
          </cell>
        </row>
        <row r="5577">
          <cell r="Q5577">
            <v>-70326.95</v>
          </cell>
          <cell r="T5577">
            <v>0</v>
          </cell>
        </row>
        <row r="5578">
          <cell r="Q5578">
            <v>-50287.41</v>
          </cell>
          <cell r="T5578">
            <v>0</v>
          </cell>
        </row>
        <row r="5579">
          <cell r="Q5579">
            <v>-50287.41</v>
          </cell>
          <cell r="T5579">
            <v>0</v>
          </cell>
        </row>
        <row r="5580">
          <cell r="Q5580">
            <v>-39700.589999999997</v>
          </cell>
          <cell r="T5580">
            <v>0</v>
          </cell>
        </row>
        <row r="5581">
          <cell r="Q5581">
            <v>-39700.589999999997</v>
          </cell>
          <cell r="T5581">
            <v>0</v>
          </cell>
        </row>
        <row r="5582">
          <cell r="Q5582">
            <v>-39700.589999999997</v>
          </cell>
          <cell r="T5582">
            <v>0</v>
          </cell>
        </row>
        <row r="5583">
          <cell r="Q5583">
            <v>-39700.589999999997</v>
          </cell>
          <cell r="T5583">
            <v>0</v>
          </cell>
        </row>
        <row r="5584">
          <cell r="Q5584">
            <v>-39700.589999999997</v>
          </cell>
          <cell r="T5584">
            <v>0</v>
          </cell>
        </row>
        <row r="5585">
          <cell r="Q5585">
            <v>-39700.589999999997</v>
          </cell>
          <cell r="T5585">
            <v>0</v>
          </cell>
        </row>
        <row r="5586">
          <cell r="Q5586">
            <v>-37053.879999999997</v>
          </cell>
          <cell r="T5586">
            <v>0</v>
          </cell>
        </row>
        <row r="5587">
          <cell r="Q5587">
            <v>-37053.879999999997</v>
          </cell>
          <cell r="T5587">
            <v>0</v>
          </cell>
        </row>
        <row r="5588">
          <cell r="Q5588">
            <v>-37053.879999999997</v>
          </cell>
          <cell r="T5588">
            <v>0</v>
          </cell>
        </row>
        <row r="5589">
          <cell r="Q5589">
            <v>-37053.879999999997</v>
          </cell>
          <cell r="T5589">
            <v>0</v>
          </cell>
        </row>
        <row r="5590">
          <cell r="Q5590">
            <v>-37053.879999999997</v>
          </cell>
          <cell r="T5590">
            <v>0</v>
          </cell>
        </row>
        <row r="5591">
          <cell r="Q5591">
            <v>-37053.879999999997</v>
          </cell>
          <cell r="T5591">
            <v>0</v>
          </cell>
        </row>
        <row r="5592">
          <cell r="Q5592">
            <v>-37053.879999999997</v>
          </cell>
          <cell r="T5592">
            <v>0</v>
          </cell>
        </row>
        <row r="5593">
          <cell r="Q5593">
            <v>-37053.879999999997</v>
          </cell>
          <cell r="T5593">
            <v>0</v>
          </cell>
        </row>
        <row r="5594">
          <cell r="Q5594">
            <v>-37053.879999999997</v>
          </cell>
          <cell r="T5594">
            <v>0</v>
          </cell>
        </row>
        <row r="5595">
          <cell r="Q5595">
            <v>-37053.879999999997</v>
          </cell>
          <cell r="T5595">
            <v>0</v>
          </cell>
        </row>
        <row r="5596">
          <cell r="Q5596">
            <v>-37053.879999999997</v>
          </cell>
          <cell r="T5596">
            <v>0</v>
          </cell>
        </row>
        <row r="5597">
          <cell r="Q5597">
            <v>-37053.879999999997</v>
          </cell>
          <cell r="T5597">
            <v>0</v>
          </cell>
        </row>
        <row r="5598">
          <cell r="Q5598">
            <v>-37053.879999999997</v>
          </cell>
          <cell r="T5598">
            <v>0</v>
          </cell>
        </row>
        <row r="5599">
          <cell r="Q5599">
            <v>-37053.879999999997</v>
          </cell>
          <cell r="T5599">
            <v>0</v>
          </cell>
        </row>
        <row r="5600">
          <cell r="Q5600">
            <v>-37053.879999999997</v>
          </cell>
          <cell r="T5600">
            <v>0</v>
          </cell>
        </row>
        <row r="5601">
          <cell r="Q5601">
            <v>-37053.879999999997</v>
          </cell>
          <cell r="T5601">
            <v>0</v>
          </cell>
        </row>
        <row r="5602">
          <cell r="Q5602">
            <v>-37053.879999999997</v>
          </cell>
          <cell r="T5602">
            <v>0</v>
          </cell>
        </row>
        <row r="5603">
          <cell r="Q5603">
            <v>-37053.879999999997</v>
          </cell>
          <cell r="T5603">
            <v>0</v>
          </cell>
        </row>
        <row r="5604">
          <cell r="Q5604">
            <v>-37053.879999999997</v>
          </cell>
          <cell r="T5604">
            <v>0</v>
          </cell>
        </row>
        <row r="5605">
          <cell r="Q5605">
            <v>-37053.879999999997</v>
          </cell>
          <cell r="T5605">
            <v>0</v>
          </cell>
        </row>
        <row r="5606">
          <cell r="Q5606">
            <v>-37053.879999999997</v>
          </cell>
          <cell r="T5606">
            <v>0</v>
          </cell>
        </row>
        <row r="5607">
          <cell r="Q5607">
            <v>-37053.879999999997</v>
          </cell>
          <cell r="T5607">
            <v>0</v>
          </cell>
        </row>
        <row r="5608">
          <cell r="Q5608">
            <v>-37053.879999999997</v>
          </cell>
          <cell r="T5608">
            <v>0</v>
          </cell>
        </row>
        <row r="5609">
          <cell r="Q5609">
            <v>-37053.879999999997</v>
          </cell>
          <cell r="T5609">
            <v>0</v>
          </cell>
        </row>
        <row r="5610">
          <cell r="Q5610">
            <v>-37053.879999999997</v>
          </cell>
          <cell r="T5610">
            <v>0</v>
          </cell>
        </row>
        <row r="5611">
          <cell r="Q5611">
            <v>-37053.879999999997</v>
          </cell>
          <cell r="T5611">
            <v>0</v>
          </cell>
        </row>
        <row r="5612">
          <cell r="Q5612">
            <v>-37053.879999999997</v>
          </cell>
          <cell r="T5612">
            <v>0</v>
          </cell>
        </row>
        <row r="5613">
          <cell r="Q5613">
            <v>-37053.879999999997</v>
          </cell>
          <cell r="T5613">
            <v>0</v>
          </cell>
        </row>
        <row r="5614">
          <cell r="Q5614">
            <v>-37053.879999999997</v>
          </cell>
          <cell r="T5614">
            <v>0</v>
          </cell>
        </row>
        <row r="5615">
          <cell r="Q5615">
            <v>-47640.71</v>
          </cell>
          <cell r="T5615">
            <v>0</v>
          </cell>
        </row>
        <row r="5616">
          <cell r="Q5616">
            <v>-7940.12</v>
          </cell>
          <cell r="T5616">
            <v>0</v>
          </cell>
        </row>
        <row r="5617">
          <cell r="Q5617">
            <v>-5293.42</v>
          </cell>
          <cell r="T5617">
            <v>0</v>
          </cell>
        </row>
        <row r="5618">
          <cell r="Q5618">
            <v>-7940.12</v>
          </cell>
          <cell r="T5618">
            <v>0</v>
          </cell>
        </row>
        <row r="5619">
          <cell r="Q5619">
            <v>-71461.05</v>
          </cell>
          <cell r="T5619">
            <v>0</v>
          </cell>
        </row>
        <row r="5620">
          <cell r="Q5620">
            <v>-100092.53</v>
          </cell>
          <cell r="T5620">
            <v>0</v>
          </cell>
        </row>
        <row r="5621">
          <cell r="Q5621">
            <v>-100092.53</v>
          </cell>
          <cell r="T5621">
            <v>0</v>
          </cell>
        </row>
        <row r="5622">
          <cell r="Q5622">
            <v>-237683.94</v>
          </cell>
          <cell r="T5622">
            <v>0</v>
          </cell>
        </row>
        <row r="5623">
          <cell r="Q5623">
            <v>-17799.669999999998</v>
          </cell>
          <cell r="T5623">
            <v>0</v>
          </cell>
        </row>
        <row r="5624">
          <cell r="Q5624">
            <v>-5653.11</v>
          </cell>
          <cell r="T5624">
            <v>0</v>
          </cell>
        </row>
        <row r="5625">
          <cell r="Q5625">
            <v>-237683.94</v>
          </cell>
          <cell r="T5625">
            <v>0</v>
          </cell>
        </row>
        <row r="5626">
          <cell r="Q5626">
            <v>-151499.09</v>
          </cell>
          <cell r="T5626">
            <v>0</v>
          </cell>
        </row>
        <row r="5627">
          <cell r="Q5627">
            <v>-81406.2</v>
          </cell>
          <cell r="T5627">
            <v>0</v>
          </cell>
        </row>
        <row r="5628">
          <cell r="Q5628">
            <v>-4900.54</v>
          </cell>
          <cell r="T5628">
            <v>0</v>
          </cell>
        </row>
        <row r="5629">
          <cell r="Q5629">
            <v>-1635524.07</v>
          </cell>
          <cell r="T5629">
            <v>0</v>
          </cell>
        </row>
        <row r="5630">
          <cell r="Q5630">
            <v>-44777.32</v>
          </cell>
          <cell r="T5630">
            <v>0</v>
          </cell>
        </row>
        <row r="5631">
          <cell r="Q5631">
            <v>-412667.8</v>
          </cell>
          <cell r="T5631">
            <v>0</v>
          </cell>
        </row>
        <row r="5632">
          <cell r="Q5632">
            <v>-114850.08</v>
          </cell>
          <cell r="T5632">
            <v>0</v>
          </cell>
        </row>
        <row r="5633">
          <cell r="Q5633">
            <v>-1099113.05</v>
          </cell>
          <cell r="T5633">
            <v>0</v>
          </cell>
        </row>
        <row r="5634">
          <cell r="Q5634">
            <v>-531510.71</v>
          </cell>
          <cell r="T5634">
            <v>0</v>
          </cell>
        </row>
        <row r="5635">
          <cell r="Q5635">
            <v>-123456.28</v>
          </cell>
          <cell r="T5635">
            <v>0</v>
          </cell>
        </row>
        <row r="5636">
          <cell r="Q5636">
            <v>-522477.07</v>
          </cell>
          <cell r="T5636">
            <v>0</v>
          </cell>
        </row>
        <row r="5637">
          <cell r="Q5637">
            <v>-749202.44</v>
          </cell>
          <cell r="T5637">
            <v>0</v>
          </cell>
        </row>
        <row r="5638">
          <cell r="Q5638">
            <v>-44159.13</v>
          </cell>
          <cell r="T5638">
            <v>0</v>
          </cell>
        </row>
        <row r="5639">
          <cell r="Q5639">
            <v>-33270.06</v>
          </cell>
          <cell r="T5639">
            <v>0</v>
          </cell>
        </row>
        <row r="5640">
          <cell r="Q5640">
            <v>-32364.87</v>
          </cell>
          <cell r="T5640">
            <v>0</v>
          </cell>
        </row>
        <row r="5641">
          <cell r="Q5641">
            <v>-32338.400000000001</v>
          </cell>
          <cell r="T5641">
            <v>0</v>
          </cell>
        </row>
        <row r="5642">
          <cell r="Q5642">
            <v>-763.97</v>
          </cell>
          <cell r="T5642">
            <v>0</v>
          </cell>
        </row>
        <row r="5643">
          <cell r="Q5643">
            <v>-359356.71</v>
          </cell>
          <cell r="T5643">
            <v>0</v>
          </cell>
        </row>
        <row r="5644">
          <cell r="Q5644">
            <v>-56217.78</v>
          </cell>
          <cell r="T5644">
            <v>0</v>
          </cell>
        </row>
        <row r="5645">
          <cell r="Q5645">
            <v>-56217.78</v>
          </cell>
          <cell r="T5645">
            <v>0</v>
          </cell>
        </row>
        <row r="5646">
          <cell r="Q5646">
            <v>-56217.78</v>
          </cell>
          <cell r="T5646">
            <v>0</v>
          </cell>
        </row>
        <row r="5647">
          <cell r="Q5647">
            <v>-58928.62</v>
          </cell>
          <cell r="T5647">
            <v>0</v>
          </cell>
        </row>
        <row r="5648">
          <cell r="Q5648">
            <v>-589286.17000000004</v>
          </cell>
          <cell r="T5648">
            <v>0</v>
          </cell>
        </row>
        <row r="5649">
          <cell r="Q5649">
            <v>-8205.15</v>
          </cell>
          <cell r="T5649">
            <v>0</v>
          </cell>
        </row>
        <row r="5650">
          <cell r="Q5650">
            <v>-8205.15</v>
          </cell>
          <cell r="T5650">
            <v>0</v>
          </cell>
        </row>
        <row r="5651">
          <cell r="Q5651">
            <v>-6698.08</v>
          </cell>
          <cell r="T5651">
            <v>0</v>
          </cell>
        </row>
        <row r="5652">
          <cell r="Q5652">
            <v>-40908.93</v>
          </cell>
          <cell r="T5652">
            <v>0</v>
          </cell>
        </row>
        <row r="5653">
          <cell r="Q5653">
            <v>-53693.2</v>
          </cell>
          <cell r="T5653">
            <v>0</v>
          </cell>
        </row>
        <row r="5654">
          <cell r="Q5654">
            <v>-53693.2</v>
          </cell>
          <cell r="T5654">
            <v>0</v>
          </cell>
        </row>
        <row r="5655">
          <cell r="Q5655">
            <v>-39039.72</v>
          </cell>
          <cell r="T5655">
            <v>0</v>
          </cell>
        </row>
        <row r="5656">
          <cell r="Q5656">
            <v>-40101.980000000003</v>
          </cell>
          <cell r="T5656">
            <v>0</v>
          </cell>
        </row>
        <row r="5657">
          <cell r="Q5657">
            <v>-105053.73</v>
          </cell>
          <cell r="T5657">
            <v>0</v>
          </cell>
        </row>
        <row r="5658">
          <cell r="Q5658">
            <v>-40596.6</v>
          </cell>
          <cell r="T5658">
            <v>0</v>
          </cell>
        </row>
        <row r="5659">
          <cell r="Q5659">
            <v>-1349532.5</v>
          </cell>
          <cell r="T5659">
            <v>0</v>
          </cell>
        </row>
        <row r="5660">
          <cell r="Q5660">
            <v>-744097.34</v>
          </cell>
          <cell r="T5660">
            <v>0</v>
          </cell>
        </row>
        <row r="5661">
          <cell r="Q5661">
            <v>-224319.87</v>
          </cell>
          <cell r="T5661">
            <v>0</v>
          </cell>
        </row>
        <row r="5662">
          <cell r="Q5662">
            <v>-224319.87</v>
          </cell>
          <cell r="T5662">
            <v>0</v>
          </cell>
        </row>
        <row r="5663">
          <cell r="Q5663">
            <v>-224319.87</v>
          </cell>
          <cell r="T5663">
            <v>0</v>
          </cell>
        </row>
        <row r="5664">
          <cell r="Q5664">
            <v>-28944.639999999999</v>
          </cell>
          <cell r="T5664">
            <v>0</v>
          </cell>
        </row>
        <row r="5665">
          <cell r="Q5665">
            <v>-28944.639999999999</v>
          </cell>
          <cell r="T5665">
            <v>0</v>
          </cell>
        </row>
        <row r="5666">
          <cell r="Q5666">
            <v>-24711.35</v>
          </cell>
          <cell r="T5666">
            <v>0</v>
          </cell>
        </row>
        <row r="5667">
          <cell r="Q5667">
            <v>-74613.62</v>
          </cell>
          <cell r="T5667">
            <v>0</v>
          </cell>
        </row>
        <row r="5668">
          <cell r="Q5668">
            <v>-36469.01</v>
          </cell>
          <cell r="T5668">
            <v>0</v>
          </cell>
        </row>
        <row r="5669">
          <cell r="Q5669">
            <v>-36469.01</v>
          </cell>
          <cell r="T5669">
            <v>0</v>
          </cell>
        </row>
        <row r="5670">
          <cell r="Q5670">
            <v>-36469.01</v>
          </cell>
          <cell r="T5670">
            <v>0</v>
          </cell>
        </row>
        <row r="5671">
          <cell r="Q5671">
            <v>-36458.239999999998</v>
          </cell>
          <cell r="T5671">
            <v>0</v>
          </cell>
        </row>
        <row r="5672">
          <cell r="Q5672">
            <v>-33822.769999999997</v>
          </cell>
          <cell r="T5672">
            <v>0</v>
          </cell>
        </row>
        <row r="5673">
          <cell r="Q5673">
            <v>-79796.600000000006</v>
          </cell>
          <cell r="T5673">
            <v>0</v>
          </cell>
        </row>
        <row r="5674">
          <cell r="Q5674">
            <v>-2002.02</v>
          </cell>
          <cell r="T5674">
            <v>0</v>
          </cell>
        </row>
        <row r="5675">
          <cell r="Q5675">
            <v>-21070.83</v>
          </cell>
          <cell r="T5675">
            <v>0</v>
          </cell>
        </row>
        <row r="5676">
          <cell r="Q5676">
            <v>-31418.1</v>
          </cell>
          <cell r="T5676">
            <v>0</v>
          </cell>
        </row>
        <row r="5677">
          <cell r="Q5677">
            <v>-40968.129999999997</v>
          </cell>
          <cell r="T5677">
            <v>0</v>
          </cell>
        </row>
        <row r="5678">
          <cell r="Q5678">
            <v>-13630.8</v>
          </cell>
          <cell r="T5678">
            <v>0</v>
          </cell>
        </row>
        <row r="5679">
          <cell r="Q5679">
            <v>-6516.67</v>
          </cell>
          <cell r="T5679">
            <v>0</v>
          </cell>
        </row>
        <row r="5680">
          <cell r="Q5680">
            <v>-10924.42</v>
          </cell>
          <cell r="T5680">
            <v>0</v>
          </cell>
        </row>
        <row r="5681">
          <cell r="Q5681">
            <v>-6041.87</v>
          </cell>
          <cell r="T5681">
            <v>0</v>
          </cell>
        </row>
        <row r="5682">
          <cell r="Q5682">
            <v>-6041.87</v>
          </cell>
          <cell r="T5682">
            <v>0</v>
          </cell>
        </row>
        <row r="5683">
          <cell r="Q5683">
            <v>-5867.77</v>
          </cell>
          <cell r="T5683">
            <v>0</v>
          </cell>
        </row>
        <row r="5684">
          <cell r="Q5684">
            <v>-6813.42</v>
          </cell>
          <cell r="T5684">
            <v>0</v>
          </cell>
        </row>
        <row r="5685">
          <cell r="Q5685">
            <v>0</v>
          </cell>
          <cell r="T5685">
            <v>0</v>
          </cell>
        </row>
        <row r="5686">
          <cell r="Q5686">
            <v>-5491.89</v>
          </cell>
          <cell r="T5686">
            <v>0</v>
          </cell>
        </row>
        <row r="5687">
          <cell r="Q5687">
            <v>-6041.87</v>
          </cell>
          <cell r="T5687">
            <v>0</v>
          </cell>
        </row>
        <row r="5688">
          <cell r="Q5688">
            <v>-6026.04</v>
          </cell>
          <cell r="T5688">
            <v>0</v>
          </cell>
        </row>
        <row r="5689">
          <cell r="Q5689">
            <v>-6548.32</v>
          </cell>
          <cell r="T5689">
            <v>0</v>
          </cell>
        </row>
        <row r="5690">
          <cell r="Q5690">
            <v>-6176.4</v>
          </cell>
          <cell r="T5690">
            <v>0</v>
          </cell>
        </row>
        <row r="5691">
          <cell r="Q5691">
            <v>-4973.5600000000004</v>
          </cell>
          <cell r="T5691">
            <v>0</v>
          </cell>
        </row>
        <row r="5692">
          <cell r="Q5692">
            <v>-5246.57</v>
          </cell>
          <cell r="T5692">
            <v>0</v>
          </cell>
        </row>
        <row r="5693">
          <cell r="Q5693">
            <v>-5080.3900000000003</v>
          </cell>
          <cell r="T5693">
            <v>0</v>
          </cell>
        </row>
        <row r="5694">
          <cell r="Q5694">
            <v>-5669.94</v>
          </cell>
          <cell r="T5694">
            <v>0</v>
          </cell>
        </row>
        <row r="5695">
          <cell r="Q5695">
            <v>-6963.78</v>
          </cell>
          <cell r="T5695">
            <v>0</v>
          </cell>
        </row>
        <row r="5696">
          <cell r="Q5696">
            <v>-24110.87</v>
          </cell>
          <cell r="T5696">
            <v>0</v>
          </cell>
        </row>
        <row r="5697">
          <cell r="Q5697">
            <v>-4798.75</v>
          </cell>
          <cell r="T5697">
            <v>0</v>
          </cell>
        </row>
        <row r="5698">
          <cell r="Q5698">
            <v>-2805.64</v>
          </cell>
          <cell r="T5698">
            <v>0</v>
          </cell>
        </row>
        <row r="5699">
          <cell r="Q5699">
            <v>-10424.66</v>
          </cell>
          <cell r="T5699">
            <v>0</v>
          </cell>
        </row>
        <row r="5700">
          <cell r="Q5700">
            <v>-1670028.33</v>
          </cell>
          <cell r="T5700">
            <v>0</v>
          </cell>
        </row>
        <row r="5701">
          <cell r="Q5701">
            <v>-289614.59000000003</v>
          </cell>
          <cell r="T5701">
            <v>0</v>
          </cell>
        </row>
        <row r="5702">
          <cell r="Q5702">
            <v>-261560.76</v>
          </cell>
          <cell r="T5702">
            <v>0</v>
          </cell>
        </row>
        <row r="5703">
          <cell r="Q5703">
            <v>-105841.47</v>
          </cell>
          <cell r="T5703">
            <v>0</v>
          </cell>
        </row>
        <row r="5704">
          <cell r="Q5704">
            <v>-36401.550000000003</v>
          </cell>
          <cell r="T5704">
            <v>0</v>
          </cell>
        </row>
        <row r="5705">
          <cell r="Q5705">
            <v>-8891.6</v>
          </cell>
          <cell r="T5705">
            <v>0</v>
          </cell>
        </row>
        <row r="5706">
          <cell r="Q5706">
            <v>-79640.25</v>
          </cell>
          <cell r="T5706">
            <v>0</v>
          </cell>
        </row>
        <row r="5707">
          <cell r="Q5707">
            <v>-38815.800000000003</v>
          </cell>
          <cell r="T5707">
            <v>0</v>
          </cell>
        </row>
        <row r="5708">
          <cell r="Q5708">
            <v>-39766.92</v>
          </cell>
          <cell r="T5708">
            <v>0</v>
          </cell>
        </row>
        <row r="5709">
          <cell r="Q5709">
            <v>-4434.8900000000003</v>
          </cell>
          <cell r="T5709">
            <v>0</v>
          </cell>
        </row>
        <row r="5710">
          <cell r="Q5710">
            <v>-44918.239999999998</v>
          </cell>
          <cell r="T5710">
            <v>0</v>
          </cell>
        </row>
        <row r="5711">
          <cell r="Q5711">
            <v>-412567.65</v>
          </cell>
          <cell r="T5711">
            <v>0</v>
          </cell>
        </row>
        <row r="5712">
          <cell r="Q5712">
            <v>-1880624.97</v>
          </cell>
          <cell r="T5712">
            <v>0</v>
          </cell>
        </row>
        <row r="5713">
          <cell r="Q5713">
            <v>-5916.86</v>
          </cell>
          <cell r="T5713">
            <v>0</v>
          </cell>
        </row>
        <row r="5714">
          <cell r="Q5714">
            <v>-4678.6899999999996</v>
          </cell>
          <cell r="T5714">
            <v>0</v>
          </cell>
        </row>
        <row r="5715">
          <cell r="Q5715">
            <v>-13455.07</v>
          </cell>
          <cell r="T5715">
            <v>0</v>
          </cell>
        </row>
        <row r="5716">
          <cell r="Q5716">
            <v>-2043.48</v>
          </cell>
          <cell r="T5716">
            <v>0</v>
          </cell>
        </row>
        <row r="5717">
          <cell r="Q5717">
            <v>-75916.72</v>
          </cell>
          <cell r="T5717">
            <v>0</v>
          </cell>
        </row>
        <row r="5718">
          <cell r="Q5718">
            <v>-2275.5</v>
          </cell>
          <cell r="T5718">
            <v>0</v>
          </cell>
        </row>
        <row r="5719">
          <cell r="Q5719">
            <v>-52926.04</v>
          </cell>
          <cell r="T5719">
            <v>0</v>
          </cell>
        </row>
        <row r="5720">
          <cell r="Q5720">
            <v>-28973.94</v>
          </cell>
          <cell r="T5720">
            <v>0</v>
          </cell>
        </row>
        <row r="5721">
          <cell r="Q5721">
            <v>-28973.94</v>
          </cell>
          <cell r="T5721">
            <v>0</v>
          </cell>
        </row>
        <row r="5722">
          <cell r="Q5722">
            <v>-29409.64</v>
          </cell>
          <cell r="T5722">
            <v>0</v>
          </cell>
        </row>
        <row r="5723">
          <cell r="Q5723">
            <v>-29409.64</v>
          </cell>
          <cell r="T5723">
            <v>0</v>
          </cell>
        </row>
        <row r="5724">
          <cell r="Q5724">
            <v>-32722.44</v>
          </cell>
          <cell r="T5724">
            <v>0</v>
          </cell>
        </row>
        <row r="5725">
          <cell r="Q5725">
            <v>-10022.620000000001</v>
          </cell>
          <cell r="T5725">
            <v>0</v>
          </cell>
        </row>
        <row r="5726">
          <cell r="Q5726">
            <v>-34714.49</v>
          </cell>
          <cell r="T5726">
            <v>0</v>
          </cell>
        </row>
        <row r="5727">
          <cell r="Q5727">
            <v>-1427.14</v>
          </cell>
          <cell r="T5727">
            <v>0</v>
          </cell>
        </row>
        <row r="5728">
          <cell r="Q5728">
            <v>-3382</v>
          </cell>
          <cell r="T5728">
            <v>0</v>
          </cell>
        </row>
        <row r="5729">
          <cell r="Q5729">
            <v>-1637.6</v>
          </cell>
          <cell r="T5729">
            <v>0</v>
          </cell>
        </row>
        <row r="5730">
          <cell r="Q5730">
            <v>-81803.33</v>
          </cell>
          <cell r="T5730">
            <v>0</v>
          </cell>
        </row>
        <row r="5731">
          <cell r="Q5731">
            <v>-66931.5</v>
          </cell>
          <cell r="T5731">
            <v>0</v>
          </cell>
        </row>
        <row r="5732">
          <cell r="Q5732">
            <v>-82592</v>
          </cell>
          <cell r="T5732">
            <v>0</v>
          </cell>
        </row>
        <row r="5733">
          <cell r="Q5733">
            <v>-1008619.67</v>
          </cell>
          <cell r="T5733">
            <v>0</v>
          </cell>
        </row>
        <row r="5734">
          <cell r="Q5734">
            <v>-1129654.03</v>
          </cell>
          <cell r="T5734">
            <v>0</v>
          </cell>
        </row>
        <row r="5735">
          <cell r="Q5735">
            <v>-564827.02</v>
          </cell>
          <cell r="T5735">
            <v>0</v>
          </cell>
        </row>
        <row r="5736">
          <cell r="Q5736">
            <v>-141206.75</v>
          </cell>
          <cell r="T5736">
            <v>0</v>
          </cell>
        </row>
        <row r="5737">
          <cell r="Q5737">
            <v>-94137.83</v>
          </cell>
          <cell r="T5737">
            <v>0</v>
          </cell>
        </row>
        <row r="5738">
          <cell r="Q5738">
            <v>-9050.49</v>
          </cell>
          <cell r="T5738">
            <v>0</v>
          </cell>
        </row>
        <row r="5739">
          <cell r="Q5739">
            <v>-8937.44</v>
          </cell>
          <cell r="T5739">
            <v>0</v>
          </cell>
        </row>
        <row r="5740">
          <cell r="Q5740">
            <v>-4277.3900000000003</v>
          </cell>
          <cell r="T5740">
            <v>0</v>
          </cell>
        </row>
        <row r="5741">
          <cell r="Q5741">
            <v>-30719.23</v>
          </cell>
          <cell r="T5741">
            <v>0</v>
          </cell>
        </row>
        <row r="5742">
          <cell r="Q5742">
            <v>-12194.4</v>
          </cell>
          <cell r="T5742">
            <v>0</v>
          </cell>
        </row>
        <row r="5743">
          <cell r="Q5743">
            <v>-263709.65999999997</v>
          </cell>
          <cell r="T5743">
            <v>0</v>
          </cell>
        </row>
        <row r="5744">
          <cell r="Q5744">
            <v>-64681.86</v>
          </cell>
          <cell r="T5744">
            <v>0</v>
          </cell>
        </row>
        <row r="5745">
          <cell r="Q5745">
            <v>-41489.440000000002</v>
          </cell>
          <cell r="T5745">
            <v>0</v>
          </cell>
        </row>
        <row r="5746">
          <cell r="Q5746">
            <v>-2439.33</v>
          </cell>
          <cell r="T5746">
            <v>0</v>
          </cell>
        </row>
        <row r="5747">
          <cell r="Q5747">
            <v>-2385.46</v>
          </cell>
          <cell r="T5747">
            <v>0</v>
          </cell>
        </row>
        <row r="5748">
          <cell r="Q5748">
            <v>-493.1</v>
          </cell>
          <cell r="T5748">
            <v>0</v>
          </cell>
        </row>
        <row r="5749">
          <cell r="Q5749">
            <v>-923.45</v>
          </cell>
          <cell r="T5749">
            <v>0</v>
          </cell>
        </row>
        <row r="5750">
          <cell r="Q5750">
            <v>-1248.77</v>
          </cell>
          <cell r="T5750">
            <v>0</v>
          </cell>
        </row>
        <row r="5751">
          <cell r="Q5751">
            <v>-992.61</v>
          </cell>
          <cell r="T5751">
            <v>0</v>
          </cell>
        </row>
        <row r="5752">
          <cell r="Q5752">
            <v>-1600.98</v>
          </cell>
          <cell r="T5752">
            <v>0</v>
          </cell>
        </row>
        <row r="5753">
          <cell r="Q5753">
            <v>-1590.14</v>
          </cell>
          <cell r="T5753">
            <v>0</v>
          </cell>
        </row>
        <row r="5754">
          <cell r="Q5754">
            <v>-46364.49</v>
          </cell>
          <cell r="T5754">
            <v>0</v>
          </cell>
        </row>
        <row r="5755">
          <cell r="Q5755">
            <v>-9735.74</v>
          </cell>
          <cell r="T5755">
            <v>0</v>
          </cell>
        </row>
        <row r="5756">
          <cell r="Q5756">
            <v>-19329.84</v>
          </cell>
          <cell r="T5756">
            <v>0</v>
          </cell>
        </row>
        <row r="5757">
          <cell r="Q5757">
            <v>-7451.68</v>
          </cell>
          <cell r="T5757">
            <v>0</v>
          </cell>
        </row>
        <row r="5758">
          <cell r="Q5758">
            <v>-29137.9</v>
          </cell>
          <cell r="T5758">
            <v>0</v>
          </cell>
        </row>
        <row r="5759">
          <cell r="Q5759">
            <v>-29137.9</v>
          </cell>
          <cell r="T5759">
            <v>0</v>
          </cell>
        </row>
        <row r="5760">
          <cell r="Q5760">
            <v>-8804.66</v>
          </cell>
          <cell r="T5760">
            <v>0</v>
          </cell>
        </row>
        <row r="5761">
          <cell r="Q5761">
            <v>-50871.34</v>
          </cell>
          <cell r="T5761">
            <v>0</v>
          </cell>
        </row>
        <row r="5762">
          <cell r="Q5762">
            <v>-23315.07</v>
          </cell>
          <cell r="T5762">
            <v>0</v>
          </cell>
        </row>
        <row r="5763">
          <cell r="Q5763">
            <v>-23315.07</v>
          </cell>
          <cell r="T5763">
            <v>0</v>
          </cell>
        </row>
        <row r="5764">
          <cell r="Q5764">
            <v>-23315.07</v>
          </cell>
          <cell r="T5764">
            <v>0</v>
          </cell>
        </row>
        <row r="5765">
          <cell r="Q5765">
            <v>-17911.669999999998</v>
          </cell>
          <cell r="T5765">
            <v>0</v>
          </cell>
        </row>
        <row r="5766">
          <cell r="Q5766">
            <v>-17911.669999999998</v>
          </cell>
          <cell r="T5766">
            <v>0</v>
          </cell>
        </row>
        <row r="5767">
          <cell r="Q5767">
            <v>-17911.669999999998</v>
          </cell>
          <cell r="T5767">
            <v>0</v>
          </cell>
        </row>
        <row r="5768">
          <cell r="Q5768">
            <v>-10017.530000000001</v>
          </cell>
          <cell r="T5768">
            <v>0</v>
          </cell>
        </row>
        <row r="5769">
          <cell r="Q5769">
            <v>-23222.36</v>
          </cell>
          <cell r="T5769">
            <v>0</v>
          </cell>
        </row>
        <row r="5770">
          <cell r="Q5770">
            <v>-14552.44</v>
          </cell>
          <cell r="T5770">
            <v>0</v>
          </cell>
        </row>
        <row r="5771">
          <cell r="Q5771">
            <v>-4181.92</v>
          </cell>
          <cell r="T5771">
            <v>0</v>
          </cell>
        </row>
        <row r="5772">
          <cell r="Q5772">
            <v>-13333.37</v>
          </cell>
          <cell r="T5772">
            <v>0</v>
          </cell>
        </row>
        <row r="5773">
          <cell r="Q5773">
            <v>-5506.45</v>
          </cell>
          <cell r="T5773">
            <v>0</v>
          </cell>
        </row>
        <row r="5774">
          <cell r="Q5774">
            <v>-5750.14</v>
          </cell>
          <cell r="T5774">
            <v>0</v>
          </cell>
        </row>
        <row r="5775">
          <cell r="Q5775">
            <v>-3941.48</v>
          </cell>
          <cell r="T5775">
            <v>0</v>
          </cell>
        </row>
        <row r="5776">
          <cell r="Q5776">
            <v>-1041.67</v>
          </cell>
          <cell r="T5776">
            <v>0</v>
          </cell>
        </row>
        <row r="5777">
          <cell r="Q5777">
            <v>-51881.75</v>
          </cell>
          <cell r="T5777">
            <v>0</v>
          </cell>
        </row>
        <row r="5778">
          <cell r="Q5778">
            <v>-19923.77</v>
          </cell>
          <cell r="T5778">
            <v>0</v>
          </cell>
        </row>
        <row r="5779">
          <cell r="Q5779">
            <v>-4144.1099999999997</v>
          </cell>
          <cell r="T5779">
            <v>0</v>
          </cell>
        </row>
        <row r="5780">
          <cell r="Q5780">
            <v>-17526.11</v>
          </cell>
          <cell r="T5780">
            <v>0</v>
          </cell>
        </row>
        <row r="5781">
          <cell r="Q5781">
            <v>-15110.21</v>
          </cell>
          <cell r="T5781">
            <v>0</v>
          </cell>
        </row>
        <row r="5782">
          <cell r="Q5782">
            <v>-15110.21</v>
          </cell>
          <cell r="T5782">
            <v>0</v>
          </cell>
        </row>
        <row r="5783">
          <cell r="Q5783">
            <v>-15110.21</v>
          </cell>
          <cell r="T5783">
            <v>0</v>
          </cell>
        </row>
        <row r="5784">
          <cell r="Q5784">
            <v>-7228.6</v>
          </cell>
          <cell r="T5784">
            <v>0</v>
          </cell>
        </row>
        <row r="5785">
          <cell r="Q5785">
            <v>-21357.599999999999</v>
          </cell>
          <cell r="T5785">
            <v>0</v>
          </cell>
        </row>
        <row r="5786">
          <cell r="Q5786">
            <v>-21950.76</v>
          </cell>
          <cell r="T5786">
            <v>0</v>
          </cell>
        </row>
        <row r="5787">
          <cell r="Q5787">
            <v>-20806.61</v>
          </cell>
          <cell r="T5787">
            <v>0</v>
          </cell>
        </row>
        <row r="5788">
          <cell r="Q5788">
            <v>-16908.71</v>
          </cell>
          <cell r="T5788">
            <v>0</v>
          </cell>
        </row>
        <row r="5789">
          <cell r="Q5789">
            <v>-13371.42</v>
          </cell>
          <cell r="T5789">
            <v>0</v>
          </cell>
        </row>
        <row r="5790">
          <cell r="Q5790">
            <v>-5696.35</v>
          </cell>
          <cell r="T5790">
            <v>0</v>
          </cell>
        </row>
        <row r="5791">
          <cell r="Q5791">
            <v>-19922.41</v>
          </cell>
          <cell r="T5791">
            <v>0</v>
          </cell>
        </row>
        <row r="5792">
          <cell r="Q5792">
            <v>-14049.15</v>
          </cell>
          <cell r="T5792">
            <v>0</v>
          </cell>
        </row>
        <row r="5793">
          <cell r="Q5793">
            <v>-12656.67</v>
          </cell>
          <cell r="T5793">
            <v>0</v>
          </cell>
        </row>
        <row r="5794">
          <cell r="Q5794">
            <v>-13483.95</v>
          </cell>
          <cell r="T5794">
            <v>0</v>
          </cell>
        </row>
        <row r="5795">
          <cell r="Q5795">
            <v>-13483.95</v>
          </cell>
          <cell r="T5795">
            <v>0</v>
          </cell>
        </row>
        <row r="5796">
          <cell r="Q5796">
            <v>-12781</v>
          </cell>
          <cell r="T5796">
            <v>0</v>
          </cell>
        </row>
        <row r="5797">
          <cell r="Q5797">
            <v>-13356.14</v>
          </cell>
          <cell r="T5797">
            <v>0</v>
          </cell>
        </row>
        <row r="5798">
          <cell r="Q5798">
            <v>-19922.41</v>
          </cell>
          <cell r="T5798">
            <v>0</v>
          </cell>
        </row>
        <row r="5799">
          <cell r="Q5799">
            <v>-15337.42</v>
          </cell>
          <cell r="T5799">
            <v>0</v>
          </cell>
        </row>
        <row r="5800">
          <cell r="Q5800">
            <v>-25650.52</v>
          </cell>
          <cell r="T5800">
            <v>0</v>
          </cell>
        </row>
        <row r="5801">
          <cell r="Q5801">
            <v>-13483.95</v>
          </cell>
          <cell r="T5801">
            <v>0</v>
          </cell>
        </row>
        <row r="5802">
          <cell r="Q5802">
            <v>-12781</v>
          </cell>
          <cell r="T5802">
            <v>0</v>
          </cell>
        </row>
        <row r="5803">
          <cell r="Q5803">
            <v>-12781</v>
          </cell>
          <cell r="T5803">
            <v>0</v>
          </cell>
        </row>
        <row r="5804">
          <cell r="Q5804">
            <v>-13929.92</v>
          </cell>
          <cell r="T5804">
            <v>0</v>
          </cell>
        </row>
        <row r="5805">
          <cell r="Q5805">
            <v>-1446.41</v>
          </cell>
          <cell r="T5805">
            <v>0</v>
          </cell>
        </row>
        <row r="5806">
          <cell r="Q5806">
            <v>-16685.150000000001</v>
          </cell>
          <cell r="T5806">
            <v>0</v>
          </cell>
        </row>
        <row r="5807">
          <cell r="Q5807">
            <v>-27649.33</v>
          </cell>
          <cell r="T5807">
            <v>0</v>
          </cell>
        </row>
        <row r="5808">
          <cell r="Q5808">
            <v>-27649.33</v>
          </cell>
          <cell r="T5808">
            <v>0</v>
          </cell>
        </row>
        <row r="5809">
          <cell r="Q5809">
            <v>-6972.84</v>
          </cell>
          <cell r="T5809">
            <v>0</v>
          </cell>
        </row>
        <row r="5810">
          <cell r="Q5810">
            <v>-22110.91</v>
          </cell>
          <cell r="T5810">
            <v>0</v>
          </cell>
        </row>
        <row r="5811">
          <cell r="Q5811">
            <v>-21069.37</v>
          </cell>
          <cell r="T5811">
            <v>0</v>
          </cell>
        </row>
        <row r="5812">
          <cell r="Q5812">
            <v>-11344.62</v>
          </cell>
          <cell r="T5812">
            <v>0</v>
          </cell>
        </row>
        <row r="5813">
          <cell r="Q5813">
            <v>-10167.34</v>
          </cell>
          <cell r="T5813">
            <v>0</v>
          </cell>
        </row>
        <row r="5814">
          <cell r="Q5814">
            <v>-11665.49</v>
          </cell>
          <cell r="T5814">
            <v>0</v>
          </cell>
        </row>
        <row r="5815">
          <cell r="Q5815">
            <v>-12051.42</v>
          </cell>
          <cell r="T5815">
            <v>0</v>
          </cell>
        </row>
        <row r="5816">
          <cell r="Q5816">
            <v>-30853</v>
          </cell>
          <cell r="T5816">
            <v>0</v>
          </cell>
        </row>
        <row r="5817">
          <cell r="Q5817">
            <v>-30853</v>
          </cell>
          <cell r="T5817">
            <v>0</v>
          </cell>
        </row>
        <row r="5818">
          <cell r="Q5818">
            <v>-30853</v>
          </cell>
          <cell r="T5818">
            <v>0</v>
          </cell>
        </row>
        <row r="5819">
          <cell r="Q5819">
            <v>-30853</v>
          </cell>
          <cell r="T5819">
            <v>0</v>
          </cell>
        </row>
        <row r="5820">
          <cell r="Q5820">
            <v>-11052.05</v>
          </cell>
          <cell r="T5820">
            <v>0</v>
          </cell>
        </row>
        <row r="5821">
          <cell r="Q5821">
            <v>-23430.36</v>
          </cell>
          <cell r="T5821">
            <v>0</v>
          </cell>
        </row>
        <row r="5822">
          <cell r="Q5822">
            <v>-30544</v>
          </cell>
          <cell r="T5822">
            <v>0</v>
          </cell>
        </row>
        <row r="5823">
          <cell r="Q5823">
            <v>-4987.97</v>
          </cell>
          <cell r="T5823">
            <v>0</v>
          </cell>
        </row>
        <row r="5824">
          <cell r="Q5824">
            <v>-11077.16</v>
          </cell>
          <cell r="T5824">
            <v>0</v>
          </cell>
        </row>
        <row r="5825">
          <cell r="Q5825">
            <v>-29462.799999999999</v>
          </cell>
          <cell r="T5825">
            <v>0</v>
          </cell>
        </row>
        <row r="5826">
          <cell r="Q5826">
            <v>-29462.799999999999</v>
          </cell>
          <cell r="T5826">
            <v>0</v>
          </cell>
        </row>
        <row r="5827">
          <cell r="Q5827">
            <v>-12670.69</v>
          </cell>
          <cell r="T5827">
            <v>0</v>
          </cell>
        </row>
        <row r="5828">
          <cell r="Q5828">
            <v>-10415.19</v>
          </cell>
          <cell r="T5828">
            <v>0</v>
          </cell>
        </row>
        <row r="5829">
          <cell r="Q5829">
            <v>-11291.29</v>
          </cell>
          <cell r="T5829">
            <v>0</v>
          </cell>
        </row>
        <row r="5830">
          <cell r="Q5830">
            <v>-11291.29</v>
          </cell>
          <cell r="T5830">
            <v>0</v>
          </cell>
        </row>
        <row r="5831">
          <cell r="Q5831">
            <v>-11291.29</v>
          </cell>
          <cell r="T5831">
            <v>0</v>
          </cell>
        </row>
        <row r="5832">
          <cell r="Q5832">
            <v>-11291.29</v>
          </cell>
          <cell r="T5832">
            <v>0</v>
          </cell>
        </row>
        <row r="5833">
          <cell r="Q5833">
            <v>-5194</v>
          </cell>
          <cell r="T5833">
            <v>0</v>
          </cell>
        </row>
        <row r="5834">
          <cell r="Q5834">
            <v>-10313.799999999999</v>
          </cell>
          <cell r="T5834">
            <v>0</v>
          </cell>
        </row>
        <row r="5835">
          <cell r="Q5835">
            <v>-12849.49</v>
          </cell>
          <cell r="T5835">
            <v>0</v>
          </cell>
        </row>
        <row r="5836">
          <cell r="Q5836">
            <v>-5288.68</v>
          </cell>
          <cell r="T5836">
            <v>0</v>
          </cell>
        </row>
        <row r="5837">
          <cell r="Q5837">
            <v>-10194.299999999999</v>
          </cell>
          <cell r="T5837">
            <v>0</v>
          </cell>
        </row>
        <row r="5838">
          <cell r="Q5838">
            <v>-645.53</v>
          </cell>
          <cell r="T5838">
            <v>0</v>
          </cell>
        </row>
        <row r="5839">
          <cell r="Q5839">
            <v>-4988.18</v>
          </cell>
          <cell r="T5839">
            <v>0</v>
          </cell>
        </row>
        <row r="5840">
          <cell r="Q5840">
            <v>-8386.56</v>
          </cell>
          <cell r="T5840">
            <v>0</v>
          </cell>
        </row>
        <row r="5841">
          <cell r="Q5841">
            <v>-95302.37</v>
          </cell>
          <cell r="T5841">
            <v>0</v>
          </cell>
        </row>
        <row r="5842">
          <cell r="Q5842">
            <v>-21475.07</v>
          </cell>
          <cell r="T5842">
            <v>0</v>
          </cell>
        </row>
        <row r="5843">
          <cell r="Q5843">
            <v>-7184.83</v>
          </cell>
          <cell r="T5843">
            <v>0</v>
          </cell>
        </row>
        <row r="5844">
          <cell r="Q5844">
            <v>-245.27</v>
          </cell>
          <cell r="T5844">
            <v>0</v>
          </cell>
        </row>
        <row r="5845">
          <cell r="Q5845">
            <v>-8753.42</v>
          </cell>
          <cell r="T5845">
            <v>0</v>
          </cell>
        </row>
        <row r="5846">
          <cell r="Q5846">
            <v>-56697.14</v>
          </cell>
          <cell r="T5846">
            <v>0</v>
          </cell>
        </row>
        <row r="5847">
          <cell r="Q5847">
            <v>-83446.11</v>
          </cell>
          <cell r="T5847">
            <v>0</v>
          </cell>
        </row>
        <row r="5848">
          <cell r="Q5848">
            <v>-52165.29</v>
          </cell>
          <cell r="T5848">
            <v>0</v>
          </cell>
        </row>
        <row r="5849">
          <cell r="Q5849">
            <v>-4441.28</v>
          </cell>
          <cell r="T5849">
            <v>0</v>
          </cell>
        </row>
        <row r="5850">
          <cell r="Q5850">
            <v>-992.71</v>
          </cell>
          <cell r="T5850">
            <v>0</v>
          </cell>
        </row>
        <row r="5851">
          <cell r="Q5851">
            <v>-4976.28</v>
          </cell>
          <cell r="T5851">
            <v>0</v>
          </cell>
        </row>
        <row r="5852">
          <cell r="Q5852">
            <v>-4976.28</v>
          </cell>
          <cell r="T5852">
            <v>0</v>
          </cell>
        </row>
        <row r="5853">
          <cell r="Q5853">
            <v>-4976.28</v>
          </cell>
          <cell r="T5853">
            <v>0</v>
          </cell>
        </row>
        <row r="5854">
          <cell r="Q5854">
            <v>-7376</v>
          </cell>
          <cell r="T5854">
            <v>0</v>
          </cell>
        </row>
        <row r="5855">
          <cell r="Q5855">
            <v>-6979.73</v>
          </cell>
          <cell r="T5855">
            <v>0</v>
          </cell>
        </row>
        <row r="5856">
          <cell r="Q5856">
            <v>-6979.73</v>
          </cell>
          <cell r="T5856">
            <v>0</v>
          </cell>
        </row>
        <row r="5857">
          <cell r="Q5857">
            <v>-11972.25</v>
          </cell>
          <cell r="T5857">
            <v>0</v>
          </cell>
        </row>
        <row r="5858">
          <cell r="Q5858">
            <v>-76383.59</v>
          </cell>
          <cell r="T5858">
            <v>0</v>
          </cell>
        </row>
        <row r="5859">
          <cell r="Q5859">
            <v>0</v>
          </cell>
          <cell r="T5859">
            <v>0</v>
          </cell>
        </row>
        <row r="5860">
          <cell r="Q5860">
            <v>-39029.629999999997</v>
          </cell>
          <cell r="T5860">
            <v>0</v>
          </cell>
        </row>
        <row r="5861">
          <cell r="Q5861">
            <v>-7925.19</v>
          </cell>
          <cell r="T5861">
            <v>0</v>
          </cell>
        </row>
        <row r="5862">
          <cell r="Q5862">
            <v>-2684.93</v>
          </cell>
          <cell r="T5862">
            <v>0</v>
          </cell>
        </row>
        <row r="5863">
          <cell r="Q5863">
            <v>-4383.5600000000004</v>
          </cell>
          <cell r="T5863">
            <v>0</v>
          </cell>
        </row>
        <row r="5864">
          <cell r="Q5864">
            <v>-1406.65</v>
          </cell>
          <cell r="T5864">
            <v>0</v>
          </cell>
        </row>
        <row r="5865">
          <cell r="Q5865">
            <v>-8989.0400000000009</v>
          </cell>
          <cell r="T5865">
            <v>0</v>
          </cell>
        </row>
        <row r="5866">
          <cell r="Q5866">
            <v>-21799.19</v>
          </cell>
          <cell r="T5866">
            <v>0</v>
          </cell>
        </row>
        <row r="5867">
          <cell r="Q5867">
            <v>-8575.2900000000009</v>
          </cell>
          <cell r="T5867">
            <v>0</v>
          </cell>
        </row>
        <row r="5868">
          <cell r="Q5868">
            <v>-1967.4</v>
          </cell>
          <cell r="T5868">
            <v>0</v>
          </cell>
        </row>
        <row r="5869">
          <cell r="Q5869">
            <v>-7485.59</v>
          </cell>
          <cell r="T5869">
            <v>0</v>
          </cell>
        </row>
        <row r="5870">
          <cell r="Q5870">
            <v>-8570.31</v>
          </cell>
          <cell r="T5870">
            <v>0</v>
          </cell>
        </row>
        <row r="5871">
          <cell r="Q5871">
            <v>-33595.269999999997</v>
          </cell>
          <cell r="T5871">
            <v>0</v>
          </cell>
        </row>
        <row r="5872">
          <cell r="Q5872">
            <v>-4254.26</v>
          </cell>
          <cell r="T5872">
            <v>0</v>
          </cell>
        </row>
        <row r="5873">
          <cell r="Q5873">
            <v>-3329.42</v>
          </cell>
          <cell r="T5873">
            <v>0</v>
          </cell>
        </row>
        <row r="5874">
          <cell r="Q5874">
            <v>-3144.46</v>
          </cell>
          <cell r="T5874">
            <v>0</v>
          </cell>
        </row>
        <row r="5875">
          <cell r="Q5875">
            <v>-2404.58</v>
          </cell>
          <cell r="T5875">
            <v>0</v>
          </cell>
        </row>
        <row r="5876">
          <cell r="Q5876">
            <v>-2404.58</v>
          </cell>
          <cell r="T5876">
            <v>0</v>
          </cell>
        </row>
        <row r="5877">
          <cell r="Q5877">
            <v>-5649.92</v>
          </cell>
          <cell r="T5877">
            <v>0</v>
          </cell>
        </row>
        <row r="5878">
          <cell r="Q5878">
            <v>-17571.939999999999</v>
          </cell>
          <cell r="T5878">
            <v>0</v>
          </cell>
        </row>
        <row r="5879">
          <cell r="Q5879">
            <v>-35143.879999999997</v>
          </cell>
          <cell r="T5879">
            <v>0</v>
          </cell>
        </row>
        <row r="5880">
          <cell r="Q5880">
            <v>-1849.68</v>
          </cell>
          <cell r="T5880">
            <v>0</v>
          </cell>
        </row>
        <row r="5881">
          <cell r="Q5881">
            <v>-8138.58</v>
          </cell>
          <cell r="T5881">
            <v>0</v>
          </cell>
        </row>
        <row r="5882">
          <cell r="Q5882">
            <v>-11299.85</v>
          </cell>
          <cell r="T5882">
            <v>0</v>
          </cell>
        </row>
        <row r="5883">
          <cell r="Q5883">
            <v>-24945.46</v>
          </cell>
          <cell r="T5883">
            <v>0</v>
          </cell>
        </row>
        <row r="5884">
          <cell r="Q5884">
            <v>-18991.97</v>
          </cell>
          <cell r="T5884">
            <v>0</v>
          </cell>
        </row>
        <row r="5885">
          <cell r="Q5885">
            <v>-13570.41</v>
          </cell>
          <cell r="T5885">
            <v>0</v>
          </cell>
        </row>
        <row r="5886">
          <cell r="Q5886">
            <v>-8519.84</v>
          </cell>
          <cell r="T5886">
            <v>0</v>
          </cell>
        </row>
        <row r="5887">
          <cell r="Q5887">
            <v>-10020</v>
          </cell>
          <cell r="T5887">
            <v>0</v>
          </cell>
        </row>
        <row r="5888">
          <cell r="Q5888">
            <v>-16674.189999999999</v>
          </cell>
          <cell r="T5888">
            <v>0</v>
          </cell>
        </row>
        <row r="5889">
          <cell r="Q5889">
            <v>-5775.92</v>
          </cell>
          <cell r="T5889">
            <v>0</v>
          </cell>
        </row>
        <row r="5890">
          <cell r="Q5890">
            <v>-16299.81</v>
          </cell>
          <cell r="T5890">
            <v>0</v>
          </cell>
        </row>
        <row r="5891">
          <cell r="Q5891">
            <v>-16299.81</v>
          </cell>
          <cell r="T5891">
            <v>0</v>
          </cell>
        </row>
        <row r="5892">
          <cell r="Q5892">
            <v>-596.16</v>
          </cell>
          <cell r="T5892">
            <v>0</v>
          </cell>
        </row>
        <row r="5893">
          <cell r="Q5893">
            <v>-5474.7</v>
          </cell>
          <cell r="T5893">
            <v>0</v>
          </cell>
        </row>
        <row r="5894">
          <cell r="Q5894">
            <v>-20668</v>
          </cell>
          <cell r="T5894">
            <v>0</v>
          </cell>
        </row>
        <row r="5895">
          <cell r="Q5895">
            <v>-22429.81</v>
          </cell>
          <cell r="T5895">
            <v>0</v>
          </cell>
        </row>
        <row r="5896">
          <cell r="Q5896">
            <v>-13334.79</v>
          </cell>
          <cell r="T5896">
            <v>0</v>
          </cell>
        </row>
        <row r="5897">
          <cell r="Q5897">
            <v>-1618.41</v>
          </cell>
          <cell r="T5897">
            <v>0</v>
          </cell>
        </row>
        <row r="5898">
          <cell r="Q5898">
            <v>-8616.33</v>
          </cell>
          <cell r="T5898">
            <v>0</v>
          </cell>
        </row>
        <row r="5899">
          <cell r="Q5899">
            <v>-81739.899999999994</v>
          </cell>
          <cell r="T5899">
            <v>0</v>
          </cell>
        </row>
        <row r="5900">
          <cell r="Q5900">
            <v>-12444.93</v>
          </cell>
          <cell r="T5900">
            <v>0</v>
          </cell>
        </row>
        <row r="5901">
          <cell r="Q5901">
            <v>-114876.49</v>
          </cell>
          <cell r="T5901">
            <v>0</v>
          </cell>
        </row>
        <row r="5902">
          <cell r="Q5902">
            <v>-8213.5300000000007</v>
          </cell>
          <cell r="T5902">
            <v>0</v>
          </cell>
        </row>
        <row r="5903">
          <cell r="Q5903">
            <v>-2780.82</v>
          </cell>
          <cell r="T5903">
            <v>0</v>
          </cell>
        </row>
        <row r="5904">
          <cell r="Q5904">
            <v>-8570.9599999999991</v>
          </cell>
          <cell r="T5904">
            <v>0</v>
          </cell>
        </row>
        <row r="5905">
          <cell r="Q5905">
            <v>-5783.23</v>
          </cell>
          <cell r="T5905">
            <v>0</v>
          </cell>
        </row>
        <row r="5906">
          <cell r="Q5906">
            <v>-6562.41</v>
          </cell>
          <cell r="T5906">
            <v>0</v>
          </cell>
        </row>
        <row r="5907">
          <cell r="Q5907">
            <v>-18700.27</v>
          </cell>
          <cell r="T5907">
            <v>0</v>
          </cell>
        </row>
        <row r="5908">
          <cell r="Q5908">
            <v>-2310.15</v>
          </cell>
          <cell r="T5908">
            <v>0</v>
          </cell>
        </row>
        <row r="5909">
          <cell r="Q5909">
            <v>-98.93</v>
          </cell>
          <cell r="T5909">
            <v>0</v>
          </cell>
        </row>
        <row r="5910">
          <cell r="Q5910">
            <v>-1294.2</v>
          </cell>
          <cell r="T5910">
            <v>0</v>
          </cell>
        </row>
        <row r="5911">
          <cell r="Q5911">
            <v>-9658.4699999999993</v>
          </cell>
          <cell r="T5911">
            <v>0</v>
          </cell>
        </row>
        <row r="5912">
          <cell r="Q5912">
            <v>-9658.4699999999993</v>
          </cell>
          <cell r="T5912">
            <v>0</v>
          </cell>
        </row>
        <row r="5913">
          <cell r="Q5913">
            <v>-9658.4699999999993</v>
          </cell>
          <cell r="T5913">
            <v>0</v>
          </cell>
        </row>
        <row r="5914">
          <cell r="Q5914">
            <v>-9658.4699999999993</v>
          </cell>
          <cell r="T5914">
            <v>0</v>
          </cell>
        </row>
        <row r="5915">
          <cell r="Q5915">
            <v>-9658.4699999999993</v>
          </cell>
          <cell r="T5915">
            <v>0</v>
          </cell>
        </row>
        <row r="5916">
          <cell r="Q5916">
            <v>-9658.4699999999993</v>
          </cell>
          <cell r="T5916">
            <v>0</v>
          </cell>
        </row>
        <row r="5917">
          <cell r="Q5917">
            <v>-9658.4699999999993</v>
          </cell>
          <cell r="T5917">
            <v>0</v>
          </cell>
        </row>
        <row r="5918">
          <cell r="Q5918">
            <v>-9658.4699999999993</v>
          </cell>
          <cell r="T5918">
            <v>0</v>
          </cell>
        </row>
        <row r="5919">
          <cell r="Q5919">
            <v>-9658.4699999999993</v>
          </cell>
          <cell r="T5919">
            <v>0</v>
          </cell>
        </row>
        <row r="5920">
          <cell r="Q5920">
            <v>-9658.4699999999993</v>
          </cell>
          <cell r="T5920">
            <v>0</v>
          </cell>
        </row>
        <row r="5921">
          <cell r="Q5921">
            <v>-1053.06</v>
          </cell>
          <cell r="T5921">
            <v>0</v>
          </cell>
        </row>
        <row r="5922">
          <cell r="Q5922">
            <v>-1073.44</v>
          </cell>
          <cell r="T5922">
            <v>0</v>
          </cell>
        </row>
        <row r="5923">
          <cell r="Q5923">
            <v>-316</v>
          </cell>
          <cell r="T5923">
            <v>0</v>
          </cell>
        </row>
        <row r="5924">
          <cell r="Q5924">
            <v>-316</v>
          </cell>
          <cell r="T5924">
            <v>0</v>
          </cell>
        </row>
        <row r="5925">
          <cell r="Q5925">
            <v>-1053.23</v>
          </cell>
          <cell r="T5925">
            <v>0</v>
          </cell>
        </row>
        <row r="5926">
          <cell r="Q5926">
            <v>-679.43</v>
          </cell>
          <cell r="T5926">
            <v>0</v>
          </cell>
        </row>
        <row r="5927">
          <cell r="Q5927">
            <v>-466.2</v>
          </cell>
          <cell r="T5927">
            <v>0</v>
          </cell>
        </row>
        <row r="5928">
          <cell r="Q5928">
            <v>-629.16</v>
          </cell>
          <cell r="T5928">
            <v>0</v>
          </cell>
        </row>
        <row r="5929">
          <cell r="Q5929">
            <v>-1053.23</v>
          </cell>
          <cell r="T5929">
            <v>0</v>
          </cell>
        </row>
        <row r="5930">
          <cell r="Q5930">
            <v>-5505.75</v>
          </cell>
          <cell r="T5930">
            <v>0</v>
          </cell>
        </row>
        <row r="5931">
          <cell r="Q5931">
            <v>-5201.3599999999997</v>
          </cell>
          <cell r="T5931">
            <v>0</v>
          </cell>
        </row>
        <row r="5932">
          <cell r="Q5932">
            <v>-5201.3599999999997</v>
          </cell>
          <cell r="T5932">
            <v>0</v>
          </cell>
        </row>
        <row r="5933">
          <cell r="Q5933">
            <v>-5201.3599999999997</v>
          </cell>
          <cell r="T5933">
            <v>0</v>
          </cell>
        </row>
        <row r="5934">
          <cell r="Q5934">
            <v>-5201.3599999999997</v>
          </cell>
          <cell r="T5934">
            <v>0</v>
          </cell>
        </row>
        <row r="5935">
          <cell r="Q5935">
            <v>-5639.45</v>
          </cell>
          <cell r="T5935">
            <v>0</v>
          </cell>
        </row>
        <row r="5936">
          <cell r="Q5936">
            <v>-18394.650000000001</v>
          </cell>
          <cell r="T5936">
            <v>0</v>
          </cell>
        </row>
        <row r="5937">
          <cell r="Q5937">
            <v>-7513.19</v>
          </cell>
          <cell r="T5937">
            <v>0</v>
          </cell>
        </row>
        <row r="5938">
          <cell r="Q5938">
            <v>-5150.71</v>
          </cell>
          <cell r="T5938">
            <v>0</v>
          </cell>
        </row>
        <row r="5939">
          <cell r="Q5939">
            <v>-5150.71</v>
          </cell>
          <cell r="T5939">
            <v>0</v>
          </cell>
        </row>
        <row r="5940">
          <cell r="Q5940">
            <v>-3815.8</v>
          </cell>
          <cell r="T5940">
            <v>0</v>
          </cell>
        </row>
        <row r="5941">
          <cell r="Q5941">
            <v>-4452.13</v>
          </cell>
          <cell r="T5941">
            <v>0</v>
          </cell>
        </row>
        <row r="5942">
          <cell r="Q5942">
            <v>-4452.13</v>
          </cell>
          <cell r="T5942">
            <v>0</v>
          </cell>
        </row>
        <row r="5943">
          <cell r="Q5943">
            <v>-4452.13</v>
          </cell>
          <cell r="T5943">
            <v>0</v>
          </cell>
        </row>
        <row r="5944">
          <cell r="Q5944">
            <v>-4452.13</v>
          </cell>
          <cell r="T5944">
            <v>0</v>
          </cell>
        </row>
        <row r="5945">
          <cell r="Q5945">
            <v>-4452.13</v>
          </cell>
          <cell r="T5945">
            <v>0</v>
          </cell>
        </row>
        <row r="5946">
          <cell r="Q5946">
            <v>-4452.13</v>
          </cell>
          <cell r="T5946">
            <v>0</v>
          </cell>
        </row>
        <row r="5947">
          <cell r="Q5947">
            <v>-4452.13</v>
          </cell>
          <cell r="T5947">
            <v>0</v>
          </cell>
        </row>
        <row r="5948">
          <cell r="Q5948">
            <v>-4452.13</v>
          </cell>
          <cell r="T5948">
            <v>0</v>
          </cell>
        </row>
        <row r="5949">
          <cell r="Q5949">
            <v>-4452.13</v>
          </cell>
          <cell r="T5949">
            <v>0</v>
          </cell>
        </row>
        <row r="5950">
          <cell r="Q5950">
            <v>-325.77</v>
          </cell>
          <cell r="T5950">
            <v>0</v>
          </cell>
        </row>
        <row r="5951">
          <cell r="Q5951">
            <v>-3938.89</v>
          </cell>
          <cell r="T5951">
            <v>0</v>
          </cell>
        </row>
        <row r="5952">
          <cell r="Q5952">
            <v>-7144.17</v>
          </cell>
          <cell r="T5952">
            <v>0</v>
          </cell>
        </row>
        <row r="5953">
          <cell r="Q5953">
            <v>-7144.17</v>
          </cell>
          <cell r="T5953">
            <v>0</v>
          </cell>
        </row>
        <row r="5954">
          <cell r="Q5954">
            <v>-7406.47</v>
          </cell>
          <cell r="T5954">
            <v>0</v>
          </cell>
        </row>
        <row r="5955">
          <cell r="Q5955">
            <v>-8974.2000000000007</v>
          </cell>
          <cell r="T5955">
            <v>0</v>
          </cell>
        </row>
        <row r="5956">
          <cell r="Q5956">
            <v>-4159.3500000000004</v>
          </cell>
          <cell r="T5956">
            <v>0</v>
          </cell>
        </row>
        <row r="5957">
          <cell r="Q5957">
            <v>-1134.25</v>
          </cell>
          <cell r="T5957">
            <v>0</v>
          </cell>
        </row>
        <row r="5958">
          <cell r="Q5958">
            <v>-536.80999999999995</v>
          </cell>
          <cell r="T5958">
            <v>0</v>
          </cell>
        </row>
        <row r="5959">
          <cell r="Q5959">
            <v>-13227.4</v>
          </cell>
          <cell r="T5959">
            <v>0</v>
          </cell>
        </row>
        <row r="5960">
          <cell r="Q5960">
            <v>-1209.8599999999999</v>
          </cell>
          <cell r="T5960">
            <v>0</v>
          </cell>
        </row>
        <row r="5961">
          <cell r="Q5961">
            <v>-10631.67</v>
          </cell>
          <cell r="T5961">
            <v>0</v>
          </cell>
        </row>
        <row r="5962">
          <cell r="Q5962">
            <v>-2027.4</v>
          </cell>
          <cell r="T5962">
            <v>0</v>
          </cell>
        </row>
        <row r="5963">
          <cell r="Q5963">
            <v>-826.3</v>
          </cell>
          <cell r="T5963">
            <v>0</v>
          </cell>
        </row>
        <row r="5964">
          <cell r="Q5964">
            <v>-3623.02</v>
          </cell>
          <cell r="T5964">
            <v>0</v>
          </cell>
        </row>
        <row r="5965">
          <cell r="Q5965">
            <v>-3623.02</v>
          </cell>
          <cell r="T5965">
            <v>0</v>
          </cell>
        </row>
        <row r="5966">
          <cell r="Q5966">
            <v>-3623.02</v>
          </cell>
          <cell r="T5966">
            <v>0</v>
          </cell>
        </row>
        <row r="5967">
          <cell r="Q5967">
            <v>-1811.51</v>
          </cell>
          <cell r="T5967">
            <v>0</v>
          </cell>
        </row>
        <row r="5968">
          <cell r="Q5968">
            <v>-1048.77</v>
          </cell>
          <cell r="T5968">
            <v>0</v>
          </cell>
        </row>
        <row r="5969">
          <cell r="Q5969">
            <v>-1048.77</v>
          </cell>
          <cell r="T5969">
            <v>0</v>
          </cell>
        </row>
        <row r="5970">
          <cell r="Q5970">
            <v>-127.73</v>
          </cell>
          <cell r="T5970">
            <v>0</v>
          </cell>
        </row>
        <row r="5971">
          <cell r="Q5971">
            <v>-1029.92</v>
          </cell>
          <cell r="T5971">
            <v>0</v>
          </cell>
        </row>
        <row r="5972">
          <cell r="Q5972">
            <v>-3167.12</v>
          </cell>
          <cell r="T5972">
            <v>0</v>
          </cell>
        </row>
        <row r="5973">
          <cell r="Q5973">
            <v>-3167.12</v>
          </cell>
          <cell r="T5973">
            <v>0</v>
          </cell>
        </row>
        <row r="5974">
          <cell r="Q5974">
            <v>-149.91999999999999</v>
          </cell>
          <cell r="T5974">
            <v>0</v>
          </cell>
        </row>
        <row r="5975">
          <cell r="Q5975">
            <v>-1847.23</v>
          </cell>
          <cell r="T5975">
            <v>0</v>
          </cell>
        </row>
        <row r="5976">
          <cell r="Q5976">
            <v>-1847.23</v>
          </cell>
          <cell r="T5976">
            <v>0</v>
          </cell>
        </row>
        <row r="5977">
          <cell r="Q5977">
            <v>-1624.44</v>
          </cell>
          <cell r="T5977">
            <v>0</v>
          </cell>
        </row>
        <row r="5978">
          <cell r="Q5978">
            <v>-2005.48</v>
          </cell>
          <cell r="T5978">
            <v>0</v>
          </cell>
        </row>
        <row r="5979">
          <cell r="Q5979">
            <v>-2005.48</v>
          </cell>
          <cell r="T5979">
            <v>0</v>
          </cell>
        </row>
        <row r="5980">
          <cell r="Q5980">
            <v>-2005.48</v>
          </cell>
          <cell r="T5980">
            <v>0</v>
          </cell>
        </row>
        <row r="5981">
          <cell r="Q5981">
            <v>-668.71</v>
          </cell>
          <cell r="T5981">
            <v>0</v>
          </cell>
        </row>
        <row r="5982">
          <cell r="Q5982">
            <v>-1652.6</v>
          </cell>
          <cell r="T5982">
            <v>0</v>
          </cell>
        </row>
        <row r="5983">
          <cell r="Q5983">
            <v>-1640.42</v>
          </cell>
          <cell r="T5983">
            <v>0</v>
          </cell>
        </row>
        <row r="5984">
          <cell r="Q5984">
            <v>-1104.6600000000001</v>
          </cell>
          <cell r="T5984">
            <v>0</v>
          </cell>
        </row>
        <row r="5985">
          <cell r="Q5985">
            <v>-1348.79</v>
          </cell>
          <cell r="T5985">
            <v>0</v>
          </cell>
        </row>
        <row r="5986">
          <cell r="Q5986">
            <v>-1348.79</v>
          </cell>
          <cell r="T5986">
            <v>0</v>
          </cell>
        </row>
        <row r="5987">
          <cell r="Q5987">
            <v>-13.86</v>
          </cell>
          <cell r="T5987">
            <v>0</v>
          </cell>
        </row>
        <row r="5988">
          <cell r="Q5988">
            <v>0</v>
          </cell>
          <cell r="T5988">
            <v>0</v>
          </cell>
        </row>
        <row r="5989">
          <cell r="Q5989">
            <v>0</v>
          </cell>
          <cell r="T5989">
            <v>0</v>
          </cell>
        </row>
        <row r="5990">
          <cell r="Q5990">
            <v>0</v>
          </cell>
          <cell r="T5990">
            <v>0</v>
          </cell>
        </row>
        <row r="5991">
          <cell r="Q5991">
            <v>0</v>
          </cell>
          <cell r="T5991">
            <v>0</v>
          </cell>
        </row>
        <row r="5992">
          <cell r="Q5992">
            <v>0</v>
          </cell>
          <cell r="T5992">
            <v>0</v>
          </cell>
        </row>
        <row r="5993">
          <cell r="Q5993">
            <v>-2025.28</v>
          </cell>
          <cell r="T5993">
            <v>0</v>
          </cell>
        </row>
        <row r="5994">
          <cell r="Q5994">
            <v>-981.92</v>
          </cell>
          <cell r="T5994">
            <v>0</v>
          </cell>
        </row>
        <row r="5995">
          <cell r="Q5995">
            <v>-1536.99</v>
          </cell>
          <cell r="T5995">
            <v>0</v>
          </cell>
        </row>
        <row r="5996">
          <cell r="Q5996">
            <v>-1301.92</v>
          </cell>
          <cell r="T5996">
            <v>0</v>
          </cell>
        </row>
        <row r="5997">
          <cell r="Q5997">
            <v>-1043.8399999999999</v>
          </cell>
          <cell r="T5997">
            <v>0</v>
          </cell>
        </row>
        <row r="5998">
          <cell r="Q5998">
            <v>-1535.97</v>
          </cell>
          <cell r="T5998">
            <v>0</v>
          </cell>
        </row>
        <row r="5999">
          <cell r="Q5999">
            <v>-474.13</v>
          </cell>
          <cell r="T5999">
            <v>0</v>
          </cell>
        </row>
        <row r="6000">
          <cell r="Q6000">
            <v>-147.94999999999999</v>
          </cell>
          <cell r="T6000">
            <v>0</v>
          </cell>
        </row>
        <row r="6001">
          <cell r="Q6001">
            <v>-22.03</v>
          </cell>
          <cell r="T6001">
            <v>0</v>
          </cell>
        </row>
        <row r="6002">
          <cell r="Q6002">
            <v>-10.52</v>
          </cell>
          <cell r="T6002">
            <v>0</v>
          </cell>
        </row>
        <row r="6003">
          <cell r="Q6003">
            <v>0</v>
          </cell>
          <cell r="T6003">
            <v>0</v>
          </cell>
        </row>
        <row r="6004">
          <cell r="Q6004">
            <v>0</v>
          </cell>
          <cell r="T6004">
            <v>0</v>
          </cell>
        </row>
        <row r="6005">
          <cell r="Q6005">
            <v>0</v>
          </cell>
          <cell r="T6005">
            <v>0</v>
          </cell>
        </row>
        <row r="6006">
          <cell r="Q6006">
            <v>0</v>
          </cell>
          <cell r="T6006">
            <v>0</v>
          </cell>
        </row>
        <row r="6007">
          <cell r="Q6007">
            <v>0</v>
          </cell>
          <cell r="T6007">
            <v>0</v>
          </cell>
        </row>
        <row r="6008">
          <cell r="Q6008">
            <v>0</v>
          </cell>
          <cell r="T6008">
            <v>0</v>
          </cell>
        </row>
        <row r="6009">
          <cell r="Q6009">
            <v>0</v>
          </cell>
          <cell r="T6009">
            <v>0</v>
          </cell>
        </row>
        <row r="6010">
          <cell r="Q6010">
            <v>0</v>
          </cell>
          <cell r="T6010">
            <v>0</v>
          </cell>
        </row>
        <row r="6011">
          <cell r="Q6011">
            <v>0</v>
          </cell>
          <cell r="T6011">
            <v>0</v>
          </cell>
        </row>
        <row r="6012">
          <cell r="Q6012">
            <v>0</v>
          </cell>
          <cell r="T6012">
            <v>0</v>
          </cell>
        </row>
        <row r="6013">
          <cell r="Q6013">
            <v>0</v>
          </cell>
          <cell r="T6013">
            <v>0</v>
          </cell>
        </row>
        <row r="6014">
          <cell r="Q6014">
            <v>-8474.61</v>
          </cell>
          <cell r="T6014">
            <v>0</v>
          </cell>
        </row>
        <row r="6015">
          <cell r="Q6015">
            <v>-9.9700000000000006</v>
          </cell>
          <cell r="T6015">
            <v>0</v>
          </cell>
        </row>
        <row r="6016">
          <cell r="Q6016">
            <v>-189.86</v>
          </cell>
          <cell r="T6016">
            <v>0</v>
          </cell>
        </row>
        <row r="6017">
          <cell r="Q6017">
            <v>-863.01</v>
          </cell>
          <cell r="T6017">
            <v>0</v>
          </cell>
        </row>
        <row r="6018">
          <cell r="Q6018">
            <v>-3511.23</v>
          </cell>
          <cell r="T6018">
            <v>0</v>
          </cell>
        </row>
        <row r="6019">
          <cell r="Q6019">
            <v>-653.41999999999996</v>
          </cell>
          <cell r="T6019">
            <v>0</v>
          </cell>
        </row>
        <row r="6020">
          <cell r="Q6020">
            <v>0</v>
          </cell>
          <cell r="T6020">
            <v>0</v>
          </cell>
        </row>
        <row r="6021">
          <cell r="Q6021">
            <v>0</v>
          </cell>
          <cell r="T6021">
            <v>0</v>
          </cell>
        </row>
        <row r="6022">
          <cell r="Q6022">
            <v>0</v>
          </cell>
          <cell r="T6022">
            <v>0</v>
          </cell>
        </row>
        <row r="6023">
          <cell r="Q6023">
            <v>0</v>
          </cell>
          <cell r="T6023">
            <v>0</v>
          </cell>
        </row>
        <row r="6024">
          <cell r="Q6024">
            <v>-10.3</v>
          </cell>
          <cell r="T6024">
            <v>0</v>
          </cell>
        </row>
        <row r="6025">
          <cell r="Q6025">
            <v>0</v>
          </cell>
          <cell r="T6025">
            <v>0</v>
          </cell>
        </row>
        <row r="6026">
          <cell r="Q6026">
            <v>0</v>
          </cell>
          <cell r="T6026">
            <v>0</v>
          </cell>
        </row>
        <row r="6027">
          <cell r="Q6027">
            <v>0</v>
          </cell>
          <cell r="T6027">
            <v>0</v>
          </cell>
        </row>
        <row r="6028">
          <cell r="Q6028">
            <v>0</v>
          </cell>
          <cell r="T6028">
            <v>0</v>
          </cell>
        </row>
        <row r="6029">
          <cell r="Q6029">
            <v>0</v>
          </cell>
          <cell r="T6029">
            <v>0</v>
          </cell>
        </row>
        <row r="6030">
          <cell r="Q6030">
            <v>0</v>
          </cell>
          <cell r="T6030">
            <v>0</v>
          </cell>
        </row>
        <row r="6031">
          <cell r="Q6031">
            <v>0</v>
          </cell>
          <cell r="T6031">
            <v>0</v>
          </cell>
        </row>
        <row r="6032">
          <cell r="Q6032">
            <v>0</v>
          </cell>
          <cell r="T6032">
            <v>0</v>
          </cell>
        </row>
        <row r="6033">
          <cell r="Q6033">
            <v>0</v>
          </cell>
          <cell r="T6033">
            <v>0</v>
          </cell>
        </row>
        <row r="6034">
          <cell r="Q6034">
            <v>0</v>
          </cell>
          <cell r="T6034">
            <v>0</v>
          </cell>
        </row>
        <row r="6035">
          <cell r="Q6035">
            <v>0</v>
          </cell>
          <cell r="T6035">
            <v>0</v>
          </cell>
        </row>
        <row r="6036">
          <cell r="Q6036">
            <v>0</v>
          </cell>
          <cell r="T6036">
            <v>0</v>
          </cell>
        </row>
        <row r="6037">
          <cell r="Q6037">
            <v>0</v>
          </cell>
          <cell r="T6037">
            <v>0</v>
          </cell>
        </row>
        <row r="6038">
          <cell r="Q6038">
            <v>0</v>
          </cell>
          <cell r="T6038">
            <v>0</v>
          </cell>
        </row>
        <row r="6039">
          <cell r="Q6039">
            <v>0</v>
          </cell>
          <cell r="T6039">
            <v>0</v>
          </cell>
        </row>
        <row r="6040">
          <cell r="Q6040">
            <v>0</v>
          </cell>
          <cell r="T6040">
            <v>0</v>
          </cell>
        </row>
        <row r="6041">
          <cell r="Q6041">
            <v>0</v>
          </cell>
          <cell r="T6041">
            <v>0</v>
          </cell>
        </row>
        <row r="6042">
          <cell r="Q6042">
            <v>0</v>
          </cell>
          <cell r="T6042">
            <v>0</v>
          </cell>
        </row>
        <row r="6043">
          <cell r="Q6043">
            <v>0</v>
          </cell>
          <cell r="T6043">
            <v>0</v>
          </cell>
        </row>
        <row r="6044">
          <cell r="Q6044">
            <v>0</v>
          </cell>
          <cell r="T6044">
            <v>0</v>
          </cell>
        </row>
        <row r="6045">
          <cell r="Q6045">
            <v>0</v>
          </cell>
          <cell r="T6045">
            <v>0</v>
          </cell>
        </row>
        <row r="6046">
          <cell r="Q6046">
            <v>0</v>
          </cell>
          <cell r="T6046">
            <v>0</v>
          </cell>
        </row>
        <row r="6047">
          <cell r="Q6047">
            <v>0</v>
          </cell>
          <cell r="T6047">
            <v>0</v>
          </cell>
        </row>
        <row r="6048">
          <cell r="Q6048">
            <v>0</v>
          </cell>
          <cell r="T6048">
            <v>0</v>
          </cell>
        </row>
        <row r="6049">
          <cell r="Q6049">
            <v>0</v>
          </cell>
          <cell r="T6049">
            <v>0</v>
          </cell>
        </row>
        <row r="6050">
          <cell r="Q6050">
            <v>0</v>
          </cell>
          <cell r="T6050">
            <v>0</v>
          </cell>
        </row>
        <row r="6051">
          <cell r="Q6051">
            <v>0</v>
          </cell>
          <cell r="T6051">
            <v>0</v>
          </cell>
        </row>
        <row r="6052">
          <cell r="Q6052">
            <v>0</v>
          </cell>
          <cell r="T6052">
            <v>0</v>
          </cell>
        </row>
        <row r="6053">
          <cell r="Q6053">
            <v>0</v>
          </cell>
          <cell r="T6053">
            <v>0</v>
          </cell>
        </row>
        <row r="6054">
          <cell r="Q6054">
            <v>0</v>
          </cell>
          <cell r="T6054">
            <v>0</v>
          </cell>
        </row>
        <row r="6055">
          <cell r="Q6055">
            <v>0</v>
          </cell>
          <cell r="T6055">
            <v>0</v>
          </cell>
        </row>
        <row r="6056">
          <cell r="Q6056">
            <v>0</v>
          </cell>
          <cell r="T6056">
            <v>0</v>
          </cell>
        </row>
        <row r="6057">
          <cell r="Q6057">
            <v>0</v>
          </cell>
          <cell r="T6057">
            <v>0</v>
          </cell>
        </row>
        <row r="6058">
          <cell r="Q6058">
            <v>0</v>
          </cell>
          <cell r="T6058">
            <v>0</v>
          </cell>
        </row>
        <row r="6059">
          <cell r="Q6059">
            <v>0</v>
          </cell>
          <cell r="T6059">
            <v>0</v>
          </cell>
        </row>
        <row r="6060">
          <cell r="Q6060">
            <v>0</v>
          </cell>
          <cell r="T6060">
            <v>0</v>
          </cell>
        </row>
        <row r="6061">
          <cell r="Q6061">
            <v>0</v>
          </cell>
          <cell r="T6061">
            <v>0</v>
          </cell>
        </row>
        <row r="6062">
          <cell r="Q6062">
            <v>0</v>
          </cell>
          <cell r="T6062">
            <v>0</v>
          </cell>
        </row>
        <row r="6063">
          <cell r="Q6063">
            <v>0</v>
          </cell>
          <cell r="T6063">
            <v>0</v>
          </cell>
        </row>
        <row r="6064">
          <cell r="Q6064">
            <v>0</v>
          </cell>
          <cell r="T6064">
            <v>0</v>
          </cell>
        </row>
        <row r="6065">
          <cell r="Q6065">
            <v>0</v>
          </cell>
          <cell r="T6065">
            <v>0</v>
          </cell>
        </row>
        <row r="6066">
          <cell r="Q6066">
            <v>0</v>
          </cell>
          <cell r="T6066">
            <v>0</v>
          </cell>
        </row>
        <row r="6067">
          <cell r="Q6067">
            <v>0</v>
          </cell>
          <cell r="T6067">
            <v>0</v>
          </cell>
        </row>
        <row r="6068">
          <cell r="Q6068">
            <v>0</v>
          </cell>
          <cell r="T6068">
            <v>0</v>
          </cell>
        </row>
        <row r="6069">
          <cell r="Q6069">
            <v>0</v>
          </cell>
          <cell r="T6069">
            <v>0</v>
          </cell>
        </row>
        <row r="6070">
          <cell r="Q6070">
            <v>0</v>
          </cell>
          <cell r="T6070">
            <v>0</v>
          </cell>
        </row>
        <row r="6071">
          <cell r="Q6071">
            <v>0</v>
          </cell>
          <cell r="T6071">
            <v>0</v>
          </cell>
        </row>
        <row r="6072">
          <cell r="Q6072">
            <v>0</v>
          </cell>
          <cell r="T6072">
            <v>0</v>
          </cell>
        </row>
        <row r="6073">
          <cell r="Q6073">
            <v>0</v>
          </cell>
          <cell r="T6073">
            <v>0</v>
          </cell>
        </row>
        <row r="6074">
          <cell r="Q6074">
            <v>0</v>
          </cell>
          <cell r="T6074">
            <v>0</v>
          </cell>
        </row>
        <row r="6075">
          <cell r="Q6075">
            <v>0</v>
          </cell>
          <cell r="T6075">
            <v>0</v>
          </cell>
        </row>
        <row r="6076">
          <cell r="Q6076">
            <v>0</v>
          </cell>
          <cell r="T6076">
            <v>0</v>
          </cell>
        </row>
        <row r="6077">
          <cell r="Q6077">
            <v>0</v>
          </cell>
          <cell r="T6077">
            <v>0</v>
          </cell>
        </row>
        <row r="6078">
          <cell r="Q6078">
            <v>0</v>
          </cell>
          <cell r="T6078">
            <v>0</v>
          </cell>
        </row>
        <row r="6079">
          <cell r="Q6079">
            <v>0</v>
          </cell>
          <cell r="T6079">
            <v>0</v>
          </cell>
        </row>
        <row r="6080">
          <cell r="Q6080">
            <v>0</v>
          </cell>
          <cell r="T6080">
            <v>0</v>
          </cell>
        </row>
        <row r="6081">
          <cell r="Q6081">
            <v>0</v>
          </cell>
          <cell r="T6081">
            <v>0</v>
          </cell>
        </row>
        <row r="6082">
          <cell r="Q6082">
            <v>0</v>
          </cell>
          <cell r="T6082">
            <v>0</v>
          </cell>
        </row>
        <row r="6083">
          <cell r="Q6083">
            <v>0</v>
          </cell>
          <cell r="T6083">
            <v>0</v>
          </cell>
        </row>
        <row r="6084">
          <cell r="Q6084">
            <v>0</v>
          </cell>
          <cell r="T6084">
            <v>0</v>
          </cell>
        </row>
        <row r="6085">
          <cell r="Q6085">
            <v>0</v>
          </cell>
          <cell r="T6085">
            <v>0</v>
          </cell>
        </row>
        <row r="6086">
          <cell r="Q6086">
            <v>0</v>
          </cell>
          <cell r="T6086">
            <v>0</v>
          </cell>
        </row>
        <row r="6087">
          <cell r="Q6087">
            <v>0</v>
          </cell>
          <cell r="T6087">
            <v>0</v>
          </cell>
        </row>
        <row r="6088">
          <cell r="Q6088">
            <v>0</v>
          </cell>
          <cell r="T6088">
            <v>0</v>
          </cell>
        </row>
        <row r="6089">
          <cell r="Q6089">
            <v>0</v>
          </cell>
          <cell r="T6089">
            <v>0</v>
          </cell>
        </row>
        <row r="6090">
          <cell r="Q6090">
            <v>-1391.53</v>
          </cell>
          <cell r="T6090">
            <v>0</v>
          </cell>
        </row>
        <row r="6091">
          <cell r="Q6091">
            <v>0</v>
          </cell>
          <cell r="T6091">
            <v>0</v>
          </cell>
        </row>
        <row r="6092">
          <cell r="Q6092">
            <v>0</v>
          </cell>
          <cell r="T6092">
            <v>0</v>
          </cell>
        </row>
        <row r="6093">
          <cell r="Q6093">
            <v>0</v>
          </cell>
          <cell r="T6093">
            <v>0</v>
          </cell>
        </row>
        <row r="6094">
          <cell r="Q6094">
            <v>0</v>
          </cell>
          <cell r="T6094">
            <v>0</v>
          </cell>
        </row>
        <row r="6095">
          <cell r="Q6095">
            <v>0</v>
          </cell>
          <cell r="T6095">
            <v>0</v>
          </cell>
        </row>
        <row r="6096">
          <cell r="Q6096">
            <v>0</v>
          </cell>
          <cell r="T6096">
            <v>0</v>
          </cell>
        </row>
        <row r="6097">
          <cell r="Q6097">
            <v>0</v>
          </cell>
          <cell r="T6097">
            <v>0</v>
          </cell>
        </row>
        <row r="6098">
          <cell r="Q6098">
            <v>0</v>
          </cell>
          <cell r="T6098">
            <v>0</v>
          </cell>
        </row>
        <row r="6099">
          <cell r="Q6099">
            <v>0</v>
          </cell>
          <cell r="T6099">
            <v>0</v>
          </cell>
        </row>
        <row r="6100">
          <cell r="Q6100">
            <v>0</v>
          </cell>
          <cell r="T6100">
            <v>0</v>
          </cell>
        </row>
        <row r="6101">
          <cell r="Q6101">
            <v>0</v>
          </cell>
          <cell r="T6101">
            <v>0</v>
          </cell>
        </row>
        <row r="6102">
          <cell r="Q6102">
            <v>0</v>
          </cell>
          <cell r="T6102">
            <v>0</v>
          </cell>
        </row>
        <row r="6103">
          <cell r="Q6103">
            <v>0</v>
          </cell>
          <cell r="T6103">
            <v>0</v>
          </cell>
        </row>
        <row r="6104">
          <cell r="Q6104">
            <v>0</v>
          </cell>
          <cell r="T6104">
            <v>0</v>
          </cell>
        </row>
        <row r="6105">
          <cell r="Q6105">
            <v>-490725</v>
          </cell>
          <cell r="T6105">
            <v>0</v>
          </cell>
        </row>
        <row r="6106">
          <cell r="Q6106">
            <v>-89568.09</v>
          </cell>
          <cell r="T6106">
            <v>0</v>
          </cell>
        </row>
        <row r="6107">
          <cell r="Q6107">
            <v>-44716.52</v>
          </cell>
          <cell r="T6107">
            <v>0</v>
          </cell>
        </row>
        <row r="6108">
          <cell r="Q6108">
            <v>-140000</v>
          </cell>
          <cell r="T6108">
            <v>0</v>
          </cell>
        </row>
        <row r="6109">
          <cell r="Q6109">
            <v>-26850979.210000001</v>
          </cell>
          <cell r="T6109">
            <v>0</v>
          </cell>
        </row>
        <row r="6110">
          <cell r="Q6110">
            <v>-263716.87</v>
          </cell>
          <cell r="T6110">
            <v>0</v>
          </cell>
        </row>
        <row r="6111">
          <cell r="Q6111">
            <v>-1779526.12</v>
          </cell>
          <cell r="T6111">
            <v>0</v>
          </cell>
        </row>
        <row r="6112">
          <cell r="Q6112">
            <v>-1430898.93</v>
          </cell>
          <cell r="T6112">
            <v>0</v>
          </cell>
        </row>
        <row r="6113">
          <cell r="Q6113">
            <v>-25461.14</v>
          </cell>
          <cell r="T6113">
            <v>0</v>
          </cell>
        </row>
        <row r="6114">
          <cell r="Q6114">
            <v>-144408.72</v>
          </cell>
          <cell r="T6114">
            <v>0</v>
          </cell>
        </row>
        <row r="6115">
          <cell r="Q6115">
            <v>-218374.17</v>
          </cell>
          <cell r="T6115">
            <v>0</v>
          </cell>
        </row>
        <row r="6116">
          <cell r="Q6116">
            <v>-1098996.1599999999</v>
          </cell>
          <cell r="T6116">
            <v>0</v>
          </cell>
        </row>
        <row r="6117">
          <cell r="Q6117">
            <v>0</v>
          </cell>
          <cell r="T6117">
            <v>0</v>
          </cell>
        </row>
        <row r="6118">
          <cell r="Q6118">
            <v>-1133352</v>
          </cell>
          <cell r="T6118">
            <v>0</v>
          </cell>
        </row>
        <row r="6119">
          <cell r="Q6119">
            <v>-3483824.5</v>
          </cell>
          <cell r="T6119">
            <v>0</v>
          </cell>
        </row>
        <row r="6120">
          <cell r="Q6120">
            <v>-11268.27</v>
          </cell>
          <cell r="T6120">
            <v>0</v>
          </cell>
        </row>
        <row r="6121">
          <cell r="Q6121">
            <v>-10435.07</v>
          </cell>
          <cell r="T6121">
            <v>0</v>
          </cell>
        </row>
        <row r="6122">
          <cell r="Q6122">
            <v>-12098.63</v>
          </cell>
          <cell r="T6122">
            <v>0</v>
          </cell>
        </row>
        <row r="6123">
          <cell r="Q6123">
            <v>-6710.96</v>
          </cell>
          <cell r="T6123">
            <v>0</v>
          </cell>
        </row>
        <row r="6124">
          <cell r="Q6124">
            <v>-63080.92</v>
          </cell>
          <cell r="T6124">
            <v>0</v>
          </cell>
        </row>
        <row r="6125">
          <cell r="Q6125">
            <v>-15404.77</v>
          </cell>
          <cell r="T6125">
            <v>0</v>
          </cell>
        </row>
        <row r="6126">
          <cell r="Q6126">
            <v>-2900</v>
          </cell>
          <cell r="T6126">
            <v>0</v>
          </cell>
        </row>
        <row r="6127">
          <cell r="Q6127">
            <v>-5590.99</v>
          </cell>
          <cell r="T6127">
            <v>0</v>
          </cell>
        </row>
        <row r="6128">
          <cell r="Q6128">
            <v>-70564.759999999995</v>
          </cell>
          <cell r="T6128">
            <v>0</v>
          </cell>
        </row>
        <row r="6129">
          <cell r="Q6129">
            <v>-21011.84</v>
          </cell>
          <cell r="T6129">
            <v>0</v>
          </cell>
        </row>
        <row r="6130">
          <cell r="Q6130">
            <v>-20596.93</v>
          </cell>
          <cell r="T6130">
            <v>0</v>
          </cell>
        </row>
        <row r="6131">
          <cell r="Q6131">
            <v>-11013.63</v>
          </cell>
          <cell r="T6131">
            <v>0</v>
          </cell>
        </row>
        <row r="6132">
          <cell r="Q6132">
            <v>-16217.83</v>
          </cell>
          <cell r="T6132">
            <v>0</v>
          </cell>
        </row>
        <row r="6133">
          <cell r="Q6133">
            <v>-69717.84</v>
          </cell>
          <cell r="T6133">
            <v>0</v>
          </cell>
        </row>
        <row r="6134">
          <cell r="Q6134">
            <v>-150</v>
          </cell>
          <cell r="T6134">
            <v>0</v>
          </cell>
        </row>
        <row r="6135">
          <cell r="Q6135">
            <v>-150</v>
          </cell>
          <cell r="T6135">
            <v>0</v>
          </cell>
        </row>
        <row r="6136">
          <cell r="Q6136">
            <v>-401.99</v>
          </cell>
          <cell r="T6136">
            <v>0</v>
          </cell>
        </row>
        <row r="6137">
          <cell r="Q6137">
            <v>-147.47999999999999</v>
          </cell>
          <cell r="T6137">
            <v>0</v>
          </cell>
        </row>
        <row r="6138">
          <cell r="Q6138">
            <v>-173.5</v>
          </cell>
          <cell r="T6138">
            <v>0</v>
          </cell>
        </row>
        <row r="6139">
          <cell r="Q6139">
            <v>-203.86</v>
          </cell>
          <cell r="T6139">
            <v>0</v>
          </cell>
        </row>
        <row r="6140">
          <cell r="Q6140">
            <v>-347</v>
          </cell>
          <cell r="T6140">
            <v>0</v>
          </cell>
        </row>
        <row r="6141">
          <cell r="Q6141">
            <v>-158.75</v>
          </cell>
          <cell r="T6141">
            <v>0</v>
          </cell>
        </row>
        <row r="6142">
          <cell r="Q6142">
            <v>-552.6</v>
          </cell>
          <cell r="T6142">
            <v>0</v>
          </cell>
        </row>
        <row r="6143">
          <cell r="Q6143">
            <v>-82.41</v>
          </cell>
          <cell r="T6143">
            <v>0</v>
          </cell>
        </row>
        <row r="6144">
          <cell r="Q6144">
            <v>-848.85</v>
          </cell>
          <cell r="T6144">
            <v>0</v>
          </cell>
        </row>
        <row r="6145">
          <cell r="Q6145">
            <v>-871.31</v>
          </cell>
          <cell r="T6145">
            <v>0</v>
          </cell>
        </row>
        <row r="6146">
          <cell r="Q6146">
            <v>-177.06</v>
          </cell>
          <cell r="T6146">
            <v>0</v>
          </cell>
        </row>
        <row r="6147">
          <cell r="Q6147">
            <v>-659.08</v>
          </cell>
          <cell r="T6147">
            <v>0</v>
          </cell>
        </row>
        <row r="6148">
          <cell r="Q6148">
            <v>-101331.05</v>
          </cell>
          <cell r="T6148">
            <v>0</v>
          </cell>
        </row>
        <row r="6149">
          <cell r="Q6149">
            <v>-49891.64</v>
          </cell>
          <cell r="T6149">
            <v>0</v>
          </cell>
        </row>
        <row r="6150">
          <cell r="Q6150">
            <v>-7905.56</v>
          </cell>
          <cell r="T6150">
            <v>0</v>
          </cell>
        </row>
        <row r="6151">
          <cell r="Q6151">
            <v>-3506.55</v>
          </cell>
          <cell r="T6151">
            <v>0</v>
          </cell>
        </row>
        <row r="6152">
          <cell r="Q6152">
            <v>-6098.24</v>
          </cell>
          <cell r="T6152">
            <v>0</v>
          </cell>
        </row>
        <row r="6153">
          <cell r="Q6153">
            <v>-3757</v>
          </cell>
          <cell r="T6153">
            <v>0</v>
          </cell>
        </row>
        <row r="6154">
          <cell r="Q6154">
            <v>-3300</v>
          </cell>
          <cell r="T6154">
            <v>0</v>
          </cell>
        </row>
        <row r="6155">
          <cell r="Q6155">
            <v>-3542.8</v>
          </cell>
          <cell r="T6155">
            <v>0</v>
          </cell>
        </row>
        <row r="6156">
          <cell r="Q6156">
            <v>-1400</v>
          </cell>
          <cell r="T6156">
            <v>0</v>
          </cell>
        </row>
        <row r="6157">
          <cell r="Q6157">
            <v>-3600</v>
          </cell>
          <cell r="T6157">
            <v>0</v>
          </cell>
        </row>
        <row r="6158">
          <cell r="Q6158">
            <v>-2935</v>
          </cell>
          <cell r="T6158">
            <v>0</v>
          </cell>
        </row>
        <row r="6159">
          <cell r="Q6159">
            <v>-3000</v>
          </cell>
          <cell r="T6159">
            <v>0</v>
          </cell>
        </row>
        <row r="6160">
          <cell r="Q6160">
            <v>-1500</v>
          </cell>
          <cell r="T6160">
            <v>0</v>
          </cell>
        </row>
        <row r="6161">
          <cell r="Q6161">
            <v>-7553.73</v>
          </cell>
          <cell r="T6161">
            <v>0</v>
          </cell>
        </row>
        <row r="6162">
          <cell r="Q6162">
            <v>-19945.849999999999</v>
          </cell>
          <cell r="T6162">
            <v>0</v>
          </cell>
        </row>
        <row r="6163">
          <cell r="Q6163">
            <v>-113047.66</v>
          </cell>
          <cell r="T6163">
            <v>0</v>
          </cell>
        </row>
        <row r="6164">
          <cell r="Q6164">
            <v>-8136.85</v>
          </cell>
          <cell r="T6164">
            <v>0</v>
          </cell>
        </row>
        <row r="6165">
          <cell r="Q6165">
            <v>-109124.26</v>
          </cell>
          <cell r="T6165">
            <v>0</v>
          </cell>
        </row>
        <row r="6166">
          <cell r="Q6166">
            <v>-15474.18</v>
          </cell>
          <cell r="T6166">
            <v>0</v>
          </cell>
        </row>
        <row r="6167">
          <cell r="Q6167">
            <v>-8134.45</v>
          </cell>
          <cell r="T6167">
            <v>0</v>
          </cell>
        </row>
        <row r="6168">
          <cell r="Q6168">
            <v>-11003.7</v>
          </cell>
          <cell r="T6168">
            <v>0</v>
          </cell>
        </row>
        <row r="6169">
          <cell r="Q6169">
            <v>-14858.93</v>
          </cell>
          <cell r="T6169">
            <v>0</v>
          </cell>
        </row>
        <row r="6170">
          <cell r="Q6170">
            <v>-7568.49</v>
          </cell>
          <cell r="T6170">
            <v>0</v>
          </cell>
        </row>
        <row r="6171">
          <cell r="Q6171">
            <v>-18635.29</v>
          </cell>
          <cell r="T6171">
            <v>0</v>
          </cell>
        </row>
        <row r="6172">
          <cell r="Q6172">
            <v>-10200.11</v>
          </cell>
          <cell r="T6172">
            <v>0</v>
          </cell>
        </row>
        <row r="6173">
          <cell r="Q6173">
            <v>-79927.97</v>
          </cell>
          <cell r="T6173">
            <v>0</v>
          </cell>
        </row>
        <row r="6174">
          <cell r="Q6174">
            <v>-2981.65</v>
          </cell>
          <cell r="T6174">
            <v>0</v>
          </cell>
        </row>
        <row r="6175">
          <cell r="Q6175">
            <v>-53077.99</v>
          </cell>
          <cell r="T6175">
            <v>0</v>
          </cell>
        </row>
        <row r="6176">
          <cell r="Q6176">
            <v>-14661.72</v>
          </cell>
          <cell r="T6176">
            <v>0</v>
          </cell>
        </row>
        <row r="6177">
          <cell r="Q6177">
            <v>-1735.35</v>
          </cell>
          <cell r="T6177">
            <v>0</v>
          </cell>
        </row>
        <row r="6178">
          <cell r="Q6178">
            <v>-20512.37</v>
          </cell>
          <cell r="T6178">
            <v>0</v>
          </cell>
        </row>
        <row r="6179">
          <cell r="Q6179">
            <v>-9088.3799999999992</v>
          </cell>
          <cell r="T6179">
            <v>0</v>
          </cell>
        </row>
        <row r="6180">
          <cell r="Q6180">
            <v>-29265.41</v>
          </cell>
          <cell r="T6180">
            <v>0</v>
          </cell>
        </row>
        <row r="6181">
          <cell r="Q6181">
            <v>-59066.2</v>
          </cell>
          <cell r="T6181">
            <v>0</v>
          </cell>
        </row>
        <row r="6182">
          <cell r="Q6182">
            <v>-23813.74</v>
          </cell>
          <cell r="T6182">
            <v>0</v>
          </cell>
        </row>
        <row r="6183">
          <cell r="Q6183">
            <v>-26264.31</v>
          </cell>
          <cell r="T6183">
            <v>0</v>
          </cell>
        </row>
        <row r="6184">
          <cell r="Q6184">
            <v>-19743.02</v>
          </cell>
          <cell r="T6184">
            <v>0</v>
          </cell>
        </row>
        <row r="6185">
          <cell r="Q6185">
            <v>-2930.91</v>
          </cell>
          <cell r="T6185">
            <v>0</v>
          </cell>
        </row>
        <row r="6186">
          <cell r="Q6186">
            <v>-13921.87</v>
          </cell>
          <cell r="T6186">
            <v>0</v>
          </cell>
        </row>
        <row r="6187">
          <cell r="Q6187">
            <v>-143692.42000000001</v>
          </cell>
          <cell r="T6187">
            <v>0</v>
          </cell>
        </row>
        <row r="6188">
          <cell r="Q6188">
            <v>-16565.22</v>
          </cell>
          <cell r="T6188">
            <v>0</v>
          </cell>
        </row>
        <row r="6189">
          <cell r="Q6189">
            <v>-1286.6300000000001</v>
          </cell>
          <cell r="T6189">
            <v>0</v>
          </cell>
        </row>
        <row r="6190">
          <cell r="Q6190">
            <v>-3194.89</v>
          </cell>
          <cell r="T6190">
            <v>0</v>
          </cell>
        </row>
        <row r="6191">
          <cell r="Q6191">
            <v>-1157.95</v>
          </cell>
          <cell r="T6191">
            <v>0</v>
          </cell>
        </row>
        <row r="6192">
          <cell r="Q6192">
            <v>-1942.55</v>
          </cell>
          <cell r="T6192">
            <v>0</v>
          </cell>
        </row>
        <row r="6193">
          <cell r="Q6193">
            <v>-13315.52</v>
          </cell>
          <cell r="T6193">
            <v>0</v>
          </cell>
        </row>
        <row r="6194">
          <cell r="Q6194">
            <v>-1531.54</v>
          </cell>
          <cell r="T6194">
            <v>0</v>
          </cell>
        </row>
        <row r="6195">
          <cell r="Q6195">
            <v>-1531.54</v>
          </cell>
          <cell r="T6195">
            <v>0</v>
          </cell>
        </row>
        <row r="6196">
          <cell r="Q6196">
            <v>-10951.59</v>
          </cell>
          <cell r="T6196">
            <v>0</v>
          </cell>
        </row>
        <row r="6197">
          <cell r="Q6197">
            <v>-286418.36</v>
          </cell>
          <cell r="T6197">
            <v>0</v>
          </cell>
        </row>
        <row r="6198">
          <cell r="Q6198">
            <v>-80251.62</v>
          </cell>
          <cell r="T6198">
            <v>0</v>
          </cell>
        </row>
        <row r="6199">
          <cell r="Q6199">
            <v>-21590.25</v>
          </cell>
          <cell r="T6199">
            <v>0</v>
          </cell>
        </row>
        <row r="6200">
          <cell r="Q6200">
            <v>-1108.49</v>
          </cell>
          <cell r="T6200">
            <v>0</v>
          </cell>
        </row>
        <row r="6201">
          <cell r="Q6201">
            <v>-2022.99</v>
          </cell>
          <cell r="T6201">
            <v>0</v>
          </cell>
        </row>
        <row r="6202">
          <cell r="Q6202">
            <v>-2022.99</v>
          </cell>
          <cell r="T6202">
            <v>0</v>
          </cell>
        </row>
        <row r="6203">
          <cell r="Q6203">
            <v>-2009.12</v>
          </cell>
          <cell r="T6203">
            <v>0</v>
          </cell>
        </row>
        <row r="6204">
          <cell r="Q6204">
            <v>-2009.12</v>
          </cell>
          <cell r="T6204">
            <v>0</v>
          </cell>
        </row>
        <row r="6205">
          <cell r="Q6205">
            <v>-26064.21</v>
          </cell>
          <cell r="T6205">
            <v>0</v>
          </cell>
        </row>
        <row r="6206">
          <cell r="Q6206">
            <v>-7304.24</v>
          </cell>
          <cell r="T6206">
            <v>0</v>
          </cell>
        </row>
        <row r="6207">
          <cell r="Q6207">
            <v>-5949.15</v>
          </cell>
          <cell r="T6207">
            <v>0</v>
          </cell>
        </row>
        <row r="6208">
          <cell r="Q6208">
            <v>-2799.07</v>
          </cell>
          <cell r="T6208">
            <v>0</v>
          </cell>
        </row>
        <row r="6209">
          <cell r="Q6209">
            <v>-2493.2600000000002</v>
          </cell>
          <cell r="T6209">
            <v>0</v>
          </cell>
        </row>
        <row r="6210">
          <cell r="Q6210">
            <v>-7095.04</v>
          </cell>
          <cell r="T6210">
            <v>0</v>
          </cell>
        </row>
        <row r="6211">
          <cell r="Q6211">
            <v>-3085.46</v>
          </cell>
          <cell r="T6211">
            <v>0</v>
          </cell>
        </row>
        <row r="6212">
          <cell r="Q6212">
            <v>-18754.48</v>
          </cell>
          <cell r="T6212">
            <v>0</v>
          </cell>
        </row>
        <row r="6213">
          <cell r="Q6213">
            <v>-2491.67</v>
          </cell>
          <cell r="T6213">
            <v>0</v>
          </cell>
        </row>
        <row r="6214">
          <cell r="Q6214">
            <v>0</v>
          </cell>
          <cell r="T6214">
            <v>0</v>
          </cell>
        </row>
        <row r="6215">
          <cell r="Q6215">
            <v>0</v>
          </cell>
          <cell r="T6215">
            <v>0</v>
          </cell>
        </row>
        <row r="6216">
          <cell r="Q6216">
            <v>0</v>
          </cell>
          <cell r="T6216">
            <v>0</v>
          </cell>
        </row>
        <row r="6217">
          <cell r="Q6217">
            <v>0</v>
          </cell>
          <cell r="T6217">
            <v>0</v>
          </cell>
        </row>
        <row r="6218">
          <cell r="Q6218">
            <v>0</v>
          </cell>
          <cell r="T6218">
            <v>0</v>
          </cell>
        </row>
        <row r="6219">
          <cell r="Q6219">
            <v>0</v>
          </cell>
          <cell r="T6219">
            <v>0</v>
          </cell>
        </row>
        <row r="6220">
          <cell r="Q6220">
            <v>0</v>
          </cell>
          <cell r="T6220">
            <v>0</v>
          </cell>
        </row>
        <row r="6221">
          <cell r="Q6221">
            <v>0</v>
          </cell>
          <cell r="T6221">
            <v>0</v>
          </cell>
        </row>
        <row r="6222">
          <cell r="Q6222">
            <v>0</v>
          </cell>
          <cell r="T6222">
            <v>0</v>
          </cell>
        </row>
        <row r="6223">
          <cell r="Q6223">
            <v>0</v>
          </cell>
          <cell r="T6223">
            <v>0</v>
          </cell>
        </row>
        <row r="6224">
          <cell r="Q6224">
            <v>0</v>
          </cell>
          <cell r="T6224">
            <v>0</v>
          </cell>
        </row>
        <row r="6225">
          <cell r="Q6225">
            <v>0</v>
          </cell>
          <cell r="T6225">
            <v>0</v>
          </cell>
        </row>
        <row r="6226">
          <cell r="Q6226">
            <v>0</v>
          </cell>
          <cell r="T6226">
            <v>0</v>
          </cell>
        </row>
        <row r="6227">
          <cell r="Q6227">
            <v>0</v>
          </cell>
          <cell r="T6227">
            <v>0</v>
          </cell>
        </row>
        <row r="6228">
          <cell r="Q6228">
            <v>-96706.61</v>
          </cell>
          <cell r="T6228">
            <v>0</v>
          </cell>
        </row>
        <row r="6229">
          <cell r="Q6229">
            <v>-56942.35</v>
          </cell>
          <cell r="T6229">
            <v>0</v>
          </cell>
        </row>
        <row r="6230">
          <cell r="Q6230">
            <v>-3323.61</v>
          </cell>
          <cell r="T6230">
            <v>0</v>
          </cell>
        </row>
        <row r="6231">
          <cell r="Q6231">
            <v>-8653.59</v>
          </cell>
          <cell r="T6231">
            <v>0</v>
          </cell>
        </row>
        <row r="6232">
          <cell r="Q6232">
            <v>-3769.73</v>
          </cell>
          <cell r="T6232">
            <v>0</v>
          </cell>
        </row>
        <row r="6233">
          <cell r="Q6233">
            <v>-9143.3700000000008</v>
          </cell>
          <cell r="T6233">
            <v>0</v>
          </cell>
        </row>
        <row r="6234">
          <cell r="Q6234">
            <v>-3741.23</v>
          </cell>
          <cell r="T6234">
            <v>0</v>
          </cell>
        </row>
        <row r="6235">
          <cell r="Q6235">
            <v>-25895.3</v>
          </cell>
          <cell r="T6235">
            <v>0</v>
          </cell>
        </row>
        <row r="6236">
          <cell r="Q6236">
            <v>-3133.88</v>
          </cell>
          <cell r="T6236">
            <v>0</v>
          </cell>
        </row>
        <row r="6237">
          <cell r="Q6237">
            <v>-3133.88</v>
          </cell>
          <cell r="T6237">
            <v>0</v>
          </cell>
        </row>
        <row r="6238">
          <cell r="Q6238">
            <v>-13149.64</v>
          </cell>
          <cell r="T6238">
            <v>0</v>
          </cell>
        </row>
        <row r="6239">
          <cell r="Q6239">
            <v>-3301.14</v>
          </cell>
          <cell r="T6239">
            <v>0</v>
          </cell>
        </row>
        <row r="6240">
          <cell r="Q6240">
            <v>-3110.71</v>
          </cell>
          <cell r="T6240">
            <v>0</v>
          </cell>
        </row>
        <row r="6241">
          <cell r="Q6241">
            <v>-1935.4</v>
          </cell>
          <cell r="T6241">
            <v>0</v>
          </cell>
        </row>
        <row r="6242">
          <cell r="Q6242">
            <v>-2130.48</v>
          </cell>
          <cell r="T6242">
            <v>0</v>
          </cell>
        </row>
        <row r="6243">
          <cell r="Q6243">
            <v>-2478.61</v>
          </cell>
          <cell r="T6243">
            <v>0</v>
          </cell>
        </row>
        <row r="6244">
          <cell r="Q6244">
            <v>-12757.39</v>
          </cell>
          <cell r="T6244">
            <v>0</v>
          </cell>
        </row>
        <row r="6245">
          <cell r="Q6245">
            <v>-1162.1400000000001</v>
          </cell>
          <cell r="T6245">
            <v>0</v>
          </cell>
        </row>
        <row r="6246">
          <cell r="Q6246">
            <v>-1202.8</v>
          </cell>
          <cell r="T6246">
            <v>0</v>
          </cell>
        </row>
        <row r="6247">
          <cell r="Q6247">
            <v>-9357.5400000000009</v>
          </cell>
          <cell r="T6247">
            <v>0</v>
          </cell>
        </row>
        <row r="6248">
          <cell r="Q6248">
            <v>-1180.8699999999999</v>
          </cell>
          <cell r="T6248">
            <v>0</v>
          </cell>
        </row>
        <row r="6249">
          <cell r="Q6249">
            <v>-2681.51</v>
          </cell>
          <cell r="T6249">
            <v>0</v>
          </cell>
        </row>
        <row r="6250">
          <cell r="Q6250">
            <v>-1368.49</v>
          </cell>
          <cell r="T6250">
            <v>0</v>
          </cell>
        </row>
        <row r="6251">
          <cell r="Q6251">
            <v>-27.74</v>
          </cell>
          <cell r="T6251">
            <v>0</v>
          </cell>
        </row>
        <row r="6252">
          <cell r="Q6252">
            <v>-135387.94</v>
          </cell>
          <cell r="T6252">
            <v>0</v>
          </cell>
        </row>
        <row r="6253">
          <cell r="Q6253">
            <v>-18640.55</v>
          </cell>
          <cell r="T6253">
            <v>0</v>
          </cell>
        </row>
        <row r="6254">
          <cell r="Q6254">
            <v>-2895</v>
          </cell>
          <cell r="T6254">
            <v>0</v>
          </cell>
        </row>
        <row r="6255">
          <cell r="Q6255">
            <v>-20596.05</v>
          </cell>
          <cell r="T6255">
            <v>0</v>
          </cell>
        </row>
        <row r="6256">
          <cell r="Q6256">
            <v>-3654.13</v>
          </cell>
          <cell r="T6256">
            <v>0</v>
          </cell>
        </row>
        <row r="6257">
          <cell r="Q6257">
            <v>-47018.41</v>
          </cell>
          <cell r="T6257">
            <v>0</v>
          </cell>
        </row>
        <row r="6258">
          <cell r="Q6258">
            <v>-5152.66</v>
          </cell>
          <cell r="T6258">
            <v>0</v>
          </cell>
        </row>
        <row r="6259">
          <cell r="Q6259">
            <v>-6460.35</v>
          </cell>
          <cell r="T6259">
            <v>0</v>
          </cell>
        </row>
        <row r="6260">
          <cell r="Q6260">
            <v>-1525784.7</v>
          </cell>
          <cell r="T6260">
            <v>0</v>
          </cell>
        </row>
        <row r="6261">
          <cell r="Q6261">
            <v>-90398.58</v>
          </cell>
          <cell r="T6261">
            <v>0</v>
          </cell>
        </row>
        <row r="6262">
          <cell r="Q6262">
            <v>-4259.21</v>
          </cell>
          <cell r="T6262">
            <v>0</v>
          </cell>
        </row>
        <row r="6263">
          <cell r="Q6263">
            <v>-11437.42</v>
          </cell>
          <cell r="T6263">
            <v>0</v>
          </cell>
        </row>
        <row r="6264">
          <cell r="Q6264">
            <v>-11575.27</v>
          </cell>
          <cell r="T6264">
            <v>0</v>
          </cell>
        </row>
        <row r="6265">
          <cell r="Q6265">
            <v>-19787.77</v>
          </cell>
          <cell r="T6265">
            <v>0</v>
          </cell>
        </row>
        <row r="6266">
          <cell r="Q6266">
            <v>-13533.11</v>
          </cell>
          <cell r="T6266">
            <v>0</v>
          </cell>
        </row>
        <row r="6267">
          <cell r="Q6267">
            <v>-12733.2</v>
          </cell>
          <cell r="T6267">
            <v>0</v>
          </cell>
        </row>
        <row r="6268">
          <cell r="Q6268">
            <v>-7132.54</v>
          </cell>
          <cell r="T6268">
            <v>0</v>
          </cell>
        </row>
        <row r="6269">
          <cell r="Q6269">
            <v>-12393.04</v>
          </cell>
          <cell r="T6269">
            <v>0</v>
          </cell>
        </row>
        <row r="6270">
          <cell r="Q6270">
            <v>-6851.73</v>
          </cell>
          <cell r="T6270">
            <v>0</v>
          </cell>
        </row>
        <row r="6271">
          <cell r="Q6271">
            <v>-7630.88</v>
          </cell>
          <cell r="T6271">
            <v>0</v>
          </cell>
        </row>
        <row r="6272">
          <cell r="Q6272">
            <v>-4453.41</v>
          </cell>
          <cell r="T6272">
            <v>0</v>
          </cell>
        </row>
        <row r="6273">
          <cell r="Q6273">
            <v>-9969.11</v>
          </cell>
          <cell r="T6273">
            <v>0</v>
          </cell>
        </row>
        <row r="6274">
          <cell r="Q6274">
            <v>-6560.01</v>
          </cell>
          <cell r="T6274">
            <v>0</v>
          </cell>
        </row>
        <row r="6275">
          <cell r="Q6275">
            <v>-6301.23</v>
          </cell>
          <cell r="T6275">
            <v>0</v>
          </cell>
        </row>
        <row r="6276">
          <cell r="Q6276">
            <v>-2258.66</v>
          </cell>
          <cell r="T6276">
            <v>0</v>
          </cell>
        </row>
        <row r="6277">
          <cell r="Q6277">
            <v>-10743.53</v>
          </cell>
          <cell r="T6277">
            <v>0</v>
          </cell>
        </row>
        <row r="6278">
          <cell r="Q6278">
            <v>-19695.04</v>
          </cell>
          <cell r="T6278">
            <v>0</v>
          </cell>
        </row>
        <row r="6279">
          <cell r="Q6279">
            <v>-14836.02</v>
          </cell>
          <cell r="T6279">
            <v>0</v>
          </cell>
        </row>
        <row r="6280">
          <cell r="Q6280">
            <v>-4222.24</v>
          </cell>
          <cell r="T6280">
            <v>0</v>
          </cell>
        </row>
        <row r="6281">
          <cell r="Q6281">
            <v>-1338.71</v>
          </cell>
          <cell r="T6281">
            <v>0</v>
          </cell>
        </row>
        <row r="6282">
          <cell r="Q6282">
            <v>-3090.89</v>
          </cell>
          <cell r="T6282">
            <v>0</v>
          </cell>
        </row>
        <row r="6283">
          <cell r="Q6283">
            <v>-7503.78</v>
          </cell>
          <cell r="T6283">
            <v>0</v>
          </cell>
        </row>
        <row r="6284">
          <cell r="Q6284">
            <v>-2332.5500000000002</v>
          </cell>
          <cell r="T6284">
            <v>0</v>
          </cell>
        </row>
        <row r="6285">
          <cell r="Q6285">
            <v>-801.24</v>
          </cell>
          <cell r="T6285">
            <v>0</v>
          </cell>
        </row>
        <row r="6286">
          <cell r="Q6286">
            <v>-2648.48</v>
          </cell>
          <cell r="T6286">
            <v>0</v>
          </cell>
        </row>
        <row r="6287">
          <cell r="Q6287">
            <v>-18374.099999999999</v>
          </cell>
          <cell r="T6287">
            <v>0</v>
          </cell>
        </row>
        <row r="6288">
          <cell r="Q6288">
            <v>-13242.35</v>
          </cell>
          <cell r="T6288">
            <v>0</v>
          </cell>
        </row>
        <row r="6289">
          <cell r="Q6289">
            <v>-127002.79</v>
          </cell>
          <cell r="T6289">
            <v>0</v>
          </cell>
        </row>
        <row r="6290">
          <cell r="Q6290">
            <v>-14048.88</v>
          </cell>
          <cell r="T6290">
            <v>0</v>
          </cell>
        </row>
        <row r="6291">
          <cell r="Q6291">
            <v>-7764.52</v>
          </cell>
          <cell r="T6291">
            <v>0</v>
          </cell>
        </row>
        <row r="6292">
          <cell r="Q6292">
            <v>-14226.94</v>
          </cell>
          <cell r="T6292">
            <v>0</v>
          </cell>
        </row>
        <row r="6293">
          <cell r="Q6293">
            <v>-1052.45</v>
          </cell>
          <cell r="T6293">
            <v>0</v>
          </cell>
        </row>
        <row r="6294">
          <cell r="Q6294">
            <v>-20170.45</v>
          </cell>
          <cell r="T6294">
            <v>0</v>
          </cell>
        </row>
        <row r="6295">
          <cell r="Q6295">
            <v>-7675.11</v>
          </cell>
          <cell r="T6295">
            <v>0</v>
          </cell>
        </row>
        <row r="6296">
          <cell r="Q6296">
            <v>-166.41</v>
          </cell>
          <cell r="T6296">
            <v>0</v>
          </cell>
        </row>
        <row r="6297">
          <cell r="Q6297">
            <v>-1830.44</v>
          </cell>
          <cell r="T6297">
            <v>0</v>
          </cell>
        </row>
        <row r="6298">
          <cell r="Q6298">
            <v>-255.19</v>
          </cell>
          <cell r="T6298">
            <v>0</v>
          </cell>
        </row>
        <row r="6299">
          <cell r="Q6299">
            <v>-38.42</v>
          </cell>
          <cell r="T6299">
            <v>0</v>
          </cell>
        </row>
        <row r="6300">
          <cell r="Q6300">
            <v>-2561.59</v>
          </cell>
          <cell r="T6300">
            <v>0</v>
          </cell>
        </row>
        <row r="6301">
          <cell r="Q6301">
            <v>-65.34</v>
          </cell>
          <cell r="T6301">
            <v>0</v>
          </cell>
        </row>
        <row r="6302">
          <cell r="Q6302">
            <v>-5854.92</v>
          </cell>
          <cell r="T6302">
            <v>0</v>
          </cell>
        </row>
        <row r="6303">
          <cell r="Q6303">
            <v>-18179.830000000002</v>
          </cell>
          <cell r="T6303">
            <v>0</v>
          </cell>
        </row>
        <row r="6304">
          <cell r="Q6304">
            <v>-59107.88</v>
          </cell>
          <cell r="T6304">
            <v>0</v>
          </cell>
        </row>
        <row r="6305">
          <cell r="Q6305">
            <v>-18043.73</v>
          </cell>
          <cell r="T6305">
            <v>0</v>
          </cell>
        </row>
        <row r="6306">
          <cell r="Q6306">
            <v>-13253.38</v>
          </cell>
          <cell r="T6306">
            <v>0</v>
          </cell>
        </row>
        <row r="6307">
          <cell r="Q6307">
            <v>-80272.22</v>
          </cell>
          <cell r="T6307">
            <v>0</v>
          </cell>
        </row>
        <row r="6308">
          <cell r="Q6308">
            <v>-12200.63</v>
          </cell>
          <cell r="T6308">
            <v>0</v>
          </cell>
        </row>
        <row r="6309">
          <cell r="Q6309">
            <v>-85301.33</v>
          </cell>
          <cell r="T6309">
            <v>0</v>
          </cell>
        </row>
        <row r="6310">
          <cell r="Q6310">
            <v>-52344.01</v>
          </cell>
          <cell r="T6310">
            <v>0</v>
          </cell>
        </row>
        <row r="6311">
          <cell r="Q6311">
            <v>-3180.48</v>
          </cell>
          <cell r="T6311">
            <v>0</v>
          </cell>
        </row>
        <row r="6312">
          <cell r="Q6312">
            <v>-10949.99</v>
          </cell>
          <cell r="T6312">
            <v>0</v>
          </cell>
        </row>
        <row r="6313">
          <cell r="Q6313">
            <v>-1155.1500000000001</v>
          </cell>
          <cell r="T6313">
            <v>0</v>
          </cell>
        </row>
        <row r="6314">
          <cell r="Q6314">
            <v>-100290.46</v>
          </cell>
          <cell r="T6314">
            <v>0</v>
          </cell>
        </row>
        <row r="6315">
          <cell r="Q6315">
            <v>-3219.05</v>
          </cell>
          <cell r="T6315">
            <v>0</v>
          </cell>
        </row>
        <row r="6316">
          <cell r="Q6316">
            <v>-25628.87</v>
          </cell>
          <cell r="T6316">
            <v>0</v>
          </cell>
        </row>
        <row r="6317">
          <cell r="Q6317">
            <v>-266.67</v>
          </cell>
          <cell r="T6317">
            <v>0</v>
          </cell>
        </row>
        <row r="6318">
          <cell r="Q6318">
            <v>-550.21</v>
          </cell>
          <cell r="T6318">
            <v>0</v>
          </cell>
        </row>
        <row r="6319">
          <cell r="Q6319">
            <v>-1310.23</v>
          </cell>
          <cell r="T6319">
            <v>0</v>
          </cell>
        </row>
        <row r="6320">
          <cell r="Q6320">
            <v>-209.32</v>
          </cell>
          <cell r="T6320">
            <v>0</v>
          </cell>
        </row>
        <row r="6321">
          <cell r="Q6321">
            <v>-11955.2</v>
          </cell>
          <cell r="T6321">
            <v>0</v>
          </cell>
        </row>
        <row r="6322">
          <cell r="Q6322">
            <v>-24219.8</v>
          </cell>
          <cell r="T6322">
            <v>0</v>
          </cell>
        </row>
        <row r="6323">
          <cell r="Q6323">
            <v>-11971.12</v>
          </cell>
          <cell r="T6323">
            <v>0</v>
          </cell>
        </row>
        <row r="6324">
          <cell r="Q6324">
            <v>-2216.25</v>
          </cell>
          <cell r="T6324">
            <v>0</v>
          </cell>
        </row>
        <row r="6325">
          <cell r="Q6325">
            <v>-12631.55</v>
          </cell>
          <cell r="T6325">
            <v>0</v>
          </cell>
        </row>
        <row r="6326">
          <cell r="Q6326">
            <v>0</v>
          </cell>
          <cell r="T6326">
            <v>0</v>
          </cell>
        </row>
        <row r="6327">
          <cell r="Q6327">
            <v>-16323.36</v>
          </cell>
          <cell r="T6327">
            <v>0</v>
          </cell>
        </row>
        <row r="6328">
          <cell r="Q6328">
            <v>-33700.370000000003</v>
          </cell>
          <cell r="T6328">
            <v>0</v>
          </cell>
        </row>
        <row r="6329">
          <cell r="Q6329">
            <v>-65999.820000000007</v>
          </cell>
          <cell r="T6329">
            <v>0</v>
          </cell>
        </row>
        <row r="6330">
          <cell r="Q6330">
            <v>0</v>
          </cell>
          <cell r="T6330">
            <v>0</v>
          </cell>
        </row>
        <row r="6331">
          <cell r="Q6331">
            <v>-6564.17</v>
          </cell>
          <cell r="T6331">
            <v>0</v>
          </cell>
        </row>
        <row r="6332">
          <cell r="Q6332">
            <v>-8176.48</v>
          </cell>
          <cell r="T6332">
            <v>0</v>
          </cell>
        </row>
        <row r="6333">
          <cell r="Q6333">
            <v>-67390.259999999995</v>
          </cell>
          <cell r="T6333">
            <v>0</v>
          </cell>
        </row>
        <row r="6334">
          <cell r="Q6334">
            <v>-6799.57</v>
          </cell>
          <cell r="T6334">
            <v>0</v>
          </cell>
        </row>
        <row r="6335">
          <cell r="Q6335">
            <v>-4485.6899999999996</v>
          </cell>
          <cell r="T6335">
            <v>0</v>
          </cell>
        </row>
        <row r="6336">
          <cell r="Q6336">
            <v>-4485.6899999999996</v>
          </cell>
          <cell r="T6336">
            <v>0</v>
          </cell>
        </row>
        <row r="6337">
          <cell r="Q6337">
            <v>-4485.6899999999996</v>
          </cell>
          <cell r="T6337">
            <v>0</v>
          </cell>
        </row>
        <row r="6338">
          <cell r="Q6338">
            <v>-4485.6899999999996</v>
          </cell>
          <cell r="T6338">
            <v>0</v>
          </cell>
        </row>
        <row r="6339">
          <cell r="Q6339">
            <v>-11777.74</v>
          </cell>
          <cell r="T6339">
            <v>0</v>
          </cell>
        </row>
        <row r="6340">
          <cell r="Q6340">
            <v>-11777.58</v>
          </cell>
          <cell r="T6340">
            <v>0</v>
          </cell>
        </row>
        <row r="6341">
          <cell r="Q6341">
            <v>-97049.94</v>
          </cell>
          <cell r="T6341">
            <v>0</v>
          </cell>
        </row>
        <row r="6342">
          <cell r="Q6342">
            <v>-20711.14</v>
          </cell>
          <cell r="T6342">
            <v>0</v>
          </cell>
        </row>
        <row r="6343">
          <cell r="Q6343">
            <v>-26017.34</v>
          </cell>
          <cell r="T6343">
            <v>0</v>
          </cell>
        </row>
        <row r="6344">
          <cell r="Q6344">
            <v>-15304.32</v>
          </cell>
          <cell r="T6344">
            <v>0</v>
          </cell>
        </row>
        <row r="6345">
          <cell r="Q6345">
            <v>-42935.38</v>
          </cell>
          <cell r="T6345">
            <v>0</v>
          </cell>
        </row>
        <row r="6346">
          <cell r="Q6346">
            <v>-9443.7800000000007</v>
          </cell>
          <cell r="T6346">
            <v>0</v>
          </cell>
        </row>
        <row r="6347">
          <cell r="Q6347">
            <v>-65064.98</v>
          </cell>
          <cell r="T6347">
            <v>0</v>
          </cell>
        </row>
        <row r="6348">
          <cell r="Q6348">
            <v>-19918.23</v>
          </cell>
          <cell r="T6348">
            <v>0</v>
          </cell>
        </row>
        <row r="6349">
          <cell r="Q6349">
            <v>-5779.45</v>
          </cell>
          <cell r="T6349">
            <v>0</v>
          </cell>
        </row>
        <row r="6350">
          <cell r="Q6350">
            <v>0</v>
          </cell>
          <cell r="T6350">
            <v>0</v>
          </cell>
        </row>
        <row r="6351">
          <cell r="Q6351">
            <v>0</v>
          </cell>
          <cell r="T6351">
            <v>0</v>
          </cell>
        </row>
        <row r="6352">
          <cell r="Q6352">
            <v>-4081.6</v>
          </cell>
          <cell r="T6352">
            <v>0</v>
          </cell>
        </row>
        <row r="6353">
          <cell r="Q6353">
            <v>-263.77999999999997</v>
          </cell>
          <cell r="T6353">
            <v>0</v>
          </cell>
        </row>
        <row r="6354">
          <cell r="Q6354">
            <v>-5077.12</v>
          </cell>
          <cell r="T6354">
            <v>0</v>
          </cell>
        </row>
        <row r="6355">
          <cell r="Q6355">
            <v>-7453.64</v>
          </cell>
          <cell r="T6355">
            <v>0</v>
          </cell>
        </row>
        <row r="6356">
          <cell r="Q6356">
            <v>-10173.58</v>
          </cell>
          <cell r="T6356">
            <v>0</v>
          </cell>
        </row>
        <row r="6357">
          <cell r="Q6357">
            <v>-10415.42</v>
          </cell>
          <cell r="T6357">
            <v>0</v>
          </cell>
        </row>
        <row r="6358">
          <cell r="Q6358">
            <v>-63255.19</v>
          </cell>
          <cell r="T6358">
            <v>0</v>
          </cell>
        </row>
        <row r="6359">
          <cell r="Q6359">
            <v>-7856.48</v>
          </cell>
          <cell r="T6359">
            <v>0</v>
          </cell>
        </row>
        <row r="6360">
          <cell r="Q6360">
            <v>-4677.09</v>
          </cell>
          <cell r="T6360">
            <v>0</v>
          </cell>
        </row>
        <row r="6361">
          <cell r="Q6361">
            <v>-3404.22</v>
          </cell>
          <cell r="T6361">
            <v>0</v>
          </cell>
        </row>
        <row r="6362">
          <cell r="Q6362">
            <v>-100057.58</v>
          </cell>
          <cell r="T6362">
            <v>0</v>
          </cell>
        </row>
        <row r="6363">
          <cell r="Q6363">
            <v>-5513.02</v>
          </cell>
          <cell r="T6363">
            <v>0</v>
          </cell>
        </row>
        <row r="6364">
          <cell r="Q6364">
            <v>-20327.16</v>
          </cell>
          <cell r="T6364">
            <v>0</v>
          </cell>
        </row>
        <row r="6365">
          <cell r="Q6365">
            <v>-3966.78</v>
          </cell>
          <cell r="T6365">
            <v>0</v>
          </cell>
        </row>
        <row r="6366">
          <cell r="Q6366">
            <v>-2822.05</v>
          </cell>
          <cell r="T6366">
            <v>0</v>
          </cell>
        </row>
        <row r="6367">
          <cell r="Q6367">
            <v>-3696.41</v>
          </cell>
          <cell r="T6367">
            <v>0</v>
          </cell>
        </row>
        <row r="6368">
          <cell r="Q6368">
            <v>-10290.959999999999</v>
          </cell>
          <cell r="T6368">
            <v>0</v>
          </cell>
        </row>
        <row r="6369">
          <cell r="Q6369">
            <v>-3443.1</v>
          </cell>
          <cell r="T6369">
            <v>0</v>
          </cell>
        </row>
        <row r="6370">
          <cell r="Q6370">
            <v>-1963.36</v>
          </cell>
          <cell r="T6370">
            <v>0</v>
          </cell>
        </row>
        <row r="6371">
          <cell r="Q6371">
            <v>0</v>
          </cell>
          <cell r="T6371">
            <v>0</v>
          </cell>
        </row>
        <row r="6372">
          <cell r="Q6372">
            <v>-3706.13</v>
          </cell>
          <cell r="T6372">
            <v>0</v>
          </cell>
        </row>
        <row r="6373">
          <cell r="Q6373">
            <v>-1654.52</v>
          </cell>
          <cell r="T6373">
            <v>0</v>
          </cell>
        </row>
        <row r="6374">
          <cell r="Q6374">
            <v>-2209.42</v>
          </cell>
          <cell r="T6374">
            <v>0</v>
          </cell>
        </row>
        <row r="6375">
          <cell r="Q6375">
            <v>-3603.29</v>
          </cell>
          <cell r="T6375">
            <v>0</v>
          </cell>
        </row>
        <row r="6376">
          <cell r="Q6376">
            <v>-10002.64</v>
          </cell>
          <cell r="T6376">
            <v>0</v>
          </cell>
        </row>
        <row r="6377">
          <cell r="Q6377">
            <v>-659.9</v>
          </cell>
          <cell r="T6377">
            <v>0</v>
          </cell>
        </row>
        <row r="6378">
          <cell r="Q6378">
            <v>-4063.57</v>
          </cell>
          <cell r="T6378">
            <v>0</v>
          </cell>
        </row>
        <row r="6379">
          <cell r="Q6379">
            <v>-10801.46</v>
          </cell>
          <cell r="T6379">
            <v>0</v>
          </cell>
        </row>
        <row r="6380">
          <cell r="Q6380">
            <v>-14274.6</v>
          </cell>
          <cell r="T6380">
            <v>0</v>
          </cell>
        </row>
        <row r="6381">
          <cell r="Q6381">
            <v>-1924.57</v>
          </cell>
          <cell r="T6381">
            <v>0</v>
          </cell>
        </row>
        <row r="6382">
          <cell r="Q6382">
            <v>-20476.97</v>
          </cell>
          <cell r="T6382">
            <v>0</v>
          </cell>
        </row>
        <row r="6383">
          <cell r="Q6383">
            <v>-15061.59</v>
          </cell>
          <cell r="T6383">
            <v>0</v>
          </cell>
        </row>
        <row r="6384">
          <cell r="Q6384">
            <v>-1687.91</v>
          </cell>
          <cell r="T6384">
            <v>0</v>
          </cell>
        </row>
        <row r="6385">
          <cell r="Q6385">
            <v>-3639.04</v>
          </cell>
          <cell r="T6385">
            <v>0</v>
          </cell>
        </row>
        <row r="6386">
          <cell r="Q6386">
            <v>-2552.06</v>
          </cell>
          <cell r="T6386">
            <v>0</v>
          </cell>
        </row>
        <row r="6387">
          <cell r="Q6387">
            <v>-17515.990000000002</v>
          </cell>
          <cell r="T6387">
            <v>0</v>
          </cell>
        </row>
        <row r="6388">
          <cell r="Q6388">
            <v>-326.41000000000003</v>
          </cell>
          <cell r="T6388">
            <v>0</v>
          </cell>
        </row>
        <row r="6389">
          <cell r="Q6389">
            <v>-23168.959999999999</v>
          </cell>
          <cell r="T6389">
            <v>0</v>
          </cell>
        </row>
        <row r="6390">
          <cell r="Q6390">
            <v>-3070.79</v>
          </cell>
          <cell r="T6390">
            <v>0</v>
          </cell>
        </row>
        <row r="6391">
          <cell r="Q6391">
            <v>-5459.18</v>
          </cell>
          <cell r="T6391">
            <v>0</v>
          </cell>
        </row>
        <row r="6392">
          <cell r="Q6392">
            <v>-796.13</v>
          </cell>
          <cell r="T6392">
            <v>0</v>
          </cell>
        </row>
        <row r="6393">
          <cell r="Q6393">
            <v>-178.34</v>
          </cell>
          <cell r="T6393">
            <v>0</v>
          </cell>
        </row>
        <row r="6394">
          <cell r="Q6394">
            <v>-20.27</v>
          </cell>
          <cell r="T6394">
            <v>0</v>
          </cell>
        </row>
        <row r="6395">
          <cell r="Q6395">
            <v>-1060.21</v>
          </cell>
          <cell r="T6395">
            <v>0</v>
          </cell>
        </row>
        <row r="6396">
          <cell r="Q6396">
            <v>-4912.71</v>
          </cell>
          <cell r="T6396">
            <v>0</v>
          </cell>
        </row>
        <row r="6397">
          <cell r="Q6397">
            <v>0</v>
          </cell>
          <cell r="T6397">
            <v>0</v>
          </cell>
        </row>
        <row r="6398">
          <cell r="Q6398">
            <v>0</v>
          </cell>
          <cell r="T6398">
            <v>0</v>
          </cell>
        </row>
        <row r="6399">
          <cell r="Q6399">
            <v>0</v>
          </cell>
          <cell r="T6399">
            <v>0</v>
          </cell>
        </row>
        <row r="6400">
          <cell r="Q6400">
            <v>-237.17</v>
          </cell>
          <cell r="T6400">
            <v>0</v>
          </cell>
        </row>
        <row r="6401">
          <cell r="Q6401">
            <v>-489.37</v>
          </cell>
          <cell r="T6401">
            <v>0</v>
          </cell>
        </row>
        <row r="6402">
          <cell r="Q6402">
            <v>-35.340000000000003</v>
          </cell>
          <cell r="T6402">
            <v>0</v>
          </cell>
        </row>
        <row r="6403">
          <cell r="Q6403">
            <v>0</v>
          </cell>
          <cell r="T6403">
            <v>0</v>
          </cell>
        </row>
        <row r="6404">
          <cell r="Q6404">
            <v>-222.73</v>
          </cell>
          <cell r="T6404">
            <v>0</v>
          </cell>
        </row>
        <row r="6405">
          <cell r="Q6405">
            <v>0</v>
          </cell>
          <cell r="T6405">
            <v>0</v>
          </cell>
        </row>
        <row r="6406">
          <cell r="Q6406">
            <v>0</v>
          </cell>
          <cell r="T6406">
            <v>0</v>
          </cell>
        </row>
        <row r="6407">
          <cell r="Q6407">
            <v>0</v>
          </cell>
          <cell r="T6407">
            <v>0</v>
          </cell>
        </row>
        <row r="6408">
          <cell r="Q6408">
            <v>0</v>
          </cell>
          <cell r="T6408">
            <v>0</v>
          </cell>
        </row>
        <row r="6409">
          <cell r="Q6409">
            <v>0</v>
          </cell>
          <cell r="T6409">
            <v>0</v>
          </cell>
        </row>
        <row r="6410">
          <cell r="Q6410">
            <v>0</v>
          </cell>
          <cell r="T6410">
            <v>0</v>
          </cell>
        </row>
        <row r="6411">
          <cell r="Q6411">
            <v>0</v>
          </cell>
          <cell r="T6411">
            <v>0</v>
          </cell>
        </row>
        <row r="6412">
          <cell r="Q6412">
            <v>0</v>
          </cell>
          <cell r="T6412">
            <v>0</v>
          </cell>
        </row>
        <row r="6413">
          <cell r="Q6413">
            <v>-7154.84</v>
          </cell>
          <cell r="T6413">
            <v>0</v>
          </cell>
        </row>
        <row r="6414">
          <cell r="Q6414">
            <v>-20338.07</v>
          </cell>
          <cell r="T6414">
            <v>0</v>
          </cell>
        </row>
        <row r="6415">
          <cell r="Q6415">
            <v>-13176.18</v>
          </cell>
          <cell r="T6415">
            <v>0</v>
          </cell>
        </row>
        <row r="6416">
          <cell r="Q6416">
            <v>-42792.49</v>
          </cell>
          <cell r="T6416">
            <v>0</v>
          </cell>
        </row>
        <row r="6417">
          <cell r="Q6417">
            <v>-2904.59</v>
          </cell>
          <cell r="T6417">
            <v>0</v>
          </cell>
        </row>
        <row r="6418">
          <cell r="Q6418">
            <v>-14257.22</v>
          </cell>
          <cell r="T6418">
            <v>0</v>
          </cell>
        </row>
        <row r="6419">
          <cell r="Q6419">
            <v>-8542.35</v>
          </cell>
          <cell r="T6419">
            <v>0</v>
          </cell>
        </row>
        <row r="6420">
          <cell r="Q6420">
            <v>-6474.95</v>
          </cell>
          <cell r="T6420">
            <v>0</v>
          </cell>
        </row>
        <row r="6421">
          <cell r="Q6421">
            <v>-23779.22</v>
          </cell>
          <cell r="T6421">
            <v>0</v>
          </cell>
        </row>
        <row r="6422">
          <cell r="Q6422">
            <v>-14255.11</v>
          </cell>
          <cell r="T6422">
            <v>0</v>
          </cell>
        </row>
        <row r="6423">
          <cell r="Q6423">
            <v>-21561.61</v>
          </cell>
          <cell r="T6423">
            <v>0</v>
          </cell>
        </row>
        <row r="6424">
          <cell r="Q6424">
            <v>-7715.53</v>
          </cell>
          <cell r="T6424">
            <v>0</v>
          </cell>
        </row>
        <row r="6425">
          <cell r="Q6425">
            <v>-235415.6</v>
          </cell>
          <cell r="T6425">
            <v>0</v>
          </cell>
        </row>
        <row r="6426">
          <cell r="Q6426">
            <v>-8444.06</v>
          </cell>
          <cell r="T6426">
            <v>0</v>
          </cell>
        </row>
        <row r="6427">
          <cell r="Q6427">
            <v>-66163.179999999993</v>
          </cell>
          <cell r="T6427">
            <v>0</v>
          </cell>
        </row>
        <row r="6428">
          <cell r="Q6428">
            <v>-3092.48</v>
          </cell>
          <cell r="T6428">
            <v>0</v>
          </cell>
        </row>
        <row r="6429">
          <cell r="Q6429">
            <v>-3874.58</v>
          </cell>
          <cell r="T6429">
            <v>0</v>
          </cell>
        </row>
        <row r="6430">
          <cell r="Q6430">
            <v>-4721.09</v>
          </cell>
          <cell r="T6430">
            <v>0</v>
          </cell>
        </row>
        <row r="6431">
          <cell r="Q6431">
            <v>-4721.09</v>
          </cell>
          <cell r="T6431">
            <v>0</v>
          </cell>
        </row>
        <row r="6432">
          <cell r="Q6432">
            <v>-3809.37</v>
          </cell>
          <cell r="T6432">
            <v>0</v>
          </cell>
        </row>
        <row r="6433">
          <cell r="Q6433">
            <v>-3134.17</v>
          </cell>
          <cell r="T6433">
            <v>0</v>
          </cell>
        </row>
        <row r="6434">
          <cell r="Q6434">
            <v>-3268.58</v>
          </cell>
          <cell r="T6434">
            <v>0</v>
          </cell>
        </row>
        <row r="6435">
          <cell r="Q6435">
            <v>-20564.89</v>
          </cell>
          <cell r="T6435">
            <v>0</v>
          </cell>
        </row>
        <row r="6436">
          <cell r="Q6436">
            <v>-11264.47</v>
          </cell>
          <cell r="T6436">
            <v>0</v>
          </cell>
        </row>
        <row r="6437">
          <cell r="Q6437">
            <v>-3726.35</v>
          </cell>
          <cell r="T6437">
            <v>0</v>
          </cell>
        </row>
        <row r="6438">
          <cell r="Q6438">
            <v>-4142.29</v>
          </cell>
          <cell r="T6438">
            <v>0</v>
          </cell>
        </row>
        <row r="6439">
          <cell r="Q6439">
            <v>-14302.01</v>
          </cell>
          <cell r="T6439">
            <v>0</v>
          </cell>
        </row>
        <row r="6440">
          <cell r="Q6440">
            <v>-10872.13</v>
          </cell>
          <cell r="T6440">
            <v>0</v>
          </cell>
        </row>
        <row r="6441">
          <cell r="Q6441">
            <v>-16174.64</v>
          </cell>
          <cell r="T6441">
            <v>0</v>
          </cell>
        </row>
        <row r="6442">
          <cell r="Q6442">
            <v>-6384.52</v>
          </cell>
          <cell r="T6442">
            <v>0</v>
          </cell>
        </row>
        <row r="6443">
          <cell r="Q6443">
            <v>-20263.37</v>
          </cell>
          <cell r="T6443">
            <v>0</v>
          </cell>
        </row>
        <row r="6444">
          <cell r="Q6444">
            <v>-167418.95000000001</v>
          </cell>
          <cell r="T6444">
            <v>0</v>
          </cell>
        </row>
        <row r="6445">
          <cell r="Q6445">
            <v>-3503.22</v>
          </cell>
          <cell r="T6445">
            <v>0</v>
          </cell>
        </row>
        <row r="6446">
          <cell r="Q6446">
            <v>-4922.32</v>
          </cell>
          <cell r="T6446">
            <v>0</v>
          </cell>
        </row>
        <row r="6447">
          <cell r="Q6447">
            <v>-12569.25</v>
          </cell>
          <cell r="T6447">
            <v>0</v>
          </cell>
        </row>
        <row r="6448">
          <cell r="Q6448">
            <v>-31345.7</v>
          </cell>
          <cell r="T6448">
            <v>0</v>
          </cell>
        </row>
        <row r="6449">
          <cell r="Q6449">
            <v>-32224.78</v>
          </cell>
          <cell r="T6449">
            <v>0</v>
          </cell>
        </row>
        <row r="6450">
          <cell r="Q6450">
            <v>-19394.18</v>
          </cell>
          <cell r="T6450">
            <v>0</v>
          </cell>
        </row>
        <row r="6451">
          <cell r="Q6451">
            <v>-6183.52</v>
          </cell>
          <cell r="T6451">
            <v>0</v>
          </cell>
        </row>
        <row r="6452">
          <cell r="Q6452">
            <v>-13080.74</v>
          </cell>
          <cell r="T6452">
            <v>0</v>
          </cell>
        </row>
        <row r="6453">
          <cell r="Q6453">
            <v>-8607.81</v>
          </cell>
          <cell r="T6453">
            <v>0</v>
          </cell>
        </row>
        <row r="6454">
          <cell r="Q6454">
            <v>-43859.24</v>
          </cell>
          <cell r="T6454">
            <v>0</v>
          </cell>
        </row>
        <row r="6455">
          <cell r="Q6455">
            <v>-7072.07</v>
          </cell>
          <cell r="T6455">
            <v>0</v>
          </cell>
        </row>
        <row r="6456">
          <cell r="Q6456">
            <v>-8717.94</v>
          </cell>
          <cell r="T6456">
            <v>0</v>
          </cell>
        </row>
        <row r="6457">
          <cell r="Q6457">
            <v>-11770.16</v>
          </cell>
          <cell r="T6457">
            <v>0</v>
          </cell>
        </row>
        <row r="6458">
          <cell r="Q6458">
            <v>-5710.43</v>
          </cell>
          <cell r="T6458">
            <v>0</v>
          </cell>
        </row>
        <row r="6459">
          <cell r="Q6459">
            <v>-18123.13</v>
          </cell>
          <cell r="T6459">
            <v>0</v>
          </cell>
        </row>
        <row r="6460">
          <cell r="Q6460">
            <v>-18123.13</v>
          </cell>
          <cell r="T6460">
            <v>0</v>
          </cell>
        </row>
        <row r="6461">
          <cell r="Q6461">
            <v>-5803.74</v>
          </cell>
          <cell r="T6461">
            <v>0</v>
          </cell>
        </row>
        <row r="6462">
          <cell r="Q6462">
            <v>-13300.4</v>
          </cell>
          <cell r="T6462">
            <v>0</v>
          </cell>
        </row>
        <row r="6463">
          <cell r="Q6463">
            <v>-19506.75</v>
          </cell>
          <cell r="T6463">
            <v>0</v>
          </cell>
        </row>
        <row r="6464">
          <cell r="Q6464">
            <v>-18089.71</v>
          </cell>
          <cell r="T6464">
            <v>0</v>
          </cell>
        </row>
        <row r="6465">
          <cell r="Q6465">
            <v>-16491.400000000001</v>
          </cell>
          <cell r="T6465">
            <v>0</v>
          </cell>
        </row>
        <row r="6466">
          <cell r="Q6466">
            <v>-9130.33</v>
          </cell>
          <cell r="T6466">
            <v>0</v>
          </cell>
        </row>
        <row r="6467">
          <cell r="Q6467">
            <v>-513102.2</v>
          </cell>
          <cell r="T6467">
            <v>0</v>
          </cell>
        </row>
        <row r="6468">
          <cell r="Q6468">
            <v>-25044.560000000001</v>
          </cell>
          <cell r="T6468">
            <v>0</v>
          </cell>
        </row>
        <row r="6469">
          <cell r="Q6469">
            <v>-130284.02</v>
          </cell>
          <cell r="T6469">
            <v>0</v>
          </cell>
        </row>
        <row r="6470">
          <cell r="Q6470">
            <v>-26776.42</v>
          </cell>
          <cell r="T6470">
            <v>0</v>
          </cell>
        </row>
        <row r="6471">
          <cell r="Q6471">
            <v>-21489.040000000001</v>
          </cell>
          <cell r="T6471">
            <v>0</v>
          </cell>
        </row>
        <row r="6472">
          <cell r="Q6472">
            <v>-9167.59</v>
          </cell>
          <cell r="T6472">
            <v>0</v>
          </cell>
        </row>
        <row r="6473">
          <cell r="Q6473">
            <v>-9162.76</v>
          </cell>
          <cell r="T6473">
            <v>0</v>
          </cell>
        </row>
        <row r="6474">
          <cell r="Q6474">
            <v>-61473.32</v>
          </cell>
          <cell r="T6474">
            <v>0</v>
          </cell>
        </row>
        <row r="6475">
          <cell r="Q6475">
            <v>-146522.73000000001</v>
          </cell>
          <cell r="T6475">
            <v>0</v>
          </cell>
        </row>
        <row r="6476">
          <cell r="Q6476">
            <v>-25664.45</v>
          </cell>
          <cell r="T6476">
            <v>0</v>
          </cell>
        </row>
        <row r="6477">
          <cell r="Q6477">
            <v>-20008.73</v>
          </cell>
          <cell r="T6477">
            <v>0</v>
          </cell>
        </row>
        <row r="6478">
          <cell r="Q6478">
            <v>-184762.7</v>
          </cell>
          <cell r="T6478">
            <v>0</v>
          </cell>
        </row>
        <row r="6479">
          <cell r="Q6479">
            <v>-19512.64</v>
          </cell>
          <cell r="T6479">
            <v>0</v>
          </cell>
        </row>
        <row r="6480">
          <cell r="Q6480">
            <v>-126003.05</v>
          </cell>
          <cell r="T6480">
            <v>0</v>
          </cell>
        </row>
        <row r="6481">
          <cell r="Q6481">
            <v>-35010.39</v>
          </cell>
          <cell r="T6481">
            <v>0</v>
          </cell>
        </row>
        <row r="6482">
          <cell r="Q6482">
            <v>-6690.69</v>
          </cell>
          <cell r="T6482">
            <v>0</v>
          </cell>
        </row>
        <row r="6483">
          <cell r="Q6483">
            <v>-31676.81</v>
          </cell>
          <cell r="T6483">
            <v>0</v>
          </cell>
        </row>
        <row r="6484">
          <cell r="Q6484">
            <v>-28732.240000000002</v>
          </cell>
          <cell r="T6484">
            <v>0</v>
          </cell>
        </row>
        <row r="6485">
          <cell r="Q6485">
            <v>-42017.43</v>
          </cell>
          <cell r="T6485">
            <v>0</v>
          </cell>
        </row>
        <row r="6486">
          <cell r="Q6486">
            <v>-19089.88</v>
          </cell>
          <cell r="T6486">
            <v>0</v>
          </cell>
        </row>
        <row r="6487">
          <cell r="Q6487">
            <v>-3925</v>
          </cell>
          <cell r="T6487">
            <v>0</v>
          </cell>
        </row>
        <row r="6488">
          <cell r="Q6488">
            <v>-30680.31</v>
          </cell>
          <cell r="T6488">
            <v>0</v>
          </cell>
        </row>
        <row r="6489">
          <cell r="Q6489">
            <v>-14350.87</v>
          </cell>
          <cell r="T6489">
            <v>0</v>
          </cell>
        </row>
        <row r="6490">
          <cell r="Q6490">
            <v>-2705.23</v>
          </cell>
          <cell r="T6490">
            <v>0</v>
          </cell>
        </row>
        <row r="6491">
          <cell r="Q6491">
            <v>-5410.45</v>
          </cell>
          <cell r="T6491">
            <v>0</v>
          </cell>
        </row>
        <row r="6492">
          <cell r="Q6492">
            <v>-3600</v>
          </cell>
          <cell r="T6492">
            <v>0</v>
          </cell>
        </row>
        <row r="6493">
          <cell r="Q6493">
            <v>-3600</v>
          </cell>
          <cell r="T6493">
            <v>0</v>
          </cell>
        </row>
        <row r="6494">
          <cell r="Q6494">
            <v>-88685.29</v>
          </cell>
          <cell r="T6494">
            <v>0</v>
          </cell>
        </row>
        <row r="6495">
          <cell r="Q6495">
            <v>-171375.31</v>
          </cell>
          <cell r="T6495">
            <v>0</v>
          </cell>
        </row>
        <row r="6496">
          <cell r="Q6496">
            <v>-6324.37</v>
          </cell>
          <cell r="T6496">
            <v>0</v>
          </cell>
        </row>
        <row r="6497">
          <cell r="Q6497">
            <v>-212.27</v>
          </cell>
          <cell r="T6497">
            <v>0</v>
          </cell>
        </row>
        <row r="6498">
          <cell r="Q6498">
            <v>-212.27</v>
          </cell>
          <cell r="T6498">
            <v>0</v>
          </cell>
        </row>
        <row r="6499">
          <cell r="Q6499">
            <v>-12948.24</v>
          </cell>
          <cell r="T6499">
            <v>0</v>
          </cell>
        </row>
        <row r="6500">
          <cell r="Q6500">
            <v>-6341.76</v>
          </cell>
          <cell r="T6500">
            <v>0</v>
          </cell>
        </row>
        <row r="6501">
          <cell r="Q6501">
            <v>-14080.59</v>
          </cell>
          <cell r="T6501">
            <v>0</v>
          </cell>
        </row>
        <row r="6502">
          <cell r="Q6502">
            <v>-109542.75</v>
          </cell>
          <cell r="T6502">
            <v>0</v>
          </cell>
        </row>
        <row r="6503">
          <cell r="Q6503">
            <v>-4728.63</v>
          </cell>
          <cell r="T6503">
            <v>0</v>
          </cell>
        </row>
        <row r="6504">
          <cell r="Q6504">
            <v>-12437.88</v>
          </cell>
          <cell r="T6504">
            <v>0</v>
          </cell>
        </row>
        <row r="6505">
          <cell r="Q6505">
            <v>-12437.88</v>
          </cell>
          <cell r="T6505">
            <v>0</v>
          </cell>
        </row>
        <row r="6506">
          <cell r="Q6506">
            <v>-2985.08</v>
          </cell>
          <cell r="T6506">
            <v>0</v>
          </cell>
        </row>
        <row r="6507">
          <cell r="Q6507">
            <v>-325.88</v>
          </cell>
          <cell r="T6507">
            <v>0</v>
          </cell>
        </row>
        <row r="6508">
          <cell r="Q6508">
            <v>-7072.61</v>
          </cell>
          <cell r="T6508">
            <v>0</v>
          </cell>
        </row>
        <row r="6509">
          <cell r="Q6509">
            <v>-1598.74</v>
          </cell>
          <cell r="T6509">
            <v>0</v>
          </cell>
        </row>
        <row r="6510">
          <cell r="Q6510">
            <v>-226.4</v>
          </cell>
          <cell r="T6510">
            <v>0</v>
          </cell>
        </row>
        <row r="6511">
          <cell r="Q6511">
            <v>-11028.98</v>
          </cell>
          <cell r="T6511">
            <v>0</v>
          </cell>
        </row>
        <row r="6512">
          <cell r="Q6512">
            <v>-4871.9799999999996</v>
          </cell>
          <cell r="T6512">
            <v>0</v>
          </cell>
        </row>
        <row r="6513">
          <cell r="Q6513">
            <v>-10990.66</v>
          </cell>
          <cell r="T6513">
            <v>0</v>
          </cell>
        </row>
        <row r="6514">
          <cell r="Q6514">
            <v>-7008.5</v>
          </cell>
          <cell r="T6514">
            <v>0</v>
          </cell>
        </row>
        <row r="6515">
          <cell r="Q6515">
            <v>-1074.07</v>
          </cell>
          <cell r="T6515">
            <v>0</v>
          </cell>
        </row>
        <row r="6516">
          <cell r="Q6516">
            <v>-7760.05</v>
          </cell>
          <cell r="T6516">
            <v>0</v>
          </cell>
        </row>
        <row r="6517">
          <cell r="Q6517">
            <v>-1777.32</v>
          </cell>
          <cell r="T6517">
            <v>0</v>
          </cell>
        </row>
        <row r="6518">
          <cell r="Q6518">
            <v>-2107.58</v>
          </cell>
          <cell r="T6518">
            <v>0</v>
          </cell>
        </row>
        <row r="6519">
          <cell r="Q6519">
            <v>-5193.09</v>
          </cell>
          <cell r="T6519">
            <v>0</v>
          </cell>
        </row>
        <row r="6520">
          <cell r="Q6520">
            <v>-409.98</v>
          </cell>
          <cell r="T6520">
            <v>0</v>
          </cell>
        </row>
        <row r="6521">
          <cell r="Q6521">
            <v>-327.98</v>
          </cell>
          <cell r="T6521">
            <v>0</v>
          </cell>
        </row>
        <row r="6522">
          <cell r="Q6522">
            <v>-273.32</v>
          </cell>
          <cell r="T6522">
            <v>0</v>
          </cell>
        </row>
        <row r="6523">
          <cell r="Q6523">
            <v>-389.47</v>
          </cell>
          <cell r="T6523">
            <v>0</v>
          </cell>
        </row>
        <row r="6524">
          <cell r="Q6524">
            <v>-225.71</v>
          </cell>
          <cell r="T6524">
            <v>0</v>
          </cell>
        </row>
        <row r="6525">
          <cell r="Q6525">
            <v>-1967.37</v>
          </cell>
          <cell r="T6525">
            <v>0</v>
          </cell>
        </row>
        <row r="6526">
          <cell r="Q6526">
            <v>-186.37</v>
          </cell>
          <cell r="T6526">
            <v>0</v>
          </cell>
        </row>
        <row r="6527">
          <cell r="Q6527">
            <v>-827</v>
          </cell>
          <cell r="T6527">
            <v>0</v>
          </cell>
        </row>
        <row r="6528">
          <cell r="Q6528">
            <v>-110.3</v>
          </cell>
          <cell r="T6528">
            <v>0</v>
          </cell>
        </row>
        <row r="6529">
          <cell r="Q6529">
            <v>-2444.73</v>
          </cell>
          <cell r="T6529">
            <v>0</v>
          </cell>
        </row>
        <row r="6530">
          <cell r="Q6530">
            <v>-2559.4499999999998</v>
          </cell>
          <cell r="T6530">
            <v>0</v>
          </cell>
        </row>
        <row r="6531">
          <cell r="Q6531">
            <v>-4202.32</v>
          </cell>
          <cell r="T6531">
            <v>0</v>
          </cell>
        </row>
        <row r="6532">
          <cell r="Q6532">
            <v>-233.72</v>
          </cell>
          <cell r="T6532">
            <v>0</v>
          </cell>
        </row>
        <row r="6533">
          <cell r="Q6533">
            <v>-2480.41</v>
          </cell>
          <cell r="T6533">
            <v>0</v>
          </cell>
        </row>
        <row r="6534">
          <cell r="Q6534">
            <v>-4958.3500000000004</v>
          </cell>
          <cell r="T6534">
            <v>0</v>
          </cell>
        </row>
        <row r="6535">
          <cell r="Q6535">
            <v>-2836.96</v>
          </cell>
          <cell r="T6535">
            <v>0</v>
          </cell>
        </row>
        <row r="6536">
          <cell r="Q6536">
            <v>-7866.08</v>
          </cell>
          <cell r="T6536">
            <v>0</v>
          </cell>
        </row>
        <row r="6537">
          <cell r="Q6537">
            <v>-3489.36</v>
          </cell>
          <cell r="T6537">
            <v>0</v>
          </cell>
        </row>
        <row r="6538">
          <cell r="Q6538">
            <v>-1138.92</v>
          </cell>
          <cell r="T6538">
            <v>0</v>
          </cell>
        </row>
        <row r="6539">
          <cell r="Q6539">
            <v>-20646.84</v>
          </cell>
          <cell r="T6539">
            <v>0</v>
          </cell>
        </row>
        <row r="6540">
          <cell r="Q6540">
            <v>-4545.55</v>
          </cell>
          <cell r="T6540">
            <v>0</v>
          </cell>
        </row>
        <row r="6541">
          <cell r="Q6541">
            <v>-4653.3</v>
          </cell>
          <cell r="T6541">
            <v>0</v>
          </cell>
        </row>
        <row r="6542">
          <cell r="Q6542">
            <v>-8032.78</v>
          </cell>
          <cell r="T6542">
            <v>0</v>
          </cell>
        </row>
        <row r="6543">
          <cell r="Q6543">
            <v>-813.22</v>
          </cell>
          <cell r="T6543">
            <v>0</v>
          </cell>
        </row>
        <row r="6544">
          <cell r="Q6544">
            <v>-5319.01</v>
          </cell>
          <cell r="T6544">
            <v>0</v>
          </cell>
        </row>
        <row r="6545">
          <cell r="Q6545">
            <v>-1329.75</v>
          </cell>
          <cell r="T6545">
            <v>0</v>
          </cell>
        </row>
        <row r="6546">
          <cell r="Q6546">
            <v>-177.3</v>
          </cell>
          <cell r="T6546">
            <v>0</v>
          </cell>
        </row>
        <row r="6547">
          <cell r="Q6547">
            <v>-75020.320000000007</v>
          </cell>
          <cell r="T6547">
            <v>0</v>
          </cell>
        </row>
        <row r="6548">
          <cell r="Q6548">
            <v>-19962.11</v>
          </cell>
          <cell r="T6548">
            <v>0</v>
          </cell>
        </row>
        <row r="6549">
          <cell r="Q6549">
            <v>-74771.67</v>
          </cell>
          <cell r="T6549">
            <v>0</v>
          </cell>
        </row>
        <row r="6550">
          <cell r="Q6550">
            <v>-74771.67</v>
          </cell>
          <cell r="T6550">
            <v>0</v>
          </cell>
        </row>
        <row r="6551">
          <cell r="Q6551">
            <v>-5395.17</v>
          </cell>
          <cell r="T6551">
            <v>0</v>
          </cell>
        </row>
        <row r="6552">
          <cell r="Q6552">
            <v>-74800.37</v>
          </cell>
          <cell r="T6552">
            <v>0</v>
          </cell>
        </row>
        <row r="6553">
          <cell r="Q6553">
            <v>-2158.0700000000002</v>
          </cell>
          <cell r="T6553">
            <v>0</v>
          </cell>
        </row>
        <row r="6554">
          <cell r="Q6554">
            <v>-74771.67</v>
          </cell>
          <cell r="T6554">
            <v>0</v>
          </cell>
        </row>
        <row r="6555">
          <cell r="Q6555">
            <v>-10790.33</v>
          </cell>
          <cell r="T6555">
            <v>0</v>
          </cell>
        </row>
        <row r="6556">
          <cell r="Q6556">
            <v>-75020.320000000007</v>
          </cell>
          <cell r="T6556">
            <v>0</v>
          </cell>
        </row>
        <row r="6557">
          <cell r="Q6557">
            <v>-14027.42</v>
          </cell>
          <cell r="T6557">
            <v>0</v>
          </cell>
        </row>
        <row r="6558">
          <cell r="Q6558">
            <v>-75020.320000000007</v>
          </cell>
          <cell r="T6558">
            <v>0</v>
          </cell>
        </row>
        <row r="6559">
          <cell r="Q6559">
            <v>-10790.33</v>
          </cell>
          <cell r="T6559">
            <v>0</v>
          </cell>
        </row>
        <row r="6560">
          <cell r="Q6560">
            <v>-82656.38</v>
          </cell>
          <cell r="T6560">
            <v>0</v>
          </cell>
        </row>
        <row r="6561">
          <cell r="Q6561">
            <v>-4316.13</v>
          </cell>
          <cell r="T6561">
            <v>0</v>
          </cell>
        </row>
        <row r="6562">
          <cell r="Q6562">
            <v>-77457.100000000006</v>
          </cell>
          <cell r="T6562">
            <v>0</v>
          </cell>
        </row>
        <row r="6563">
          <cell r="Q6563">
            <v>-75020.320000000007</v>
          </cell>
          <cell r="T6563">
            <v>0</v>
          </cell>
        </row>
        <row r="6564">
          <cell r="Q6564">
            <v>-74771.67</v>
          </cell>
          <cell r="T6564">
            <v>0</v>
          </cell>
        </row>
        <row r="6565">
          <cell r="Q6565">
            <v>-75020.320000000007</v>
          </cell>
          <cell r="T6565">
            <v>0</v>
          </cell>
        </row>
        <row r="6566">
          <cell r="Q6566">
            <v>-5395.17</v>
          </cell>
          <cell r="T6566">
            <v>0</v>
          </cell>
        </row>
        <row r="6567">
          <cell r="Q6567">
            <v>-85322.79</v>
          </cell>
          <cell r="T6567">
            <v>0</v>
          </cell>
        </row>
        <row r="6568">
          <cell r="Q6568">
            <v>-2158.0700000000002</v>
          </cell>
          <cell r="T6568">
            <v>0</v>
          </cell>
        </row>
        <row r="6569">
          <cell r="Q6569">
            <v>-74771.67</v>
          </cell>
          <cell r="T6569">
            <v>0</v>
          </cell>
        </row>
        <row r="6570">
          <cell r="Q6570">
            <v>-8632.26</v>
          </cell>
          <cell r="T6570">
            <v>0</v>
          </cell>
        </row>
        <row r="6571">
          <cell r="Q6571">
            <v>-74771.67</v>
          </cell>
          <cell r="T6571">
            <v>0</v>
          </cell>
        </row>
        <row r="6572">
          <cell r="Q6572">
            <v>-75020.320000000007</v>
          </cell>
          <cell r="T6572">
            <v>0</v>
          </cell>
        </row>
        <row r="6573">
          <cell r="Q6573">
            <v>-69467.38</v>
          </cell>
          <cell r="T6573">
            <v>0</v>
          </cell>
        </row>
        <row r="6574">
          <cell r="Q6574">
            <v>-67135.61</v>
          </cell>
          <cell r="T6574">
            <v>0</v>
          </cell>
        </row>
        <row r="6575">
          <cell r="Q6575">
            <v>-74771.67</v>
          </cell>
          <cell r="T6575">
            <v>0</v>
          </cell>
        </row>
        <row r="6576">
          <cell r="Q6576">
            <v>-3237.1</v>
          </cell>
          <cell r="T6576">
            <v>0</v>
          </cell>
        </row>
        <row r="6577">
          <cell r="Q6577">
            <v>-75020.320000000007</v>
          </cell>
          <cell r="T6577">
            <v>0</v>
          </cell>
        </row>
        <row r="6578">
          <cell r="Q6578">
            <v>-5395.17</v>
          </cell>
          <cell r="T6578">
            <v>0</v>
          </cell>
        </row>
        <row r="6579">
          <cell r="Q6579">
            <v>-74771.67</v>
          </cell>
          <cell r="T6579">
            <v>0</v>
          </cell>
        </row>
        <row r="6580">
          <cell r="Q6580">
            <v>-5395.17</v>
          </cell>
          <cell r="T6580">
            <v>0</v>
          </cell>
        </row>
        <row r="6581">
          <cell r="Q6581">
            <v>-17883.63</v>
          </cell>
          <cell r="T6581">
            <v>0</v>
          </cell>
        </row>
        <row r="6582">
          <cell r="Q6582">
            <v>-14903.03</v>
          </cell>
          <cell r="T6582">
            <v>0</v>
          </cell>
        </row>
        <row r="6583">
          <cell r="Q6583">
            <v>-234439.59</v>
          </cell>
          <cell r="T6583">
            <v>0</v>
          </cell>
        </row>
        <row r="6584">
          <cell r="Q6584">
            <v>-99850.26</v>
          </cell>
          <cell r="T6584">
            <v>0</v>
          </cell>
        </row>
        <row r="6585">
          <cell r="Q6585">
            <v>-31296.35</v>
          </cell>
          <cell r="T6585">
            <v>0</v>
          </cell>
        </row>
        <row r="6586">
          <cell r="Q6586">
            <v>-31296.35</v>
          </cell>
          <cell r="T6586">
            <v>0</v>
          </cell>
        </row>
        <row r="6587">
          <cell r="Q6587">
            <v>-195229.63</v>
          </cell>
          <cell r="T6587">
            <v>0</v>
          </cell>
        </row>
        <row r="6588">
          <cell r="Q6588">
            <v>-49730.080000000002</v>
          </cell>
          <cell r="T6588">
            <v>0</v>
          </cell>
        </row>
        <row r="6589">
          <cell r="Q6589">
            <v>-29102.04</v>
          </cell>
          <cell r="T6589">
            <v>0</v>
          </cell>
        </row>
        <row r="6590">
          <cell r="Q6590">
            <v>-38975.949999999997</v>
          </cell>
          <cell r="T6590">
            <v>0</v>
          </cell>
        </row>
        <row r="6591">
          <cell r="Q6591">
            <v>-29102.04</v>
          </cell>
          <cell r="T6591">
            <v>0</v>
          </cell>
        </row>
        <row r="6592">
          <cell r="Q6592">
            <v>-70570.55</v>
          </cell>
          <cell r="T6592">
            <v>0</v>
          </cell>
        </row>
        <row r="6593">
          <cell r="Q6593">
            <v>-3131.29</v>
          </cell>
          <cell r="T6593">
            <v>0</v>
          </cell>
        </row>
        <row r="6594">
          <cell r="Q6594">
            <v>-3153.53</v>
          </cell>
          <cell r="T6594">
            <v>0</v>
          </cell>
        </row>
        <row r="6595">
          <cell r="Q6595">
            <v>-2772.37</v>
          </cell>
          <cell r="T6595">
            <v>0</v>
          </cell>
        </row>
        <row r="6596">
          <cell r="Q6596">
            <v>-2785.38</v>
          </cell>
          <cell r="T6596">
            <v>0</v>
          </cell>
        </row>
        <row r="6597">
          <cell r="Q6597">
            <v>-31966.47</v>
          </cell>
          <cell r="T6597">
            <v>0</v>
          </cell>
        </row>
        <row r="6598">
          <cell r="Q6598">
            <v>-2721.84</v>
          </cell>
          <cell r="T6598">
            <v>0</v>
          </cell>
        </row>
        <row r="6599">
          <cell r="Q6599">
            <v>-2721.84</v>
          </cell>
          <cell r="T6599">
            <v>0</v>
          </cell>
        </row>
        <row r="6600">
          <cell r="Q6600">
            <v>-2715.79</v>
          </cell>
          <cell r="T6600">
            <v>0</v>
          </cell>
        </row>
        <row r="6601">
          <cell r="Q6601">
            <v>-2715.79</v>
          </cell>
          <cell r="T6601">
            <v>0</v>
          </cell>
        </row>
        <row r="6602">
          <cell r="Q6602">
            <v>-71498.42</v>
          </cell>
          <cell r="T6602">
            <v>0</v>
          </cell>
        </row>
        <row r="6603">
          <cell r="Q6603">
            <v>-6737.63</v>
          </cell>
          <cell r="T6603">
            <v>0</v>
          </cell>
        </row>
        <row r="6604">
          <cell r="Q6604">
            <v>-1125.48</v>
          </cell>
          <cell r="T6604">
            <v>0</v>
          </cell>
        </row>
        <row r="6605">
          <cell r="Q6605">
            <v>-2644.35</v>
          </cell>
          <cell r="T6605">
            <v>0</v>
          </cell>
        </row>
        <row r="6606">
          <cell r="Q6606">
            <v>-939.12</v>
          </cell>
          <cell r="T6606">
            <v>0</v>
          </cell>
        </row>
        <row r="6607">
          <cell r="Q6607">
            <v>-3800</v>
          </cell>
          <cell r="T6607">
            <v>0</v>
          </cell>
        </row>
        <row r="6608">
          <cell r="Q6608">
            <v>-3800</v>
          </cell>
          <cell r="T6608">
            <v>0</v>
          </cell>
        </row>
        <row r="6609">
          <cell r="Q6609">
            <v>-7100</v>
          </cell>
          <cell r="T6609">
            <v>0</v>
          </cell>
        </row>
        <row r="6610">
          <cell r="Q6610">
            <v>-14173.21</v>
          </cell>
          <cell r="T6610">
            <v>0</v>
          </cell>
        </row>
        <row r="6611">
          <cell r="Q6611">
            <v>-2311.3200000000002</v>
          </cell>
          <cell r="T6611">
            <v>0</v>
          </cell>
        </row>
        <row r="6612">
          <cell r="Q6612">
            <v>-2311.3200000000002</v>
          </cell>
          <cell r="T6612">
            <v>0</v>
          </cell>
        </row>
        <row r="6613">
          <cell r="Q6613">
            <v>-66929.149999999994</v>
          </cell>
          <cell r="T6613">
            <v>0</v>
          </cell>
        </row>
        <row r="6614">
          <cell r="Q6614">
            <v>-2438.56</v>
          </cell>
          <cell r="T6614">
            <v>0</v>
          </cell>
        </row>
        <row r="6615">
          <cell r="Q6615">
            <v>-500.89</v>
          </cell>
          <cell r="T6615">
            <v>0</v>
          </cell>
        </row>
        <row r="6616">
          <cell r="Q6616">
            <v>-61284.46</v>
          </cell>
          <cell r="T6616">
            <v>0</v>
          </cell>
        </row>
        <row r="6617">
          <cell r="Q6617">
            <v>-61284.46</v>
          </cell>
          <cell r="T6617">
            <v>0</v>
          </cell>
        </row>
        <row r="6618">
          <cell r="Q6618">
            <v>-2485.46</v>
          </cell>
          <cell r="T6618">
            <v>0</v>
          </cell>
        </row>
        <row r="6619">
          <cell r="Q6619">
            <v>-12819.14</v>
          </cell>
          <cell r="T6619">
            <v>0</v>
          </cell>
        </row>
        <row r="6620">
          <cell r="Q6620">
            <v>-1918.05</v>
          </cell>
          <cell r="T6620">
            <v>0</v>
          </cell>
        </row>
        <row r="6621">
          <cell r="Q6621">
            <v>-14269.6</v>
          </cell>
          <cell r="T6621">
            <v>0</v>
          </cell>
        </row>
        <row r="6622">
          <cell r="Q6622">
            <v>-3777.25</v>
          </cell>
          <cell r="T6622">
            <v>0</v>
          </cell>
        </row>
        <row r="6623">
          <cell r="Q6623">
            <v>-3777.25</v>
          </cell>
          <cell r="T6623">
            <v>0</v>
          </cell>
        </row>
        <row r="6624">
          <cell r="Q6624">
            <v>-3777.25</v>
          </cell>
          <cell r="T6624">
            <v>0</v>
          </cell>
        </row>
        <row r="6625">
          <cell r="Q6625">
            <v>-3041.78</v>
          </cell>
          <cell r="T6625">
            <v>0</v>
          </cell>
        </row>
        <row r="6626">
          <cell r="Q6626">
            <v>-1898.12</v>
          </cell>
          <cell r="T6626">
            <v>0</v>
          </cell>
        </row>
        <row r="6627">
          <cell r="Q6627">
            <v>-3253.93</v>
          </cell>
          <cell r="T6627">
            <v>0</v>
          </cell>
        </row>
        <row r="6628">
          <cell r="Q6628">
            <v>-13666.49</v>
          </cell>
          <cell r="T6628">
            <v>0</v>
          </cell>
        </row>
        <row r="6629">
          <cell r="Q6629">
            <v>-4095.77</v>
          </cell>
          <cell r="T6629">
            <v>0</v>
          </cell>
        </row>
        <row r="6630">
          <cell r="Q6630">
            <v>-2498.85</v>
          </cell>
          <cell r="T6630">
            <v>0</v>
          </cell>
        </row>
        <row r="6631">
          <cell r="Q6631">
            <v>-8864.8700000000008</v>
          </cell>
          <cell r="T6631">
            <v>0</v>
          </cell>
        </row>
        <row r="6632">
          <cell r="Q6632">
            <v>-17803.11</v>
          </cell>
          <cell r="T6632">
            <v>0</v>
          </cell>
        </row>
        <row r="6633">
          <cell r="Q6633">
            <v>-50878.13</v>
          </cell>
          <cell r="T6633">
            <v>0</v>
          </cell>
        </row>
        <row r="6634">
          <cell r="Q6634">
            <v>-5587.5</v>
          </cell>
          <cell r="T6634">
            <v>0</v>
          </cell>
        </row>
        <row r="6635">
          <cell r="Q6635">
            <v>-18771.61</v>
          </cell>
          <cell r="T6635">
            <v>0</v>
          </cell>
        </row>
        <row r="6636">
          <cell r="Q6636">
            <v>-13015</v>
          </cell>
          <cell r="T6636">
            <v>0</v>
          </cell>
        </row>
        <row r="6637">
          <cell r="Q6637">
            <v>-863.87</v>
          </cell>
          <cell r="T6637">
            <v>0</v>
          </cell>
        </row>
        <row r="6638">
          <cell r="Q6638">
            <v>-21954.01</v>
          </cell>
          <cell r="T6638">
            <v>0</v>
          </cell>
        </row>
        <row r="6639">
          <cell r="Q6639">
            <v>-436.86</v>
          </cell>
          <cell r="T6639">
            <v>0</v>
          </cell>
        </row>
        <row r="6640">
          <cell r="Q6640">
            <v>-2366.66</v>
          </cell>
          <cell r="T6640">
            <v>0</v>
          </cell>
        </row>
        <row r="6641">
          <cell r="Q6641">
            <v>-486.8</v>
          </cell>
          <cell r="T6641">
            <v>0</v>
          </cell>
        </row>
        <row r="6642">
          <cell r="Q6642">
            <v>-10052.26</v>
          </cell>
          <cell r="T6642">
            <v>0</v>
          </cell>
        </row>
        <row r="6643">
          <cell r="Q6643">
            <v>-9940.77</v>
          </cell>
          <cell r="T6643">
            <v>0</v>
          </cell>
        </row>
        <row r="6644">
          <cell r="Q6644">
            <v>-999.39</v>
          </cell>
          <cell r="T6644">
            <v>0</v>
          </cell>
        </row>
        <row r="6645">
          <cell r="Q6645">
            <v>-1976.18</v>
          </cell>
          <cell r="T6645">
            <v>0</v>
          </cell>
        </row>
        <row r="6646">
          <cell r="Q6646">
            <v>-632.45000000000005</v>
          </cell>
          <cell r="T6646">
            <v>0</v>
          </cell>
        </row>
        <row r="6647">
          <cell r="Q6647">
            <v>-44494.92</v>
          </cell>
          <cell r="T6647">
            <v>0</v>
          </cell>
        </row>
        <row r="6648">
          <cell r="Q6648">
            <v>-5832.76</v>
          </cell>
          <cell r="T6648">
            <v>0</v>
          </cell>
        </row>
        <row r="6649">
          <cell r="Q6649">
            <v>-38716.230000000003</v>
          </cell>
          <cell r="T6649">
            <v>0</v>
          </cell>
        </row>
        <row r="6650">
          <cell r="Q6650">
            <v>-5095.1400000000003</v>
          </cell>
          <cell r="T6650">
            <v>0</v>
          </cell>
        </row>
        <row r="6651">
          <cell r="Q6651">
            <v>-4115.3900000000003</v>
          </cell>
          <cell r="T6651">
            <v>0</v>
          </cell>
        </row>
        <row r="6652">
          <cell r="Q6652">
            <v>-55331.51</v>
          </cell>
          <cell r="T6652">
            <v>0</v>
          </cell>
        </row>
        <row r="6653">
          <cell r="Q6653">
            <v>-43634.59</v>
          </cell>
          <cell r="T6653">
            <v>0</v>
          </cell>
        </row>
        <row r="6654">
          <cell r="Q6654">
            <v>-2814.04</v>
          </cell>
          <cell r="T6654">
            <v>0</v>
          </cell>
        </row>
        <row r="6655">
          <cell r="Q6655">
            <v>-8069.18</v>
          </cell>
          <cell r="T6655">
            <v>0</v>
          </cell>
        </row>
        <row r="6656">
          <cell r="Q6656">
            <v>-97643.839999999997</v>
          </cell>
          <cell r="T6656">
            <v>0</v>
          </cell>
        </row>
        <row r="6657">
          <cell r="Q6657">
            <v>-14889.55</v>
          </cell>
          <cell r="T6657">
            <v>0</v>
          </cell>
        </row>
        <row r="6658">
          <cell r="Q6658">
            <v>-1430.65</v>
          </cell>
          <cell r="T6658">
            <v>0</v>
          </cell>
        </row>
        <row r="6659">
          <cell r="Q6659">
            <v>-3153.47</v>
          </cell>
          <cell r="T6659">
            <v>0</v>
          </cell>
        </row>
        <row r="6660">
          <cell r="Q6660">
            <v>-5446.9</v>
          </cell>
          <cell r="T6660">
            <v>0</v>
          </cell>
        </row>
        <row r="6661">
          <cell r="Q6661">
            <v>-16400.52</v>
          </cell>
          <cell r="T6661">
            <v>0</v>
          </cell>
        </row>
        <row r="6662">
          <cell r="Q6662">
            <v>-1419.27</v>
          </cell>
          <cell r="T6662">
            <v>0</v>
          </cell>
        </row>
        <row r="6663">
          <cell r="Q6663">
            <v>-5897.09</v>
          </cell>
          <cell r="T6663">
            <v>0</v>
          </cell>
        </row>
        <row r="6664">
          <cell r="Q6664">
            <v>-13501.48</v>
          </cell>
          <cell r="T6664">
            <v>0</v>
          </cell>
        </row>
        <row r="6665">
          <cell r="Q6665">
            <v>-14349.57</v>
          </cell>
          <cell r="T6665">
            <v>0</v>
          </cell>
        </row>
        <row r="6666">
          <cell r="Q6666">
            <v>-14280.41</v>
          </cell>
          <cell r="T6666">
            <v>0</v>
          </cell>
        </row>
        <row r="6667">
          <cell r="Q6667">
            <v>-14349.57</v>
          </cell>
          <cell r="T6667">
            <v>0</v>
          </cell>
        </row>
        <row r="6668">
          <cell r="Q6668">
            <v>-22105.05</v>
          </cell>
          <cell r="T6668">
            <v>0</v>
          </cell>
        </row>
        <row r="6669">
          <cell r="Q6669">
            <v>-22105.05</v>
          </cell>
          <cell r="T6669">
            <v>0</v>
          </cell>
        </row>
        <row r="6670">
          <cell r="Q6670">
            <v>-594.22</v>
          </cell>
          <cell r="T6670">
            <v>0</v>
          </cell>
        </row>
        <row r="6671">
          <cell r="Q6671">
            <v>-603.36</v>
          </cell>
          <cell r="T6671">
            <v>0</v>
          </cell>
        </row>
        <row r="6672">
          <cell r="Q6672">
            <v>-639.92999999999995</v>
          </cell>
          <cell r="T6672">
            <v>0</v>
          </cell>
        </row>
        <row r="6673">
          <cell r="Q6673">
            <v>-639.91999999999996</v>
          </cell>
          <cell r="T6673">
            <v>0</v>
          </cell>
        </row>
        <row r="6674">
          <cell r="Q6674">
            <v>-9116.5300000000007</v>
          </cell>
          <cell r="T6674">
            <v>0</v>
          </cell>
        </row>
        <row r="6675">
          <cell r="Q6675">
            <v>-1844.41</v>
          </cell>
          <cell r="T6675">
            <v>0</v>
          </cell>
        </row>
        <row r="6676">
          <cell r="Q6676">
            <v>-7513.15</v>
          </cell>
          <cell r="T6676">
            <v>0</v>
          </cell>
        </row>
        <row r="6677">
          <cell r="Q6677">
            <v>-10914.41</v>
          </cell>
          <cell r="T6677">
            <v>0</v>
          </cell>
        </row>
        <row r="6678">
          <cell r="Q6678">
            <v>-7513.15</v>
          </cell>
          <cell r="T6678">
            <v>0</v>
          </cell>
        </row>
        <row r="6679">
          <cell r="Q6679">
            <v>-7513.15</v>
          </cell>
          <cell r="T6679">
            <v>0</v>
          </cell>
        </row>
        <row r="6680">
          <cell r="Q6680">
            <v>-7513.15</v>
          </cell>
          <cell r="T6680">
            <v>0</v>
          </cell>
        </row>
        <row r="6681">
          <cell r="Q6681">
            <v>-7513.15</v>
          </cell>
          <cell r="T6681">
            <v>0</v>
          </cell>
        </row>
        <row r="6682">
          <cell r="Q6682">
            <v>-7513.15</v>
          </cell>
          <cell r="T6682">
            <v>0</v>
          </cell>
        </row>
        <row r="6683">
          <cell r="Q6683">
            <v>-7513.15</v>
          </cell>
          <cell r="T6683">
            <v>0</v>
          </cell>
        </row>
        <row r="6684">
          <cell r="Q6684">
            <v>-7513.15</v>
          </cell>
          <cell r="T6684">
            <v>0</v>
          </cell>
        </row>
        <row r="6685">
          <cell r="Q6685">
            <v>-7513.15</v>
          </cell>
          <cell r="T6685">
            <v>0</v>
          </cell>
        </row>
        <row r="6686">
          <cell r="Q6686">
            <v>-7513.15</v>
          </cell>
          <cell r="T6686">
            <v>0</v>
          </cell>
        </row>
        <row r="6687">
          <cell r="Q6687">
            <v>-7077.7</v>
          </cell>
          <cell r="T6687">
            <v>0</v>
          </cell>
        </row>
        <row r="6688">
          <cell r="Q6688">
            <v>-7513.15</v>
          </cell>
          <cell r="T6688">
            <v>0</v>
          </cell>
        </row>
        <row r="6689">
          <cell r="Q6689">
            <v>-7513.15</v>
          </cell>
          <cell r="T6689">
            <v>0</v>
          </cell>
        </row>
        <row r="6690">
          <cell r="Q6690">
            <v>-7513.15</v>
          </cell>
          <cell r="T6690">
            <v>0</v>
          </cell>
        </row>
        <row r="6691">
          <cell r="Q6691">
            <v>-7513.15</v>
          </cell>
          <cell r="T6691">
            <v>0</v>
          </cell>
        </row>
        <row r="6692">
          <cell r="Q6692">
            <v>-7513.15</v>
          </cell>
          <cell r="T6692">
            <v>0</v>
          </cell>
        </row>
        <row r="6693">
          <cell r="Q6693">
            <v>-7513.15</v>
          </cell>
          <cell r="T6693">
            <v>0</v>
          </cell>
        </row>
        <row r="6694">
          <cell r="Q6694">
            <v>-7513.15</v>
          </cell>
          <cell r="T6694">
            <v>0</v>
          </cell>
        </row>
        <row r="6695">
          <cell r="Q6695">
            <v>-7513.15</v>
          </cell>
          <cell r="T6695">
            <v>0</v>
          </cell>
        </row>
        <row r="6696">
          <cell r="Q6696">
            <v>-7513.15</v>
          </cell>
          <cell r="T6696">
            <v>0</v>
          </cell>
        </row>
        <row r="6697">
          <cell r="Q6697">
            <v>-812.79</v>
          </cell>
          <cell r="T6697">
            <v>0</v>
          </cell>
        </row>
        <row r="6698">
          <cell r="Q6698">
            <v>-3157.34</v>
          </cell>
          <cell r="T6698">
            <v>0</v>
          </cell>
        </row>
        <row r="6699">
          <cell r="Q6699">
            <v>-2929.56</v>
          </cell>
          <cell r="T6699">
            <v>0</v>
          </cell>
        </row>
        <row r="6700">
          <cell r="Q6700">
            <v>-68097.210000000006</v>
          </cell>
          <cell r="T6700">
            <v>0</v>
          </cell>
        </row>
        <row r="6701">
          <cell r="Q6701">
            <v>-47609.53</v>
          </cell>
          <cell r="T6701">
            <v>0</v>
          </cell>
        </row>
        <row r="6702">
          <cell r="Q6702">
            <v>-47609.53</v>
          </cell>
          <cell r="T6702">
            <v>0</v>
          </cell>
        </row>
        <row r="6703">
          <cell r="Q6703">
            <v>-47609.53</v>
          </cell>
          <cell r="T6703">
            <v>0</v>
          </cell>
        </row>
        <row r="6704">
          <cell r="Q6704">
            <v>-47609.53</v>
          </cell>
          <cell r="T6704">
            <v>0</v>
          </cell>
        </row>
        <row r="6705">
          <cell r="Q6705">
            <v>-7513.15</v>
          </cell>
          <cell r="T6705">
            <v>0</v>
          </cell>
        </row>
        <row r="6706">
          <cell r="Q6706">
            <v>-16418.45</v>
          </cell>
          <cell r="T6706">
            <v>0</v>
          </cell>
        </row>
        <row r="6707">
          <cell r="Q6707">
            <v>-2418.33</v>
          </cell>
          <cell r="T6707">
            <v>0</v>
          </cell>
        </row>
        <row r="6708">
          <cell r="Q6708">
            <v>-16189.52</v>
          </cell>
          <cell r="T6708">
            <v>0</v>
          </cell>
        </row>
        <row r="6709">
          <cell r="Q6709">
            <v>-323.11</v>
          </cell>
          <cell r="T6709">
            <v>0</v>
          </cell>
        </row>
        <row r="6710">
          <cell r="Q6710">
            <v>-950.44</v>
          </cell>
          <cell r="T6710">
            <v>0</v>
          </cell>
        </row>
        <row r="6711">
          <cell r="Q6711">
            <v>-1425.4</v>
          </cell>
          <cell r="T6711">
            <v>0</v>
          </cell>
        </row>
        <row r="6712">
          <cell r="Q6712">
            <v>-546.44000000000005</v>
          </cell>
          <cell r="T6712">
            <v>0</v>
          </cell>
        </row>
        <row r="6713">
          <cell r="Q6713">
            <v>-7697.13</v>
          </cell>
          <cell r="T6713">
            <v>0</v>
          </cell>
        </row>
        <row r="6714">
          <cell r="Q6714">
            <v>-3204.79</v>
          </cell>
          <cell r="T6714">
            <v>0</v>
          </cell>
        </row>
        <row r="6715">
          <cell r="Q6715">
            <v>-380.12</v>
          </cell>
          <cell r="T6715">
            <v>0</v>
          </cell>
        </row>
        <row r="6716">
          <cell r="Q6716">
            <v>-2851</v>
          </cell>
          <cell r="T6716">
            <v>0</v>
          </cell>
        </row>
        <row r="6717">
          <cell r="Q6717">
            <v>-9.5399999999999991</v>
          </cell>
          <cell r="T6717">
            <v>0</v>
          </cell>
        </row>
        <row r="6718">
          <cell r="Q6718">
            <v>-3400.82</v>
          </cell>
          <cell r="T6718">
            <v>0</v>
          </cell>
        </row>
        <row r="6719">
          <cell r="Q6719">
            <v>-1119.44</v>
          </cell>
          <cell r="T6719">
            <v>0</v>
          </cell>
        </row>
        <row r="6720">
          <cell r="Q6720">
            <v>-869.23</v>
          </cell>
          <cell r="T6720">
            <v>0</v>
          </cell>
        </row>
        <row r="6721">
          <cell r="Q6721">
            <v>-6911.92</v>
          </cell>
          <cell r="T6721">
            <v>0</v>
          </cell>
        </row>
        <row r="6722">
          <cell r="Q6722">
            <v>-4963.5600000000004</v>
          </cell>
          <cell r="T6722">
            <v>0</v>
          </cell>
        </row>
        <row r="6723">
          <cell r="Q6723">
            <v>-2767.4</v>
          </cell>
          <cell r="T6723">
            <v>0</v>
          </cell>
        </row>
        <row r="6724">
          <cell r="Q6724">
            <v>-2767.4</v>
          </cell>
          <cell r="T6724">
            <v>0</v>
          </cell>
        </row>
        <row r="6725">
          <cell r="Q6725">
            <v>-12201.47</v>
          </cell>
          <cell r="T6725">
            <v>0</v>
          </cell>
        </row>
        <row r="6726">
          <cell r="Q6726">
            <v>-2240.63</v>
          </cell>
          <cell r="T6726">
            <v>0</v>
          </cell>
        </row>
        <row r="6727">
          <cell r="Q6727">
            <v>-3468.08</v>
          </cell>
          <cell r="T6727">
            <v>0</v>
          </cell>
        </row>
        <row r="6728">
          <cell r="Q6728">
            <v>-4446</v>
          </cell>
          <cell r="T6728">
            <v>0</v>
          </cell>
        </row>
        <row r="6729">
          <cell r="Q6729">
            <v>-1289.26</v>
          </cell>
          <cell r="T6729">
            <v>0</v>
          </cell>
        </row>
        <row r="6730">
          <cell r="Q6730">
            <v>-5153.42</v>
          </cell>
          <cell r="T6730">
            <v>0</v>
          </cell>
        </row>
        <row r="6731">
          <cell r="Q6731">
            <v>-917.22</v>
          </cell>
          <cell r="T6731">
            <v>0</v>
          </cell>
        </row>
        <row r="6732">
          <cell r="Q6732">
            <v>-683.51</v>
          </cell>
          <cell r="T6732">
            <v>0</v>
          </cell>
        </row>
        <row r="6733">
          <cell r="Q6733">
            <v>-151.56</v>
          </cell>
          <cell r="T6733">
            <v>0</v>
          </cell>
        </row>
        <row r="6734">
          <cell r="Q6734">
            <v>-1886.3</v>
          </cell>
          <cell r="T6734">
            <v>0</v>
          </cell>
        </row>
        <row r="6735">
          <cell r="Q6735">
            <v>-412.82</v>
          </cell>
          <cell r="T6735">
            <v>0</v>
          </cell>
        </row>
        <row r="6736">
          <cell r="Q6736">
            <v>-1516.23</v>
          </cell>
          <cell r="T6736">
            <v>0</v>
          </cell>
        </row>
        <row r="6737">
          <cell r="Q6737">
            <v>0</v>
          </cell>
          <cell r="T6737">
            <v>0</v>
          </cell>
        </row>
        <row r="6738">
          <cell r="Q6738">
            <v>-1061.92</v>
          </cell>
          <cell r="T6738">
            <v>0</v>
          </cell>
        </row>
        <row r="6739">
          <cell r="Q6739">
            <v>0</v>
          </cell>
          <cell r="T6739">
            <v>0</v>
          </cell>
        </row>
        <row r="6740">
          <cell r="Q6740">
            <v>-1054.1099999999999</v>
          </cell>
          <cell r="T6740">
            <v>0</v>
          </cell>
        </row>
        <row r="6741">
          <cell r="Q6741">
            <v>-666.62</v>
          </cell>
          <cell r="T6741">
            <v>0</v>
          </cell>
        </row>
        <row r="6742">
          <cell r="Q6742">
            <v>-666.62</v>
          </cell>
          <cell r="T6742">
            <v>0</v>
          </cell>
        </row>
        <row r="6743">
          <cell r="Q6743">
            <v>-666.62</v>
          </cell>
          <cell r="T6743">
            <v>0</v>
          </cell>
        </row>
        <row r="6744">
          <cell r="Q6744">
            <v>-5867.17</v>
          </cell>
          <cell r="T6744">
            <v>0</v>
          </cell>
        </row>
        <row r="6745">
          <cell r="Q6745">
            <v>-686.81</v>
          </cell>
          <cell r="T6745">
            <v>0</v>
          </cell>
        </row>
        <row r="6746">
          <cell r="Q6746">
            <v>-1659.65</v>
          </cell>
          <cell r="T6746">
            <v>0</v>
          </cell>
        </row>
        <row r="6747">
          <cell r="Q6747">
            <v>-1951.03</v>
          </cell>
          <cell r="T6747">
            <v>0</v>
          </cell>
        </row>
        <row r="6748">
          <cell r="Q6748">
            <v>-851.82</v>
          </cell>
          <cell r="T6748">
            <v>0</v>
          </cell>
        </row>
        <row r="6749">
          <cell r="Q6749">
            <v>-2620.63</v>
          </cell>
          <cell r="T6749">
            <v>0</v>
          </cell>
        </row>
        <row r="6750">
          <cell r="Q6750">
            <v>-976.44</v>
          </cell>
          <cell r="T6750">
            <v>0</v>
          </cell>
        </row>
        <row r="6751">
          <cell r="Q6751">
            <v>-846.34</v>
          </cell>
          <cell r="T6751">
            <v>0</v>
          </cell>
        </row>
        <row r="6752">
          <cell r="Q6752">
            <v>-56.26</v>
          </cell>
          <cell r="T6752">
            <v>0</v>
          </cell>
        </row>
        <row r="6753">
          <cell r="Q6753">
            <v>-56.26</v>
          </cell>
          <cell r="T6753">
            <v>0</v>
          </cell>
        </row>
        <row r="6754">
          <cell r="Q6754">
            <v>-717.9</v>
          </cell>
          <cell r="T6754">
            <v>0</v>
          </cell>
        </row>
        <row r="6755">
          <cell r="Q6755">
            <v>-95.91</v>
          </cell>
          <cell r="T6755">
            <v>0</v>
          </cell>
        </row>
        <row r="6756">
          <cell r="Q6756">
            <v>-399.62</v>
          </cell>
          <cell r="T6756">
            <v>0</v>
          </cell>
        </row>
        <row r="6757">
          <cell r="Q6757">
            <v>-540.57000000000005</v>
          </cell>
          <cell r="T6757">
            <v>0</v>
          </cell>
        </row>
        <row r="6758">
          <cell r="Q6758">
            <v>-767.21</v>
          </cell>
          <cell r="T6758">
            <v>0</v>
          </cell>
        </row>
        <row r="6759">
          <cell r="Q6759">
            <v>-194.64</v>
          </cell>
          <cell r="T6759">
            <v>0</v>
          </cell>
        </row>
        <row r="6760">
          <cell r="Q6760">
            <v>-199.71</v>
          </cell>
          <cell r="T6760">
            <v>0</v>
          </cell>
        </row>
        <row r="6761">
          <cell r="Q6761">
            <v>-310.38</v>
          </cell>
          <cell r="T6761">
            <v>0</v>
          </cell>
        </row>
        <row r="6762">
          <cell r="Q6762">
            <v>-389.08</v>
          </cell>
          <cell r="T6762">
            <v>0</v>
          </cell>
        </row>
        <row r="6763">
          <cell r="Q6763">
            <v>-153.88</v>
          </cell>
          <cell r="T6763">
            <v>0</v>
          </cell>
        </row>
        <row r="6764">
          <cell r="Q6764">
            <v>-16.27</v>
          </cell>
          <cell r="T6764">
            <v>0</v>
          </cell>
        </row>
        <row r="6765">
          <cell r="Q6765">
            <v>-29.48</v>
          </cell>
          <cell r="T6765">
            <v>0</v>
          </cell>
        </row>
        <row r="6766">
          <cell r="Q6766">
            <v>-92.22</v>
          </cell>
          <cell r="T6766">
            <v>0</v>
          </cell>
        </row>
        <row r="6767">
          <cell r="Q6767">
            <v>0</v>
          </cell>
          <cell r="T6767">
            <v>0</v>
          </cell>
        </row>
        <row r="6768">
          <cell r="Q6768">
            <v>-283.07</v>
          </cell>
          <cell r="T6768">
            <v>0</v>
          </cell>
        </row>
        <row r="6769">
          <cell r="Q6769">
            <v>-16292.5</v>
          </cell>
          <cell r="T6769">
            <v>0</v>
          </cell>
        </row>
        <row r="6770">
          <cell r="Q6770">
            <v>0</v>
          </cell>
          <cell r="T6770">
            <v>0</v>
          </cell>
        </row>
        <row r="6771">
          <cell r="Q6771">
            <v>-1496.02</v>
          </cell>
          <cell r="T6771">
            <v>0</v>
          </cell>
        </row>
        <row r="6772">
          <cell r="Q6772">
            <v>-3729.45</v>
          </cell>
          <cell r="T6772">
            <v>0</v>
          </cell>
        </row>
        <row r="6773">
          <cell r="Q6773">
            <v>-433.97</v>
          </cell>
          <cell r="T6773">
            <v>0</v>
          </cell>
        </row>
        <row r="6774">
          <cell r="Q6774">
            <v>-128.84</v>
          </cell>
          <cell r="T6774">
            <v>0</v>
          </cell>
        </row>
        <row r="6775">
          <cell r="Q6775">
            <v>-75.22</v>
          </cell>
          <cell r="T6775">
            <v>0</v>
          </cell>
        </row>
        <row r="6776">
          <cell r="Q6776">
            <v>-86.79</v>
          </cell>
          <cell r="T6776">
            <v>0</v>
          </cell>
        </row>
        <row r="6777">
          <cell r="Q6777">
            <v>-78.900000000000006</v>
          </cell>
          <cell r="T6777">
            <v>0</v>
          </cell>
        </row>
        <row r="6778">
          <cell r="Q6778">
            <v>0</v>
          </cell>
          <cell r="T6778">
            <v>0</v>
          </cell>
        </row>
        <row r="6779">
          <cell r="Q6779">
            <v>-1028.5999999999999</v>
          </cell>
          <cell r="T6779">
            <v>0</v>
          </cell>
        </row>
        <row r="6780">
          <cell r="Q6780">
            <v>-7.4</v>
          </cell>
          <cell r="T6780">
            <v>0</v>
          </cell>
        </row>
        <row r="6781">
          <cell r="Q6781">
            <v>-3.45</v>
          </cell>
          <cell r="T6781">
            <v>0</v>
          </cell>
        </row>
        <row r="6782">
          <cell r="Q6782">
            <v>-110.75</v>
          </cell>
          <cell r="T6782">
            <v>0</v>
          </cell>
        </row>
        <row r="6783">
          <cell r="Q6783">
            <v>-28.11</v>
          </cell>
          <cell r="T6783">
            <v>0</v>
          </cell>
        </row>
        <row r="6784">
          <cell r="Q6784">
            <v>0</v>
          </cell>
          <cell r="T6784">
            <v>0</v>
          </cell>
        </row>
        <row r="6785">
          <cell r="Q6785">
            <v>0</v>
          </cell>
          <cell r="T6785">
            <v>0</v>
          </cell>
        </row>
        <row r="6786">
          <cell r="Q6786">
            <v>0</v>
          </cell>
          <cell r="T6786">
            <v>0</v>
          </cell>
        </row>
        <row r="6787">
          <cell r="Q6787">
            <v>0</v>
          </cell>
          <cell r="T6787">
            <v>0</v>
          </cell>
        </row>
        <row r="6788">
          <cell r="Q6788">
            <v>0</v>
          </cell>
          <cell r="T6788">
            <v>0</v>
          </cell>
        </row>
        <row r="6789">
          <cell r="Q6789">
            <v>0</v>
          </cell>
          <cell r="T6789">
            <v>0</v>
          </cell>
        </row>
        <row r="6790">
          <cell r="Q6790">
            <v>0</v>
          </cell>
          <cell r="T6790">
            <v>0</v>
          </cell>
        </row>
        <row r="6791">
          <cell r="Q6791">
            <v>0</v>
          </cell>
          <cell r="T6791">
            <v>0</v>
          </cell>
        </row>
        <row r="6792">
          <cell r="Q6792">
            <v>0</v>
          </cell>
          <cell r="T6792">
            <v>0</v>
          </cell>
        </row>
        <row r="6793">
          <cell r="Q6793">
            <v>0</v>
          </cell>
          <cell r="T6793">
            <v>0</v>
          </cell>
        </row>
        <row r="6794">
          <cell r="Q6794">
            <v>0</v>
          </cell>
          <cell r="T6794">
            <v>0</v>
          </cell>
        </row>
        <row r="6795">
          <cell r="Q6795">
            <v>0</v>
          </cell>
          <cell r="T6795">
            <v>0</v>
          </cell>
        </row>
        <row r="6796">
          <cell r="Q6796">
            <v>0</v>
          </cell>
          <cell r="T6796">
            <v>0</v>
          </cell>
        </row>
        <row r="6797">
          <cell r="Q6797">
            <v>0</v>
          </cell>
          <cell r="T6797">
            <v>0</v>
          </cell>
        </row>
        <row r="6798">
          <cell r="Q6798">
            <v>0</v>
          </cell>
          <cell r="T6798">
            <v>0</v>
          </cell>
        </row>
        <row r="6799">
          <cell r="Q6799">
            <v>0</v>
          </cell>
          <cell r="T6799">
            <v>0</v>
          </cell>
        </row>
        <row r="6800">
          <cell r="Q6800">
            <v>0</v>
          </cell>
          <cell r="T6800">
            <v>0</v>
          </cell>
        </row>
        <row r="6801">
          <cell r="Q6801">
            <v>-3500</v>
          </cell>
          <cell r="T6801">
            <v>0</v>
          </cell>
        </row>
        <row r="6802">
          <cell r="Q6802">
            <v>-4000</v>
          </cell>
          <cell r="T6802">
            <v>0</v>
          </cell>
        </row>
        <row r="6803">
          <cell r="Q6803">
            <v>-11800</v>
          </cell>
          <cell r="T6803">
            <v>0</v>
          </cell>
        </row>
        <row r="6804">
          <cell r="Q6804">
            <v>-4950</v>
          </cell>
          <cell r="T6804">
            <v>0</v>
          </cell>
        </row>
        <row r="6805">
          <cell r="Q6805">
            <v>-4600</v>
          </cell>
          <cell r="T6805">
            <v>0</v>
          </cell>
        </row>
        <row r="6806">
          <cell r="Q6806">
            <v>-941.48</v>
          </cell>
          <cell r="T6806">
            <v>0</v>
          </cell>
        </row>
        <row r="6807">
          <cell r="Q6807">
            <v>-3200</v>
          </cell>
          <cell r="T6807">
            <v>0</v>
          </cell>
        </row>
        <row r="6808">
          <cell r="Q6808">
            <v>-4450</v>
          </cell>
          <cell r="T6808">
            <v>0</v>
          </cell>
        </row>
        <row r="6809">
          <cell r="Q6809">
            <v>-4450</v>
          </cell>
          <cell r="T6809">
            <v>0</v>
          </cell>
        </row>
        <row r="6810">
          <cell r="Q6810">
            <v>-4450</v>
          </cell>
          <cell r="T6810">
            <v>0</v>
          </cell>
        </row>
        <row r="6811">
          <cell r="Q6811">
            <v>-6850</v>
          </cell>
          <cell r="T6811">
            <v>0</v>
          </cell>
        </row>
        <row r="6812">
          <cell r="Q6812">
            <v>-4500</v>
          </cell>
          <cell r="T6812">
            <v>0</v>
          </cell>
        </row>
        <row r="6813">
          <cell r="Q6813">
            <v>-4600</v>
          </cell>
          <cell r="T6813">
            <v>0</v>
          </cell>
        </row>
        <row r="6814">
          <cell r="Q6814">
            <v>-6700</v>
          </cell>
          <cell r="T6814">
            <v>0</v>
          </cell>
        </row>
        <row r="6815">
          <cell r="Q6815">
            <v>-3350</v>
          </cell>
          <cell r="T6815">
            <v>0</v>
          </cell>
        </row>
        <row r="6816">
          <cell r="Q6816">
            <v>-3350</v>
          </cell>
          <cell r="T6816">
            <v>0</v>
          </cell>
        </row>
        <row r="6817">
          <cell r="Q6817">
            <v>-3350</v>
          </cell>
          <cell r="T6817">
            <v>0</v>
          </cell>
        </row>
        <row r="6818">
          <cell r="Q6818">
            <v>-3350</v>
          </cell>
          <cell r="T6818">
            <v>0</v>
          </cell>
        </row>
        <row r="6819">
          <cell r="Q6819">
            <v>-3350</v>
          </cell>
          <cell r="T6819">
            <v>0</v>
          </cell>
        </row>
        <row r="6820">
          <cell r="Q6820">
            <v>-3350</v>
          </cell>
          <cell r="T6820">
            <v>0</v>
          </cell>
        </row>
        <row r="6821">
          <cell r="Q6821">
            <v>-3350</v>
          </cell>
          <cell r="T6821">
            <v>0</v>
          </cell>
        </row>
        <row r="6822">
          <cell r="Q6822">
            <v>-3350</v>
          </cell>
          <cell r="T6822">
            <v>0</v>
          </cell>
        </row>
        <row r="6823">
          <cell r="Q6823">
            <v>-3350</v>
          </cell>
          <cell r="T6823">
            <v>0</v>
          </cell>
        </row>
        <row r="6824">
          <cell r="Q6824">
            <v>-3350</v>
          </cell>
          <cell r="T6824">
            <v>0</v>
          </cell>
        </row>
        <row r="6825">
          <cell r="Q6825">
            <v>-4550</v>
          </cell>
          <cell r="T6825">
            <v>0</v>
          </cell>
        </row>
        <row r="6826">
          <cell r="Q6826">
            <v>-7000</v>
          </cell>
          <cell r="T6826">
            <v>0</v>
          </cell>
        </row>
        <row r="6827">
          <cell r="Q6827">
            <v>-4900</v>
          </cell>
          <cell r="T6827">
            <v>0</v>
          </cell>
        </row>
        <row r="6828">
          <cell r="Q6828">
            <v>0</v>
          </cell>
          <cell r="T6828">
            <v>0</v>
          </cell>
        </row>
        <row r="6829">
          <cell r="Q6829">
            <v>0</v>
          </cell>
          <cell r="T6829">
            <v>0</v>
          </cell>
        </row>
        <row r="6830">
          <cell r="Q6830">
            <v>0</v>
          </cell>
          <cell r="T6830">
            <v>0</v>
          </cell>
        </row>
        <row r="6831">
          <cell r="Q6831">
            <v>-322179.67</v>
          </cell>
          <cell r="T6831">
            <v>0</v>
          </cell>
        </row>
        <row r="6832">
          <cell r="Q6832">
            <v>-262118.9</v>
          </cell>
          <cell r="T6832">
            <v>0</v>
          </cell>
        </row>
        <row r="6833">
          <cell r="Q6833">
            <v>-123625.33</v>
          </cell>
          <cell r="T6833">
            <v>0</v>
          </cell>
        </row>
        <row r="6834">
          <cell r="Q6834">
            <v>-112191.72</v>
          </cell>
          <cell r="T6834">
            <v>0</v>
          </cell>
        </row>
        <row r="6835">
          <cell r="Q6835">
            <v>-101959.84</v>
          </cell>
          <cell r="T6835">
            <v>0</v>
          </cell>
        </row>
        <row r="6836">
          <cell r="Q6836">
            <v>-459638.58</v>
          </cell>
          <cell r="T6836">
            <v>0</v>
          </cell>
        </row>
        <row r="6837">
          <cell r="Q6837">
            <v>-278220.81</v>
          </cell>
          <cell r="T6837">
            <v>0</v>
          </cell>
        </row>
        <row r="6838">
          <cell r="Q6838">
            <v>-768802.73</v>
          </cell>
          <cell r="T6838">
            <v>0</v>
          </cell>
        </row>
        <row r="6839">
          <cell r="Q6839">
            <v>-493317.92</v>
          </cell>
          <cell r="T6839">
            <v>0</v>
          </cell>
        </row>
        <row r="6840">
          <cell r="Q6840">
            <v>-595567.06999999995</v>
          </cell>
          <cell r="T6840">
            <v>0</v>
          </cell>
        </row>
        <row r="6841">
          <cell r="Q6841">
            <v>-317932.63</v>
          </cell>
          <cell r="T6841">
            <v>0</v>
          </cell>
        </row>
        <row r="6842">
          <cell r="Q6842">
            <v>-216128.65</v>
          </cell>
          <cell r="T6842">
            <v>0</v>
          </cell>
        </row>
        <row r="6843">
          <cell r="Q6843">
            <v>-629142.93999999994</v>
          </cell>
          <cell r="T6843">
            <v>0</v>
          </cell>
        </row>
        <row r="6844">
          <cell r="Q6844">
            <v>-374501.55</v>
          </cell>
          <cell r="T6844">
            <v>0</v>
          </cell>
        </row>
        <row r="6845">
          <cell r="Q6845">
            <v>-598588.13</v>
          </cell>
          <cell r="T6845">
            <v>0</v>
          </cell>
        </row>
        <row r="6846">
          <cell r="Q6846">
            <v>-181231.88</v>
          </cell>
          <cell r="T6846">
            <v>0</v>
          </cell>
        </row>
        <row r="6847">
          <cell r="Q6847">
            <v>-159074.96</v>
          </cell>
          <cell r="T6847">
            <v>0</v>
          </cell>
        </row>
        <row r="6848">
          <cell r="Q6848">
            <v>-6936.39</v>
          </cell>
          <cell r="T6848">
            <v>0</v>
          </cell>
        </row>
        <row r="6849">
          <cell r="Q6849">
            <v>-170971.39</v>
          </cell>
          <cell r="T6849">
            <v>0</v>
          </cell>
        </row>
        <row r="6850">
          <cell r="Q6850">
            <v>-31598.94</v>
          </cell>
          <cell r="T6850">
            <v>0</v>
          </cell>
        </row>
        <row r="6851">
          <cell r="Q6851">
            <v>-198440.62</v>
          </cell>
          <cell r="T6851">
            <v>0</v>
          </cell>
        </row>
        <row r="6852">
          <cell r="Q6852">
            <v>-198234.69</v>
          </cell>
          <cell r="T6852">
            <v>0</v>
          </cell>
        </row>
        <row r="6853">
          <cell r="Q6853">
            <v>-205440.49</v>
          </cell>
          <cell r="T6853">
            <v>0</v>
          </cell>
        </row>
        <row r="6854">
          <cell r="Q6854">
            <v>-174363.85</v>
          </cell>
          <cell r="T6854">
            <v>0</v>
          </cell>
        </row>
        <row r="6855">
          <cell r="Q6855">
            <v>-171522.12</v>
          </cell>
          <cell r="T6855">
            <v>0</v>
          </cell>
        </row>
        <row r="6856">
          <cell r="Q6856">
            <v>-3996.35</v>
          </cell>
          <cell r="T6856">
            <v>0</v>
          </cell>
        </row>
        <row r="6857">
          <cell r="Q6857">
            <v>-6282.72</v>
          </cell>
          <cell r="T6857">
            <v>0</v>
          </cell>
        </row>
        <row r="6858">
          <cell r="Q6858">
            <v>-571430.67000000004</v>
          </cell>
          <cell r="T6858">
            <v>0</v>
          </cell>
        </row>
        <row r="6859">
          <cell r="Q6859">
            <v>-571430.67000000004</v>
          </cell>
          <cell r="T6859">
            <v>0</v>
          </cell>
        </row>
        <row r="6860">
          <cell r="Q6860">
            <v>-572645.05000000005</v>
          </cell>
          <cell r="T6860">
            <v>0</v>
          </cell>
        </row>
        <row r="6861">
          <cell r="Q6861">
            <v>-572645.05000000005</v>
          </cell>
          <cell r="T6861">
            <v>0</v>
          </cell>
        </row>
        <row r="6862">
          <cell r="Q6862">
            <v>-572645.05000000005</v>
          </cell>
          <cell r="T6862">
            <v>0</v>
          </cell>
        </row>
        <row r="6863">
          <cell r="Q6863">
            <v>-153451.94</v>
          </cell>
          <cell r="T6863">
            <v>0</v>
          </cell>
        </row>
        <row r="6864">
          <cell r="Q6864">
            <v>-377264.62</v>
          </cell>
          <cell r="T6864">
            <v>0</v>
          </cell>
        </row>
        <row r="6865">
          <cell r="Q6865">
            <v>-377264.62</v>
          </cell>
          <cell r="T6865">
            <v>0</v>
          </cell>
        </row>
        <row r="6866">
          <cell r="Q6866">
            <v>-377264.62</v>
          </cell>
          <cell r="T6866">
            <v>0</v>
          </cell>
        </row>
        <row r="6867">
          <cell r="Q6867">
            <v>-377264.62</v>
          </cell>
          <cell r="T6867">
            <v>0</v>
          </cell>
        </row>
        <row r="6868">
          <cell r="Q6868">
            <v>-372964.77</v>
          </cell>
          <cell r="T6868">
            <v>0</v>
          </cell>
        </row>
        <row r="6869">
          <cell r="Q6869">
            <v>-368599.32</v>
          </cell>
          <cell r="T6869">
            <v>0</v>
          </cell>
        </row>
        <row r="6870">
          <cell r="Q6870">
            <v>-221229.66</v>
          </cell>
          <cell r="T6870">
            <v>0</v>
          </cell>
        </row>
        <row r="6871">
          <cell r="Q6871">
            <v>-216977.47</v>
          </cell>
          <cell r="T6871">
            <v>0</v>
          </cell>
        </row>
        <row r="6872">
          <cell r="Q6872">
            <v>-216977.47</v>
          </cell>
          <cell r="T6872">
            <v>0</v>
          </cell>
        </row>
        <row r="6873">
          <cell r="Q6873">
            <v>-216977.47</v>
          </cell>
          <cell r="T6873">
            <v>0</v>
          </cell>
        </row>
        <row r="6874">
          <cell r="Q6874">
            <v>-216977.47</v>
          </cell>
          <cell r="T6874">
            <v>0</v>
          </cell>
        </row>
        <row r="6875">
          <cell r="Q6875">
            <v>-155720.54</v>
          </cell>
          <cell r="T6875">
            <v>0</v>
          </cell>
        </row>
        <row r="6876">
          <cell r="Q6876">
            <v>-207564.46</v>
          </cell>
          <cell r="T6876">
            <v>0</v>
          </cell>
        </row>
        <row r="6877">
          <cell r="Q6877">
            <v>-233741.12</v>
          </cell>
          <cell r="T6877">
            <v>0</v>
          </cell>
        </row>
        <row r="6878">
          <cell r="Q6878">
            <v>-264309.31</v>
          </cell>
          <cell r="T6878">
            <v>0</v>
          </cell>
        </row>
        <row r="6879">
          <cell r="Q6879">
            <v>-489024.57</v>
          </cell>
          <cell r="T6879">
            <v>0</v>
          </cell>
        </row>
        <row r="6880">
          <cell r="Q6880">
            <v>-153233.9</v>
          </cell>
          <cell r="T6880">
            <v>0</v>
          </cell>
        </row>
        <row r="6881">
          <cell r="Q6881">
            <v>-910781.38</v>
          </cell>
          <cell r="T6881">
            <v>0</v>
          </cell>
        </row>
        <row r="6882">
          <cell r="Q6882">
            <v>-174112.15</v>
          </cell>
          <cell r="T6882">
            <v>0</v>
          </cell>
        </row>
        <row r="6883">
          <cell r="Q6883">
            <v>-161946.23999999999</v>
          </cell>
          <cell r="T6883">
            <v>0</v>
          </cell>
        </row>
        <row r="6884">
          <cell r="Q6884">
            <v>-161946.23999999999</v>
          </cell>
          <cell r="T6884">
            <v>0</v>
          </cell>
        </row>
        <row r="6885">
          <cell r="Q6885">
            <v>-161946.23999999999</v>
          </cell>
          <cell r="T6885">
            <v>0</v>
          </cell>
        </row>
        <row r="6886">
          <cell r="Q6886">
            <v>-145021.54</v>
          </cell>
          <cell r="T6886">
            <v>0</v>
          </cell>
        </row>
        <row r="6887">
          <cell r="Q6887">
            <v>-163984.79999999999</v>
          </cell>
          <cell r="T6887">
            <v>0</v>
          </cell>
        </row>
        <row r="6888">
          <cell r="Q6888">
            <v>-163984.79999999999</v>
          </cell>
          <cell r="T6888">
            <v>0</v>
          </cell>
        </row>
        <row r="6889">
          <cell r="Q6889">
            <v>-155119.48000000001</v>
          </cell>
          <cell r="T6889">
            <v>0</v>
          </cell>
        </row>
        <row r="6890">
          <cell r="Q6890">
            <v>-165693.39000000001</v>
          </cell>
          <cell r="T6890">
            <v>0</v>
          </cell>
        </row>
        <row r="6891">
          <cell r="Q6891">
            <v>-237432.82</v>
          </cell>
          <cell r="T6891">
            <v>0</v>
          </cell>
        </row>
        <row r="6892">
          <cell r="Q6892">
            <v>-260155.53</v>
          </cell>
          <cell r="T6892">
            <v>0</v>
          </cell>
        </row>
        <row r="6893">
          <cell r="Q6893">
            <v>-260155.53</v>
          </cell>
          <cell r="T6893">
            <v>0</v>
          </cell>
        </row>
        <row r="6894">
          <cell r="Q6894">
            <v>-387275.36</v>
          </cell>
          <cell r="T6894">
            <v>0</v>
          </cell>
        </row>
        <row r="6895">
          <cell r="Q6895">
            <v>-232601.27</v>
          </cell>
          <cell r="T6895">
            <v>0</v>
          </cell>
        </row>
        <row r="6896">
          <cell r="Q6896">
            <v>-158676.42000000001</v>
          </cell>
          <cell r="T6896">
            <v>0</v>
          </cell>
        </row>
        <row r="6897">
          <cell r="Q6897">
            <v>-152259.07</v>
          </cell>
          <cell r="T6897">
            <v>0</v>
          </cell>
        </row>
        <row r="6898">
          <cell r="Q6898">
            <v>-154347.19</v>
          </cell>
          <cell r="T6898">
            <v>0</v>
          </cell>
        </row>
        <row r="6899">
          <cell r="Q6899">
            <v>-142348.13</v>
          </cell>
          <cell r="T6899">
            <v>0</v>
          </cell>
        </row>
        <row r="6900">
          <cell r="Q6900">
            <v>-103789.47</v>
          </cell>
          <cell r="T6900">
            <v>0</v>
          </cell>
        </row>
        <row r="6901">
          <cell r="Q6901">
            <v>-68709.789999999994</v>
          </cell>
          <cell r="T6901">
            <v>0</v>
          </cell>
        </row>
        <row r="6902">
          <cell r="Q6902">
            <v>-103789.47</v>
          </cell>
          <cell r="T6902">
            <v>0</v>
          </cell>
        </row>
        <row r="6903">
          <cell r="Q6903">
            <v>-84655.1</v>
          </cell>
          <cell r="T6903">
            <v>0</v>
          </cell>
        </row>
        <row r="6904">
          <cell r="Q6904">
            <v>-79146.720000000001</v>
          </cell>
          <cell r="T6904">
            <v>0</v>
          </cell>
        </row>
        <row r="6905">
          <cell r="Q6905">
            <v>-161483.56</v>
          </cell>
          <cell r="T6905">
            <v>0</v>
          </cell>
        </row>
        <row r="6906">
          <cell r="Q6906">
            <v>-161483.56</v>
          </cell>
          <cell r="T6906">
            <v>0</v>
          </cell>
        </row>
        <row r="6907">
          <cell r="Q6907">
            <v>-91640.23</v>
          </cell>
          <cell r="T6907">
            <v>0</v>
          </cell>
        </row>
        <row r="6908">
          <cell r="Q6908">
            <v>-225412.94</v>
          </cell>
          <cell r="T6908">
            <v>0</v>
          </cell>
        </row>
        <row r="6909">
          <cell r="Q6909">
            <v>-179361.85</v>
          </cell>
          <cell r="T6909">
            <v>0</v>
          </cell>
        </row>
        <row r="6910">
          <cell r="Q6910">
            <v>-32131.97</v>
          </cell>
          <cell r="T6910">
            <v>0</v>
          </cell>
        </row>
        <row r="6911">
          <cell r="Q6911">
            <v>-48187.25</v>
          </cell>
          <cell r="T6911">
            <v>0</v>
          </cell>
        </row>
        <row r="6912">
          <cell r="Q6912">
            <v>-23777.66</v>
          </cell>
          <cell r="T6912">
            <v>0</v>
          </cell>
        </row>
        <row r="6913">
          <cell r="Q6913">
            <v>-47983.75</v>
          </cell>
          <cell r="T6913">
            <v>0</v>
          </cell>
        </row>
        <row r="6914">
          <cell r="Q6914">
            <v>-25716.52</v>
          </cell>
          <cell r="T6914">
            <v>0</v>
          </cell>
        </row>
        <row r="6915">
          <cell r="Q6915">
            <v>-28727.26</v>
          </cell>
          <cell r="T6915">
            <v>0</v>
          </cell>
        </row>
        <row r="6916">
          <cell r="Q6916">
            <v>-18832.32</v>
          </cell>
          <cell r="T6916">
            <v>0</v>
          </cell>
        </row>
        <row r="6917">
          <cell r="Q6917">
            <v>-29046.45</v>
          </cell>
          <cell r="T6917">
            <v>0</v>
          </cell>
        </row>
        <row r="6918">
          <cell r="Q6918">
            <v>-32557.56</v>
          </cell>
          <cell r="T6918">
            <v>0</v>
          </cell>
        </row>
        <row r="6919">
          <cell r="Q6919">
            <v>-21917.84</v>
          </cell>
          <cell r="T6919">
            <v>0</v>
          </cell>
        </row>
        <row r="6920">
          <cell r="Q6920">
            <v>-21917.84</v>
          </cell>
          <cell r="T6920">
            <v>0</v>
          </cell>
        </row>
        <row r="6921">
          <cell r="Q6921">
            <v>-19789.89</v>
          </cell>
          <cell r="T6921">
            <v>0</v>
          </cell>
        </row>
        <row r="6922">
          <cell r="Q6922">
            <v>-12554.88</v>
          </cell>
          <cell r="T6922">
            <v>0</v>
          </cell>
        </row>
        <row r="6923">
          <cell r="Q6923">
            <v>-21705.040000000001</v>
          </cell>
          <cell r="T6923">
            <v>0</v>
          </cell>
        </row>
        <row r="6924">
          <cell r="Q6924">
            <v>-15244.26</v>
          </cell>
          <cell r="T6924">
            <v>0</v>
          </cell>
        </row>
        <row r="6925">
          <cell r="Q6925">
            <v>-5759.36</v>
          </cell>
          <cell r="T6925">
            <v>0</v>
          </cell>
        </row>
        <row r="6926">
          <cell r="Q6926">
            <v>0</v>
          </cell>
          <cell r="T6926">
            <v>0</v>
          </cell>
        </row>
        <row r="6927">
          <cell r="Q6927">
            <v>0</v>
          </cell>
          <cell r="T6927">
            <v>0</v>
          </cell>
        </row>
        <row r="6928">
          <cell r="Q6928">
            <v>0</v>
          </cell>
          <cell r="T6928">
            <v>0</v>
          </cell>
        </row>
        <row r="6929">
          <cell r="Q6929">
            <v>0</v>
          </cell>
          <cell r="T6929">
            <v>0</v>
          </cell>
        </row>
        <row r="6930">
          <cell r="Q6930">
            <v>0</v>
          </cell>
          <cell r="T6930">
            <v>0</v>
          </cell>
        </row>
        <row r="6931">
          <cell r="Q6931">
            <v>0</v>
          </cell>
          <cell r="T6931">
            <v>0</v>
          </cell>
        </row>
        <row r="6932">
          <cell r="Q6932">
            <v>0</v>
          </cell>
          <cell r="T6932">
            <v>0</v>
          </cell>
        </row>
        <row r="6933">
          <cell r="Q6933">
            <v>0</v>
          </cell>
          <cell r="T6933">
            <v>0</v>
          </cell>
        </row>
        <row r="6934">
          <cell r="Q6934">
            <v>0</v>
          </cell>
          <cell r="T6934">
            <v>0</v>
          </cell>
        </row>
        <row r="6935">
          <cell r="Q6935">
            <v>0</v>
          </cell>
          <cell r="T6935">
            <v>0</v>
          </cell>
        </row>
        <row r="6936">
          <cell r="Q6936">
            <v>0</v>
          </cell>
          <cell r="T6936">
            <v>0</v>
          </cell>
        </row>
        <row r="6937">
          <cell r="Q6937">
            <v>0</v>
          </cell>
          <cell r="T6937">
            <v>0</v>
          </cell>
        </row>
        <row r="6938">
          <cell r="Q6938">
            <v>0</v>
          </cell>
          <cell r="T6938">
            <v>0</v>
          </cell>
        </row>
        <row r="6939">
          <cell r="Q6939">
            <v>-661584.56000000006</v>
          </cell>
          <cell r="T6939">
            <v>0</v>
          </cell>
        </row>
        <row r="6940">
          <cell r="Q6940">
            <v>-962043.78</v>
          </cell>
          <cell r="T6940">
            <v>0</v>
          </cell>
        </row>
        <row r="6941">
          <cell r="Q6941">
            <v>-58137.73</v>
          </cell>
          <cell r="T6941">
            <v>0</v>
          </cell>
        </row>
        <row r="6942">
          <cell r="Q6942">
            <v>-454278.71</v>
          </cell>
          <cell r="T6942">
            <v>0</v>
          </cell>
        </row>
        <row r="6943">
          <cell r="Q6943">
            <v>-365294.85</v>
          </cell>
          <cell r="T6943">
            <v>0</v>
          </cell>
        </row>
        <row r="6944">
          <cell r="Q6944">
            <v>-1837</v>
          </cell>
          <cell r="T6944">
            <v>0</v>
          </cell>
        </row>
        <row r="6945">
          <cell r="Q6945">
            <v>-20932</v>
          </cell>
          <cell r="T6945">
            <v>0</v>
          </cell>
        </row>
        <row r="6946">
          <cell r="Q6946">
            <v>-1169.69</v>
          </cell>
          <cell r="T6946">
            <v>0</v>
          </cell>
        </row>
        <row r="6947">
          <cell r="Q6947">
            <v>-804415.12</v>
          </cell>
          <cell r="T6947">
            <v>0</v>
          </cell>
        </row>
        <row r="6948">
          <cell r="Q6948">
            <v>-61854.26</v>
          </cell>
          <cell r="T6948">
            <v>0</v>
          </cell>
        </row>
        <row r="6949">
          <cell r="Q6949">
            <v>0</v>
          </cell>
          <cell r="T6949">
            <v>0</v>
          </cell>
        </row>
        <row r="6950">
          <cell r="Q6950">
            <v>-6790</v>
          </cell>
          <cell r="T6950">
            <v>0</v>
          </cell>
        </row>
        <row r="6951">
          <cell r="Q6951">
            <v>0</v>
          </cell>
          <cell r="T6951">
            <v>0</v>
          </cell>
        </row>
        <row r="6952">
          <cell r="Q6952">
            <v>-6641714.0099999998</v>
          </cell>
          <cell r="T6952">
            <v>0</v>
          </cell>
        </row>
        <row r="6953">
          <cell r="Q6953">
            <v>-33421126.039999999</v>
          </cell>
          <cell r="T6953">
            <v>0</v>
          </cell>
        </row>
        <row r="6954">
          <cell r="Q6954">
            <v>-40000</v>
          </cell>
          <cell r="T6954">
            <v>0</v>
          </cell>
        </row>
        <row r="6955">
          <cell r="Q6955">
            <v>-2470598.29</v>
          </cell>
          <cell r="T6955">
            <v>0</v>
          </cell>
        </row>
        <row r="6956">
          <cell r="Q6956">
            <v>-74935.33</v>
          </cell>
          <cell r="T6956">
            <v>0</v>
          </cell>
        </row>
        <row r="6957">
          <cell r="Q6957">
            <v>-81748.740000000005</v>
          </cell>
          <cell r="T6957">
            <v>0</v>
          </cell>
        </row>
        <row r="6958">
          <cell r="Q6958">
            <v>-46087.33</v>
          </cell>
          <cell r="T6958">
            <v>0</v>
          </cell>
        </row>
        <row r="6959">
          <cell r="Q6959">
            <v>-12135.04</v>
          </cell>
          <cell r="T6959">
            <v>0</v>
          </cell>
        </row>
        <row r="6960">
          <cell r="Q6960">
            <v>-3255.73</v>
          </cell>
          <cell r="T6960">
            <v>0</v>
          </cell>
        </row>
        <row r="6961">
          <cell r="Q6961">
            <v>-13075.18</v>
          </cell>
          <cell r="T6961">
            <v>0</v>
          </cell>
        </row>
        <row r="6962">
          <cell r="Q6962">
            <v>-13090.09</v>
          </cell>
          <cell r="T6962">
            <v>0</v>
          </cell>
        </row>
        <row r="6963">
          <cell r="Q6963">
            <v>-12189.63</v>
          </cell>
          <cell r="T6963">
            <v>0</v>
          </cell>
        </row>
        <row r="6964">
          <cell r="Q6964">
            <v>-12189.63</v>
          </cell>
          <cell r="T6964">
            <v>0</v>
          </cell>
        </row>
        <row r="6965">
          <cell r="Q6965">
            <v>-12189.63</v>
          </cell>
          <cell r="T6965">
            <v>0</v>
          </cell>
        </row>
        <row r="6966">
          <cell r="Q6966">
            <v>-12189.63</v>
          </cell>
          <cell r="T6966">
            <v>0</v>
          </cell>
        </row>
        <row r="6967">
          <cell r="Q6967">
            <v>-12189.63</v>
          </cell>
          <cell r="T6967">
            <v>0</v>
          </cell>
        </row>
        <row r="6968">
          <cell r="Q6968">
            <v>-31493.15</v>
          </cell>
          <cell r="T6968">
            <v>0</v>
          </cell>
        </row>
        <row r="6969">
          <cell r="Q6969">
            <v>-31493.15</v>
          </cell>
          <cell r="T6969">
            <v>0</v>
          </cell>
        </row>
        <row r="6970">
          <cell r="Q6970">
            <v>-31493.15</v>
          </cell>
          <cell r="T6970">
            <v>0</v>
          </cell>
        </row>
        <row r="6971">
          <cell r="Q6971">
            <v>-30621.9</v>
          </cell>
          <cell r="T6971">
            <v>0</v>
          </cell>
        </row>
        <row r="6972">
          <cell r="Q6972">
            <v>-30621.9</v>
          </cell>
          <cell r="T6972">
            <v>0</v>
          </cell>
        </row>
        <row r="6973">
          <cell r="Q6973">
            <v>-30621.9</v>
          </cell>
          <cell r="T6973">
            <v>0</v>
          </cell>
        </row>
        <row r="6974">
          <cell r="Q6974">
            <v>-30621.9</v>
          </cell>
          <cell r="T6974">
            <v>0</v>
          </cell>
        </row>
        <row r="6975">
          <cell r="Q6975">
            <v>-30621.9</v>
          </cell>
          <cell r="T6975">
            <v>0</v>
          </cell>
        </row>
        <row r="6976">
          <cell r="Q6976">
            <v>-30621.9</v>
          </cell>
          <cell r="T6976">
            <v>0</v>
          </cell>
        </row>
        <row r="6977">
          <cell r="Q6977">
            <v>-30621.9</v>
          </cell>
          <cell r="T6977">
            <v>0</v>
          </cell>
        </row>
        <row r="6978">
          <cell r="Q6978">
            <v>-30621.9</v>
          </cell>
          <cell r="T6978">
            <v>0</v>
          </cell>
        </row>
        <row r="6979">
          <cell r="Q6979">
            <v>-30621.9</v>
          </cell>
          <cell r="T6979">
            <v>0</v>
          </cell>
        </row>
        <row r="6980">
          <cell r="Q6980">
            <v>-30621.9</v>
          </cell>
          <cell r="T6980">
            <v>0</v>
          </cell>
        </row>
        <row r="6981">
          <cell r="Q6981">
            <v>-30621.9</v>
          </cell>
          <cell r="T6981">
            <v>0</v>
          </cell>
        </row>
        <row r="6982">
          <cell r="Q6982">
            <v>-30621.9</v>
          </cell>
          <cell r="T6982">
            <v>0</v>
          </cell>
        </row>
        <row r="6983">
          <cell r="Q6983">
            <v>-30621.9</v>
          </cell>
          <cell r="T6983">
            <v>0</v>
          </cell>
        </row>
        <row r="6984">
          <cell r="Q6984">
            <v>-30621.9</v>
          </cell>
          <cell r="T6984">
            <v>0</v>
          </cell>
        </row>
        <row r="6985">
          <cell r="Q6985">
            <v>-30621.9</v>
          </cell>
          <cell r="T6985">
            <v>0</v>
          </cell>
        </row>
        <row r="6986">
          <cell r="Q6986">
            <v>-30621.9</v>
          </cell>
          <cell r="T6986">
            <v>0</v>
          </cell>
        </row>
        <row r="6987">
          <cell r="Q6987">
            <v>-30621.9</v>
          </cell>
          <cell r="T6987">
            <v>0</v>
          </cell>
        </row>
        <row r="6988">
          <cell r="Q6988">
            <v>-30621.9</v>
          </cell>
          <cell r="T6988">
            <v>0</v>
          </cell>
        </row>
        <row r="6989">
          <cell r="Q6989">
            <v>-30621.9</v>
          </cell>
          <cell r="T6989">
            <v>0</v>
          </cell>
        </row>
        <row r="6990">
          <cell r="Q6990">
            <v>-30621.9</v>
          </cell>
          <cell r="T6990">
            <v>0</v>
          </cell>
        </row>
        <row r="6991">
          <cell r="Q6991">
            <v>-30621.9</v>
          </cell>
          <cell r="T6991">
            <v>0</v>
          </cell>
        </row>
        <row r="6992">
          <cell r="Q6992">
            <v>-30621.9</v>
          </cell>
          <cell r="T6992">
            <v>0</v>
          </cell>
        </row>
        <row r="6993">
          <cell r="Q6993">
            <v>-30621.9</v>
          </cell>
          <cell r="T6993">
            <v>0</v>
          </cell>
        </row>
        <row r="6994">
          <cell r="Q6994">
            <v>-30621.9</v>
          </cell>
          <cell r="T6994">
            <v>0</v>
          </cell>
        </row>
        <row r="6995">
          <cell r="Q6995">
            <v>-30621.9</v>
          </cell>
          <cell r="T6995">
            <v>0</v>
          </cell>
        </row>
        <row r="6996">
          <cell r="Q6996">
            <v>-30621.9</v>
          </cell>
          <cell r="T6996">
            <v>0</v>
          </cell>
        </row>
        <row r="6997">
          <cell r="Q6997">
            <v>-30621.9</v>
          </cell>
          <cell r="T6997">
            <v>0</v>
          </cell>
        </row>
        <row r="6998">
          <cell r="Q6998">
            <v>-30621.9</v>
          </cell>
          <cell r="T6998">
            <v>0</v>
          </cell>
        </row>
        <row r="6999">
          <cell r="Q6999">
            <v>-30621.9</v>
          </cell>
          <cell r="T6999">
            <v>0</v>
          </cell>
        </row>
        <row r="7000">
          <cell r="Q7000">
            <v>-30621.9</v>
          </cell>
          <cell r="T7000">
            <v>0</v>
          </cell>
        </row>
        <row r="7001">
          <cell r="Q7001">
            <v>-30621.9</v>
          </cell>
          <cell r="T7001">
            <v>0</v>
          </cell>
        </row>
        <row r="7002">
          <cell r="Q7002">
            <v>-30671.82</v>
          </cell>
          <cell r="T7002">
            <v>0</v>
          </cell>
        </row>
        <row r="7003">
          <cell r="Q7003">
            <v>-31544.49</v>
          </cell>
          <cell r="T7003">
            <v>0</v>
          </cell>
        </row>
        <row r="7004">
          <cell r="Q7004">
            <v>-30671.82</v>
          </cell>
          <cell r="T7004">
            <v>0</v>
          </cell>
        </row>
        <row r="7005">
          <cell r="Q7005">
            <v>-31544.49</v>
          </cell>
          <cell r="T7005">
            <v>0</v>
          </cell>
        </row>
        <row r="7006">
          <cell r="Q7006">
            <v>-30671.82</v>
          </cell>
          <cell r="T7006">
            <v>0</v>
          </cell>
        </row>
        <row r="7007">
          <cell r="Q7007">
            <v>-30671.82</v>
          </cell>
          <cell r="T7007">
            <v>0</v>
          </cell>
        </row>
        <row r="7008">
          <cell r="Q7008">
            <v>-32348.83</v>
          </cell>
          <cell r="T7008">
            <v>0</v>
          </cell>
        </row>
        <row r="7009">
          <cell r="Q7009">
            <v>-30418.46</v>
          </cell>
          <cell r="T7009">
            <v>0</v>
          </cell>
        </row>
        <row r="7010">
          <cell r="Q7010">
            <v>-29576.94</v>
          </cell>
          <cell r="T7010">
            <v>0</v>
          </cell>
        </row>
        <row r="7011">
          <cell r="Q7011">
            <v>-29576.94</v>
          </cell>
          <cell r="T7011">
            <v>0</v>
          </cell>
        </row>
        <row r="7012">
          <cell r="Q7012">
            <v>-29576.94</v>
          </cell>
          <cell r="T7012">
            <v>0</v>
          </cell>
        </row>
        <row r="7013">
          <cell r="Q7013">
            <v>-29576.94</v>
          </cell>
          <cell r="T7013">
            <v>0</v>
          </cell>
        </row>
        <row r="7014">
          <cell r="Q7014">
            <v>-29576.94</v>
          </cell>
          <cell r="T7014">
            <v>0</v>
          </cell>
        </row>
        <row r="7015">
          <cell r="Q7015">
            <v>-32666.75</v>
          </cell>
          <cell r="T7015">
            <v>0</v>
          </cell>
        </row>
        <row r="7016">
          <cell r="Q7016">
            <v>-31924.400000000001</v>
          </cell>
          <cell r="T7016">
            <v>0</v>
          </cell>
        </row>
        <row r="7017">
          <cell r="Q7017">
            <v>-31924.400000000001</v>
          </cell>
          <cell r="T7017">
            <v>0</v>
          </cell>
        </row>
        <row r="7018">
          <cell r="Q7018">
            <v>-31924.400000000001</v>
          </cell>
          <cell r="T7018">
            <v>0</v>
          </cell>
        </row>
        <row r="7019">
          <cell r="Q7019">
            <v>-31924.400000000001</v>
          </cell>
          <cell r="T7019">
            <v>0</v>
          </cell>
        </row>
        <row r="7020">
          <cell r="Q7020">
            <v>-31924.400000000001</v>
          </cell>
          <cell r="T7020">
            <v>0</v>
          </cell>
        </row>
        <row r="7021">
          <cell r="Q7021">
            <v>-31924.400000000001</v>
          </cell>
          <cell r="T7021">
            <v>0</v>
          </cell>
        </row>
        <row r="7022">
          <cell r="Q7022">
            <v>-31924.400000000001</v>
          </cell>
          <cell r="T7022">
            <v>0</v>
          </cell>
        </row>
        <row r="7023">
          <cell r="Q7023">
            <v>-31041.21</v>
          </cell>
          <cell r="T7023">
            <v>0</v>
          </cell>
        </row>
        <row r="7024">
          <cell r="Q7024">
            <v>-31041.21</v>
          </cell>
          <cell r="T7024">
            <v>0</v>
          </cell>
        </row>
        <row r="7025">
          <cell r="Q7025">
            <v>-31041.21</v>
          </cell>
          <cell r="T7025">
            <v>0</v>
          </cell>
        </row>
        <row r="7026">
          <cell r="Q7026">
            <v>-31041.21</v>
          </cell>
          <cell r="T7026">
            <v>0</v>
          </cell>
        </row>
        <row r="7027">
          <cell r="Q7027">
            <v>-31041.21</v>
          </cell>
          <cell r="T7027">
            <v>0</v>
          </cell>
        </row>
        <row r="7028">
          <cell r="Q7028">
            <v>-31041.21</v>
          </cell>
          <cell r="T7028">
            <v>0</v>
          </cell>
        </row>
        <row r="7029">
          <cell r="Q7029">
            <v>-31924.400000000001</v>
          </cell>
          <cell r="T7029">
            <v>0</v>
          </cell>
        </row>
        <row r="7030">
          <cell r="Q7030">
            <v>-31041.21</v>
          </cell>
          <cell r="T7030">
            <v>0</v>
          </cell>
        </row>
        <row r="7031">
          <cell r="Q7031">
            <v>-31924.400000000001</v>
          </cell>
          <cell r="T7031">
            <v>0</v>
          </cell>
        </row>
        <row r="7032">
          <cell r="Q7032">
            <v>-31041.21</v>
          </cell>
          <cell r="T7032">
            <v>0</v>
          </cell>
        </row>
        <row r="7033">
          <cell r="Q7033">
            <v>-31924.400000000001</v>
          </cell>
          <cell r="T7033">
            <v>0</v>
          </cell>
        </row>
        <row r="7034">
          <cell r="Q7034">
            <v>-31041.21</v>
          </cell>
          <cell r="T7034">
            <v>0</v>
          </cell>
        </row>
        <row r="7035">
          <cell r="Q7035">
            <v>-31924.400000000001</v>
          </cell>
          <cell r="T7035">
            <v>0</v>
          </cell>
        </row>
        <row r="7036">
          <cell r="Q7036">
            <v>-31041.21</v>
          </cell>
          <cell r="T7036">
            <v>0</v>
          </cell>
        </row>
        <row r="7037">
          <cell r="Q7037">
            <v>-31924.400000000001</v>
          </cell>
          <cell r="T7037">
            <v>0</v>
          </cell>
        </row>
        <row r="7038">
          <cell r="Q7038">
            <v>-31924.400000000001</v>
          </cell>
          <cell r="T7038">
            <v>0</v>
          </cell>
        </row>
        <row r="7039">
          <cell r="Q7039">
            <v>-31041.21</v>
          </cell>
          <cell r="T7039">
            <v>0</v>
          </cell>
        </row>
        <row r="7040">
          <cell r="Q7040">
            <v>-31041.21</v>
          </cell>
          <cell r="T7040">
            <v>0</v>
          </cell>
        </row>
        <row r="7041">
          <cell r="Q7041">
            <v>-32476.2</v>
          </cell>
          <cell r="T7041">
            <v>0</v>
          </cell>
        </row>
        <row r="7042">
          <cell r="Q7042">
            <v>-31939.42</v>
          </cell>
          <cell r="T7042">
            <v>0</v>
          </cell>
        </row>
        <row r="7043">
          <cell r="Q7043">
            <v>-33123.660000000003</v>
          </cell>
          <cell r="T7043">
            <v>0</v>
          </cell>
        </row>
        <row r="7044">
          <cell r="Q7044">
            <v>-31041.21</v>
          </cell>
          <cell r="T7044">
            <v>0</v>
          </cell>
        </row>
        <row r="7045">
          <cell r="Q7045">
            <v>-31041.21</v>
          </cell>
          <cell r="T7045">
            <v>0</v>
          </cell>
        </row>
        <row r="7046">
          <cell r="Q7046">
            <v>-31924.400000000001</v>
          </cell>
          <cell r="T7046">
            <v>0</v>
          </cell>
        </row>
        <row r="7047">
          <cell r="Q7047">
            <v>-31924.400000000001</v>
          </cell>
          <cell r="T7047">
            <v>0</v>
          </cell>
        </row>
        <row r="7048">
          <cell r="Q7048">
            <v>-31041.21</v>
          </cell>
          <cell r="T7048">
            <v>0</v>
          </cell>
        </row>
        <row r="7049">
          <cell r="Q7049">
            <v>-31924.400000000001</v>
          </cell>
          <cell r="T7049">
            <v>0</v>
          </cell>
        </row>
        <row r="7050">
          <cell r="Q7050">
            <v>-31924.400000000001</v>
          </cell>
          <cell r="T7050">
            <v>0</v>
          </cell>
        </row>
        <row r="7051">
          <cell r="Q7051">
            <v>-31924.400000000001</v>
          </cell>
          <cell r="T7051">
            <v>0</v>
          </cell>
        </row>
        <row r="7052">
          <cell r="Q7052">
            <v>-31924.400000000001</v>
          </cell>
          <cell r="T7052">
            <v>0</v>
          </cell>
        </row>
        <row r="7053">
          <cell r="Q7053">
            <v>-31041.21</v>
          </cell>
          <cell r="T7053">
            <v>0</v>
          </cell>
        </row>
        <row r="7054">
          <cell r="Q7054">
            <v>-31041.21</v>
          </cell>
          <cell r="T7054">
            <v>0</v>
          </cell>
        </row>
        <row r="7055">
          <cell r="Q7055">
            <v>-32207.4</v>
          </cell>
          <cell r="T7055">
            <v>0</v>
          </cell>
        </row>
        <row r="7056">
          <cell r="Q7056">
            <v>-32207.4</v>
          </cell>
          <cell r="T7056">
            <v>0</v>
          </cell>
        </row>
        <row r="7057">
          <cell r="Q7057">
            <v>-32208.22</v>
          </cell>
          <cell r="T7057">
            <v>0</v>
          </cell>
        </row>
        <row r="7058">
          <cell r="Q7058">
            <v>-33124.49</v>
          </cell>
          <cell r="T7058">
            <v>0</v>
          </cell>
        </row>
        <row r="7059">
          <cell r="Q7059">
            <v>-30621.9</v>
          </cell>
          <cell r="T7059">
            <v>0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PLANTS"/>
      <sheetName val="TALSTOCKVAL"/>
      <sheetName val="BKCSTOCKVAL"/>
      <sheetName val="MAHSTOCKVAL"/>
    </sheetNames>
    <sheetDataSet>
      <sheetData sheetId="0"/>
      <sheetData sheetId="1"/>
      <sheetData sheetId="2"/>
      <sheetData sheetId="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PEN-BS"/>
      <sheetName val="Oct FA"/>
      <sheetName val="Jan FA"/>
      <sheetName val="Mar FA"/>
      <sheetName val="Feb FA"/>
      <sheetName val="Sheet1"/>
      <sheetName val="pca-update"/>
      <sheetName val="Dec FA"/>
      <sheetName val="Sep FA"/>
      <sheetName val="Aug FA"/>
      <sheetName val="Jul FA"/>
      <sheetName val="Jun FA"/>
      <sheetName val="May FA"/>
      <sheetName val="Apr FA"/>
      <sheetName val="Jan'06FA"/>
      <sheetName val="Nov'05FA"/>
      <sheetName val="Oct'05FA"/>
      <sheetName val="Sep'05FA"/>
      <sheetName val="August'05FA"/>
      <sheetName val="July'05 FA"/>
      <sheetName val="June'05 FA"/>
      <sheetName val="Pca-download"/>
      <sheetName val="Creditors-Aug'05"/>
      <sheetName val="Crs-Jan'06"/>
      <sheetName val="Adv-Jan'06"/>
      <sheetName val="Cr Aug'05 Vs Sep'05"/>
      <sheetName val="ADV-Aug'05"/>
      <sheetName val="MAy'05F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2">
          <cell r="A2" t="str">
            <v>1000</v>
          </cell>
        </row>
        <row r="3">
          <cell r="A3" t="str">
            <v>1000</v>
          </cell>
        </row>
        <row r="4">
          <cell r="A4" t="str">
            <v>1000</v>
          </cell>
        </row>
        <row r="5">
          <cell r="A5" t="str">
            <v>1000</v>
          </cell>
        </row>
        <row r="6">
          <cell r="A6" t="str">
            <v>1000</v>
          </cell>
        </row>
        <row r="7">
          <cell r="A7" t="str">
            <v>1000</v>
          </cell>
        </row>
        <row r="8">
          <cell r="A8" t="str">
            <v>1000</v>
          </cell>
        </row>
        <row r="9">
          <cell r="A9" t="str">
            <v>1000</v>
          </cell>
        </row>
        <row r="10">
          <cell r="A10" t="str">
            <v>1000</v>
          </cell>
        </row>
        <row r="11">
          <cell r="A11" t="str">
            <v>1000</v>
          </cell>
        </row>
        <row r="12">
          <cell r="A12" t="str">
            <v>1000</v>
          </cell>
        </row>
        <row r="13">
          <cell r="A13" t="str">
            <v>1000</v>
          </cell>
        </row>
        <row r="14">
          <cell r="A14" t="str">
            <v>1000</v>
          </cell>
        </row>
        <row r="15">
          <cell r="A15" t="str">
            <v>1000</v>
          </cell>
        </row>
        <row r="16">
          <cell r="A16" t="str">
            <v>1000</v>
          </cell>
        </row>
        <row r="17">
          <cell r="A17" t="str">
            <v>1000</v>
          </cell>
        </row>
        <row r="18">
          <cell r="A18" t="str">
            <v>1000</v>
          </cell>
        </row>
        <row r="19">
          <cell r="A19" t="str">
            <v>1000</v>
          </cell>
        </row>
        <row r="20">
          <cell r="A20" t="str">
            <v>1000</v>
          </cell>
        </row>
        <row r="21">
          <cell r="A21" t="str">
            <v>1000</v>
          </cell>
        </row>
        <row r="22">
          <cell r="A22" t="str">
            <v>1000</v>
          </cell>
        </row>
        <row r="23">
          <cell r="A23" t="str">
            <v>1000</v>
          </cell>
        </row>
        <row r="24">
          <cell r="A24" t="str">
            <v>1000</v>
          </cell>
        </row>
        <row r="25">
          <cell r="A25" t="str">
            <v>1000</v>
          </cell>
        </row>
        <row r="26">
          <cell r="A26" t="str">
            <v>1000</v>
          </cell>
        </row>
        <row r="27">
          <cell r="A27" t="str">
            <v>1000</v>
          </cell>
        </row>
        <row r="28">
          <cell r="A28" t="str">
            <v>1000</v>
          </cell>
        </row>
        <row r="29">
          <cell r="A29" t="str">
            <v>1000</v>
          </cell>
        </row>
        <row r="30">
          <cell r="A30" t="str">
            <v>1000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nt1"/>
      <sheetName val="Trial Balance (2)"/>
      <sheetName val="B S"/>
      <sheetName val="PL"/>
      <sheetName val="SCH 1-3"/>
      <sheetName val="SCH 4"/>
      <sheetName val="Dep"/>
      <sheetName val="SCH 5-10"/>
      <sheetName val="Sch 11-16"/>
      <sheetName val="Sub(15)"/>
      <sheetName val="Sub(89)"/>
      <sheetName val="Sub(11)"/>
      <sheetName val="Sub(Sls)"/>
      <sheetName val="Sub-Sch"/>
      <sheetName val="CFS"/>
      <sheetName val="Computation"/>
      <sheetName val="E'ees"/>
      <sheetName val="Loan"/>
      <sheetName val="DTA"/>
      <sheetName val="Depreci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 (2)"/>
      <sheetName val="Index"/>
      <sheetName val="BalanceSheet"/>
      <sheetName val="Cash Flow Local"/>
      <sheetName val="CONSO P&amp;L REGION WISE"/>
      <sheetName val="CONSO P&amp;L"/>
      <sheetName val="Comparison with Budget"/>
      <sheetName val="Debtors Ageing Dec 02 M"/>
      <sheetName val="Debtors Summary - Mumbai"/>
      <sheetName val="Debtors Ageing Dec 02 (C)"/>
      <sheetName val="Debtors Summary- Chennai"/>
      <sheetName val="Debtors (Bang)"/>
      <sheetName val="Debtors Bang"/>
      <sheetName val="Debtors Ageing Conso "/>
      <sheetName val="Debtors Summary-Conso"/>
      <sheetName val="Key Performance 1"/>
      <sheetName val="Key Performance 2"/>
      <sheetName val="Key Performance 3"/>
      <sheetName val="CONSO"/>
      <sheetName val="CONSO - TRNSP"/>
      <sheetName val="MUMBAI P&amp;L"/>
      <sheetName val="MUMBAI"/>
      <sheetName val="MUMBAI - TRNSP"/>
      <sheetName val="BANDRA"/>
      <sheetName val="BANDRA - TRANSPORT"/>
      <sheetName val="MAHAPE"/>
      <sheetName val="MAHAPE - TRNSP"/>
      <sheetName val="KANDIVILI PLANT"/>
      <sheetName val="KANDIVILI TRANSPORT"/>
      <sheetName val="PUMP - MUM"/>
      <sheetName val="MU - Clab"/>
      <sheetName val="ADMIN 1 MUMBAI"/>
      <sheetName val="ADMIN 2 MUMBAI"/>
      <sheetName val="MUMBAI REGIONAL"/>
      <sheetName val="CHENNAI P&amp;L"/>
      <sheetName val="THIRU"/>
      <sheetName val="THIRU - TRNSP"/>
      <sheetName val="CHENNAI - PUMPING"/>
      <sheetName val="CH - CLAB"/>
      <sheetName val="KEERAPAKKAM QUARRY"/>
      <sheetName val="QUARRY STOCK"/>
      <sheetName val="CH - ADMIN1"/>
      <sheetName val="CH - ADMIN 2"/>
      <sheetName val="CH - REGIONAL"/>
      <sheetName val="BANGALORE P &amp; L"/>
      <sheetName val="BANGALORE PLANT"/>
      <sheetName val="BANGALORE TRANSPORT"/>
      <sheetName val="BANGALORE PUMPING"/>
      <sheetName val="BANGALORE LAB"/>
      <sheetName val="BANGALORE QUARRY"/>
      <sheetName val="BANG QUARRY PROD"/>
      <sheetName val="BANG QUARRY TRASNPORT"/>
      <sheetName val="BANGALORE ADMIN 1"/>
      <sheetName val="BANGALORE ADMIN 2"/>
      <sheetName val="BANGALORE REGIONAL"/>
      <sheetName val="MU ADMIN1"/>
      <sheetName val="MU ADMIN 2"/>
      <sheetName val="CORPORATE"/>
      <sheetName val="TALOJA"/>
      <sheetName val="INS MUM"/>
      <sheetName val="INS CHENNAI"/>
      <sheetName val="SALARY"/>
      <sheetName val="CHENNAI"/>
      <sheetName val="CHENNAI - QUARRY"/>
      <sheetName val="WORKINGS"/>
      <sheetName val="MUMBAI FAR"/>
      <sheetName val="CHENNAI FAR"/>
      <sheetName val="BANG F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 refreshError="1"/>
      <sheetData sheetId="66" refreshError="1"/>
      <sheetData sheetId="67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counting_ratios"/>
      <sheetName val="FBT"/>
      <sheetName val="Wealth tax"/>
      <sheetName val="working for notes"/>
      <sheetName val="Adv Tax &amp; Int"/>
      <sheetName val="IT and Bonus"/>
      <sheetName val="Tds Rec 05-06"/>
      <sheetName val="8-6-08"/>
      <sheetName val="Dep &amp; DT"/>
      <sheetName val="Capex"/>
      <sheetName val="Crs-Adv"/>
      <sheetName val="27"/>
      <sheetName val="Stk Valn"/>
      <sheetName val="Trial Run"/>
      <sheetName val="CF"/>
      <sheetName val="Format"/>
      <sheetName val="grouping"/>
      <sheetName val="1 (2)"/>
      <sheetName val="try"/>
      <sheetName val="1"/>
      <sheetName val="consum"/>
      <sheetName val="MB51"/>
      <sheetName val="12-6-8"/>
      <sheetName val="10-06-08"/>
      <sheetName val="base"/>
      <sheetName val="07-06-08"/>
      <sheetName val="Abstrac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b"/>
      <sheetName val="tb21oct"/>
      <sheetName val="p&amp;lsep00"/>
      <sheetName val="Sheet3"/>
      <sheetName val="p&amp;l groupings"/>
      <sheetName val="bsheetsep00"/>
      <sheetName val="comp99-00bs"/>
      <sheetName val="bsheetgroup"/>
      <sheetName val="subschd.bsheet"/>
      <sheetName val="goupg.workg."/>
      <sheetName val="Masters"/>
      <sheetName val="Rates"/>
    </sheetNames>
    <sheetDataSet>
      <sheetData sheetId="0" refreshError="1">
        <row r="10">
          <cell r="G10" t="str">
            <v>START UP EXPENSES BEFORE OPERATION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N10">
            <v>0</v>
          </cell>
          <cell r="O10">
            <v>0</v>
          </cell>
          <cell r="X10" t="e">
            <v>#N/A</v>
          </cell>
        </row>
        <row r="11">
          <cell r="G11" t="str">
            <v>ADVANCE PAID ON INTANGIBLE ASSETS(INSYST)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N11">
            <v>0</v>
          </cell>
          <cell r="O11">
            <v>0</v>
          </cell>
          <cell r="X11" t="e">
            <v>#N/A</v>
          </cell>
        </row>
        <row r="12">
          <cell r="G12" t="str">
            <v>LAND AT COST</v>
          </cell>
          <cell r="H12" t="str">
            <v>Freehold Land</v>
          </cell>
          <cell r="I12">
            <v>27316035</v>
          </cell>
          <cell r="J12">
            <v>0</v>
          </cell>
          <cell r="K12">
            <v>0</v>
          </cell>
          <cell r="L12">
            <v>27316035</v>
          </cell>
          <cell r="N12">
            <v>27316035</v>
          </cell>
          <cell r="O12" t="str">
            <v>z</v>
          </cell>
          <cell r="P12">
            <v>72217225.950000003</v>
          </cell>
          <cell r="U12">
            <v>72217225.950000003</v>
          </cell>
          <cell r="V12" t="str">
            <v>*</v>
          </cell>
          <cell r="W12">
            <v>27316035</v>
          </cell>
          <cell r="X12" t="e">
            <v>#N/A</v>
          </cell>
        </row>
        <row r="13">
          <cell r="G13" t="str">
            <v>PRODUCTION BUILDING-AT COST</v>
          </cell>
          <cell r="H13" t="str">
            <v>Factory Building</v>
          </cell>
          <cell r="I13">
            <v>20347649.25</v>
          </cell>
          <cell r="J13">
            <v>0</v>
          </cell>
          <cell r="K13">
            <v>0</v>
          </cell>
          <cell r="L13">
            <v>20347649.25</v>
          </cell>
          <cell r="N13">
            <v>20347649.25</v>
          </cell>
          <cell r="O13" t="str">
            <v>z</v>
          </cell>
          <cell r="V13" t="str">
            <v>*</v>
          </cell>
          <cell r="W13">
            <v>20347649.25</v>
          </cell>
          <cell r="X13" t="e">
            <v>#N/A</v>
          </cell>
        </row>
        <row r="14">
          <cell r="G14" t="str">
            <v>PRODUCTION BUILDING-ACCUMULATED DEPRECIATION</v>
          </cell>
          <cell r="H14" t="str">
            <v>Factory Building-dpr</v>
          </cell>
          <cell r="I14">
            <v>-267586</v>
          </cell>
          <cell r="J14">
            <v>0</v>
          </cell>
          <cell r="K14">
            <v>406953</v>
          </cell>
          <cell r="L14">
            <v>-674539</v>
          </cell>
          <cell r="N14">
            <v>-674539</v>
          </cell>
          <cell r="O14" t="str">
            <v>z</v>
          </cell>
          <cell r="V14" t="str">
            <v>*</v>
          </cell>
          <cell r="W14" t="str">
            <v/>
          </cell>
          <cell r="X14" t="e">
            <v>#N/A</v>
          </cell>
        </row>
        <row r="15">
          <cell r="G15" t="str">
            <v>LEASEHOLD BUILDING - AT COST</v>
          </cell>
          <cell r="H15" t="str">
            <v>Leashold Building</v>
          </cell>
          <cell r="I15">
            <v>100368.74</v>
          </cell>
          <cell r="J15">
            <v>0</v>
          </cell>
          <cell r="K15">
            <v>0</v>
          </cell>
          <cell r="L15">
            <v>100368.74</v>
          </cell>
          <cell r="N15">
            <v>100368.74</v>
          </cell>
          <cell r="O15" t="str">
            <v>z</v>
          </cell>
          <cell r="V15" t="str">
            <v>*</v>
          </cell>
          <cell r="W15">
            <v>100368.74</v>
          </cell>
          <cell r="X15" t="e">
            <v>#N/A</v>
          </cell>
        </row>
        <row r="16">
          <cell r="G16" t="str">
            <v>LEASEHOLD BUILDING  - ACCUMULATED DEPRECIATION</v>
          </cell>
          <cell r="H16" t="str">
            <v>Leashold Building-dpr</v>
          </cell>
          <cell r="I16">
            <v>-12934.25</v>
          </cell>
          <cell r="J16">
            <v>0</v>
          </cell>
          <cell r="K16">
            <v>1348</v>
          </cell>
          <cell r="L16">
            <v>-14282.25</v>
          </cell>
          <cell r="N16">
            <v>-14282.25</v>
          </cell>
          <cell r="O16" t="str">
            <v>z</v>
          </cell>
          <cell r="V16" t="str">
            <v>*</v>
          </cell>
          <cell r="W16" t="str">
            <v/>
          </cell>
          <cell r="X16" t="e">
            <v>#N/A</v>
          </cell>
        </row>
        <row r="17">
          <cell r="G17" t="str">
            <v>WAREHOUSE BUILDING - AT COST</v>
          </cell>
          <cell r="H17" t="str">
            <v>Freehold Building</v>
          </cell>
          <cell r="I17">
            <v>357977</v>
          </cell>
          <cell r="J17">
            <v>0</v>
          </cell>
          <cell r="K17">
            <v>0</v>
          </cell>
          <cell r="L17">
            <v>357977</v>
          </cell>
          <cell r="N17">
            <v>357977</v>
          </cell>
          <cell r="O17" t="str">
            <v>z</v>
          </cell>
          <cell r="V17" t="str">
            <v>*</v>
          </cell>
          <cell r="W17">
            <v>357977</v>
          </cell>
          <cell r="X17" t="e">
            <v>#N/A</v>
          </cell>
        </row>
        <row r="18">
          <cell r="G18" t="str">
            <v>WAREHOUSE BUILDING  - ACCUMULATED DEPRECIATION</v>
          </cell>
          <cell r="H18" t="str">
            <v>Freehold Building-dpr</v>
          </cell>
          <cell r="I18">
            <v>-76278.600000000006</v>
          </cell>
          <cell r="J18">
            <v>0</v>
          </cell>
          <cell r="K18">
            <v>5157</v>
          </cell>
          <cell r="L18">
            <v>-81435.600000000006</v>
          </cell>
          <cell r="N18">
            <v>-81435.600000000006</v>
          </cell>
          <cell r="O18" t="str">
            <v>z</v>
          </cell>
          <cell r="V18" t="str">
            <v>*</v>
          </cell>
          <cell r="W18" t="str">
            <v/>
          </cell>
          <cell r="X18" t="e">
            <v>#N/A</v>
          </cell>
        </row>
        <row r="19">
          <cell r="G19" t="str">
            <v>EQUIP. MACH. FOR  PROCESSING &amp; CONVERSION OF MATERIAL -COST</v>
          </cell>
          <cell r="H19" t="str">
            <v>Factory Equipment</v>
          </cell>
          <cell r="I19">
            <v>4756014.3899999997</v>
          </cell>
          <cell r="J19">
            <v>0</v>
          </cell>
          <cell r="K19">
            <v>0</v>
          </cell>
          <cell r="L19">
            <v>4756014.3899999997</v>
          </cell>
          <cell r="N19">
            <v>13055875.85</v>
          </cell>
          <cell r="O19">
            <v>1</v>
          </cell>
          <cell r="P19">
            <v>13055875.85</v>
          </cell>
          <cell r="Q19">
            <v>0</v>
          </cell>
          <cell r="R19">
            <v>0</v>
          </cell>
          <cell r="S19">
            <v>13055875.85</v>
          </cell>
          <cell r="V19" t="str">
            <v>*</v>
          </cell>
          <cell r="W19">
            <v>13055875.85</v>
          </cell>
          <cell r="X19" t="e">
            <v>#N/A</v>
          </cell>
        </row>
        <row r="20">
          <cell r="G20" t="str">
            <v>EQUT. MACH. FOR  PROCESSING - ACCUMULATED DEPRECIATION.</v>
          </cell>
          <cell r="H20" t="str">
            <v>Factory Equipment-dpr</v>
          </cell>
          <cell r="I20">
            <v>-672668.93</v>
          </cell>
          <cell r="J20">
            <v>30000</v>
          </cell>
          <cell r="K20">
            <v>230329</v>
          </cell>
          <cell r="L20">
            <v>-872997.93</v>
          </cell>
          <cell r="N20">
            <v>-1584642.9300000002</v>
          </cell>
          <cell r="O20">
            <v>2</v>
          </cell>
          <cell r="P20">
            <v>-942380.93</v>
          </cell>
          <cell r="Q20">
            <v>30000</v>
          </cell>
          <cell r="R20">
            <v>672262</v>
          </cell>
          <cell r="S20">
            <v>-1584642.9300000002</v>
          </cell>
          <cell r="V20" t="str">
            <v>*</v>
          </cell>
          <cell r="W20" t="str">
            <v/>
          </cell>
          <cell r="X20" t="e">
            <v>#N/A</v>
          </cell>
        </row>
        <row r="21">
          <cell r="G21" t="str">
            <v>EQUIPMENT FOR OCCUPATIONAL SAFETY &amp; ENVIRON. PROT - ACC DEPR</v>
          </cell>
          <cell r="I21">
            <v>1369726.82</v>
          </cell>
          <cell r="J21">
            <v>0</v>
          </cell>
          <cell r="K21">
            <v>0</v>
          </cell>
          <cell r="L21">
            <v>1369726.82</v>
          </cell>
          <cell r="O21">
            <v>1</v>
          </cell>
          <cell r="V21" t="str">
            <v>*</v>
          </cell>
          <cell r="W21">
            <v>0</v>
          </cell>
          <cell r="X21" t="e">
            <v>#N/A</v>
          </cell>
        </row>
        <row r="22">
          <cell r="G22" t="str">
            <v>EQUIPMENT FOR OCCUPATIONAL SAFETY &amp; ENVIRON. PROT. - ACC DEP</v>
          </cell>
          <cell r="I22">
            <v>-45032</v>
          </cell>
          <cell r="J22">
            <v>0</v>
          </cell>
          <cell r="K22">
            <v>68486</v>
          </cell>
          <cell r="L22">
            <v>-113518</v>
          </cell>
          <cell r="O22">
            <v>2</v>
          </cell>
          <cell r="V22" t="str">
            <v>*</v>
          </cell>
          <cell r="W22">
            <v>0</v>
          </cell>
          <cell r="X22" t="e">
            <v>#N/A</v>
          </cell>
        </row>
        <row r="23">
          <cell r="G23" t="str">
            <v>OTHER EQUIPMENT AND MACHINERY - AT COST</v>
          </cell>
          <cell r="I23">
            <v>6104782.2000000002</v>
          </cell>
          <cell r="J23">
            <v>0</v>
          </cell>
          <cell r="K23">
            <v>0</v>
          </cell>
          <cell r="L23">
            <v>6104782.2000000002</v>
          </cell>
          <cell r="O23">
            <v>1</v>
          </cell>
          <cell r="V23" t="str">
            <v>*</v>
          </cell>
          <cell r="W23">
            <v>0</v>
          </cell>
          <cell r="X23" t="e">
            <v>#N/A</v>
          </cell>
        </row>
        <row r="24">
          <cell r="G24" t="str">
            <v>OTHER EQUIPMENT AND MACHINERY - ACCUMULATED DEPRECIATION</v>
          </cell>
          <cell r="I24">
            <v>-201253</v>
          </cell>
          <cell r="J24">
            <v>0</v>
          </cell>
          <cell r="K24">
            <v>306071</v>
          </cell>
          <cell r="L24">
            <v>-507324</v>
          </cell>
          <cell r="O24">
            <v>2</v>
          </cell>
          <cell r="V24" t="str">
            <v>*</v>
          </cell>
          <cell r="W24">
            <v>0</v>
          </cell>
          <cell r="X24" t="e">
            <v>#N/A</v>
          </cell>
        </row>
        <row r="25">
          <cell r="G25" t="str">
            <v>OTHER EQUIPMENT -AT COST</v>
          </cell>
          <cell r="I25">
            <v>801925.65</v>
          </cell>
          <cell r="J25">
            <v>0</v>
          </cell>
          <cell r="K25">
            <v>0</v>
          </cell>
          <cell r="L25">
            <v>801925.65</v>
          </cell>
          <cell r="O25">
            <v>1</v>
          </cell>
          <cell r="V25" t="str">
            <v>*</v>
          </cell>
          <cell r="W25">
            <v>0</v>
          </cell>
          <cell r="X25" t="e">
            <v>#N/A</v>
          </cell>
        </row>
        <row r="26">
          <cell r="G26" t="str">
            <v>OTHER EQUIPMENT -ACCUMULATED DEPRECIATION</v>
          </cell>
          <cell r="I26">
            <v>0</v>
          </cell>
          <cell r="J26">
            <v>0</v>
          </cell>
          <cell r="K26">
            <v>67376</v>
          </cell>
          <cell r="L26">
            <v>-67376</v>
          </cell>
          <cell r="O26">
            <v>2</v>
          </cell>
          <cell r="V26" t="str">
            <v>*</v>
          </cell>
          <cell r="W26">
            <v>0</v>
          </cell>
          <cell r="X26" t="e">
            <v>#N/A</v>
          </cell>
        </row>
        <row r="27">
          <cell r="G27" t="str">
            <v>WORKSHOP EQUIPMENT - AT COST</v>
          </cell>
          <cell r="I27">
            <v>17686</v>
          </cell>
          <cell r="J27">
            <v>0</v>
          </cell>
          <cell r="K27">
            <v>0</v>
          </cell>
          <cell r="L27">
            <v>17686</v>
          </cell>
          <cell r="O27">
            <v>1</v>
          </cell>
          <cell r="V27" t="str">
            <v>*</v>
          </cell>
          <cell r="W27">
            <v>0</v>
          </cell>
          <cell r="X27" t="e">
            <v>#N/A</v>
          </cell>
        </row>
        <row r="28">
          <cell r="G28" t="str">
            <v>WORKSHOP EQUIPMENT - ACCUMULATED DEPRECIAION</v>
          </cell>
          <cell r="I28">
            <v>-17686</v>
          </cell>
          <cell r="J28">
            <v>0</v>
          </cell>
          <cell r="K28">
            <v>0</v>
          </cell>
          <cell r="L28">
            <v>-17686</v>
          </cell>
          <cell r="O28">
            <v>2</v>
          </cell>
          <cell r="V28" t="str">
            <v>*</v>
          </cell>
          <cell r="W28">
            <v>0</v>
          </cell>
          <cell r="X28" t="e">
            <v>#N/A</v>
          </cell>
        </row>
        <row r="29">
          <cell r="G29" t="str">
            <v>TOOLS,DEVICES &amp; TESTING INSTRUMENTS - AT COST</v>
          </cell>
          <cell r="I29">
            <v>5740.79</v>
          </cell>
          <cell r="J29">
            <v>0</v>
          </cell>
          <cell r="K29">
            <v>0</v>
          </cell>
          <cell r="L29">
            <v>5740.79</v>
          </cell>
          <cell r="O29">
            <v>1</v>
          </cell>
          <cell r="V29" t="str">
            <v>*</v>
          </cell>
          <cell r="W29">
            <v>0</v>
          </cell>
          <cell r="X29" t="e">
            <v>#N/A</v>
          </cell>
        </row>
        <row r="30">
          <cell r="G30" t="str">
            <v>TOOLS,DEVICES &amp; TESTING INSTRUMENTS - ACCUMULATED DEPRECIATI</v>
          </cell>
          <cell r="I30">
            <v>-5741</v>
          </cell>
          <cell r="J30">
            <v>0</v>
          </cell>
          <cell r="K30">
            <v>0</v>
          </cell>
          <cell r="L30">
            <v>-5741</v>
          </cell>
          <cell r="O30">
            <v>2</v>
          </cell>
          <cell r="V30" t="str">
            <v>*</v>
          </cell>
          <cell r="W30">
            <v>0</v>
          </cell>
          <cell r="X30" t="e">
            <v>#N/A</v>
          </cell>
        </row>
        <row r="31">
          <cell r="G31" t="str">
            <v>MOTOR VEHICLE -AT COST</v>
          </cell>
          <cell r="H31" t="str">
            <v>Vehicles</v>
          </cell>
          <cell r="I31">
            <v>695101.17</v>
          </cell>
          <cell r="J31">
            <v>0</v>
          </cell>
          <cell r="K31">
            <v>0</v>
          </cell>
          <cell r="L31">
            <v>695101.17</v>
          </cell>
          <cell r="N31">
            <v>695101.17</v>
          </cell>
          <cell r="O31" t="str">
            <v>z</v>
          </cell>
          <cell r="V31" t="str">
            <v>*</v>
          </cell>
          <cell r="W31">
            <v>695101.17</v>
          </cell>
          <cell r="X31" t="e">
            <v>#N/A</v>
          </cell>
        </row>
        <row r="32">
          <cell r="G32" t="str">
            <v>MOTOR VEHICLE -ACCUMULATED DEPRECIATION</v>
          </cell>
          <cell r="H32" t="str">
            <v>Vehicles-dpr</v>
          </cell>
          <cell r="I32">
            <v>-160892.81</v>
          </cell>
          <cell r="J32">
            <v>20000</v>
          </cell>
          <cell r="K32">
            <v>97678</v>
          </cell>
          <cell r="L32">
            <v>-238570.81</v>
          </cell>
          <cell r="N32">
            <v>-238570.81</v>
          </cell>
          <cell r="O32" t="str">
            <v>z</v>
          </cell>
          <cell r="V32" t="str">
            <v>*</v>
          </cell>
          <cell r="W32" t="str">
            <v/>
          </cell>
          <cell r="X32" t="e">
            <v>#N/A</v>
          </cell>
        </row>
        <row r="33">
          <cell r="G33" t="str">
            <v>COMPUTER HARDWARE - AT COST</v>
          </cell>
          <cell r="H33" t="str">
            <v>Computers</v>
          </cell>
          <cell r="I33">
            <v>4720995</v>
          </cell>
          <cell r="J33">
            <v>0</v>
          </cell>
          <cell r="K33">
            <v>0</v>
          </cell>
          <cell r="L33">
            <v>4720995</v>
          </cell>
          <cell r="N33">
            <v>7848095</v>
          </cell>
          <cell r="O33">
            <v>3</v>
          </cell>
          <cell r="P33">
            <v>7848095</v>
          </cell>
          <cell r="Q33">
            <v>0</v>
          </cell>
          <cell r="R33">
            <v>0</v>
          </cell>
          <cell r="S33">
            <v>7848095</v>
          </cell>
          <cell r="V33" t="str">
            <v>*</v>
          </cell>
          <cell r="W33">
            <v>7848095</v>
          </cell>
          <cell r="X33" t="e">
            <v>#N/A</v>
          </cell>
        </row>
        <row r="34">
          <cell r="G34" t="str">
            <v>COMPUTER HARDWARE -ACCUMULATED DEPRECIATION</v>
          </cell>
          <cell r="H34" t="str">
            <v>Computers-dpr</v>
          </cell>
          <cell r="I34">
            <v>-1714301.75</v>
          </cell>
          <cell r="J34">
            <v>300000</v>
          </cell>
          <cell r="K34">
            <v>434239</v>
          </cell>
          <cell r="L34">
            <v>-1848540.75</v>
          </cell>
          <cell r="N34">
            <v>-2532929.75</v>
          </cell>
          <cell r="O34">
            <v>4</v>
          </cell>
          <cell r="P34">
            <v>-2197577.75</v>
          </cell>
          <cell r="Q34">
            <v>450000</v>
          </cell>
          <cell r="R34">
            <v>785352</v>
          </cell>
          <cell r="S34">
            <v>-2532929.75</v>
          </cell>
          <cell r="V34" t="str">
            <v>*</v>
          </cell>
          <cell r="W34" t="str">
            <v/>
          </cell>
          <cell r="X34" t="e">
            <v>#N/A</v>
          </cell>
        </row>
        <row r="35">
          <cell r="G35" t="str">
            <v>COMPUTER HARDWARE - NEW SYSTEM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O35">
            <v>0</v>
          </cell>
          <cell r="V35" t="str">
            <v>*</v>
          </cell>
          <cell r="W35">
            <v>0</v>
          </cell>
          <cell r="X35" t="e">
            <v>#N/A</v>
          </cell>
        </row>
        <row r="36">
          <cell r="G36" t="str">
            <v>COMPUTER SOFTWARE - AT COST</v>
          </cell>
          <cell r="I36">
            <v>3127100</v>
          </cell>
          <cell r="J36">
            <v>0</v>
          </cell>
          <cell r="K36">
            <v>0</v>
          </cell>
          <cell r="L36">
            <v>3127100</v>
          </cell>
          <cell r="O36">
            <v>3</v>
          </cell>
          <cell r="V36" t="str">
            <v>*</v>
          </cell>
          <cell r="W36">
            <v>0</v>
          </cell>
          <cell r="X36" t="e">
            <v>#N/A</v>
          </cell>
        </row>
        <row r="37">
          <cell r="G37" t="str">
            <v>COMPUTER SOFTWARE - ACCUMULATED DEPRECIATION</v>
          </cell>
          <cell r="I37">
            <v>-483276</v>
          </cell>
          <cell r="J37">
            <v>150000</v>
          </cell>
          <cell r="K37">
            <v>351113</v>
          </cell>
          <cell r="L37">
            <v>-684389</v>
          </cell>
          <cell r="O37">
            <v>4</v>
          </cell>
          <cell r="V37" t="str">
            <v>*</v>
          </cell>
          <cell r="W37">
            <v>0</v>
          </cell>
          <cell r="X37" t="e">
            <v>#N/A</v>
          </cell>
        </row>
        <row r="38">
          <cell r="G38" t="str">
            <v>COMMUNICATION EQUIPMENT -AT COST</v>
          </cell>
          <cell r="H38" t="str">
            <v>Office Equipment</v>
          </cell>
          <cell r="I38">
            <v>315583.71999999997</v>
          </cell>
          <cell r="J38">
            <v>0</v>
          </cell>
          <cell r="K38">
            <v>0</v>
          </cell>
          <cell r="L38">
            <v>315583.71999999997</v>
          </cell>
          <cell r="N38">
            <v>5393968.9799999995</v>
          </cell>
          <cell r="O38">
            <v>5</v>
          </cell>
          <cell r="P38">
            <v>5645753.9799999995</v>
          </cell>
          <cell r="Q38">
            <v>78215</v>
          </cell>
          <cell r="R38">
            <v>330000</v>
          </cell>
          <cell r="S38">
            <v>5393968.9799999995</v>
          </cell>
          <cell r="V38" t="str">
            <v>*</v>
          </cell>
          <cell r="W38">
            <v>5393968.9799999995</v>
          </cell>
          <cell r="X38" t="e">
            <v>#N/A</v>
          </cell>
        </row>
        <row r="39">
          <cell r="G39" t="str">
            <v>COMMUNICATION EQUIPMENT -ACCUMULATED DEPRECIATION</v>
          </cell>
          <cell r="H39" t="str">
            <v>Office Equipment-dpr</v>
          </cell>
          <cell r="I39">
            <v>-23124</v>
          </cell>
          <cell r="J39">
            <v>0</v>
          </cell>
          <cell r="K39">
            <v>18579</v>
          </cell>
          <cell r="L39">
            <v>-41703</v>
          </cell>
          <cell r="N39">
            <v>-859414.26</v>
          </cell>
          <cell r="O39">
            <v>6</v>
          </cell>
          <cell r="P39">
            <v>-474531.26</v>
          </cell>
          <cell r="Q39">
            <v>11000</v>
          </cell>
          <cell r="R39">
            <v>395883</v>
          </cell>
          <cell r="S39">
            <v>-859414.26</v>
          </cell>
          <cell r="V39" t="str">
            <v>*</v>
          </cell>
          <cell r="W39" t="str">
            <v/>
          </cell>
          <cell r="X39" t="e">
            <v>#N/A</v>
          </cell>
        </row>
        <row r="40">
          <cell r="G40" t="str">
            <v>OFFICE FURNITURE &amp; FITTINGS -AT COST</v>
          </cell>
          <cell r="H40" t="str">
            <v>Furniture and Fixtures</v>
          </cell>
          <cell r="I40">
            <v>3920251.36</v>
          </cell>
          <cell r="J40">
            <v>37000</v>
          </cell>
          <cell r="K40">
            <v>0</v>
          </cell>
          <cell r="L40">
            <v>3957251.36</v>
          </cell>
          <cell r="N40">
            <v>3957251.36</v>
          </cell>
          <cell r="O40">
            <v>7</v>
          </cell>
          <cell r="P40">
            <v>3920251.36</v>
          </cell>
          <cell r="Q40">
            <v>37000</v>
          </cell>
          <cell r="R40">
            <v>0</v>
          </cell>
          <cell r="S40">
            <v>3957251.36</v>
          </cell>
          <cell r="V40" t="str">
            <v>*</v>
          </cell>
          <cell r="W40">
            <v>3957251.36</v>
          </cell>
          <cell r="X40" t="e">
            <v>#N/A</v>
          </cell>
        </row>
        <row r="41">
          <cell r="G41" t="str">
            <v>OFFICE FURNITURE &amp; FITTINGS -ACCUMULATED DEPRECIATION</v>
          </cell>
          <cell r="H41" t="str">
            <v>Furniture and Fixtures-dpr</v>
          </cell>
          <cell r="I41">
            <v>-697047.8</v>
          </cell>
          <cell r="J41">
            <v>24000</v>
          </cell>
          <cell r="K41">
            <v>196234</v>
          </cell>
          <cell r="L41">
            <v>-869281.8</v>
          </cell>
          <cell r="N41">
            <v>-869281.8</v>
          </cell>
          <cell r="O41">
            <v>8</v>
          </cell>
          <cell r="P41">
            <v>-697047.8</v>
          </cell>
          <cell r="Q41">
            <v>24000</v>
          </cell>
          <cell r="R41">
            <v>196234</v>
          </cell>
          <cell r="S41">
            <v>-869281.8</v>
          </cell>
          <cell r="V41" t="str">
            <v>*</v>
          </cell>
          <cell r="W41" t="str">
            <v/>
          </cell>
          <cell r="X41" t="e">
            <v>#N/A</v>
          </cell>
        </row>
        <row r="42">
          <cell r="G42" t="str">
            <v>OFFICE EQUIPMENT -AT COST</v>
          </cell>
          <cell r="I42">
            <v>793671.75</v>
          </cell>
          <cell r="J42">
            <v>78215</v>
          </cell>
          <cell r="K42">
            <v>0</v>
          </cell>
          <cell r="L42">
            <v>871886.75</v>
          </cell>
          <cell r="O42">
            <v>5</v>
          </cell>
          <cell r="V42" t="str">
            <v>*</v>
          </cell>
          <cell r="W42">
            <v>0</v>
          </cell>
          <cell r="X42" t="e">
            <v>#N/A</v>
          </cell>
        </row>
        <row r="43">
          <cell r="G43" t="str">
            <v>OFFICE AIRCONDITIONERS</v>
          </cell>
          <cell r="I43">
            <v>4536498.51</v>
          </cell>
          <cell r="J43">
            <v>0</v>
          </cell>
          <cell r="K43">
            <v>330000</v>
          </cell>
          <cell r="L43">
            <v>4206498.51</v>
          </cell>
          <cell r="O43">
            <v>7</v>
          </cell>
          <cell r="V43" t="str">
            <v>*</v>
          </cell>
          <cell r="W43">
            <v>0</v>
          </cell>
          <cell r="X43" t="e">
            <v>#N/A</v>
          </cell>
        </row>
        <row r="44">
          <cell r="G44" t="str">
            <v>OFFICE AIRCONDITIONERS- ACCUMULATED DEPRECIATION</v>
          </cell>
          <cell r="I44">
            <v>-192692</v>
          </cell>
          <cell r="J44">
            <v>0</v>
          </cell>
          <cell r="K44">
            <v>263054</v>
          </cell>
          <cell r="L44">
            <v>-455746</v>
          </cell>
          <cell r="O44">
            <v>8</v>
          </cell>
          <cell r="V44" t="str">
            <v>*</v>
          </cell>
          <cell r="W44">
            <v>0</v>
          </cell>
          <cell r="X44" t="e">
            <v>#N/A</v>
          </cell>
        </row>
        <row r="45">
          <cell r="G45" t="str">
            <v>OFFICE EQUIPMENT -ACCUMULATED DEPRECIATION</v>
          </cell>
          <cell r="I45">
            <v>-258715.26</v>
          </cell>
          <cell r="J45">
            <v>11000</v>
          </cell>
          <cell r="K45">
            <v>114250</v>
          </cell>
          <cell r="L45">
            <v>-361965.26</v>
          </cell>
          <cell r="O45">
            <v>6</v>
          </cell>
          <cell r="V45" t="str">
            <v>*</v>
          </cell>
          <cell r="W45">
            <v>0</v>
          </cell>
          <cell r="X45" t="e">
            <v>#N/A</v>
          </cell>
        </row>
        <row r="46">
          <cell r="G46" t="str">
            <v>PROJECT EXP.EXPENSES</v>
          </cell>
          <cell r="H46" t="str">
            <v xml:space="preserve">                Capital Work-In-Progress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1218506</v>
          </cell>
          <cell r="O46">
            <v>9</v>
          </cell>
          <cell r="P46">
            <v>1218506</v>
          </cell>
          <cell r="U46">
            <v>1218506</v>
          </cell>
          <cell r="V46" t="str">
            <v>*</v>
          </cell>
          <cell r="W46">
            <v>79072322.350000009</v>
          </cell>
          <cell r="X46" t="e">
            <v>#N/A</v>
          </cell>
        </row>
        <row r="47">
          <cell r="G47" t="str">
            <v>PROJECT EXP. - 1</v>
          </cell>
          <cell r="I47">
            <v>1167686</v>
          </cell>
          <cell r="J47">
            <v>0</v>
          </cell>
          <cell r="K47">
            <v>0</v>
          </cell>
          <cell r="L47">
            <v>1167686</v>
          </cell>
          <cell r="O47">
            <v>9</v>
          </cell>
          <cell r="V47" t="str">
            <v>*</v>
          </cell>
          <cell r="X47" t="e">
            <v>#N/A</v>
          </cell>
        </row>
        <row r="48">
          <cell r="G48" t="str">
            <v>PROJECT EXP. - 2</v>
          </cell>
          <cell r="I48">
            <v>48904</v>
          </cell>
          <cell r="J48">
            <v>1916</v>
          </cell>
          <cell r="K48">
            <v>0</v>
          </cell>
          <cell r="L48">
            <v>50820</v>
          </cell>
          <cell r="O48">
            <v>9</v>
          </cell>
          <cell r="V48" t="str">
            <v>*</v>
          </cell>
          <cell r="X48" t="e">
            <v>#N/A</v>
          </cell>
        </row>
        <row r="49">
          <cell r="G49" t="str">
            <v>TOOLS,DEVICES &amp; TESTING INSTRUMENTS - AT COST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O49">
            <v>9</v>
          </cell>
          <cell r="V49" t="str">
            <v>*</v>
          </cell>
          <cell r="X49" t="e">
            <v>#N/A</v>
          </cell>
        </row>
        <row r="50">
          <cell r="G50" t="str">
            <v>PRODUCTION BUILDING</v>
          </cell>
          <cell r="I50">
            <v>181560</v>
          </cell>
          <cell r="J50">
            <v>0</v>
          </cell>
          <cell r="K50">
            <v>181560</v>
          </cell>
          <cell r="L50">
            <v>0</v>
          </cell>
          <cell r="O50">
            <v>9</v>
          </cell>
          <cell r="V50" t="str">
            <v>*</v>
          </cell>
          <cell r="X50" t="e">
            <v>#N/A</v>
          </cell>
        </row>
        <row r="51">
          <cell r="G51" t="str">
            <v>FIRE EQUIPMENTS -PROJECT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O51">
            <v>9</v>
          </cell>
          <cell r="V51" t="str">
            <v>*</v>
          </cell>
          <cell r="X51" t="e">
            <v>#N/A</v>
          </cell>
        </row>
        <row r="52">
          <cell r="G52" t="str">
            <v>ELECTRICAL EQUIPMENTS - PROJECT</v>
          </cell>
          <cell r="I52">
            <v>45000</v>
          </cell>
          <cell r="J52">
            <v>0</v>
          </cell>
          <cell r="K52">
            <v>45000</v>
          </cell>
          <cell r="L52">
            <v>0</v>
          </cell>
          <cell r="O52">
            <v>9</v>
          </cell>
          <cell r="V52" t="str">
            <v>*</v>
          </cell>
          <cell r="X52" t="e">
            <v>#N/A</v>
          </cell>
        </row>
        <row r="53">
          <cell r="G53" t="str">
            <v>AIRCONDITIONING - PROJECT</v>
          </cell>
          <cell r="I53">
            <v>-330000</v>
          </cell>
          <cell r="J53">
            <v>330000</v>
          </cell>
          <cell r="K53">
            <v>0</v>
          </cell>
          <cell r="L53">
            <v>0</v>
          </cell>
          <cell r="O53">
            <v>9</v>
          </cell>
          <cell r="V53" t="str">
            <v>*</v>
          </cell>
          <cell r="X53" t="e">
            <v>#N/A</v>
          </cell>
        </row>
        <row r="54">
          <cell r="G54" t="str">
            <v>FACTORY EQIP.-PROJECT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O54">
            <v>9</v>
          </cell>
          <cell r="V54" t="str">
            <v>*</v>
          </cell>
          <cell r="X54" t="e">
            <v>#N/A</v>
          </cell>
        </row>
        <row r="55">
          <cell r="G55" t="str">
            <v>FURNITURE &amp; FIXTURES- (PROJECT)</v>
          </cell>
          <cell r="I55">
            <v>22000</v>
          </cell>
          <cell r="J55">
            <v>0</v>
          </cell>
          <cell r="K55">
            <v>22000</v>
          </cell>
          <cell r="L55">
            <v>0</v>
          </cell>
          <cell r="O55">
            <v>9</v>
          </cell>
          <cell r="V55" t="str">
            <v>*</v>
          </cell>
          <cell r="X55" t="e">
            <v>#N/A</v>
          </cell>
        </row>
        <row r="56">
          <cell r="G56" t="str">
            <v>COMMUNICATION EQUIPMENT -AT COST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O56">
            <v>9</v>
          </cell>
          <cell r="V56" t="str">
            <v>*</v>
          </cell>
          <cell r="X56" t="e">
            <v>#N/A</v>
          </cell>
        </row>
        <row r="57">
          <cell r="G57" t="str">
            <v>SHARES IN GOA URBAN CO- OP SOCIETY LTD.</v>
          </cell>
          <cell r="H57" t="str">
            <v>Non trade, Unquoted</v>
          </cell>
          <cell r="I57">
            <v>5900</v>
          </cell>
          <cell r="J57">
            <v>0</v>
          </cell>
          <cell r="K57">
            <v>0</v>
          </cell>
          <cell r="L57">
            <v>5900</v>
          </cell>
          <cell r="N57">
            <v>5900</v>
          </cell>
          <cell r="O57" t="str">
            <v>z</v>
          </cell>
          <cell r="P57">
            <v>5900</v>
          </cell>
          <cell r="U57">
            <v>5900</v>
          </cell>
          <cell r="V57" t="str">
            <v>*</v>
          </cell>
          <cell r="X57" t="e">
            <v>#N/A</v>
          </cell>
        </row>
        <row r="58">
          <cell r="G58" t="str">
            <v>PRATIBHA  SHIRSALE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N58">
            <v>0</v>
          </cell>
          <cell r="O58" t="str">
            <v>z</v>
          </cell>
          <cell r="P58">
            <v>5000</v>
          </cell>
          <cell r="U58">
            <v>5000</v>
          </cell>
          <cell r="V58" t="str">
            <v>*</v>
          </cell>
          <cell r="X58" t="e">
            <v>#N/A</v>
          </cell>
        </row>
        <row r="59">
          <cell r="G59" t="str">
            <v>LALIT P.  JADE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N59">
            <v>0</v>
          </cell>
          <cell r="O59" t="str">
            <v>z</v>
          </cell>
          <cell r="V59" t="str">
            <v>*</v>
          </cell>
          <cell r="X59" t="e">
            <v>#N/A</v>
          </cell>
        </row>
        <row r="60">
          <cell r="G60" t="str">
            <v>MANISH DESHMUKH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N60">
            <v>0</v>
          </cell>
          <cell r="O60" t="str">
            <v>z</v>
          </cell>
          <cell r="V60" t="str">
            <v>*</v>
          </cell>
          <cell r="X60" t="e">
            <v>#N/A</v>
          </cell>
        </row>
        <row r="61">
          <cell r="G61" t="str">
            <v>JENIFER JOHN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N61">
            <v>0</v>
          </cell>
          <cell r="O61" t="str">
            <v>z</v>
          </cell>
          <cell r="V61" t="str">
            <v>*</v>
          </cell>
          <cell r="X61" t="e">
            <v>#N/A</v>
          </cell>
        </row>
        <row r="62">
          <cell r="G62" t="str">
            <v>JACOB PAYRA</v>
          </cell>
          <cell r="I62">
            <v>5000</v>
          </cell>
          <cell r="J62">
            <v>0</v>
          </cell>
          <cell r="K62">
            <v>0</v>
          </cell>
          <cell r="L62">
            <v>5000</v>
          </cell>
          <cell r="N62">
            <v>5000</v>
          </cell>
          <cell r="O62" t="str">
            <v>z</v>
          </cell>
          <cell r="V62" t="str">
            <v>*</v>
          </cell>
          <cell r="X62" t="e">
            <v>#N/A</v>
          </cell>
        </row>
        <row r="63">
          <cell r="G63" t="str">
            <v>VISHAL KATKAR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N63">
            <v>0</v>
          </cell>
          <cell r="O63" t="str">
            <v>z</v>
          </cell>
          <cell r="V63" t="str">
            <v>*</v>
          </cell>
          <cell r="X63" t="e">
            <v>#N/A</v>
          </cell>
        </row>
        <row r="64">
          <cell r="G64" t="str">
            <v>N. HARITHEERTHAM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N64">
            <v>0</v>
          </cell>
          <cell r="O64" t="str">
            <v>z</v>
          </cell>
          <cell r="V64" t="str">
            <v>*</v>
          </cell>
          <cell r="X64" t="e">
            <v>#N/A</v>
          </cell>
        </row>
        <row r="65">
          <cell r="G65" t="str">
            <v>HEMANT MOHITE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N65">
            <v>0</v>
          </cell>
          <cell r="O65" t="str">
            <v>z</v>
          </cell>
          <cell r="V65" t="str">
            <v>*</v>
          </cell>
          <cell r="X65" t="e">
            <v>#N/A</v>
          </cell>
        </row>
        <row r="66">
          <cell r="G66" t="str">
            <v>DEODATTA MONTEIRO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0</v>
          </cell>
          <cell r="O66" t="str">
            <v>z</v>
          </cell>
          <cell r="V66" t="str">
            <v>*</v>
          </cell>
          <cell r="X66" t="e">
            <v>#N/A</v>
          </cell>
        </row>
        <row r="67">
          <cell r="G67" t="str">
            <v>RAW MATERIALS - MEDICAL CLASSIC</v>
          </cell>
          <cell r="H67" t="str">
            <v xml:space="preserve">           Opening Stock </v>
          </cell>
          <cell r="I67">
            <v>5311498</v>
          </cell>
          <cell r="J67">
            <v>1052103</v>
          </cell>
          <cell r="K67">
            <v>1937001</v>
          </cell>
          <cell r="L67">
            <v>4961530</v>
          </cell>
          <cell r="M67">
            <v>14606370.756999999</v>
          </cell>
          <cell r="O67">
            <v>10</v>
          </cell>
          <cell r="P67">
            <v>69345027.528999999</v>
          </cell>
          <cell r="U67">
            <v>69345027.528999999</v>
          </cell>
          <cell r="V67" t="str">
            <v>*</v>
          </cell>
          <cell r="X67" t="e">
            <v>#N/A</v>
          </cell>
        </row>
        <row r="68">
          <cell r="G68" t="str">
            <v>GOODS IN TRANSIT - RAW MATERIAL - CIF VALUE</v>
          </cell>
          <cell r="H68" t="str">
            <v xml:space="preserve">Raw Materials ( Inculding in transit - </v>
          </cell>
          <cell r="I68">
            <v>862251.05700000003</v>
          </cell>
          <cell r="J68">
            <v>1243092.1259999999</v>
          </cell>
          <cell r="K68">
            <v>862251.05</v>
          </cell>
          <cell r="L68">
            <v>1243092.1329999999</v>
          </cell>
          <cell r="N68">
            <v>6470270.9129999997</v>
          </cell>
          <cell r="O68">
            <v>10</v>
          </cell>
          <cell r="P68">
            <v>6470270.9129999997</v>
          </cell>
          <cell r="V68" t="str">
            <v>*</v>
          </cell>
          <cell r="X68" t="e">
            <v>#N/A</v>
          </cell>
        </row>
        <row r="69">
          <cell r="G69" t="str">
            <v>GOODS IN TRANSIT - RAW MATERIAL - CUSTOM DUTY</v>
          </cell>
          <cell r="H69" t="str">
            <v xml:space="preserve">           Less : Closing  Stock </v>
          </cell>
          <cell r="I69">
            <v>8658191.6999999993</v>
          </cell>
          <cell r="J69">
            <v>265648.78000000003</v>
          </cell>
          <cell r="K69">
            <v>8658191.6999999993</v>
          </cell>
          <cell r="L69">
            <v>265648.78000000003</v>
          </cell>
          <cell r="M69">
            <v>6470270.9129999997</v>
          </cell>
          <cell r="O69">
            <v>10</v>
          </cell>
          <cell r="V69" t="str">
            <v>*</v>
          </cell>
          <cell r="X69" t="e">
            <v>#N/A</v>
          </cell>
        </row>
        <row r="70">
          <cell r="G70" t="str">
            <v>GOODS IN TRANSIT - RAW MATERIAL - CLEARING CHARGES</v>
          </cell>
          <cell r="H70" t="str">
            <v>Work-In-Progress</v>
          </cell>
          <cell r="I70">
            <v>-225570</v>
          </cell>
          <cell r="J70">
            <v>0</v>
          </cell>
          <cell r="K70">
            <v>20790</v>
          </cell>
          <cell r="L70">
            <v>0</v>
          </cell>
          <cell r="N70">
            <v>395718</v>
          </cell>
          <cell r="O70">
            <v>100</v>
          </cell>
          <cell r="X70" t="e">
            <v>#N/A</v>
          </cell>
        </row>
        <row r="71">
          <cell r="G71" t="str">
            <v>WORK IN PROGRESS -MEDICAL CLASSIC</v>
          </cell>
          <cell r="H71" t="str">
            <v xml:space="preserve">             Work In Progress</v>
          </cell>
          <cell r="I71">
            <v>585263</v>
          </cell>
          <cell r="J71">
            <v>0</v>
          </cell>
          <cell r="K71">
            <v>189545</v>
          </cell>
          <cell r="L71">
            <v>395718</v>
          </cell>
          <cell r="O71" t="str">
            <v>z</v>
          </cell>
          <cell r="V71" t="str">
            <v>*</v>
          </cell>
          <cell r="X71" t="e">
            <v>#N/A</v>
          </cell>
        </row>
        <row r="72">
          <cell r="G72" t="str">
            <v>FINISHED GOODS - MEDICAL CLASSIC</v>
          </cell>
          <cell r="H72" t="str">
            <v xml:space="preserve">             Finished Goods</v>
          </cell>
          <cell r="I72">
            <v>1269272</v>
          </cell>
          <cell r="J72">
            <v>0</v>
          </cell>
          <cell r="K72">
            <v>390802</v>
          </cell>
          <cell r="L72">
            <v>862675</v>
          </cell>
          <cell r="O72" t="str">
            <v>z</v>
          </cell>
          <cell r="V72" t="str">
            <v>*</v>
          </cell>
          <cell r="X72" t="e">
            <v>#N/A</v>
          </cell>
        </row>
        <row r="73">
          <cell r="G73" t="str">
            <v>TRADING GOODS - MEDICAL CLASSIC</v>
          </cell>
          <cell r="H73" t="str">
            <v xml:space="preserve">          Opening Stock-tr</v>
          </cell>
          <cell r="I73">
            <v>25971602.309999999</v>
          </cell>
          <cell r="J73">
            <v>17607384.670000002</v>
          </cell>
          <cell r="K73">
            <v>24823824.440000001</v>
          </cell>
          <cell r="L73">
            <v>18277752.390000001</v>
          </cell>
          <cell r="M73">
            <v>89717727.453000009</v>
          </cell>
          <cell r="O73">
            <v>11</v>
          </cell>
          <cell r="V73" t="str">
            <v>*</v>
          </cell>
          <cell r="X73" t="e">
            <v>#N/A</v>
          </cell>
        </row>
        <row r="74">
          <cell r="G74" t="str">
            <v>TRADING GOODS - MEDICAL CARDIOLOGY</v>
          </cell>
          <cell r="H74" t="str">
            <v>Finished Goods</v>
          </cell>
          <cell r="I74">
            <v>6243.17</v>
          </cell>
          <cell r="J74">
            <v>0</v>
          </cell>
          <cell r="K74">
            <v>0</v>
          </cell>
          <cell r="L74">
            <v>6243.17</v>
          </cell>
          <cell r="N74">
            <v>862675</v>
          </cell>
          <cell r="O74">
            <v>11</v>
          </cell>
          <cell r="V74" t="str">
            <v>*</v>
          </cell>
          <cell r="X74" t="e">
            <v>#N/A</v>
          </cell>
        </row>
        <row r="75">
          <cell r="G75" t="str">
            <v>TRADING GOODS - PHARMA</v>
          </cell>
          <cell r="H75" t="str">
            <v xml:space="preserve">          Less: Closing Stock-tr</v>
          </cell>
          <cell r="I75">
            <v>12909063.83</v>
          </cell>
          <cell r="J75">
            <v>1721230.38</v>
          </cell>
          <cell r="K75">
            <v>3325672.86</v>
          </cell>
          <cell r="L75">
            <v>11978558.35</v>
          </cell>
          <cell r="M75">
            <v>61616363.616000004</v>
          </cell>
          <cell r="O75">
            <v>11</v>
          </cell>
          <cell r="V75" t="str">
            <v>*</v>
          </cell>
          <cell r="X75" t="e">
            <v>#N/A</v>
          </cell>
        </row>
        <row r="76">
          <cell r="G76" t="str">
            <v>TRADING GOODS - EBT</v>
          </cell>
          <cell r="H76" t="str">
            <v>Traded Goods (Inculding in transit -</v>
          </cell>
          <cell r="I76">
            <v>17623955.760000002</v>
          </cell>
          <cell r="J76">
            <v>4997892.29</v>
          </cell>
          <cell r="K76">
            <v>6327015.8300000001</v>
          </cell>
          <cell r="L76">
            <v>15654022.220000001</v>
          </cell>
          <cell r="N76">
            <v>61616363.616000004</v>
          </cell>
          <cell r="O76">
            <v>11</v>
          </cell>
          <cell r="V76" t="str">
            <v>*</v>
          </cell>
          <cell r="X76" t="e">
            <v>#N/A</v>
          </cell>
        </row>
        <row r="77">
          <cell r="G77" t="str">
            <v>TRADING GOODS - WOUNDCARE</v>
          </cell>
          <cell r="I77">
            <v>197455.78</v>
          </cell>
          <cell r="J77">
            <v>0</v>
          </cell>
          <cell r="K77">
            <v>0</v>
          </cell>
          <cell r="L77">
            <v>153740.78</v>
          </cell>
          <cell r="O77">
            <v>11</v>
          </cell>
          <cell r="V77" t="str">
            <v>*</v>
          </cell>
          <cell r="X77" t="e">
            <v>#N/A</v>
          </cell>
        </row>
        <row r="78">
          <cell r="G78" t="str">
            <v>TRADING GOODS - AAG SURGICALS</v>
          </cell>
          <cell r="I78">
            <v>6888481.0899999999</v>
          </cell>
          <cell r="J78">
            <v>1739391.47</v>
          </cell>
          <cell r="K78">
            <v>1056727.47</v>
          </cell>
          <cell r="L78">
            <v>7509099.9199999999</v>
          </cell>
          <cell r="O78">
            <v>11</v>
          </cell>
          <cell r="V78" t="str">
            <v>*</v>
          </cell>
          <cell r="X78" t="e">
            <v>#N/A</v>
          </cell>
        </row>
        <row r="79">
          <cell r="G79" t="str">
            <v>TRADING GOODS - OPM</v>
          </cell>
          <cell r="I79">
            <v>220382.42</v>
          </cell>
          <cell r="J79">
            <v>2862.11</v>
          </cell>
          <cell r="K79">
            <v>0</v>
          </cell>
          <cell r="L79">
            <v>223244.53</v>
          </cell>
          <cell r="O79">
            <v>11</v>
          </cell>
          <cell r="V79" t="str">
            <v>*</v>
          </cell>
          <cell r="X79" t="e">
            <v>#N/A</v>
          </cell>
        </row>
        <row r="80">
          <cell r="G80" t="str">
            <v>GOODS IN TRANSIT - TRADING GOODS - CIF VALUE</v>
          </cell>
          <cell r="I80">
            <v>20585196.572999999</v>
          </cell>
          <cell r="J80">
            <v>7429609.8530000001</v>
          </cell>
          <cell r="K80">
            <v>21695813.100000001</v>
          </cell>
          <cell r="L80">
            <v>6481661.5959999999</v>
          </cell>
          <cell r="O80">
            <v>11</v>
          </cell>
          <cell r="V80" t="str">
            <v>*</v>
          </cell>
          <cell r="X80" t="e">
            <v>#N/A</v>
          </cell>
        </row>
        <row r="81">
          <cell r="G81" t="str">
            <v>GOODS IN TRANSIT - TRADING GOODS - CUSTOMS DUTY</v>
          </cell>
          <cell r="I81">
            <v>7480501.8899999997</v>
          </cell>
          <cell r="J81">
            <v>1319037.33</v>
          </cell>
          <cell r="K81">
            <v>0</v>
          </cell>
          <cell r="L81">
            <v>1332040.6599999999</v>
          </cell>
          <cell r="O81">
            <v>11</v>
          </cell>
          <cell r="V81" t="str">
            <v>*</v>
          </cell>
          <cell r="X81" t="e">
            <v>#N/A</v>
          </cell>
        </row>
        <row r="82">
          <cell r="G82" t="str">
            <v>GOODS IN TRANSIT - TRADING GOODS - CLEARING CHARGES</v>
          </cell>
          <cell r="I82">
            <v>-2165155.37</v>
          </cell>
          <cell r="J82">
            <v>657565</v>
          </cell>
          <cell r="K82">
            <v>585970.47</v>
          </cell>
          <cell r="L82">
            <v>0</v>
          </cell>
          <cell r="O82">
            <v>100</v>
          </cell>
          <cell r="X82" t="e">
            <v>#N/A</v>
          </cell>
        </row>
        <row r="83">
          <cell r="G83" t="str">
            <v>B.BRAUN INTERNATIONAL PTE. LTD.</v>
          </cell>
          <cell r="I83">
            <v>86342.399999999994</v>
          </cell>
          <cell r="J83">
            <v>0</v>
          </cell>
          <cell r="K83">
            <v>0</v>
          </cell>
          <cell r="L83">
            <v>87001.4</v>
          </cell>
          <cell r="O83">
            <v>12</v>
          </cell>
          <cell r="P83">
            <v>62588600.800000004</v>
          </cell>
          <cell r="U83">
            <v>62588600.800000004</v>
          </cell>
          <cell r="V83" t="str">
            <v>*</v>
          </cell>
          <cell r="X83" t="e">
            <v>#N/A</v>
          </cell>
        </row>
        <row r="84">
          <cell r="G84" t="str">
            <v>SUSPENSE DEBTORS</v>
          </cell>
          <cell r="H84" t="str">
            <v>Debtors Suspense</v>
          </cell>
          <cell r="I84">
            <v>-54953</v>
          </cell>
          <cell r="J84">
            <v>0</v>
          </cell>
          <cell r="K84">
            <v>0</v>
          </cell>
          <cell r="L84">
            <v>-54953</v>
          </cell>
          <cell r="N84">
            <v>-54953</v>
          </cell>
          <cell r="O84" t="str">
            <v>z</v>
          </cell>
          <cell r="V84" t="str">
            <v>*</v>
          </cell>
          <cell r="X84" t="e">
            <v>#N/A</v>
          </cell>
        </row>
        <row r="85">
          <cell r="G85" t="str">
            <v>SUNDAR DRUG HOUSE, CUTTACK</v>
          </cell>
          <cell r="H85" t="str">
            <v xml:space="preserve">        Considered Good</v>
          </cell>
          <cell r="I85">
            <v>147680</v>
          </cell>
          <cell r="J85">
            <v>0</v>
          </cell>
          <cell r="K85">
            <v>147680</v>
          </cell>
          <cell r="L85">
            <v>0</v>
          </cell>
          <cell r="N85">
            <v>61170065.750000007</v>
          </cell>
          <cell r="O85">
            <v>12</v>
          </cell>
          <cell r="V85" t="str">
            <v>*</v>
          </cell>
          <cell r="X85" t="e">
            <v>#N/A</v>
          </cell>
        </row>
        <row r="86">
          <cell r="G86" t="str">
            <v>ARIHANT SURGICAL</v>
          </cell>
          <cell r="H86" t="str">
            <v xml:space="preserve">Advance from customers </v>
          </cell>
          <cell r="I86">
            <v>2955.44</v>
          </cell>
          <cell r="J86">
            <v>0</v>
          </cell>
          <cell r="K86">
            <v>0</v>
          </cell>
          <cell r="L86">
            <v>2955.44</v>
          </cell>
          <cell r="O86">
            <v>12</v>
          </cell>
          <cell r="P86">
            <v>-1745404.0999999996</v>
          </cell>
          <cell r="V86" t="str">
            <v>*</v>
          </cell>
          <cell r="X86" t="e">
            <v>#N/A</v>
          </cell>
        </row>
        <row r="87">
          <cell r="G87" t="str">
            <v>HEALTH POINT</v>
          </cell>
          <cell r="I87">
            <v>31560</v>
          </cell>
          <cell r="J87">
            <v>0</v>
          </cell>
          <cell r="K87">
            <v>0</v>
          </cell>
          <cell r="L87">
            <v>31560</v>
          </cell>
          <cell r="N87" t="str">
            <v/>
          </cell>
          <cell r="O87">
            <v>12</v>
          </cell>
          <cell r="V87" t="str">
            <v>*</v>
          </cell>
          <cell r="X87" t="e">
            <v>#N/A</v>
          </cell>
        </row>
        <row r="88">
          <cell r="G88" t="str">
            <v>USHA BUSINESS DEVELOPMENT PVT. LTD.</v>
          </cell>
          <cell r="I88">
            <v>-2286.2399999999998</v>
          </cell>
          <cell r="J88">
            <v>0</v>
          </cell>
          <cell r="K88">
            <v>0</v>
          </cell>
          <cell r="L88">
            <v>-2286.2399999999998</v>
          </cell>
          <cell r="N88">
            <v>-2286.2399999999998</v>
          </cell>
          <cell r="O88">
            <v>12</v>
          </cell>
          <cell r="V88" t="str">
            <v>*</v>
          </cell>
          <cell r="X88" t="e">
            <v>#N/A</v>
          </cell>
        </row>
        <row r="89">
          <cell r="G89" t="str">
            <v>INDIRA GANDHI  INS. OF MED.SCIENCE</v>
          </cell>
          <cell r="I89">
            <v>8500.01</v>
          </cell>
          <cell r="J89">
            <v>0</v>
          </cell>
          <cell r="K89">
            <v>0</v>
          </cell>
          <cell r="L89">
            <v>8500.01</v>
          </cell>
          <cell r="N89" t="str">
            <v/>
          </cell>
          <cell r="O89">
            <v>12</v>
          </cell>
          <cell r="V89" t="str">
            <v>*</v>
          </cell>
          <cell r="X89" t="e">
            <v>#N/A</v>
          </cell>
        </row>
        <row r="90">
          <cell r="G90" t="str">
            <v>KONSUMEX SERVICES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 t="str">
            <v/>
          </cell>
          <cell r="O90">
            <v>12</v>
          </cell>
          <cell r="V90" t="str">
            <v>*</v>
          </cell>
          <cell r="X90" t="e">
            <v>#N/A</v>
          </cell>
        </row>
        <row r="91">
          <cell r="G91" t="str">
            <v>LIFE LINE NURSING HOME</v>
          </cell>
          <cell r="I91">
            <v>-4860</v>
          </cell>
          <cell r="J91">
            <v>200000</v>
          </cell>
          <cell r="K91">
            <v>200000</v>
          </cell>
          <cell r="L91">
            <v>-4860</v>
          </cell>
          <cell r="N91">
            <v>-4860</v>
          </cell>
          <cell r="O91">
            <v>12</v>
          </cell>
          <cell r="V91" t="str">
            <v>*</v>
          </cell>
          <cell r="X91" t="e">
            <v>#N/A</v>
          </cell>
        </row>
        <row r="92">
          <cell r="G92" t="str">
            <v>NAVJEEVAN NURSING HOME PVT. LTD</v>
          </cell>
          <cell r="I92">
            <v>429993.16</v>
          </cell>
          <cell r="J92">
            <v>0</v>
          </cell>
          <cell r="K92">
            <v>200000</v>
          </cell>
          <cell r="L92">
            <v>229993.16</v>
          </cell>
          <cell r="N92" t="str">
            <v/>
          </cell>
          <cell r="O92">
            <v>12</v>
          </cell>
          <cell r="V92" t="str">
            <v>*</v>
          </cell>
          <cell r="X92" t="e">
            <v>#N/A</v>
          </cell>
        </row>
        <row r="93">
          <cell r="G93" t="str">
            <v>WOODLANDS HOSPITAL AND MED. RESEARCH CENTRE LTD.,</v>
          </cell>
          <cell r="I93">
            <v>1656</v>
          </cell>
          <cell r="J93">
            <v>0</v>
          </cell>
          <cell r="K93">
            <v>0</v>
          </cell>
          <cell r="L93">
            <v>1656</v>
          </cell>
          <cell r="N93" t="str">
            <v/>
          </cell>
          <cell r="O93">
            <v>12</v>
          </cell>
          <cell r="V93" t="str">
            <v>*</v>
          </cell>
          <cell r="X93" t="e">
            <v>#N/A</v>
          </cell>
        </row>
        <row r="94">
          <cell r="G94" t="str">
            <v>WOCKHARDT LTD.</v>
          </cell>
          <cell r="I94">
            <v>487200</v>
          </cell>
          <cell r="J94">
            <v>0</v>
          </cell>
          <cell r="K94">
            <v>0</v>
          </cell>
          <cell r="L94">
            <v>487200</v>
          </cell>
          <cell r="N94" t="str">
            <v/>
          </cell>
          <cell r="O94">
            <v>12</v>
          </cell>
          <cell r="V94" t="str">
            <v>*</v>
          </cell>
          <cell r="X94" t="e">
            <v>#N/A</v>
          </cell>
        </row>
        <row r="95">
          <cell r="G95" t="str">
            <v>SHRI JAIN HOSPITAL &amp; RESEARCH CENTRE</v>
          </cell>
          <cell r="I95">
            <v>0</v>
          </cell>
          <cell r="J95">
            <v>0</v>
          </cell>
          <cell r="K95">
            <v>7700</v>
          </cell>
          <cell r="L95">
            <v>-7700</v>
          </cell>
          <cell r="N95">
            <v>-7700</v>
          </cell>
          <cell r="O95">
            <v>12</v>
          </cell>
          <cell r="V95" t="str">
            <v>*</v>
          </cell>
          <cell r="X95" t="e">
            <v>#N/A</v>
          </cell>
        </row>
        <row r="96">
          <cell r="G96" t="str">
            <v>ADITYA HEALTH RESERCH CENTRE</v>
          </cell>
          <cell r="I96">
            <v>19788</v>
          </cell>
          <cell r="J96">
            <v>0</v>
          </cell>
          <cell r="K96">
            <v>0</v>
          </cell>
          <cell r="L96">
            <v>19788</v>
          </cell>
          <cell r="N96" t="str">
            <v/>
          </cell>
          <cell r="O96">
            <v>12</v>
          </cell>
          <cell r="V96" t="str">
            <v>*</v>
          </cell>
          <cell r="X96" t="e">
            <v>#N/A</v>
          </cell>
        </row>
        <row r="97">
          <cell r="G97" t="str">
            <v>WOODLANDS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N97" t="str">
            <v/>
          </cell>
          <cell r="O97">
            <v>12</v>
          </cell>
          <cell r="V97" t="str">
            <v>*</v>
          </cell>
          <cell r="X97" t="e">
            <v>#N/A</v>
          </cell>
        </row>
        <row r="98">
          <cell r="G98" t="str">
            <v>ADVANCED MEDICARE AND RESEARCH CENTRE</v>
          </cell>
          <cell r="I98">
            <v>2730.53</v>
          </cell>
          <cell r="J98">
            <v>0</v>
          </cell>
          <cell r="K98">
            <v>0</v>
          </cell>
          <cell r="L98">
            <v>2730.53</v>
          </cell>
          <cell r="N98" t="str">
            <v/>
          </cell>
          <cell r="O98">
            <v>12</v>
          </cell>
          <cell r="V98" t="str">
            <v>*</v>
          </cell>
          <cell r="X98" t="e">
            <v>#N/A</v>
          </cell>
        </row>
        <row r="99">
          <cell r="G99" t="str">
            <v>GLOBAL MEDICAL SYSTEM</v>
          </cell>
          <cell r="I99">
            <v>-28.78</v>
          </cell>
          <cell r="J99">
            <v>224961.14</v>
          </cell>
          <cell r="K99">
            <v>224930</v>
          </cell>
          <cell r="L99">
            <v>2.36</v>
          </cell>
          <cell r="N99" t="str">
            <v/>
          </cell>
          <cell r="O99">
            <v>12</v>
          </cell>
          <cell r="V99" t="str">
            <v>*</v>
          </cell>
          <cell r="X99" t="e">
            <v>#N/A</v>
          </cell>
        </row>
        <row r="100">
          <cell r="G100" t="str">
            <v>PEERLESS HOSPITAL AND BK ROY RESEARCH CENTRE</v>
          </cell>
          <cell r="I100">
            <v>176880.2</v>
          </cell>
          <cell r="J100">
            <v>0</v>
          </cell>
          <cell r="K100">
            <v>0</v>
          </cell>
          <cell r="L100">
            <v>176880.2</v>
          </cell>
          <cell r="N100" t="str">
            <v/>
          </cell>
          <cell r="O100">
            <v>12</v>
          </cell>
          <cell r="V100" t="str">
            <v>*</v>
          </cell>
          <cell r="X100" t="e">
            <v>#N/A</v>
          </cell>
        </row>
        <row r="101">
          <cell r="G101" t="str">
            <v>HINDHUSTHAN SURGICALS</v>
          </cell>
          <cell r="I101">
            <v>-5356.76</v>
          </cell>
          <cell r="J101">
            <v>149760</v>
          </cell>
          <cell r="K101">
            <v>150000</v>
          </cell>
          <cell r="L101">
            <v>-5596.76</v>
          </cell>
          <cell r="N101">
            <v>-5596.76</v>
          </cell>
          <cell r="O101">
            <v>12</v>
          </cell>
          <cell r="V101" t="str">
            <v>*</v>
          </cell>
          <cell r="X101" t="e">
            <v>#N/A</v>
          </cell>
        </row>
        <row r="102">
          <cell r="G102" t="str">
            <v>HEALTH CARE ASSOCIATES</v>
          </cell>
          <cell r="I102">
            <v>-4890</v>
          </cell>
          <cell r="J102">
            <v>259480</v>
          </cell>
          <cell r="K102">
            <v>259480</v>
          </cell>
          <cell r="L102">
            <v>-4890</v>
          </cell>
          <cell r="N102">
            <v>-4890</v>
          </cell>
          <cell r="O102">
            <v>12</v>
          </cell>
          <cell r="V102" t="str">
            <v>*</v>
          </cell>
          <cell r="X102" t="e">
            <v>#N/A</v>
          </cell>
        </row>
        <row r="103">
          <cell r="G103" t="str">
            <v>ASSEMBLY OF GOD HOSPITAL &amp; RESEARCH CENTRE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N103" t="str">
            <v/>
          </cell>
          <cell r="O103">
            <v>12</v>
          </cell>
          <cell r="V103" t="str">
            <v>*</v>
          </cell>
          <cell r="X103" t="e">
            <v>#N/A</v>
          </cell>
        </row>
        <row r="104">
          <cell r="G104" t="str">
            <v>K.R.LYNCH &amp; CO.</v>
          </cell>
          <cell r="I104">
            <v>2239.8000000000002</v>
          </cell>
          <cell r="J104">
            <v>99118.88</v>
          </cell>
          <cell r="K104">
            <v>101360</v>
          </cell>
          <cell r="L104">
            <v>-1.32</v>
          </cell>
          <cell r="N104">
            <v>-1.32</v>
          </cell>
          <cell r="O104">
            <v>12</v>
          </cell>
          <cell r="V104" t="str">
            <v>*</v>
          </cell>
          <cell r="X104" t="e">
            <v>#N/A</v>
          </cell>
        </row>
        <row r="105">
          <cell r="G105" t="str">
            <v>LISTER SURGICAL INDUSTRY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N105" t="str">
            <v/>
          </cell>
          <cell r="O105">
            <v>12</v>
          </cell>
          <cell r="V105" t="str">
            <v>*</v>
          </cell>
          <cell r="X105" t="e">
            <v>#N/A</v>
          </cell>
        </row>
        <row r="106">
          <cell r="G106" t="str">
            <v>RABINDRANATH TAGORE INTERNATIONAL</v>
          </cell>
          <cell r="I106">
            <v>-0.01</v>
          </cell>
          <cell r="J106">
            <v>0</v>
          </cell>
          <cell r="K106">
            <v>0</v>
          </cell>
          <cell r="L106">
            <v>-0.01</v>
          </cell>
          <cell r="N106">
            <v>-0.01</v>
          </cell>
          <cell r="O106">
            <v>12</v>
          </cell>
          <cell r="V106" t="str">
            <v>*</v>
          </cell>
          <cell r="X106" t="e">
            <v>#N/A</v>
          </cell>
        </row>
        <row r="107">
          <cell r="G107" t="str">
            <v>THE SUPERINTENDENT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N107" t="str">
            <v/>
          </cell>
          <cell r="O107">
            <v>12</v>
          </cell>
          <cell r="V107" t="str">
            <v>*</v>
          </cell>
          <cell r="X107" t="e">
            <v>#N/A</v>
          </cell>
        </row>
        <row r="108">
          <cell r="G108" t="str">
            <v>SHREE GANESH SURGICALS</v>
          </cell>
          <cell r="I108">
            <v>3544889.39</v>
          </cell>
          <cell r="J108">
            <v>0</v>
          </cell>
          <cell r="K108">
            <v>660400</v>
          </cell>
          <cell r="L108">
            <v>2884489.39</v>
          </cell>
          <cell r="N108" t="str">
            <v/>
          </cell>
          <cell r="O108">
            <v>12</v>
          </cell>
          <cell r="V108" t="str">
            <v>*</v>
          </cell>
          <cell r="X108" t="e">
            <v>#N/A</v>
          </cell>
        </row>
        <row r="109">
          <cell r="G109" t="str">
            <v>HINDUSTAN SURGICALS</v>
          </cell>
          <cell r="I109">
            <v>0</v>
          </cell>
          <cell r="J109">
            <v>149760</v>
          </cell>
          <cell r="K109">
            <v>149760</v>
          </cell>
          <cell r="L109">
            <v>0</v>
          </cell>
          <cell r="N109" t="str">
            <v/>
          </cell>
          <cell r="O109">
            <v>12</v>
          </cell>
          <cell r="V109" t="str">
            <v>*</v>
          </cell>
          <cell r="X109" t="e">
            <v>#N/A</v>
          </cell>
        </row>
        <row r="110">
          <cell r="G110" t="str">
            <v>JYOTI TRADERS</v>
          </cell>
          <cell r="I110">
            <v>-2236</v>
          </cell>
          <cell r="J110">
            <v>58240</v>
          </cell>
          <cell r="K110">
            <v>58240</v>
          </cell>
          <cell r="L110">
            <v>-2236</v>
          </cell>
          <cell r="N110">
            <v>-2236</v>
          </cell>
          <cell r="O110">
            <v>12</v>
          </cell>
          <cell r="V110" t="str">
            <v>*</v>
          </cell>
          <cell r="X110" t="e">
            <v>#N/A</v>
          </cell>
        </row>
        <row r="111">
          <cell r="G111" t="str">
            <v>KANJI SHAVJI PAREKH (CALCUTTA) PVT. LTD.</v>
          </cell>
          <cell r="I111">
            <v>1230800</v>
          </cell>
          <cell r="J111">
            <v>0</v>
          </cell>
          <cell r="K111">
            <v>0</v>
          </cell>
          <cell r="L111">
            <v>1230800</v>
          </cell>
          <cell r="N111" t="str">
            <v/>
          </cell>
          <cell r="O111">
            <v>12</v>
          </cell>
          <cell r="V111" t="str">
            <v>*</v>
          </cell>
          <cell r="X111" t="e">
            <v>#N/A</v>
          </cell>
        </row>
        <row r="112">
          <cell r="G112" t="str">
            <v>TATA FINANCE LTD.</v>
          </cell>
          <cell r="I112">
            <v>783999.8</v>
          </cell>
          <cell r="J112">
            <v>0</v>
          </cell>
          <cell r="K112">
            <v>0</v>
          </cell>
          <cell r="L112">
            <v>783999.8</v>
          </cell>
          <cell r="N112" t="str">
            <v/>
          </cell>
          <cell r="O112">
            <v>12</v>
          </cell>
          <cell r="V112" t="str">
            <v>*</v>
          </cell>
          <cell r="X112" t="e">
            <v>#N/A</v>
          </cell>
        </row>
        <row r="113">
          <cell r="G113" t="str">
            <v>DUTTA TRADING ENTERPRISE</v>
          </cell>
          <cell r="I113">
            <v>-2049.6</v>
          </cell>
          <cell r="J113">
            <v>340953.59999999998</v>
          </cell>
          <cell r="K113">
            <v>341600</v>
          </cell>
          <cell r="L113">
            <v>-2696</v>
          </cell>
          <cell r="N113">
            <v>-2696</v>
          </cell>
          <cell r="O113">
            <v>12</v>
          </cell>
          <cell r="V113" t="str">
            <v>*</v>
          </cell>
          <cell r="X113" t="e">
            <v>#N/A</v>
          </cell>
        </row>
        <row r="114">
          <cell r="G114" t="str">
            <v>MEDILINE SURGICALS</v>
          </cell>
          <cell r="I114">
            <v>-6500.08</v>
          </cell>
          <cell r="J114">
            <v>6500</v>
          </cell>
          <cell r="K114">
            <v>0</v>
          </cell>
          <cell r="L114">
            <v>-0.08</v>
          </cell>
          <cell r="N114">
            <v>-0.08</v>
          </cell>
          <cell r="O114">
            <v>12</v>
          </cell>
          <cell r="V114" t="str">
            <v>*</v>
          </cell>
          <cell r="X114" t="e">
            <v>#N/A</v>
          </cell>
        </row>
        <row r="115">
          <cell r="G115" t="str">
            <v>K.R. LYNCH &amp; CO. PVT. LTD.</v>
          </cell>
          <cell r="I115">
            <v>-5200</v>
          </cell>
          <cell r="J115">
            <v>1950335.97</v>
          </cell>
          <cell r="K115">
            <v>1990220</v>
          </cell>
          <cell r="L115">
            <v>-45084.03</v>
          </cell>
          <cell r="N115">
            <v>-45084.03</v>
          </cell>
          <cell r="O115">
            <v>12</v>
          </cell>
          <cell r="V115" t="str">
            <v>*</v>
          </cell>
          <cell r="X115" t="e">
            <v>#N/A</v>
          </cell>
        </row>
        <row r="116">
          <cell r="G116" t="str">
            <v>JAIN SURGICALS</v>
          </cell>
          <cell r="I116">
            <v>-33680</v>
          </cell>
          <cell r="J116">
            <v>0</v>
          </cell>
          <cell r="K116">
            <v>0</v>
          </cell>
          <cell r="L116">
            <v>-33680</v>
          </cell>
          <cell r="N116">
            <v>-33680</v>
          </cell>
          <cell r="O116">
            <v>12</v>
          </cell>
          <cell r="V116" t="str">
            <v>*</v>
          </cell>
          <cell r="X116" t="e">
            <v>#N/A</v>
          </cell>
        </row>
        <row r="117">
          <cell r="G117" t="str">
            <v>UTILITY INDUSTRIES &amp; CHEMICAL WORKS</v>
          </cell>
          <cell r="I117">
            <v>0</v>
          </cell>
          <cell r="J117">
            <v>99840</v>
          </cell>
          <cell r="K117">
            <v>99840</v>
          </cell>
          <cell r="L117">
            <v>0</v>
          </cell>
          <cell r="N117" t="str">
            <v/>
          </cell>
          <cell r="O117">
            <v>12</v>
          </cell>
          <cell r="V117" t="str">
            <v>*</v>
          </cell>
          <cell r="X117" t="e">
            <v>#N/A</v>
          </cell>
        </row>
        <row r="118">
          <cell r="G118" t="str">
            <v>METALLIC ENGINEERING PROJECT</v>
          </cell>
          <cell r="I118">
            <v>0</v>
          </cell>
          <cell r="J118">
            <v>0</v>
          </cell>
          <cell r="K118">
            <v>50000</v>
          </cell>
          <cell r="L118">
            <v>-50000</v>
          </cell>
          <cell r="N118">
            <v>-50000</v>
          </cell>
          <cell r="O118">
            <v>12</v>
          </cell>
          <cell r="V118" t="str">
            <v>*</v>
          </cell>
          <cell r="X118" t="e">
            <v>#N/A</v>
          </cell>
        </row>
        <row r="119">
          <cell r="G119" t="str">
            <v>ALPHA MEDICAL SERVICES PVT. LTD.</v>
          </cell>
          <cell r="I119">
            <v>-5000</v>
          </cell>
          <cell r="J119">
            <v>0</v>
          </cell>
          <cell r="K119">
            <v>0</v>
          </cell>
          <cell r="L119">
            <v>-5000</v>
          </cell>
          <cell r="N119">
            <v>-5000</v>
          </cell>
          <cell r="O119">
            <v>12</v>
          </cell>
          <cell r="V119" t="str">
            <v>*</v>
          </cell>
          <cell r="X119" t="e">
            <v>#N/A</v>
          </cell>
        </row>
        <row r="120">
          <cell r="G120" t="str">
            <v>ROY ENTERPRISE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N120" t="str">
            <v/>
          </cell>
          <cell r="O120">
            <v>12</v>
          </cell>
          <cell r="V120" t="str">
            <v>*</v>
          </cell>
          <cell r="X120" t="e">
            <v>#N/A</v>
          </cell>
        </row>
        <row r="121">
          <cell r="G121" t="str">
            <v>PEOPLES MEDI-TREAT PVT. LTD.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N121" t="str">
            <v/>
          </cell>
          <cell r="O121">
            <v>12</v>
          </cell>
          <cell r="V121" t="str">
            <v>*</v>
          </cell>
          <cell r="X121" t="e">
            <v>#N/A</v>
          </cell>
        </row>
        <row r="122">
          <cell r="G122" t="str">
            <v>MEDICINE HOUSE</v>
          </cell>
          <cell r="I122">
            <v>22659.05</v>
          </cell>
          <cell r="J122">
            <v>0</v>
          </cell>
          <cell r="K122">
            <v>0</v>
          </cell>
          <cell r="L122">
            <v>22659.05</v>
          </cell>
          <cell r="N122" t="str">
            <v/>
          </cell>
          <cell r="O122">
            <v>12</v>
          </cell>
          <cell r="V122" t="str">
            <v>*</v>
          </cell>
          <cell r="X122" t="e">
            <v>#N/A</v>
          </cell>
        </row>
        <row r="123">
          <cell r="G123" t="str">
            <v>INDIRA GANDHI INSTITUTE OF CARDIOLOGY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N123" t="str">
            <v/>
          </cell>
          <cell r="O123">
            <v>12</v>
          </cell>
          <cell r="V123" t="str">
            <v>*</v>
          </cell>
          <cell r="X123" t="e">
            <v>#N/A</v>
          </cell>
        </row>
        <row r="124">
          <cell r="G124" t="str">
            <v>BASUDEO HEALTH FOUNDATION PVT. LTD.</v>
          </cell>
          <cell r="I124">
            <v>1400000.02</v>
          </cell>
          <cell r="J124">
            <v>0</v>
          </cell>
          <cell r="K124">
            <v>1400000</v>
          </cell>
          <cell r="L124">
            <v>0.02</v>
          </cell>
          <cell r="N124" t="str">
            <v/>
          </cell>
          <cell r="O124">
            <v>12</v>
          </cell>
          <cell r="V124" t="str">
            <v>*</v>
          </cell>
          <cell r="X124" t="e">
            <v>#N/A</v>
          </cell>
        </row>
        <row r="125">
          <cell r="G125" t="str">
            <v>RENHART HEALTH PRODUCTS PVT. LTD</v>
          </cell>
          <cell r="I125">
            <v>-249132.69</v>
          </cell>
          <cell r="J125">
            <v>1304297.3999999999</v>
          </cell>
          <cell r="K125">
            <v>193950</v>
          </cell>
          <cell r="L125">
            <v>861214.71</v>
          </cell>
          <cell r="N125" t="str">
            <v/>
          </cell>
          <cell r="O125">
            <v>12</v>
          </cell>
          <cell r="V125" t="str">
            <v>*</v>
          </cell>
          <cell r="X125" t="e">
            <v>#N/A</v>
          </cell>
        </row>
        <row r="126">
          <cell r="G126" t="str">
            <v>J. J. DISTRIBUTORS</v>
          </cell>
          <cell r="I126">
            <v>34888.93</v>
          </cell>
          <cell r="J126">
            <v>0</v>
          </cell>
          <cell r="K126">
            <v>0</v>
          </cell>
          <cell r="L126">
            <v>34888.93</v>
          </cell>
          <cell r="N126" t="str">
            <v/>
          </cell>
          <cell r="O126">
            <v>12</v>
          </cell>
          <cell r="V126" t="str">
            <v>*</v>
          </cell>
          <cell r="X126" t="e">
            <v>#N/A</v>
          </cell>
        </row>
        <row r="127">
          <cell r="G127" t="str">
            <v>MAHABIR ENTERPRISES</v>
          </cell>
          <cell r="I127">
            <v>0</v>
          </cell>
          <cell r="J127">
            <v>48000</v>
          </cell>
          <cell r="K127">
            <v>0</v>
          </cell>
          <cell r="L127">
            <v>48000</v>
          </cell>
          <cell r="N127" t="str">
            <v/>
          </cell>
          <cell r="O127">
            <v>12</v>
          </cell>
          <cell r="V127" t="str">
            <v>*</v>
          </cell>
          <cell r="X127" t="e">
            <v>#N/A</v>
          </cell>
        </row>
        <row r="128">
          <cell r="G128" t="str">
            <v>PRAGATI HOSPITAL &amp; RESEARCH CENTRE</v>
          </cell>
          <cell r="I128">
            <v>-0.19</v>
          </cell>
          <cell r="J128">
            <v>0</v>
          </cell>
          <cell r="K128">
            <v>0</v>
          </cell>
          <cell r="L128">
            <v>-0.19</v>
          </cell>
          <cell r="N128">
            <v>-0.19</v>
          </cell>
          <cell r="O128">
            <v>12</v>
          </cell>
          <cell r="V128" t="str">
            <v>*</v>
          </cell>
          <cell r="X128" t="e">
            <v>#N/A</v>
          </cell>
        </row>
        <row r="129">
          <cell r="G129" t="str">
            <v>ADITYA DIAGNOSTICS &amp; HOSPITALS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N129" t="str">
            <v/>
          </cell>
          <cell r="O129">
            <v>12</v>
          </cell>
          <cell r="V129" t="str">
            <v>*</v>
          </cell>
          <cell r="X129" t="e">
            <v>#N/A</v>
          </cell>
        </row>
        <row r="130">
          <cell r="G130" t="str">
            <v>B M PHARMACEUTICALS</v>
          </cell>
          <cell r="I130">
            <v>332396.69</v>
          </cell>
          <cell r="J130">
            <v>837160</v>
          </cell>
          <cell r="K130">
            <v>1079471</v>
          </cell>
          <cell r="L130">
            <v>90085.69</v>
          </cell>
          <cell r="N130" t="str">
            <v/>
          </cell>
          <cell r="O130">
            <v>12</v>
          </cell>
          <cell r="V130" t="str">
            <v>*</v>
          </cell>
          <cell r="X130" t="e">
            <v>#N/A</v>
          </cell>
        </row>
        <row r="131">
          <cell r="G131" t="str">
            <v>DOWNTOWN HOSPITAL LTD.</v>
          </cell>
          <cell r="I131">
            <v>94050</v>
          </cell>
          <cell r="J131">
            <v>0</v>
          </cell>
          <cell r="K131">
            <v>0</v>
          </cell>
          <cell r="L131">
            <v>94050</v>
          </cell>
          <cell r="N131" t="str">
            <v/>
          </cell>
          <cell r="O131">
            <v>12</v>
          </cell>
          <cell r="V131" t="str">
            <v>*</v>
          </cell>
          <cell r="X131" t="e">
            <v>#N/A</v>
          </cell>
        </row>
        <row r="132">
          <cell r="G132" t="str">
            <v>LAMPHEL PHARMACY.</v>
          </cell>
          <cell r="I132">
            <v>-13057.58</v>
          </cell>
          <cell r="J132">
            <v>99840</v>
          </cell>
          <cell r="K132">
            <v>99840</v>
          </cell>
          <cell r="L132">
            <v>-13057.58</v>
          </cell>
          <cell r="N132">
            <v>-13057.58</v>
          </cell>
          <cell r="O132">
            <v>12</v>
          </cell>
          <cell r="V132" t="str">
            <v>*</v>
          </cell>
          <cell r="X132" t="e">
            <v>#N/A</v>
          </cell>
        </row>
        <row r="133">
          <cell r="G133" t="str">
            <v>P.V.AGENCIES</v>
          </cell>
          <cell r="I133">
            <v>-900</v>
          </cell>
          <cell r="J133">
            <v>0</v>
          </cell>
          <cell r="K133">
            <v>0</v>
          </cell>
          <cell r="L133">
            <v>-900</v>
          </cell>
          <cell r="N133">
            <v>-900</v>
          </cell>
          <cell r="O133">
            <v>12</v>
          </cell>
          <cell r="V133" t="str">
            <v>*</v>
          </cell>
          <cell r="X133" t="e">
            <v>#N/A</v>
          </cell>
        </row>
        <row r="134">
          <cell r="G134" t="str">
            <v>SAR ENTERPRISES</v>
          </cell>
          <cell r="I134">
            <v>-2310.1999999999998</v>
          </cell>
          <cell r="J134">
            <v>10712</v>
          </cell>
          <cell r="K134">
            <v>15844</v>
          </cell>
          <cell r="L134">
            <v>-7442.2</v>
          </cell>
          <cell r="N134">
            <v>-7442.2</v>
          </cell>
          <cell r="O134">
            <v>12</v>
          </cell>
          <cell r="V134" t="str">
            <v>*</v>
          </cell>
          <cell r="X134" t="e">
            <v>#N/A</v>
          </cell>
        </row>
        <row r="135">
          <cell r="G135" t="str">
            <v>BABY MEMORIAL HOSPITAL</v>
          </cell>
          <cell r="I135">
            <v>0</v>
          </cell>
          <cell r="J135">
            <v>105769.4</v>
          </cell>
          <cell r="K135">
            <v>25000</v>
          </cell>
          <cell r="L135">
            <v>80769.399999999994</v>
          </cell>
          <cell r="N135" t="str">
            <v/>
          </cell>
          <cell r="O135">
            <v>12</v>
          </cell>
          <cell r="V135" t="str">
            <v>*</v>
          </cell>
          <cell r="X135" t="e">
            <v>#N/A</v>
          </cell>
        </row>
        <row r="136">
          <cell r="G136" t="str">
            <v>COCHIN PHARMA</v>
          </cell>
          <cell r="I136">
            <v>971.36</v>
          </cell>
          <cell r="J136">
            <v>0</v>
          </cell>
          <cell r="K136">
            <v>0</v>
          </cell>
          <cell r="L136">
            <v>971.36</v>
          </cell>
          <cell r="N136" t="str">
            <v/>
          </cell>
          <cell r="O136">
            <v>12</v>
          </cell>
          <cell r="V136" t="str">
            <v>*</v>
          </cell>
          <cell r="X136" t="e">
            <v>#N/A</v>
          </cell>
        </row>
        <row r="137">
          <cell r="G137" t="str">
            <v>SURGI CRAFT</v>
          </cell>
          <cell r="I137">
            <v>3276</v>
          </cell>
          <cell r="J137">
            <v>9828</v>
          </cell>
          <cell r="K137">
            <v>9828</v>
          </cell>
          <cell r="L137">
            <v>3276</v>
          </cell>
          <cell r="N137" t="str">
            <v/>
          </cell>
          <cell r="O137">
            <v>12</v>
          </cell>
          <cell r="V137" t="str">
            <v>*</v>
          </cell>
          <cell r="X137" t="e">
            <v>#N/A</v>
          </cell>
        </row>
        <row r="138">
          <cell r="G138" t="str">
            <v>ST. MARTIN-DE-PORRES HOSPITAL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N138" t="str">
            <v/>
          </cell>
          <cell r="O138">
            <v>12</v>
          </cell>
          <cell r="V138" t="str">
            <v>*</v>
          </cell>
          <cell r="X138" t="e">
            <v>#N/A</v>
          </cell>
        </row>
        <row r="139">
          <cell r="G139" t="str">
            <v>MEDICAL TRUST HOSPITAL</v>
          </cell>
          <cell r="I139">
            <v>535</v>
          </cell>
          <cell r="J139">
            <v>0</v>
          </cell>
          <cell r="K139">
            <v>0</v>
          </cell>
          <cell r="L139">
            <v>535</v>
          </cell>
          <cell r="N139" t="str">
            <v/>
          </cell>
          <cell r="O139">
            <v>12</v>
          </cell>
          <cell r="V139" t="str">
            <v>*</v>
          </cell>
          <cell r="X139" t="e">
            <v>#N/A</v>
          </cell>
        </row>
        <row r="140">
          <cell r="G140" t="str">
            <v>AMRITA INST. OF MEDICAL SCI.&amp;RES.</v>
          </cell>
          <cell r="I140">
            <v>-328.15</v>
          </cell>
          <cell r="J140">
            <v>0</v>
          </cell>
          <cell r="K140">
            <v>0</v>
          </cell>
          <cell r="L140">
            <v>-328.15</v>
          </cell>
          <cell r="N140">
            <v>-328.15</v>
          </cell>
          <cell r="O140">
            <v>12</v>
          </cell>
          <cell r="V140" t="str">
            <v>*</v>
          </cell>
          <cell r="X140" t="e">
            <v>#N/A</v>
          </cell>
        </row>
        <row r="141">
          <cell r="G141" t="str">
            <v>LISIE HOSPITAL</v>
          </cell>
          <cell r="I141">
            <v>5000</v>
          </cell>
          <cell r="J141">
            <v>0</v>
          </cell>
          <cell r="K141">
            <v>0</v>
          </cell>
          <cell r="L141">
            <v>5000</v>
          </cell>
          <cell r="N141" t="str">
            <v/>
          </cell>
          <cell r="O141">
            <v>12</v>
          </cell>
          <cell r="V141" t="str">
            <v>*</v>
          </cell>
          <cell r="X141" t="e">
            <v>#N/A</v>
          </cell>
        </row>
        <row r="142">
          <cell r="G142" t="str">
            <v>PROMPT ENTERPRISES.</v>
          </cell>
          <cell r="I142">
            <v>-2960.72</v>
          </cell>
          <cell r="J142">
            <v>0</v>
          </cell>
          <cell r="K142">
            <v>0</v>
          </cell>
          <cell r="L142">
            <v>-2960.72</v>
          </cell>
          <cell r="N142">
            <v>-2960.72</v>
          </cell>
          <cell r="O142">
            <v>12</v>
          </cell>
          <cell r="V142" t="str">
            <v>*</v>
          </cell>
          <cell r="X142" t="e">
            <v>#N/A</v>
          </cell>
        </row>
        <row r="143">
          <cell r="G143" t="str">
            <v>KODAKKAT PHARMA DISTRIBUTORS</v>
          </cell>
          <cell r="I143">
            <v>-1</v>
          </cell>
          <cell r="J143">
            <v>82160</v>
          </cell>
          <cell r="K143">
            <v>82160</v>
          </cell>
          <cell r="L143">
            <v>-1</v>
          </cell>
          <cell r="N143">
            <v>-1</v>
          </cell>
          <cell r="O143">
            <v>12</v>
          </cell>
          <cell r="V143" t="str">
            <v>*</v>
          </cell>
          <cell r="X143" t="e">
            <v>#N/A</v>
          </cell>
        </row>
        <row r="144">
          <cell r="G144" t="str">
            <v>TOPCARE AGENCIES</v>
          </cell>
          <cell r="I144">
            <v>-545</v>
          </cell>
          <cell r="J144">
            <v>0</v>
          </cell>
          <cell r="K144">
            <v>0</v>
          </cell>
          <cell r="L144">
            <v>-545</v>
          </cell>
          <cell r="N144">
            <v>-545</v>
          </cell>
          <cell r="O144">
            <v>12</v>
          </cell>
          <cell r="V144" t="str">
            <v>*</v>
          </cell>
          <cell r="X144" t="e">
            <v>#N/A</v>
          </cell>
        </row>
        <row r="145">
          <cell r="G145" t="str">
            <v>MERIDIAN ENTERPRISES</v>
          </cell>
          <cell r="I145">
            <v>144.47999999999999</v>
          </cell>
          <cell r="J145">
            <v>0</v>
          </cell>
          <cell r="K145">
            <v>0</v>
          </cell>
          <cell r="L145">
            <v>144.47999999999999</v>
          </cell>
          <cell r="N145" t="str">
            <v/>
          </cell>
          <cell r="O145">
            <v>12</v>
          </cell>
          <cell r="V145" t="str">
            <v>*</v>
          </cell>
          <cell r="X145" t="e">
            <v>#N/A</v>
          </cell>
        </row>
        <row r="146">
          <cell r="G146" t="str">
            <v>M.O.S.C. MEDICAL MISSION HOSPITAL</v>
          </cell>
          <cell r="I146">
            <v>-0.01</v>
          </cell>
          <cell r="J146">
            <v>0</v>
          </cell>
          <cell r="K146">
            <v>0</v>
          </cell>
          <cell r="L146">
            <v>-0.01</v>
          </cell>
          <cell r="N146">
            <v>-0.01</v>
          </cell>
          <cell r="O146">
            <v>12</v>
          </cell>
          <cell r="V146" t="str">
            <v>*</v>
          </cell>
          <cell r="X146" t="e">
            <v>#N/A</v>
          </cell>
        </row>
        <row r="147">
          <cell r="G147" t="str">
            <v>PULLIKKAL SURGICAL DISTRIBUTORS</v>
          </cell>
          <cell r="I147">
            <v>0.2</v>
          </cell>
          <cell r="J147">
            <v>60816.6</v>
          </cell>
          <cell r="K147">
            <v>70697</v>
          </cell>
          <cell r="L147">
            <v>-9880.2000000000007</v>
          </cell>
          <cell r="N147">
            <v>-9880.2000000000007</v>
          </cell>
          <cell r="O147">
            <v>12</v>
          </cell>
          <cell r="V147" t="str">
            <v>*</v>
          </cell>
          <cell r="X147" t="e">
            <v>#N/A</v>
          </cell>
        </row>
        <row r="148">
          <cell r="G148" t="str">
            <v>PULLIKAL PHARMA DISTRIBUTORS</v>
          </cell>
          <cell r="I148">
            <v>-0.12</v>
          </cell>
          <cell r="J148">
            <v>0</v>
          </cell>
          <cell r="K148">
            <v>0</v>
          </cell>
          <cell r="L148">
            <v>-0.12</v>
          </cell>
          <cell r="N148">
            <v>-0.12</v>
          </cell>
          <cell r="O148">
            <v>12</v>
          </cell>
          <cell r="V148" t="str">
            <v>*</v>
          </cell>
          <cell r="X148" t="e">
            <v>#N/A</v>
          </cell>
        </row>
        <row r="149">
          <cell r="G149" t="str">
            <v>CENTRAL TRAVANCORE SPECIALISTS HOSPITAL LTD.</v>
          </cell>
          <cell r="I149">
            <v>845022</v>
          </cell>
          <cell r="J149">
            <v>0</v>
          </cell>
          <cell r="K149">
            <v>0</v>
          </cell>
          <cell r="L149">
            <v>845022</v>
          </cell>
          <cell r="N149" t="str">
            <v/>
          </cell>
          <cell r="O149">
            <v>12</v>
          </cell>
          <cell r="V149" t="str">
            <v>*</v>
          </cell>
          <cell r="X149" t="e">
            <v>#N/A</v>
          </cell>
        </row>
        <row r="150">
          <cell r="G150" t="str">
            <v>BUSINESS COMMUNICATION LINKS</v>
          </cell>
          <cell r="I150">
            <v>-875</v>
          </cell>
          <cell r="J150">
            <v>0</v>
          </cell>
          <cell r="K150">
            <v>0</v>
          </cell>
          <cell r="L150">
            <v>-875</v>
          </cell>
          <cell r="N150">
            <v>-875</v>
          </cell>
          <cell r="O150">
            <v>12</v>
          </cell>
          <cell r="V150" t="str">
            <v>*</v>
          </cell>
          <cell r="X150" t="e">
            <v>#N/A</v>
          </cell>
        </row>
        <row r="151">
          <cell r="G151" t="str">
            <v>UNIQUE SURGICALS</v>
          </cell>
          <cell r="I151">
            <v>1807448.64</v>
          </cell>
          <cell r="J151">
            <v>361010</v>
          </cell>
          <cell r="K151">
            <v>2136856</v>
          </cell>
          <cell r="L151">
            <v>31602.639999999999</v>
          </cell>
          <cell r="N151" t="str">
            <v/>
          </cell>
          <cell r="O151">
            <v>12</v>
          </cell>
          <cell r="V151" t="str">
            <v>*</v>
          </cell>
          <cell r="X151" t="e">
            <v>#N/A</v>
          </cell>
        </row>
        <row r="152">
          <cell r="G152" t="str">
            <v>VISHWABHARTHI MEDICALS</v>
          </cell>
          <cell r="I152">
            <v>-1552.4</v>
          </cell>
          <cell r="J152">
            <v>0</v>
          </cell>
          <cell r="K152">
            <v>0</v>
          </cell>
          <cell r="L152">
            <v>-1552.4</v>
          </cell>
          <cell r="N152">
            <v>-1552.4</v>
          </cell>
          <cell r="O152">
            <v>12</v>
          </cell>
          <cell r="V152" t="str">
            <v>*</v>
          </cell>
          <cell r="X152" t="e">
            <v>#N/A</v>
          </cell>
        </row>
        <row r="153">
          <cell r="G153" t="str">
            <v>GEEYES ASSOCIATES</v>
          </cell>
          <cell r="I153">
            <v>-1976</v>
          </cell>
          <cell r="J153">
            <v>0</v>
          </cell>
          <cell r="K153">
            <v>0</v>
          </cell>
          <cell r="L153">
            <v>-1976</v>
          </cell>
          <cell r="N153">
            <v>-1976</v>
          </cell>
          <cell r="O153">
            <v>12</v>
          </cell>
          <cell r="V153" t="str">
            <v>*</v>
          </cell>
          <cell r="X153" t="e">
            <v>#N/A</v>
          </cell>
        </row>
        <row r="154">
          <cell r="G154" t="str">
            <v>PARKINS ENTERPRISES</v>
          </cell>
          <cell r="I154">
            <v>-598</v>
          </cell>
          <cell r="J154">
            <v>0</v>
          </cell>
          <cell r="K154">
            <v>0</v>
          </cell>
          <cell r="L154">
            <v>-598</v>
          </cell>
          <cell r="N154">
            <v>-598</v>
          </cell>
          <cell r="O154">
            <v>12</v>
          </cell>
          <cell r="V154" t="str">
            <v>*</v>
          </cell>
          <cell r="X154" t="e">
            <v>#N/A</v>
          </cell>
        </row>
        <row r="155">
          <cell r="G155" t="str">
            <v>SIGMA COMBINES</v>
          </cell>
          <cell r="I155">
            <v>35610</v>
          </cell>
          <cell r="J155">
            <v>0</v>
          </cell>
          <cell r="K155">
            <v>0</v>
          </cell>
          <cell r="L155">
            <v>35610</v>
          </cell>
          <cell r="N155" t="str">
            <v/>
          </cell>
          <cell r="O155">
            <v>12</v>
          </cell>
          <cell r="V155" t="str">
            <v>*</v>
          </cell>
          <cell r="X155" t="e">
            <v>#N/A</v>
          </cell>
        </row>
        <row r="156">
          <cell r="G156" t="str">
            <v>CHEMIPLAST</v>
          </cell>
          <cell r="I156">
            <v>-8288.6</v>
          </cell>
          <cell r="J156">
            <v>16380</v>
          </cell>
          <cell r="K156">
            <v>16380</v>
          </cell>
          <cell r="L156">
            <v>-8288.6</v>
          </cell>
          <cell r="N156">
            <v>-8288.6</v>
          </cell>
          <cell r="O156">
            <v>12</v>
          </cell>
          <cell r="V156" t="str">
            <v>*</v>
          </cell>
          <cell r="X156" t="e">
            <v>#N/A</v>
          </cell>
        </row>
        <row r="157">
          <cell r="G157" t="str">
            <v>U.S. PHARAMA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N157" t="str">
            <v/>
          </cell>
          <cell r="O157">
            <v>12</v>
          </cell>
          <cell r="V157" t="str">
            <v>*</v>
          </cell>
          <cell r="X157" t="e">
            <v>#N/A</v>
          </cell>
        </row>
        <row r="158">
          <cell r="G158" t="str">
            <v>MEDICAL HOUSE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N158" t="str">
            <v/>
          </cell>
          <cell r="O158">
            <v>12</v>
          </cell>
          <cell r="V158" t="str">
            <v>*</v>
          </cell>
          <cell r="X158" t="e">
            <v>#N/A</v>
          </cell>
        </row>
        <row r="159">
          <cell r="G159" t="str">
            <v>MOTHER HOSPITAL (P) LTD.</v>
          </cell>
          <cell r="I159">
            <v>-0.01</v>
          </cell>
          <cell r="J159">
            <v>0</v>
          </cell>
          <cell r="K159">
            <v>0</v>
          </cell>
          <cell r="L159">
            <v>-0.01</v>
          </cell>
          <cell r="N159">
            <v>-0.01</v>
          </cell>
          <cell r="O159">
            <v>12</v>
          </cell>
          <cell r="V159" t="str">
            <v>*</v>
          </cell>
          <cell r="X159" t="e">
            <v>#N/A</v>
          </cell>
        </row>
        <row r="160">
          <cell r="G160" t="str">
            <v>THE MEDICAL DIR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N160" t="str">
            <v/>
          </cell>
          <cell r="O160">
            <v>12</v>
          </cell>
          <cell r="V160" t="str">
            <v>*</v>
          </cell>
          <cell r="X160" t="e">
            <v>#N/A</v>
          </cell>
        </row>
        <row r="161">
          <cell r="G161" t="str">
            <v>JOSGIRI HOSPITAL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N161" t="str">
            <v/>
          </cell>
          <cell r="O161">
            <v>12</v>
          </cell>
          <cell r="V161" t="str">
            <v>*</v>
          </cell>
          <cell r="X161" t="e">
            <v>#N/A</v>
          </cell>
        </row>
        <row r="162">
          <cell r="G162" t="str">
            <v>GOVERNMENT GENERAL HOSPITAL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N162" t="str">
            <v/>
          </cell>
          <cell r="O162">
            <v>12</v>
          </cell>
          <cell r="V162" t="str">
            <v>*</v>
          </cell>
          <cell r="X162" t="e">
            <v>#N/A</v>
          </cell>
        </row>
        <row r="163">
          <cell r="G163" t="str">
            <v>HAMILTON AND BAILEY</v>
          </cell>
          <cell r="I163">
            <v>16003.28</v>
          </cell>
          <cell r="J163">
            <v>0</v>
          </cell>
          <cell r="K163">
            <v>0</v>
          </cell>
          <cell r="L163">
            <v>16003.28</v>
          </cell>
          <cell r="N163" t="str">
            <v/>
          </cell>
          <cell r="O163">
            <v>12</v>
          </cell>
          <cell r="V163" t="str">
            <v>*</v>
          </cell>
          <cell r="X163" t="e">
            <v>#N/A</v>
          </cell>
        </row>
        <row r="164">
          <cell r="G164" t="str">
            <v>DR. SAROJ NAIR</v>
          </cell>
          <cell r="I164">
            <v>0</v>
          </cell>
          <cell r="J164">
            <v>9000.01</v>
          </cell>
          <cell r="K164">
            <v>9000</v>
          </cell>
          <cell r="L164">
            <v>0.01</v>
          </cell>
          <cell r="N164" t="str">
            <v/>
          </cell>
          <cell r="O164">
            <v>12</v>
          </cell>
          <cell r="V164" t="str">
            <v>*</v>
          </cell>
          <cell r="X164" t="e">
            <v>#N/A</v>
          </cell>
        </row>
        <row r="165">
          <cell r="G165" t="str">
            <v>INDIA HOSPITAL</v>
          </cell>
          <cell r="I165">
            <v>0</v>
          </cell>
          <cell r="J165">
            <v>9000</v>
          </cell>
          <cell r="K165">
            <v>9000</v>
          </cell>
          <cell r="L165">
            <v>0</v>
          </cell>
          <cell r="N165" t="str">
            <v/>
          </cell>
          <cell r="O165">
            <v>12</v>
          </cell>
          <cell r="V165" t="str">
            <v>*</v>
          </cell>
          <cell r="X165" t="e">
            <v>#N/A</v>
          </cell>
        </row>
        <row r="166">
          <cell r="G166" t="str">
            <v>S.S.MEDILINES</v>
          </cell>
          <cell r="I166">
            <v>-570</v>
          </cell>
          <cell r="J166">
            <v>78360</v>
          </cell>
          <cell r="K166">
            <v>61000</v>
          </cell>
          <cell r="L166">
            <v>16790</v>
          </cell>
          <cell r="N166" t="str">
            <v/>
          </cell>
          <cell r="O166">
            <v>12</v>
          </cell>
          <cell r="V166" t="str">
            <v>*</v>
          </cell>
          <cell r="X166" t="e">
            <v>#N/A</v>
          </cell>
        </row>
        <row r="167">
          <cell r="G167" t="str">
            <v>PROMPT ENTERPRISES</v>
          </cell>
          <cell r="I167">
            <v>-9334.69</v>
          </cell>
          <cell r="J167">
            <v>0</v>
          </cell>
          <cell r="K167">
            <v>0</v>
          </cell>
          <cell r="L167">
            <v>-9334.69</v>
          </cell>
          <cell r="N167">
            <v>-9334.69</v>
          </cell>
          <cell r="O167">
            <v>12</v>
          </cell>
          <cell r="V167" t="str">
            <v>*</v>
          </cell>
          <cell r="X167" t="e">
            <v>#N/A</v>
          </cell>
        </row>
        <row r="168">
          <cell r="G168" t="str">
            <v>SHREE CHITRA TIRUNAL INSTITUTE FOR MEDICAL SCIENCE AND TECH.</v>
          </cell>
          <cell r="I168">
            <v>182163</v>
          </cell>
          <cell r="J168">
            <v>0</v>
          </cell>
          <cell r="K168">
            <v>0</v>
          </cell>
          <cell r="L168">
            <v>182163</v>
          </cell>
          <cell r="N168" t="str">
            <v/>
          </cell>
          <cell r="O168">
            <v>12</v>
          </cell>
          <cell r="V168" t="str">
            <v>*</v>
          </cell>
          <cell r="X168" t="e">
            <v>#N/A</v>
          </cell>
        </row>
        <row r="169">
          <cell r="G169" t="str">
            <v>JYOTI SURGICALS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N169" t="str">
            <v/>
          </cell>
          <cell r="O169">
            <v>12</v>
          </cell>
          <cell r="V169" t="str">
            <v>*</v>
          </cell>
          <cell r="X169" t="e">
            <v>#N/A</v>
          </cell>
        </row>
        <row r="170">
          <cell r="G170" t="str">
            <v>PRITI MEDICAL RESEARCH CENTRE</v>
          </cell>
          <cell r="I170">
            <v>1440800</v>
          </cell>
          <cell r="J170">
            <v>0</v>
          </cell>
          <cell r="K170">
            <v>0</v>
          </cell>
          <cell r="L170">
            <v>1440800</v>
          </cell>
          <cell r="N170" t="str">
            <v/>
          </cell>
          <cell r="O170">
            <v>12</v>
          </cell>
          <cell r="V170" t="str">
            <v>*</v>
          </cell>
          <cell r="X170" t="e">
            <v>#N/A</v>
          </cell>
        </row>
        <row r="171">
          <cell r="G171" t="str">
            <v>HANSRAJ NAYYAR MEDICAL ,  AMRITSAR</v>
          </cell>
          <cell r="I171">
            <v>17525.599999999999</v>
          </cell>
          <cell r="J171">
            <v>0</v>
          </cell>
          <cell r="K171">
            <v>0</v>
          </cell>
          <cell r="L171">
            <v>17525.599999999999</v>
          </cell>
          <cell r="N171" t="str">
            <v/>
          </cell>
          <cell r="O171">
            <v>12</v>
          </cell>
          <cell r="V171" t="str">
            <v>*</v>
          </cell>
          <cell r="X171" t="e">
            <v>#N/A</v>
          </cell>
        </row>
        <row r="172">
          <cell r="G172" t="str">
            <v>RAVI BROTHERS</v>
          </cell>
          <cell r="I172">
            <v>-801.5</v>
          </cell>
          <cell r="J172">
            <v>0</v>
          </cell>
          <cell r="K172">
            <v>0</v>
          </cell>
          <cell r="L172">
            <v>-801.5</v>
          </cell>
          <cell r="N172">
            <v>-801.5</v>
          </cell>
          <cell r="O172">
            <v>12</v>
          </cell>
          <cell r="V172" t="str">
            <v>*</v>
          </cell>
          <cell r="X172" t="e">
            <v>#N/A</v>
          </cell>
        </row>
        <row r="173">
          <cell r="G173" t="str">
            <v>RASHMI CHEMICALS</v>
          </cell>
          <cell r="I173">
            <v>21200</v>
          </cell>
          <cell r="J173">
            <v>0</v>
          </cell>
          <cell r="K173">
            <v>0</v>
          </cell>
          <cell r="L173">
            <v>21200</v>
          </cell>
          <cell r="N173" t="str">
            <v/>
          </cell>
          <cell r="O173">
            <v>12</v>
          </cell>
          <cell r="V173" t="str">
            <v>*</v>
          </cell>
          <cell r="X173" t="e">
            <v>#N/A</v>
          </cell>
        </row>
        <row r="174">
          <cell r="G174" t="str">
            <v>AHUJA AGENCIES</v>
          </cell>
          <cell r="I174">
            <v>7710.4</v>
          </cell>
          <cell r="J174">
            <v>0</v>
          </cell>
          <cell r="K174">
            <v>0</v>
          </cell>
          <cell r="L174">
            <v>7710.4</v>
          </cell>
          <cell r="N174" t="str">
            <v/>
          </cell>
          <cell r="O174">
            <v>12</v>
          </cell>
          <cell r="V174" t="str">
            <v>*</v>
          </cell>
          <cell r="X174" t="e">
            <v>#N/A</v>
          </cell>
        </row>
        <row r="175">
          <cell r="G175" t="str">
            <v>AHUJA ENTERPRISES</v>
          </cell>
          <cell r="I175">
            <v>520</v>
          </cell>
          <cell r="J175">
            <v>0</v>
          </cell>
          <cell r="K175">
            <v>0</v>
          </cell>
          <cell r="L175">
            <v>520</v>
          </cell>
          <cell r="N175" t="str">
            <v/>
          </cell>
          <cell r="O175">
            <v>12</v>
          </cell>
          <cell r="V175" t="str">
            <v>*</v>
          </cell>
          <cell r="X175" t="e">
            <v>#N/A</v>
          </cell>
        </row>
        <row r="176">
          <cell r="G176" t="str">
            <v>JAGDAMBA MEDICAL STORE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N176" t="str">
            <v/>
          </cell>
          <cell r="O176">
            <v>12</v>
          </cell>
          <cell r="V176" t="str">
            <v>*</v>
          </cell>
          <cell r="X176" t="e">
            <v>#N/A</v>
          </cell>
        </row>
        <row r="177">
          <cell r="G177" t="str">
            <v>SURGICO</v>
          </cell>
          <cell r="I177">
            <v>-1055.99</v>
          </cell>
          <cell r="J177">
            <v>0</v>
          </cell>
          <cell r="K177">
            <v>0</v>
          </cell>
          <cell r="L177">
            <v>-1055.99</v>
          </cell>
          <cell r="N177">
            <v>-1055.99</v>
          </cell>
          <cell r="O177">
            <v>12</v>
          </cell>
          <cell r="V177" t="str">
            <v>*</v>
          </cell>
          <cell r="X177" t="e">
            <v>#N/A</v>
          </cell>
        </row>
        <row r="178">
          <cell r="G178" t="str">
            <v>KUMAR BROTHERS</v>
          </cell>
          <cell r="I178">
            <v>-17114.400000000001</v>
          </cell>
          <cell r="J178">
            <v>17056</v>
          </cell>
          <cell r="K178">
            <v>0</v>
          </cell>
          <cell r="L178">
            <v>-58.4</v>
          </cell>
          <cell r="N178">
            <v>-58.4</v>
          </cell>
          <cell r="O178">
            <v>12</v>
          </cell>
          <cell r="V178" t="str">
            <v>*</v>
          </cell>
          <cell r="X178" t="e">
            <v>#N/A</v>
          </cell>
        </row>
        <row r="179">
          <cell r="G179" t="str">
            <v>UNISTAR PHARMACEUTICALS DIST.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N179" t="str">
            <v/>
          </cell>
          <cell r="O179">
            <v>12</v>
          </cell>
          <cell r="V179" t="str">
            <v>*</v>
          </cell>
          <cell r="X179" t="e">
            <v>#N/A</v>
          </cell>
        </row>
        <row r="180">
          <cell r="G180" t="str">
            <v>GURUDEV DRUGS</v>
          </cell>
          <cell r="I180">
            <v>0</v>
          </cell>
          <cell r="J180">
            <v>30442.5</v>
          </cell>
          <cell r="K180">
            <v>30500</v>
          </cell>
          <cell r="L180">
            <v>-57.5</v>
          </cell>
          <cell r="N180">
            <v>-57.5</v>
          </cell>
          <cell r="O180">
            <v>12</v>
          </cell>
          <cell r="V180" t="str">
            <v>*</v>
          </cell>
          <cell r="X180" t="e">
            <v>#N/A</v>
          </cell>
        </row>
        <row r="181">
          <cell r="G181" t="str">
            <v>ROYAL SURGICALS</v>
          </cell>
          <cell r="I181">
            <v>10060.4</v>
          </cell>
          <cell r="J181">
            <v>0</v>
          </cell>
          <cell r="K181">
            <v>0</v>
          </cell>
          <cell r="L181">
            <v>10060.4</v>
          </cell>
          <cell r="N181" t="str">
            <v/>
          </cell>
          <cell r="O181">
            <v>12</v>
          </cell>
          <cell r="V181" t="str">
            <v>*</v>
          </cell>
          <cell r="X181" t="e">
            <v>#N/A</v>
          </cell>
        </row>
        <row r="182">
          <cell r="G182" t="str">
            <v>ENDOOS ENTERPRISES</v>
          </cell>
          <cell r="I182">
            <v>-10001.64</v>
          </cell>
          <cell r="J182">
            <v>0</v>
          </cell>
          <cell r="K182">
            <v>0</v>
          </cell>
          <cell r="L182">
            <v>-10001.64</v>
          </cell>
          <cell r="N182">
            <v>-10001.64</v>
          </cell>
          <cell r="O182">
            <v>12</v>
          </cell>
          <cell r="V182" t="str">
            <v>*</v>
          </cell>
          <cell r="X182" t="e">
            <v>#N/A</v>
          </cell>
        </row>
        <row r="183">
          <cell r="G183" t="str">
            <v>KARAN PHARMACUETICAL &amp; SURGICALS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N183" t="str">
            <v/>
          </cell>
          <cell r="O183">
            <v>12</v>
          </cell>
          <cell r="V183" t="str">
            <v>*</v>
          </cell>
          <cell r="X183" t="e">
            <v>#N/A</v>
          </cell>
        </row>
        <row r="184">
          <cell r="G184" t="str">
            <v>ALL INDIA INSTITUTE OF MEDICAL SCIENCS</v>
          </cell>
          <cell r="I184">
            <v>465700.51</v>
          </cell>
          <cell r="J184">
            <v>0</v>
          </cell>
          <cell r="K184">
            <v>0</v>
          </cell>
          <cell r="L184">
            <v>465700.51</v>
          </cell>
          <cell r="N184" t="str">
            <v/>
          </cell>
          <cell r="O184">
            <v>12</v>
          </cell>
          <cell r="V184" t="str">
            <v>*</v>
          </cell>
          <cell r="X184" t="e">
            <v>#N/A</v>
          </cell>
        </row>
        <row r="185">
          <cell r="G185" t="str">
            <v>JAISON TRADERS</v>
          </cell>
          <cell r="I185">
            <v>-228061.37</v>
          </cell>
          <cell r="J185">
            <v>512367.8</v>
          </cell>
          <cell r="K185">
            <v>284460</v>
          </cell>
          <cell r="L185">
            <v>-153.57</v>
          </cell>
          <cell r="N185">
            <v>-153.57</v>
          </cell>
          <cell r="O185">
            <v>12</v>
          </cell>
          <cell r="V185" t="str">
            <v>*</v>
          </cell>
          <cell r="X185" t="e">
            <v>#N/A</v>
          </cell>
        </row>
        <row r="186">
          <cell r="G186" t="str">
            <v>RAM MANOHAR LOHIYA HOSPITAL</v>
          </cell>
          <cell r="I186">
            <v>72450.509999999995</v>
          </cell>
          <cell r="J186">
            <v>0</v>
          </cell>
          <cell r="K186">
            <v>0</v>
          </cell>
          <cell r="L186">
            <v>107205.51</v>
          </cell>
          <cell r="N186" t="str">
            <v/>
          </cell>
          <cell r="O186">
            <v>12</v>
          </cell>
          <cell r="V186" t="str">
            <v>*</v>
          </cell>
          <cell r="X186" t="e">
            <v>#N/A</v>
          </cell>
        </row>
        <row r="187">
          <cell r="G187" t="str">
            <v>DHAWAN SURGICAL</v>
          </cell>
          <cell r="I187">
            <v>45736.98</v>
          </cell>
          <cell r="J187">
            <v>0</v>
          </cell>
          <cell r="K187">
            <v>16425</v>
          </cell>
          <cell r="L187">
            <v>29311.98</v>
          </cell>
          <cell r="N187" t="str">
            <v/>
          </cell>
          <cell r="O187">
            <v>12</v>
          </cell>
          <cell r="V187" t="str">
            <v>*</v>
          </cell>
          <cell r="X187" t="e">
            <v>#N/A</v>
          </cell>
        </row>
        <row r="188">
          <cell r="G188" t="str">
            <v>DIRECTORATE GENERAL MEDICAL SERVICES</v>
          </cell>
          <cell r="I188">
            <v>98388.800000000003</v>
          </cell>
          <cell r="J188">
            <v>0</v>
          </cell>
          <cell r="K188">
            <v>0</v>
          </cell>
          <cell r="L188">
            <v>98388.800000000003</v>
          </cell>
          <cell r="N188" t="str">
            <v/>
          </cell>
          <cell r="O188">
            <v>12</v>
          </cell>
          <cell r="V188" t="str">
            <v>*</v>
          </cell>
          <cell r="X188" t="e">
            <v>#N/A</v>
          </cell>
        </row>
        <row r="189">
          <cell r="G189" t="str">
            <v>GAUTAM HEALTH CARE</v>
          </cell>
          <cell r="I189">
            <v>299027.86</v>
          </cell>
          <cell r="J189">
            <v>0</v>
          </cell>
          <cell r="K189">
            <v>0</v>
          </cell>
          <cell r="L189">
            <v>299027.86</v>
          </cell>
          <cell r="N189" t="str">
            <v/>
          </cell>
          <cell r="O189">
            <v>12</v>
          </cell>
          <cell r="V189" t="str">
            <v>*</v>
          </cell>
          <cell r="X189" t="e">
            <v>#N/A</v>
          </cell>
        </row>
        <row r="190">
          <cell r="G190" t="str">
            <v>HEALTH AIDS (INDIA)</v>
          </cell>
          <cell r="I190">
            <v>-3778.56</v>
          </cell>
          <cell r="J190">
            <v>129859.2</v>
          </cell>
          <cell r="K190">
            <v>129859.2</v>
          </cell>
          <cell r="L190">
            <v>-3778.56</v>
          </cell>
          <cell r="N190">
            <v>-3778.56</v>
          </cell>
          <cell r="O190">
            <v>12</v>
          </cell>
          <cell r="V190" t="str">
            <v>*</v>
          </cell>
          <cell r="X190" t="e">
            <v>#N/A</v>
          </cell>
        </row>
        <row r="191">
          <cell r="G191" t="str">
            <v>JAIPUR GOLDEN HOSPITAL</v>
          </cell>
          <cell r="I191">
            <v>7515.22</v>
          </cell>
          <cell r="J191">
            <v>0</v>
          </cell>
          <cell r="K191">
            <v>0</v>
          </cell>
          <cell r="L191">
            <v>7515.22</v>
          </cell>
          <cell r="N191" t="str">
            <v/>
          </cell>
          <cell r="O191">
            <v>12</v>
          </cell>
          <cell r="V191" t="str">
            <v>*</v>
          </cell>
          <cell r="X191" t="e">
            <v>#N/A</v>
          </cell>
        </row>
        <row r="192">
          <cell r="G192" t="str">
            <v>MANOCHA ENTERPRISE</v>
          </cell>
          <cell r="I192">
            <v>-895.5</v>
          </cell>
          <cell r="J192">
            <v>0</v>
          </cell>
          <cell r="K192">
            <v>0</v>
          </cell>
          <cell r="L192">
            <v>-895.5</v>
          </cell>
          <cell r="N192">
            <v>-895.5</v>
          </cell>
          <cell r="O192">
            <v>12</v>
          </cell>
          <cell r="V192" t="str">
            <v>*</v>
          </cell>
          <cell r="X192" t="e">
            <v>#N/A</v>
          </cell>
        </row>
        <row r="193">
          <cell r="G193" t="str">
            <v>LADY HARDINGE MED COLLEGE</v>
          </cell>
          <cell r="I193">
            <v>661864</v>
          </cell>
          <cell r="J193">
            <v>0</v>
          </cell>
          <cell r="K193">
            <v>0</v>
          </cell>
          <cell r="L193">
            <v>661864</v>
          </cell>
          <cell r="N193" t="str">
            <v/>
          </cell>
          <cell r="O193">
            <v>12</v>
          </cell>
          <cell r="V193" t="str">
            <v>*</v>
          </cell>
          <cell r="X193" t="e">
            <v>#N/A</v>
          </cell>
        </row>
        <row r="194">
          <cell r="G194" t="str">
            <v>TIRATHRAM SHAH HOSPITAL</v>
          </cell>
          <cell r="I194">
            <v>341.01</v>
          </cell>
          <cell r="J194">
            <v>0</v>
          </cell>
          <cell r="K194">
            <v>0</v>
          </cell>
          <cell r="L194">
            <v>341.01</v>
          </cell>
          <cell r="N194" t="str">
            <v/>
          </cell>
          <cell r="O194">
            <v>12</v>
          </cell>
          <cell r="V194" t="str">
            <v>*</v>
          </cell>
          <cell r="X194" t="e">
            <v>#N/A</v>
          </cell>
        </row>
        <row r="195">
          <cell r="G195" t="str">
            <v>LIFE CARE SURGIMED</v>
          </cell>
          <cell r="I195">
            <v>-11329.95</v>
          </cell>
          <cell r="J195">
            <v>1017158.4</v>
          </cell>
          <cell r="K195">
            <v>1006000</v>
          </cell>
          <cell r="L195">
            <v>-171.55</v>
          </cell>
          <cell r="N195">
            <v>-171.55</v>
          </cell>
          <cell r="O195">
            <v>12</v>
          </cell>
          <cell r="V195" t="str">
            <v>*</v>
          </cell>
          <cell r="X195" t="e">
            <v>#N/A</v>
          </cell>
        </row>
        <row r="196">
          <cell r="G196" t="str">
            <v>LOKNAYAK HOSPITAL</v>
          </cell>
          <cell r="I196">
            <v>105640.75</v>
          </cell>
          <cell r="J196">
            <v>0</v>
          </cell>
          <cell r="K196">
            <v>0</v>
          </cell>
          <cell r="L196">
            <v>70885.75</v>
          </cell>
          <cell r="N196" t="str">
            <v/>
          </cell>
          <cell r="O196">
            <v>12</v>
          </cell>
          <cell r="V196" t="str">
            <v>*</v>
          </cell>
          <cell r="X196" t="e">
            <v>#N/A</v>
          </cell>
        </row>
        <row r="197">
          <cell r="G197" t="str">
            <v>MATA CHANAN DEVI HOSPITAL</v>
          </cell>
          <cell r="I197">
            <v>436677.91</v>
          </cell>
          <cell r="J197">
            <v>0</v>
          </cell>
          <cell r="K197">
            <v>51340</v>
          </cell>
          <cell r="L197">
            <v>385337.91</v>
          </cell>
          <cell r="N197" t="str">
            <v/>
          </cell>
          <cell r="O197">
            <v>12</v>
          </cell>
          <cell r="V197" t="str">
            <v>*</v>
          </cell>
          <cell r="X197" t="e">
            <v>#N/A</v>
          </cell>
        </row>
        <row r="198">
          <cell r="G198" t="str">
            <v>MAHARAJA AGRASAIN HOSPITAL</v>
          </cell>
          <cell r="I198">
            <v>48221.88</v>
          </cell>
          <cell r="J198">
            <v>8662.5</v>
          </cell>
          <cell r="K198">
            <v>0</v>
          </cell>
          <cell r="L198">
            <v>56884.38</v>
          </cell>
          <cell r="N198" t="str">
            <v/>
          </cell>
          <cell r="O198">
            <v>12</v>
          </cell>
          <cell r="V198" t="str">
            <v>*</v>
          </cell>
          <cell r="X198" t="e">
            <v>#N/A</v>
          </cell>
        </row>
        <row r="199">
          <cell r="G199" t="str">
            <v>BASE HOSPITAL</v>
          </cell>
          <cell r="I199">
            <v>-0.04</v>
          </cell>
          <cell r="J199">
            <v>0</v>
          </cell>
          <cell r="K199">
            <v>0</v>
          </cell>
          <cell r="L199">
            <v>-0.04</v>
          </cell>
          <cell r="N199">
            <v>-0.04</v>
          </cell>
          <cell r="O199">
            <v>12</v>
          </cell>
          <cell r="V199" t="str">
            <v>*</v>
          </cell>
          <cell r="X199" t="e">
            <v>#N/A</v>
          </cell>
        </row>
        <row r="200">
          <cell r="G200" t="str">
            <v>R.K. ENTERPRISES</v>
          </cell>
          <cell r="I200">
            <v>-6017.11</v>
          </cell>
          <cell r="J200">
            <v>0</v>
          </cell>
          <cell r="K200">
            <v>0</v>
          </cell>
          <cell r="L200">
            <v>-6017.11</v>
          </cell>
          <cell r="N200">
            <v>-6017.11</v>
          </cell>
          <cell r="O200">
            <v>12</v>
          </cell>
          <cell r="V200" t="str">
            <v>*</v>
          </cell>
          <cell r="X200" t="e">
            <v>#N/A</v>
          </cell>
        </row>
        <row r="201">
          <cell r="G201" t="str">
            <v>MYOVATEC SURGI. SYST.</v>
          </cell>
          <cell r="I201">
            <v>1950489</v>
          </cell>
          <cell r="J201">
            <v>0</v>
          </cell>
          <cell r="K201">
            <v>0</v>
          </cell>
          <cell r="L201">
            <v>1950489</v>
          </cell>
          <cell r="N201" t="str">
            <v/>
          </cell>
          <cell r="O201">
            <v>12</v>
          </cell>
          <cell r="V201" t="str">
            <v>*</v>
          </cell>
          <cell r="X201" t="e">
            <v>#N/A</v>
          </cell>
        </row>
        <row r="202">
          <cell r="G202" t="str">
            <v>OVERSEAS ASSOCIATES</v>
          </cell>
          <cell r="I202">
            <v>-15522.23</v>
          </cell>
          <cell r="J202">
            <v>155172.79</v>
          </cell>
          <cell r="K202">
            <v>155172.79</v>
          </cell>
          <cell r="L202">
            <v>-15522.23</v>
          </cell>
          <cell r="N202">
            <v>-15522.23</v>
          </cell>
          <cell r="O202">
            <v>12</v>
          </cell>
          <cell r="V202" t="str">
            <v>*</v>
          </cell>
          <cell r="X202" t="e">
            <v>#N/A</v>
          </cell>
        </row>
        <row r="203">
          <cell r="G203" t="str">
            <v>RAJIV GANDHI CANCER INST.&amp; RESH. CEN.</v>
          </cell>
          <cell r="I203">
            <v>-222.15</v>
          </cell>
          <cell r="J203">
            <v>0</v>
          </cell>
          <cell r="K203">
            <v>0</v>
          </cell>
          <cell r="L203">
            <v>-222.15</v>
          </cell>
          <cell r="N203">
            <v>-222.15</v>
          </cell>
          <cell r="O203">
            <v>12</v>
          </cell>
          <cell r="V203" t="str">
            <v>*</v>
          </cell>
          <cell r="X203" t="e">
            <v>#N/A</v>
          </cell>
        </row>
        <row r="204">
          <cell r="G204" t="str">
            <v>RAJENDRA MEDICOS</v>
          </cell>
          <cell r="I204">
            <v>10759.39</v>
          </cell>
          <cell r="J204">
            <v>0</v>
          </cell>
          <cell r="K204">
            <v>0</v>
          </cell>
          <cell r="L204">
            <v>10759.39</v>
          </cell>
          <cell r="N204" t="str">
            <v/>
          </cell>
          <cell r="O204">
            <v>12</v>
          </cell>
          <cell r="V204" t="str">
            <v>*</v>
          </cell>
          <cell r="X204" t="e">
            <v>#N/A</v>
          </cell>
        </row>
        <row r="205">
          <cell r="G205" t="str">
            <v>S.V. &amp; CO</v>
          </cell>
          <cell r="I205">
            <v>-2010</v>
          </cell>
          <cell r="J205">
            <v>0</v>
          </cell>
          <cell r="K205">
            <v>0</v>
          </cell>
          <cell r="L205">
            <v>-2010</v>
          </cell>
          <cell r="N205">
            <v>-2010</v>
          </cell>
          <cell r="O205">
            <v>12</v>
          </cell>
          <cell r="V205" t="str">
            <v>*</v>
          </cell>
          <cell r="X205" t="e">
            <v>#N/A</v>
          </cell>
        </row>
        <row r="206">
          <cell r="G206" t="str">
            <v>R.S. HOSPITAL SERVICES</v>
          </cell>
          <cell r="I206">
            <v>-409.5</v>
          </cell>
          <cell r="J206">
            <v>0</v>
          </cell>
          <cell r="K206">
            <v>0</v>
          </cell>
          <cell r="L206">
            <v>-409.5</v>
          </cell>
          <cell r="N206">
            <v>-409.5</v>
          </cell>
          <cell r="O206">
            <v>12</v>
          </cell>
          <cell r="V206" t="str">
            <v>*</v>
          </cell>
          <cell r="X206" t="e">
            <v>#N/A</v>
          </cell>
        </row>
        <row r="207">
          <cell r="G207" t="str">
            <v>SHIKHA MEDICOS</v>
          </cell>
          <cell r="I207">
            <v>70375.72</v>
          </cell>
          <cell r="J207">
            <v>0</v>
          </cell>
          <cell r="K207">
            <v>0</v>
          </cell>
          <cell r="L207">
            <v>70375.72</v>
          </cell>
          <cell r="N207" t="str">
            <v/>
          </cell>
          <cell r="O207">
            <v>12</v>
          </cell>
          <cell r="V207" t="str">
            <v>*</v>
          </cell>
          <cell r="X207" t="e">
            <v>#N/A</v>
          </cell>
        </row>
        <row r="208">
          <cell r="G208" t="str">
            <v>SHIEKHA PHARMA PVT LTD.</v>
          </cell>
          <cell r="I208">
            <v>91380.11</v>
          </cell>
          <cell r="J208">
            <v>0</v>
          </cell>
          <cell r="K208">
            <v>0</v>
          </cell>
          <cell r="L208">
            <v>91380.11</v>
          </cell>
          <cell r="N208" t="str">
            <v/>
          </cell>
          <cell r="O208">
            <v>12</v>
          </cell>
          <cell r="V208" t="str">
            <v>*</v>
          </cell>
          <cell r="X208" t="e">
            <v>#N/A</v>
          </cell>
        </row>
        <row r="209">
          <cell r="G209" t="str">
            <v>WIPRO BIOMED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N209" t="str">
            <v/>
          </cell>
          <cell r="O209">
            <v>12</v>
          </cell>
          <cell r="V209" t="str">
            <v>*</v>
          </cell>
          <cell r="X209" t="e">
            <v>#N/A</v>
          </cell>
        </row>
        <row r="210">
          <cell r="G210" t="str">
            <v>AHUJA MEIDIWAYS</v>
          </cell>
          <cell r="I210">
            <v>-706</v>
          </cell>
          <cell r="J210">
            <v>0</v>
          </cell>
          <cell r="K210">
            <v>0</v>
          </cell>
          <cell r="L210">
            <v>-706</v>
          </cell>
          <cell r="N210">
            <v>-706</v>
          </cell>
          <cell r="O210">
            <v>12</v>
          </cell>
          <cell r="V210" t="str">
            <v>*</v>
          </cell>
          <cell r="X210" t="e">
            <v>#N/A</v>
          </cell>
        </row>
        <row r="211">
          <cell r="G211" t="str">
            <v>AMERICAN HOSPITAL SERVICES</v>
          </cell>
          <cell r="I211">
            <v>6105.55</v>
          </cell>
          <cell r="J211">
            <v>0</v>
          </cell>
          <cell r="K211">
            <v>0</v>
          </cell>
          <cell r="L211">
            <v>6105.55</v>
          </cell>
          <cell r="N211" t="str">
            <v/>
          </cell>
          <cell r="O211">
            <v>12</v>
          </cell>
          <cell r="V211" t="str">
            <v>*</v>
          </cell>
          <cell r="X211" t="e">
            <v>#N/A</v>
          </cell>
        </row>
        <row r="212">
          <cell r="G212" t="str">
            <v>A.S.ENTERPRISES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N212" t="str">
            <v/>
          </cell>
          <cell r="O212">
            <v>12</v>
          </cell>
          <cell r="V212" t="str">
            <v>*</v>
          </cell>
          <cell r="X212" t="e">
            <v>#N/A</v>
          </cell>
        </row>
        <row r="213">
          <cell r="G213" t="str">
            <v>MATSON SURGICAL</v>
          </cell>
          <cell r="I213">
            <v>92185.279999999999</v>
          </cell>
          <cell r="J213">
            <v>197802</v>
          </cell>
          <cell r="K213">
            <v>197802</v>
          </cell>
          <cell r="L213">
            <v>92185.279999999999</v>
          </cell>
          <cell r="N213" t="str">
            <v/>
          </cell>
          <cell r="O213">
            <v>12</v>
          </cell>
          <cell r="V213" t="str">
            <v>*</v>
          </cell>
          <cell r="X213" t="e">
            <v>#N/A</v>
          </cell>
        </row>
        <row r="214">
          <cell r="G214" t="str">
            <v>RUSTAGI SURGICAL PRIVATE LIMITED</v>
          </cell>
          <cell r="I214">
            <v>2974.5</v>
          </cell>
          <cell r="J214">
            <v>0</v>
          </cell>
          <cell r="K214">
            <v>0</v>
          </cell>
          <cell r="L214">
            <v>2974.5</v>
          </cell>
          <cell r="N214" t="str">
            <v/>
          </cell>
          <cell r="O214">
            <v>12</v>
          </cell>
          <cell r="V214" t="str">
            <v>*</v>
          </cell>
          <cell r="X214" t="e">
            <v>#N/A</v>
          </cell>
        </row>
        <row r="215">
          <cell r="G215" t="str">
            <v>UNIQUE MARKETING SERVICE</v>
          </cell>
          <cell r="I215">
            <v>49990</v>
          </cell>
          <cell r="J215">
            <v>0</v>
          </cell>
          <cell r="K215">
            <v>0</v>
          </cell>
          <cell r="L215">
            <v>49990</v>
          </cell>
          <cell r="N215" t="str">
            <v/>
          </cell>
          <cell r="O215">
            <v>12</v>
          </cell>
          <cell r="V215" t="str">
            <v>*</v>
          </cell>
          <cell r="X215" t="e">
            <v>#N/A</v>
          </cell>
        </row>
        <row r="216">
          <cell r="G216" t="str">
            <v>KRISHNA SURGICAL</v>
          </cell>
          <cell r="I216">
            <v>-397668.43</v>
          </cell>
          <cell r="J216">
            <v>2096710.6</v>
          </cell>
          <cell r="K216">
            <v>1651783</v>
          </cell>
          <cell r="L216">
            <v>47259.17</v>
          </cell>
          <cell r="N216" t="str">
            <v/>
          </cell>
          <cell r="O216">
            <v>12</v>
          </cell>
          <cell r="V216" t="str">
            <v>*</v>
          </cell>
          <cell r="X216" t="e">
            <v>#N/A</v>
          </cell>
        </row>
        <row r="217">
          <cell r="G217" t="str">
            <v>ASHOK SURGICAL CO.</v>
          </cell>
          <cell r="I217">
            <v>182084.39</v>
          </cell>
          <cell r="J217">
            <v>0</v>
          </cell>
          <cell r="K217">
            <v>0</v>
          </cell>
          <cell r="L217">
            <v>182084.39</v>
          </cell>
          <cell r="N217" t="str">
            <v/>
          </cell>
          <cell r="O217">
            <v>12</v>
          </cell>
          <cell r="V217" t="str">
            <v>*</v>
          </cell>
          <cell r="X217" t="e">
            <v>#N/A</v>
          </cell>
        </row>
        <row r="218">
          <cell r="G218" t="str">
            <v>ASTHA ENTERPRISES</v>
          </cell>
          <cell r="I218">
            <v>4800</v>
          </cell>
          <cell r="J218">
            <v>0</v>
          </cell>
          <cell r="K218">
            <v>0</v>
          </cell>
          <cell r="L218">
            <v>4800</v>
          </cell>
          <cell r="N218" t="str">
            <v/>
          </cell>
          <cell r="O218">
            <v>12</v>
          </cell>
          <cell r="V218" t="str">
            <v>*</v>
          </cell>
          <cell r="X218" t="e">
            <v>#N/A</v>
          </cell>
        </row>
        <row r="219">
          <cell r="G219" t="str">
            <v>BEE DEE BLADES PRIVATE LIMITED</v>
          </cell>
          <cell r="I219">
            <v>144337.5</v>
          </cell>
          <cell r="J219">
            <v>0</v>
          </cell>
          <cell r="K219">
            <v>0</v>
          </cell>
          <cell r="L219">
            <v>144337.5</v>
          </cell>
          <cell r="N219" t="str">
            <v/>
          </cell>
          <cell r="O219">
            <v>12</v>
          </cell>
          <cell r="V219" t="str">
            <v>*</v>
          </cell>
          <cell r="X219" t="e">
            <v>#N/A</v>
          </cell>
        </row>
        <row r="220">
          <cell r="G220" t="str">
            <v>AROMA SURGICAL HOUSE</v>
          </cell>
          <cell r="I220">
            <v>-1125.4000000000001</v>
          </cell>
          <cell r="J220">
            <v>0</v>
          </cell>
          <cell r="K220">
            <v>0</v>
          </cell>
          <cell r="L220">
            <v>-1125.4000000000001</v>
          </cell>
          <cell r="N220">
            <v>-1125.4000000000001</v>
          </cell>
          <cell r="O220">
            <v>12</v>
          </cell>
          <cell r="V220" t="str">
            <v>*</v>
          </cell>
          <cell r="X220" t="e">
            <v>#N/A</v>
          </cell>
        </row>
        <row r="221">
          <cell r="G221" t="str">
            <v>CENTRAL SURGICAL COMPANY</v>
          </cell>
          <cell r="I221">
            <v>-0.78</v>
          </cell>
          <cell r="J221">
            <v>0</v>
          </cell>
          <cell r="K221">
            <v>0</v>
          </cell>
          <cell r="L221">
            <v>-0.78</v>
          </cell>
          <cell r="N221">
            <v>-0.78</v>
          </cell>
          <cell r="O221">
            <v>12</v>
          </cell>
          <cell r="V221" t="str">
            <v>*</v>
          </cell>
          <cell r="X221" t="e">
            <v>#N/A</v>
          </cell>
        </row>
        <row r="222">
          <cell r="G222" t="str">
            <v>ANIL SURGICAL</v>
          </cell>
          <cell r="I222">
            <v>6224</v>
          </cell>
          <cell r="J222">
            <v>0</v>
          </cell>
          <cell r="K222">
            <v>0</v>
          </cell>
          <cell r="L222">
            <v>6224</v>
          </cell>
          <cell r="N222" t="str">
            <v/>
          </cell>
          <cell r="O222">
            <v>12</v>
          </cell>
          <cell r="V222" t="str">
            <v>*</v>
          </cell>
          <cell r="X222" t="e">
            <v>#N/A</v>
          </cell>
        </row>
        <row r="223">
          <cell r="G223" t="str">
            <v>THE MEDICAL DIRECTOR (KHOSLA HOSPITAL)</v>
          </cell>
          <cell r="I223">
            <v>-19448</v>
          </cell>
          <cell r="J223">
            <v>0</v>
          </cell>
          <cell r="K223">
            <v>0</v>
          </cell>
          <cell r="L223">
            <v>-19448</v>
          </cell>
          <cell r="N223">
            <v>-19448</v>
          </cell>
          <cell r="O223">
            <v>12</v>
          </cell>
          <cell r="V223" t="str">
            <v>*</v>
          </cell>
          <cell r="X223" t="e">
            <v>#N/A</v>
          </cell>
        </row>
        <row r="224">
          <cell r="G224" t="str">
            <v>INDRAPRASTHA MEDICAL CORPORATION LTD.</v>
          </cell>
          <cell r="I224">
            <v>0.5</v>
          </cell>
          <cell r="J224">
            <v>0</v>
          </cell>
          <cell r="K224">
            <v>0</v>
          </cell>
          <cell r="L224">
            <v>0.5</v>
          </cell>
          <cell r="N224" t="str">
            <v/>
          </cell>
          <cell r="O224">
            <v>12</v>
          </cell>
          <cell r="V224" t="str">
            <v>*</v>
          </cell>
          <cell r="X224" t="e">
            <v>#N/A</v>
          </cell>
        </row>
        <row r="225">
          <cell r="G225" t="str">
            <v>BHAVNA ENTERPRISES</v>
          </cell>
          <cell r="I225">
            <v>17827.599999999999</v>
          </cell>
          <cell r="J225">
            <v>0</v>
          </cell>
          <cell r="K225">
            <v>0</v>
          </cell>
          <cell r="L225">
            <v>17827.599999999999</v>
          </cell>
          <cell r="N225" t="str">
            <v/>
          </cell>
          <cell r="O225">
            <v>12</v>
          </cell>
          <cell r="V225" t="str">
            <v>*</v>
          </cell>
          <cell r="X225" t="e">
            <v>#N/A</v>
          </cell>
        </row>
        <row r="226">
          <cell r="G226" t="str">
            <v>CURIOUS PHARMA</v>
          </cell>
          <cell r="I226">
            <v>83138.05</v>
          </cell>
          <cell r="J226">
            <v>0</v>
          </cell>
          <cell r="K226">
            <v>0</v>
          </cell>
          <cell r="L226">
            <v>83138.05</v>
          </cell>
          <cell r="N226" t="str">
            <v/>
          </cell>
          <cell r="O226">
            <v>12</v>
          </cell>
          <cell r="V226" t="str">
            <v>*</v>
          </cell>
          <cell r="X226" t="e">
            <v>#N/A</v>
          </cell>
        </row>
        <row r="227">
          <cell r="G227" t="str">
            <v>G B PANT HOSPITAL</v>
          </cell>
          <cell r="I227">
            <v>165241.45000000001</v>
          </cell>
          <cell r="J227">
            <v>0</v>
          </cell>
          <cell r="K227">
            <v>0</v>
          </cell>
          <cell r="L227">
            <v>165241.45000000001</v>
          </cell>
          <cell r="N227" t="str">
            <v/>
          </cell>
          <cell r="O227">
            <v>12</v>
          </cell>
          <cell r="V227" t="str">
            <v>*</v>
          </cell>
          <cell r="X227" t="e">
            <v>#N/A</v>
          </cell>
        </row>
        <row r="228">
          <cell r="G228" t="str">
            <v>MEDICAL SUPERINTENDENT SAFDARJUNG HP</v>
          </cell>
          <cell r="I228">
            <v>918.51</v>
          </cell>
          <cell r="J228">
            <v>0</v>
          </cell>
          <cell r="K228">
            <v>0</v>
          </cell>
          <cell r="L228">
            <v>918.51</v>
          </cell>
          <cell r="N228" t="str">
            <v/>
          </cell>
          <cell r="O228">
            <v>12</v>
          </cell>
          <cell r="V228" t="str">
            <v>*</v>
          </cell>
          <cell r="X228" t="e">
            <v>#N/A</v>
          </cell>
        </row>
        <row r="229">
          <cell r="G229" t="str">
            <v>HOSPETEC</v>
          </cell>
          <cell r="I229">
            <v>159257.5</v>
          </cell>
          <cell r="J229">
            <v>0</v>
          </cell>
          <cell r="K229">
            <v>0</v>
          </cell>
          <cell r="L229">
            <v>159257.5</v>
          </cell>
          <cell r="N229" t="str">
            <v/>
          </cell>
          <cell r="O229">
            <v>12</v>
          </cell>
          <cell r="V229" t="str">
            <v>*</v>
          </cell>
          <cell r="X229" t="e">
            <v>#N/A</v>
          </cell>
        </row>
        <row r="230">
          <cell r="G230" t="str">
            <v>INTRA MEDICA EXIM P LTD</v>
          </cell>
          <cell r="I230">
            <v>-456</v>
          </cell>
          <cell r="J230">
            <v>105840</v>
          </cell>
          <cell r="K230">
            <v>105840</v>
          </cell>
          <cell r="L230">
            <v>-456</v>
          </cell>
          <cell r="N230">
            <v>-456</v>
          </cell>
          <cell r="O230">
            <v>12</v>
          </cell>
          <cell r="V230" t="str">
            <v>*</v>
          </cell>
          <cell r="X230" t="e">
            <v>#N/A</v>
          </cell>
        </row>
        <row r="231">
          <cell r="G231" t="str">
            <v>DEEN DAYAL UPADHYAYE HOSPITAL</v>
          </cell>
          <cell r="I231">
            <v>193620.11</v>
          </cell>
          <cell r="J231">
            <v>0</v>
          </cell>
          <cell r="K231">
            <v>0</v>
          </cell>
          <cell r="L231">
            <v>193620.11</v>
          </cell>
          <cell r="N231" t="str">
            <v/>
          </cell>
          <cell r="O231">
            <v>12</v>
          </cell>
          <cell r="V231" t="str">
            <v>*</v>
          </cell>
          <cell r="X231" t="e">
            <v>#N/A</v>
          </cell>
        </row>
        <row r="232">
          <cell r="G232" t="str">
            <v>MANVI IMPEX</v>
          </cell>
          <cell r="I232">
            <v>-11873.62</v>
          </cell>
          <cell r="J232">
            <v>0</v>
          </cell>
          <cell r="K232">
            <v>0</v>
          </cell>
          <cell r="L232">
            <v>-11873.62</v>
          </cell>
          <cell r="N232">
            <v>-11873.62</v>
          </cell>
          <cell r="O232">
            <v>12</v>
          </cell>
          <cell r="V232" t="str">
            <v>*</v>
          </cell>
          <cell r="X232" t="e">
            <v>#N/A</v>
          </cell>
        </row>
        <row r="233">
          <cell r="G233" t="str">
            <v>MEDIHOME</v>
          </cell>
          <cell r="I233">
            <v>1790179.83</v>
          </cell>
          <cell r="J233">
            <v>0</v>
          </cell>
          <cell r="K233">
            <v>0</v>
          </cell>
          <cell r="L233">
            <v>1790179.83</v>
          </cell>
          <cell r="N233" t="str">
            <v/>
          </cell>
          <cell r="O233">
            <v>12</v>
          </cell>
          <cell r="V233" t="str">
            <v>*</v>
          </cell>
          <cell r="X233" t="e">
            <v>#N/A</v>
          </cell>
        </row>
        <row r="234">
          <cell r="G234" t="str">
            <v>MEDILINE SYSTEMS</v>
          </cell>
          <cell r="I234">
            <v>116709.65</v>
          </cell>
          <cell r="J234">
            <v>0</v>
          </cell>
          <cell r="K234">
            <v>0</v>
          </cell>
          <cell r="L234">
            <v>116709.65</v>
          </cell>
          <cell r="N234" t="str">
            <v/>
          </cell>
          <cell r="O234">
            <v>12</v>
          </cell>
          <cell r="V234" t="str">
            <v>*</v>
          </cell>
          <cell r="X234" t="e">
            <v>#N/A</v>
          </cell>
        </row>
        <row r="235">
          <cell r="G235" t="str">
            <v>PROGRESSIVE PHARMA</v>
          </cell>
          <cell r="I235">
            <v>46960.08</v>
          </cell>
          <cell r="J235">
            <v>0</v>
          </cell>
          <cell r="K235">
            <v>0</v>
          </cell>
          <cell r="L235">
            <v>46960.08</v>
          </cell>
          <cell r="N235" t="str">
            <v/>
          </cell>
          <cell r="O235">
            <v>12</v>
          </cell>
          <cell r="V235" t="str">
            <v>*</v>
          </cell>
          <cell r="X235" t="e">
            <v>#N/A</v>
          </cell>
        </row>
        <row r="236">
          <cell r="G236" t="str">
            <v>REGISAR SONS</v>
          </cell>
          <cell r="I236">
            <v>-15.32</v>
          </cell>
          <cell r="J236">
            <v>0</v>
          </cell>
          <cell r="K236">
            <v>0</v>
          </cell>
          <cell r="L236">
            <v>-15.32</v>
          </cell>
          <cell r="N236">
            <v>-15.32</v>
          </cell>
          <cell r="O236">
            <v>12</v>
          </cell>
          <cell r="V236" t="str">
            <v>*</v>
          </cell>
          <cell r="X236" t="e">
            <v>#N/A</v>
          </cell>
        </row>
        <row r="237">
          <cell r="G237" t="str">
            <v>CURE AIDS (INDIA)</v>
          </cell>
          <cell r="I237">
            <v>-3799</v>
          </cell>
          <cell r="J237">
            <v>0</v>
          </cell>
          <cell r="K237">
            <v>0</v>
          </cell>
          <cell r="L237">
            <v>-3799</v>
          </cell>
          <cell r="N237">
            <v>-3799</v>
          </cell>
          <cell r="O237">
            <v>12</v>
          </cell>
          <cell r="V237" t="str">
            <v>*</v>
          </cell>
          <cell r="X237" t="e">
            <v>#N/A</v>
          </cell>
        </row>
        <row r="238">
          <cell r="G238" t="str">
            <v>TRITON MEDICAL SERVICES PVT LTD</v>
          </cell>
          <cell r="I238">
            <v>-1817.6</v>
          </cell>
          <cell r="J238">
            <v>0</v>
          </cell>
          <cell r="K238">
            <v>0</v>
          </cell>
          <cell r="L238">
            <v>-1817.6</v>
          </cell>
          <cell r="N238">
            <v>-1817.6</v>
          </cell>
          <cell r="O238">
            <v>12</v>
          </cell>
          <cell r="V238" t="str">
            <v>*</v>
          </cell>
          <cell r="X238" t="e">
            <v>#N/A</v>
          </cell>
        </row>
        <row r="239">
          <cell r="G239" t="str">
            <v>UNITED PHARMACEUTICALS   NEW DELHI</v>
          </cell>
          <cell r="I239">
            <v>-19471.400000000001</v>
          </cell>
          <cell r="J239">
            <v>19000</v>
          </cell>
          <cell r="K239">
            <v>0</v>
          </cell>
          <cell r="L239">
            <v>-471.4</v>
          </cell>
          <cell r="N239">
            <v>-471.4</v>
          </cell>
          <cell r="O239">
            <v>12</v>
          </cell>
          <cell r="V239" t="str">
            <v>*</v>
          </cell>
          <cell r="X239" t="e">
            <v>#N/A</v>
          </cell>
        </row>
        <row r="240">
          <cell r="G240" t="str">
            <v>ETHICAL SURGICALS</v>
          </cell>
          <cell r="I240">
            <v>166650</v>
          </cell>
          <cell r="J240">
            <v>0</v>
          </cell>
          <cell r="K240">
            <v>0</v>
          </cell>
          <cell r="L240">
            <v>166650</v>
          </cell>
          <cell r="N240" t="str">
            <v/>
          </cell>
          <cell r="O240">
            <v>12</v>
          </cell>
          <cell r="V240" t="str">
            <v>*</v>
          </cell>
          <cell r="X240" t="e">
            <v>#N/A</v>
          </cell>
        </row>
        <row r="241">
          <cell r="G241" t="str">
            <v>PINE PHARMA PRIVATE LIMITED</v>
          </cell>
          <cell r="I241">
            <v>-797.26</v>
          </cell>
          <cell r="J241">
            <v>0</v>
          </cell>
          <cell r="K241">
            <v>0</v>
          </cell>
          <cell r="L241">
            <v>-797.26</v>
          </cell>
          <cell r="N241">
            <v>-797.26</v>
          </cell>
          <cell r="O241">
            <v>12</v>
          </cell>
          <cell r="V241" t="str">
            <v>*</v>
          </cell>
          <cell r="X241" t="e">
            <v>#N/A</v>
          </cell>
        </row>
        <row r="242">
          <cell r="G242" t="str">
            <v>SHUBH SURGICALS AND PHARMACEUTICALS</v>
          </cell>
          <cell r="I242">
            <v>40113.21</v>
          </cell>
          <cell r="J242">
            <v>0</v>
          </cell>
          <cell r="K242">
            <v>0</v>
          </cell>
          <cell r="L242">
            <v>40113.21</v>
          </cell>
          <cell r="N242" t="str">
            <v/>
          </cell>
          <cell r="O242">
            <v>12</v>
          </cell>
          <cell r="V242" t="str">
            <v>*</v>
          </cell>
          <cell r="X242" t="e">
            <v>#N/A</v>
          </cell>
        </row>
        <row r="243">
          <cell r="G243" t="str">
            <v>SONIC SURGICALS</v>
          </cell>
          <cell r="I243">
            <v>100870</v>
          </cell>
          <cell r="J243">
            <v>0</v>
          </cell>
          <cell r="K243">
            <v>0</v>
          </cell>
          <cell r="L243">
            <v>100870</v>
          </cell>
          <cell r="N243" t="str">
            <v/>
          </cell>
          <cell r="O243">
            <v>12</v>
          </cell>
          <cell r="V243" t="str">
            <v>*</v>
          </cell>
          <cell r="X243" t="e">
            <v>#N/A</v>
          </cell>
        </row>
        <row r="244">
          <cell r="G244" t="str">
            <v>SIR GANGARAM HOSPITAL</v>
          </cell>
          <cell r="I244">
            <v>266632.38</v>
          </cell>
          <cell r="J244">
            <v>0</v>
          </cell>
          <cell r="K244">
            <v>0</v>
          </cell>
          <cell r="L244">
            <v>266632.38</v>
          </cell>
          <cell r="N244" t="str">
            <v/>
          </cell>
          <cell r="O244">
            <v>12</v>
          </cell>
          <cell r="V244" t="str">
            <v>*</v>
          </cell>
          <cell r="X244" t="e">
            <v>#N/A</v>
          </cell>
        </row>
        <row r="245">
          <cell r="G245" t="str">
            <v>KRISHNA ENTERPRISES</v>
          </cell>
          <cell r="I245">
            <v>0</v>
          </cell>
          <cell r="J245">
            <v>90000</v>
          </cell>
          <cell r="K245">
            <v>90000</v>
          </cell>
          <cell r="L245">
            <v>0</v>
          </cell>
          <cell r="N245" t="str">
            <v/>
          </cell>
          <cell r="O245">
            <v>12</v>
          </cell>
          <cell r="V245" t="str">
            <v>*</v>
          </cell>
          <cell r="X245" t="e">
            <v>#N/A</v>
          </cell>
        </row>
        <row r="246">
          <cell r="G246" t="str">
            <v>PROXIMA MEDICARE</v>
          </cell>
          <cell r="I246">
            <v>-58.76</v>
          </cell>
          <cell r="J246">
            <v>538369.19999999995</v>
          </cell>
          <cell r="K246">
            <v>538527</v>
          </cell>
          <cell r="L246">
            <v>-216.56</v>
          </cell>
          <cell r="N246">
            <v>-216.56</v>
          </cell>
          <cell r="O246">
            <v>12</v>
          </cell>
          <cell r="V246" t="str">
            <v>*</v>
          </cell>
          <cell r="X246" t="e">
            <v>#N/A</v>
          </cell>
        </row>
        <row r="247">
          <cell r="G247" t="str">
            <v>LIFE LINE SURGICAL CORPORATION</v>
          </cell>
          <cell r="I247">
            <v>2200</v>
          </cell>
          <cell r="J247">
            <v>51562</v>
          </cell>
          <cell r="K247">
            <v>51562</v>
          </cell>
          <cell r="L247">
            <v>2200</v>
          </cell>
          <cell r="N247" t="str">
            <v/>
          </cell>
          <cell r="O247">
            <v>12</v>
          </cell>
          <cell r="V247" t="str">
            <v>*</v>
          </cell>
          <cell r="X247" t="e">
            <v>#N/A</v>
          </cell>
        </row>
        <row r="248">
          <cell r="G248" t="str">
            <v>RUBY TRADER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N248" t="str">
            <v/>
          </cell>
          <cell r="O248">
            <v>12</v>
          </cell>
          <cell r="V248" t="str">
            <v>*</v>
          </cell>
          <cell r="X248" t="e">
            <v>#N/A</v>
          </cell>
        </row>
        <row r="249">
          <cell r="G249" t="str">
            <v>DIRECTOR GENERAL OF SIGNALS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N249" t="str">
            <v/>
          </cell>
          <cell r="O249">
            <v>12</v>
          </cell>
          <cell r="V249" t="str">
            <v>*</v>
          </cell>
          <cell r="X249" t="e">
            <v>#N/A</v>
          </cell>
        </row>
        <row r="250">
          <cell r="G250" t="str">
            <v>B.L. MARKETING SERVICES LIMITED</v>
          </cell>
          <cell r="I250">
            <v>0</v>
          </cell>
          <cell r="J250">
            <v>46250</v>
          </cell>
          <cell r="K250">
            <v>46250</v>
          </cell>
          <cell r="L250">
            <v>0</v>
          </cell>
          <cell r="N250" t="str">
            <v/>
          </cell>
          <cell r="O250">
            <v>12</v>
          </cell>
          <cell r="V250" t="str">
            <v>*</v>
          </cell>
          <cell r="X250" t="e">
            <v>#N/A</v>
          </cell>
        </row>
        <row r="251">
          <cell r="G251" t="str">
            <v>INDIAN SURGICALS EQUIPMENT CO. PVT. LTD.</v>
          </cell>
          <cell r="I251">
            <v>-3.4</v>
          </cell>
          <cell r="J251">
            <v>0</v>
          </cell>
          <cell r="K251">
            <v>0</v>
          </cell>
          <cell r="L251">
            <v>-3.4</v>
          </cell>
          <cell r="N251">
            <v>-3.4</v>
          </cell>
          <cell r="O251">
            <v>12</v>
          </cell>
          <cell r="V251" t="str">
            <v>*</v>
          </cell>
          <cell r="X251" t="e">
            <v>#N/A</v>
          </cell>
        </row>
        <row r="252">
          <cell r="G252" t="str">
            <v>NITTIN PHARMA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N252" t="str">
            <v/>
          </cell>
          <cell r="O252">
            <v>12</v>
          </cell>
          <cell r="V252" t="str">
            <v>*</v>
          </cell>
          <cell r="X252" t="e">
            <v>#N/A</v>
          </cell>
        </row>
        <row r="253">
          <cell r="G253" t="str">
            <v>AHUJA SURICALS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N253" t="str">
            <v/>
          </cell>
          <cell r="O253">
            <v>12</v>
          </cell>
          <cell r="V253" t="str">
            <v>*</v>
          </cell>
          <cell r="X253" t="e">
            <v>#N/A</v>
          </cell>
        </row>
        <row r="254">
          <cell r="G254" t="str">
            <v>MR. SAWARANJEET SINGH</v>
          </cell>
          <cell r="I254">
            <v>-15.99</v>
          </cell>
          <cell r="J254">
            <v>0</v>
          </cell>
          <cell r="K254">
            <v>0</v>
          </cell>
          <cell r="L254">
            <v>-15.99</v>
          </cell>
          <cell r="N254">
            <v>-15.99</v>
          </cell>
          <cell r="O254">
            <v>12</v>
          </cell>
          <cell r="V254" t="str">
            <v>*</v>
          </cell>
          <cell r="X254" t="e">
            <v>#N/A</v>
          </cell>
        </row>
        <row r="255">
          <cell r="G255" t="str">
            <v>HI TECH PHARMA</v>
          </cell>
          <cell r="I255">
            <v>512499.44</v>
          </cell>
          <cell r="J255">
            <v>0</v>
          </cell>
          <cell r="K255">
            <v>0</v>
          </cell>
          <cell r="L255">
            <v>512499.44</v>
          </cell>
          <cell r="N255" t="str">
            <v/>
          </cell>
          <cell r="O255">
            <v>12</v>
          </cell>
          <cell r="V255" t="str">
            <v>*</v>
          </cell>
          <cell r="X255" t="e">
            <v>#N/A</v>
          </cell>
        </row>
        <row r="256">
          <cell r="G256" t="str">
            <v>THE DIRECTOR GENERAL (DGAFMS)</v>
          </cell>
          <cell r="I256">
            <v>720395.4</v>
          </cell>
          <cell r="J256">
            <v>2756000</v>
          </cell>
          <cell r="K256">
            <v>720400</v>
          </cell>
          <cell r="L256">
            <v>2755995.4</v>
          </cell>
          <cell r="N256" t="str">
            <v/>
          </cell>
          <cell r="O256">
            <v>12</v>
          </cell>
          <cell r="V256" t="str">
            <v>*</v>
          </cell>
          <cell r="X256" t="e">
            <v>#N/A</v>
          </cell>
        </row>
        <row r="257">
          <cell r="G257" t="str">
            <v>A.J.INTERNATION</v>
          </cell>
          <cell r="I257">
            <v>53370</v>
          </cell>
          <cell r="J257">
            <v>579700</v>
          </cell>
          <cell r="K257">
            <v>579850</v>
          </cell>
          <cell r="L257">
            <v>53220</v>
          </cell>
          <cell r="N257" t="str">
            <v/>
          </cell>
          <cell r="O257">
            <v>12</v>
          </cell>
          <cell r="V257" t="str">
            <v>*</v>
          </cell>
          <cell r="X257" t="e">
            <v>#N/A</v>
          </cell>
        </row>
        <row r="258">
          <cell r="G258" t="str">
            <v>MEDISPHERE MARKETING LTD.</v>
          </cell>
          <cell r="I258">
            <v>2875100</v>
          </cell>
          <cell r="J258">
            <v>1375000</v>
          </cell>
          <cell r="K258">
            <v>0</v>
          </cell>
          <cell r="L258">
            <v>4250100</v>
          </cell>
          <cell r="N258" t="str">
            <v/>
          </cell>
          <cell r="O258">
            <v>12</v>
          </cell>
          <cell r="V258" t="str">
            <v>*</v>
          </cell>
          <cell r="X258" t="e">
            <v>#N/A</v>
          </cell>
        </row>
        <row r="259">
          <cell r="G259" t="str">
            <v>N.C.S. NETWORK</v>
          </cell>
          <cell r="I259">
            <v>13500</v>
          </cell>
          <cell r="J259">
            <v>0</v>
          </cell>
          <cell r="K259">
            <v>0</v>
          </cell>
          <cell r="L259">
            <v>13500</v>
          </cell>
          <cell r="N259" t="str">
            <v/>
          </cell>
          <cell r="O259">
            <v>12</v>
          </cell>
          <cell r="V259" t="str">
            <v>*</v>
          </cell>
          <cell r="X259" t="e">
            <v>#N/A</v>
          </cell>
        </row>
        <row r="260">
          <cell r="G260" t="str">
            <v>ORIENTAL SURGICALS WORKS</v>
          </cell>
          <cell r="I260">
            <v>-243000</v>
          </cell>
          <cell r="J260">
            <v>0</v>
          </cell>
          <cell r="K260">
            <v>0</v>
          </cell>
          <cell r="L260">
            <v>-243000</v>
          </cell>
          <cell r="N260">
            <v>-243000</v>
          </cell>
          <cell r="O260">
            <v>12</v>
          </cell>
          <cell r="V260" t="str">
            <v>*</v>
          </cell>
          <cell r="X260" t="e">
            <v>#N/A</v>
          </cell>
        </row>
        <row r="261">
          <cell r="G261" t="str">
            <v>ST. STEPHEN'S HOSPITAL</v>
          </cell>
          <cell r="I261">
            <v>712500</v>
          </cell>
          <cell r="J261">
            <v>0</v>
          </cell>
          <cell r="K261">
            <v>0</v>
          </cell>
          <cell r="L261">
            <v>712500</v>
          </cell>
          <cell r="N261" t="str">
            <v/>
          </cell>
          <cell r="O261">
            <v>12</v>
          </cell>
          <cell r="V261" t="str">
            <v>*</v>
          </cell>
          <cell r="X261" t="e">
            <v>#N/A</v>
          </cell>
        </row>
        <row r="262">
          <cell r="G262" t="str">
            <v>TOPMAN MEDICAL PRODUCTS PVT. LTD</v>
          </cell>
          <cell r="I262">
            <v>382516</v>
          </cell>
          <cell r="J262">
            <v>111996</v>
          </cell>
          <cell r="K262">
            <v>111996</v>
          </cell>
          <cell r="L262">
            <v>382516</v>
          </cell>
          <cell r="N262" t="str">
            <v/>
          </cell>
          <cell r="O262">
            <v>12</v>
          </cell>
          <cell r="V262" t="str">
            <v>*</v>
          </cell>
          <cell r="X262" t="e">
            <v>#N/A</v>
          </cell>
        </row>
        <row r="263">
          <cell r="G263" t="str">
            <v>SURGI NEEDS</v>
          </cell>
          <cell r="I263">
            <v>-1441</v>
          </cell>
          <cell r="J263">
            <v>57625</v>
          </cell>
          <cell r="K263">
            <v>57625</v>
          </cell>
          <cell r="L263">
            <v>-1441</v>
          </cell>
          <cell r="N263">
            <v>-1441</v>
          </cell>
          <cell r="O263">
            <v>12</v>
          </cell>
          <cell r="V263" t="str">
            <v>*</v>
          </cell>
          <cell r="X263" t="e">
            <v>#N/A</v>
          </cell>
        </row>
        <row r="264">
          <cell r="G264" t="str">
            <v>ADARSH DISTRIBUTORS</v>
          </cell>
          <cell r="I264">
            <v>-1103.5</v>
          </cell>
          <cell r="J264">
            <v>19008</v>
          </cell>
          <cell r="K264">
            <v>19000</v>
          </cell>
          <cell r="L264">
            <v>-1095.5</v>
          </cell>
          <cell r="N264">
            <v>-1095.5</v>
          </cell>
          <cell r="O264">
            <v>12</v>
          </cell>
          <cell r="V264" t="str">
            <v>*</v>
          </cell>
          <cell r="X264" t="e">
            <v>#N/A</v>
          </cell>
        </row>
        <row r="265">
          <cell r="G265" t="str">
            <v>ANIL TRADERS</v>
          </cell>
          <cell r="I265">
            <v>251316</v>
          </cell>
          <cell r="J265">
            <v>0</v>
          </cell>
          <cell r="K265">
            <v>0</v>
          </cell>
          <cell r="L265">
            <v>251316</v>
          </cell>
          <cell r="N265" t="str">
            <v/>
          </cell>
          <cell r="O265">
            <v>12</v>
          </cell>
          <cell r="V265" t="str">
            <v>*</v>
          </cell>
          <cell r="X265" t="e">
            <v>#N/A</v>
          </cell>
        </row>
        <row r="266">
          <cell r="G266" t="str">
            <v>CITY DRUGS PVT.LTD</v>
          </cell>
          <cell r="I266">
            <v>-1400</v>
          </cell>
          <cell r="J266">
            <v>0</v>
          </cell>
          <cell r="K266">
            <v>0</v>
          </cell>
          <cell r="L266">
            <v>-1400</v>
          </cell>
          <cell r="N266">
            <v>-1400</v>
          </cell>
          <cell r="O266">
            <v>12</v>
          </cell>
          <cell r="V266" t="str">
            <v>*</v>
          </cell>
          <cell r="X266" t="e">
            <v>#N/A</v>
          </cell>
        </row>
        <row r="267">
          <cell r="G267" t="str">
            <v>ALFA MEDIAIDS</v>
          </cell>
          <cell r="I267">
            <v>-66</v>
          </cell>
          <cell r="J267">
            <v>0</v>
          </cell>
          <cell r="K267">
            <v>0</v>
          </cell>
          <cell r="L267">
            <v>-66</v>
          </cell>
          <cell r="N267">
            <v>-66</v>
          </cell>
          <cell r="O267">
            <v>12</v>
          </cell>
          <cell r="V267" t="str">
            <v>*</v>
          </cell>
          <cell r="X267" t="e">
            <v>#N/A</v>
          </cell>
        </row>
        <row r="268">
          <cell r="G268" t="str">
            <v>SUNRISE ENTERPRISES</v>
          </cell>
          <cell r="I268">
            <v>9500</v>
          </cell>
          <cell r="J268">
            <v>0</v>
          </cell>
          <cell r="K268">
            <v>0</v>
          </cell>
          <cell r="L268">
            <v>9500</v>
          </cell>
          <cell r="N268" t="str">
            <v/>
          </cell>
          <cell r="O268">
            <v>12</v>
          </cell>
          <cell r="V268" t="str">
            <v>*</v>
          </cell>
          <cell r="X268" t="e">
            <v>#N/A</v>
          </cell>
        </row>
        <row r="269">
          <cell r="G269" t="str">
            <v>JYOTHI SURGICALS</v>
          </cell>
          <cell r="I269">
            <v>-250</v>
          </cell>
          <cell r="J269">
            <v>0</v>
          </cell>
          <cell r="K269">
            <v>0</v>
          </cell>
          <cell r="L269">
            <v>-250</v>
          </cell>
          <cell r="N269">
            <v>-250</v>
          </cell>
          <cell r="O269">
            <v>12</v>
          </cell>
          <cell r="V269" t="str">
            <v>*</v>
          </cell>
          <cell r="X269" t="e">
            <v>#N/A</v>
          </cell>
        </row>
        <row r="270">
          <cell r="G270" t="str">
            <v>ARORA MEDICAL AGENCIES</v>
          </cell>
          <cell r="I270">
            <v>62000</v>
          </cell>
          <cell r="J270">
            <v>0</v>
          </cell>
          <cell r="K270">
            <v>0</v>
          </cell>
          <cell r="L270">
            <v>62000</v>
          </cell>
          <cell r="N270" t="str">
            <v/>
          </cell>
          <cell r="O270">
            <v>12</v>
          </cell>
          <cell r="V270" t="str">
            <v>*</v>
          </cell>
          <cell r="X270" t="e">
            <v>#N/A</v>
          </cell>
        </row>
        <row r="271">
          <cell r="G271" t="str">
            <v>PEARS SURGICAL WORKS</v>
          </cell>
          <cell r="I271">
            <v>-65805</v>
          </cell>
          <cell r="J271">
            <v>320235</v>
          </cell>
          <cell r="K271">
            <v>307500</v>
          </cell>
          <cell r="L271">
            <v>-53070</v>
          </cell>
          <cell r="N271">
            <v>-53070</v>
          </cell>
          <cell r="O271">
            <v>12</v>
          </cell>
          <cell r="V271" t="str">
            <v>*</v>
          </cell>
          <cell r="X271" t="e">
            <v>#N/A</v>
          </cell>
        </row>
        <row r="272">
          <cell r="G272" t="str">
            <v>ROYAL ASSOCIATES,</v>
          </cell>
          <cell r="I272">
            <v>-26503.4</v>
          </cell>
          <cell r="J272">
            <v>0</v>
          </cell>
          <cell r="K272">
            <v>0</v>
          </cell>
          <cell r="L272">
            <v>-26503.4</v>
          </cell>
          <cell r="N272">
            <v>-26503.4</v>
          </cell>
          <cell r="O272">
            <v>12</v>
          </cell>
          <cell r="V272" t="str">
            <v>*</v>
          </cell>
          <cell r="X272" t="e">
            <v>#N/A</v>
          </cell>
        </row>
        <row r="273">
          <cell r="G273" t="str">
            <v>JINDAL SURGICALS &amp; MEDICO</v>
          </cell>
          <cell r="I273">
            <v>-94500</v>
          </cell>
          <cell r="J273">
            <v>94500</v>
          </cell>
          <cell r="K273">
            <v>0</v>
          </cell>
          <cell r="L273">
            <v>0</v>
          </cell>
          <cell r="N273" t="str">
            <v/>
          </cell>
          <cell r="O273">
            <v>12</v>
          </cell>
          <cell r="V273" t="str">
            <v>*</v>
          </cell>
          <cell r="X273" t="e">
            <v>#N/A</v>
          </cell>
        </row>
        <row r="274">
          <cell r="G274" t="str">
            <v>MANGALAM SALES POINT</v>
          </cell>
          <cell r="I274">
            <v>0</v>
          </cell>
          <cell r="J274">
            <v>168480</v>
          </cell>
          <cell r="K274">
            <v>56160</v>
          </cell>
          <cell r="L274">
            <v>112320</v>
          </cell>
          <cell r="N274" t="str">
            <v/>
          </cell>
          <cell r="O274">
            <v>12</v>
          </cell>
          <cell r="V274" t="str">
            <v>*</v>
          </cell>
          <cell r="X274" t="e">
            <v>#N/A</v>
          </cell>
        </row>
        <row r="275">
          <cell r="G275" t="str">
            <v>MEDICO SURGICALS</v>
          </cell>
          <cell r="I275">
            <v>72</v>
          </cell>
          <cell r="J275">
            <v>0</v>
          </cell>
          <cell r="K275">
            <v>0</v>
          </cell>
          <cell r="L275">
            <v>72</v>
          </cell>
          <cell r="N275" t="str">
            <v/>
          </cell>
          <cell r="O275">
            <v>12</v>
          </cell>
          <cell r="V275" t="str">
            <v>*</v>
          </cell>
          <cell r="X275" t="e">
            <v>#N/A</v>
          </cell>
        </row>
        <row r="276">
          <cell r="G276" t="str">
            <v>ISHA TRADING COMPANY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N276" t="str">
            <v/>
          </cell>
          <cell r="O276">
            <v>12</v>
          </cell>
          <cell r="V276" t="str">
            <v>*</v>
          </cell>
          <cell r="X276" t="e">
            <v>#N/A</v>
          </cell>
        </row>
        <row r="277">
          <cell r="G277" t="str">
            <v>COULSON &amp; CO</v>
          </cell>
          <cell r="I277">
            <v>17774.900000000001</v>
          </cell>
          <cell r="J277">
            <v>0</v>
          </cell>
          <cell r="K277">
            <v>0</v>
          </cell>
          <cell r="L277">
            <v>17774.900000000001</v>
          </cell>
          <cell r="N277" t="str">
            <v/>
          </cell>
          <cell r="O277">
            <v>12</v>
          </cell>
          <cell r="V277" t="str">
            <v>*</v>
          </cell>
          <cell r="X277" t="e">
            <v>#N/A</v>
          </cell>
        </row>
        <row r="278">
          <cell r="G278" t="str">
            <v>MEDIVET</v>
          </cell>
          <cell r="I278">
            <v>-1321.6</v>
          </cell>
          <cell r="J278">
            <v>0</v>
          </cell>
          <cell r="K278">
            <v>0</v>
          </cell>
          <cell r="L278">
            <v>-1321.6</v>
          </cell>
          <cell r="N278">
            <v>-1321.6</v>
          </cell>
          <cell r="O278">
            <v>12</v>
          </cell>
          <cell r="V278" t="str">
            <v>*</v>
          </cell>
          <cell r="X278" t="e">
            <v>#N/A</v>
          </cell>
        </row>
        <row r="279">
          <cell r="G279" t="str">
            <v>M J R J MEDICHEM SURGICAL</v>
          </cell>
          <cell r="I279">
            <v>0</v>
          </cell>
          <cell r="J279">
            <v>156250</v>
          </cell>
          <cell r="K279">
            <v>156250</v>
          </cell>
          <cell r="L279">
            <v>0</v>
          </cell>
          <cell r="N279" t="str">
            <v/>
          </cell>
          <cell r="O279">
            <v>12</v>
          </cell>
          <cell r="V279" t="str">
            <v>*</v>
          </cell>
          <cell r="X279" t="e">
            <v>#N/A</v>
          </cell>
        </row>
        <row r="280">
          <cell r="G280" t="str">
            <v>AVIDEEP PHARMA AND DIAGNOSTIC DISTRIBUTORS</v>
          </cell>
          <cell r="I280">
            <v>-61993.8</v>
          </cell>
          <cell r="J280">
            <v>74488</v>
          </cell>
          <cell r="K280">
            <v>14000</v>
          </cell>
          <cell r="L280">
            <v>-1505.8</v>
          </cell>
          <cell r="N280">
            <v>-1505.8</v>
          </cell>
          <cell r="O280">
            <v>12</v>
          </cell>
          <cell r="V280" t="str">
            <v>*</v>
          </cell>
          <cell r="X280" t="e">
            <v>#N/A</v>
          </cell>
        </row>
        <row r="281">
          <cell r="G281" t="str">
            <v>EXCEL PHARMACEUTICALS</v>
          </cell>
          <cell r="I281">
            <v>0</v>
          </cell>
          <cell r="J281">
            <v>31250</v>
          </cell>
          <cell r="K281">
            <v>50750</v>
          </cell>
          <cell r="L281">
            <v>-19500</v>
          </cell>
          <cell r="N281">
            <v>-19500</v>
          </cell>
          <cell r="O281">
            <v>12</v>
          </cell>
          <cell r="V281" t="str">
            <v>*</v>
          </cell>
          <cell r="X281" t="e">
            <v>#N/A</v>
          </cell>
        </row>
        <row r="282">
          <cell r="G282" t="str">
            <v>CHAITANYA PHARMA</v>
          </cell>
          <cell r="I282">
            <v>1403.81</v>
          </cell>
          <cell r="J282">
            <v>352875</v>
          </cell>
          <cell r="K282">
            <v>130700</v>
          </cell>
          <cell r="L282">
            <v>223578.81</v>
          </cell>
          <cell r="N282" t="str">
            <v/>
          </cell>
          <cell r="O282">
            <v>12</v>
          </cell>
          <cell r="V282" t="str">
            <v>*</v>
          </cell>
          <cell r="X282" t="e">
            <v>#N/A</v>
          </cell>
        </row>
        <row r="283">
          <cell r="G283" t="str">
            <v>DEEPAK AGENCIES</v>
          </cell>
          <cell r="I283">
            <v>-0.96</v>
          </cell>
          <cell r="J283">
            <v>0</v>
          </cell>
          <cell r="K283">
            <v>0</v>
          </cell>
          <cell r="L283">
            <v>-0.96</v>
          </cell>
          <cell r="N283">
            <v>-0.96</v>
          </cell>
          <cell r="O283">
            <v>12</v>
          </cell>
          <cell r="V283" t="str">
            <v>*</v>
          </cell>
          <cell r="X283" t="e">
            <v>#N/A</v>
          </cell>
        </row>
        <row r="284">
          <cell r="G284" t="str">
            <v>SHIVAM DRUGS PVT.LTD.</v>
          </cell>
          <cell r="I284">
            <v>0</v>
          </cell>
          <cell r="J284">
            <v>371294.64</v>
          </cell>
          <cell r="K284">
            <v>307500</v>
          </cell>
          <cell r="L284">
            <v>63794.64</v>
          </cell>
          <cell r="N284" t="str">
            <v/>
          </cell>
          <cell r="O284">
            <v>12</v>
          </cell>
          <cell r="V284" t="str">
            <v>*</v>
          </cell>
          <cell r="X284" t="e">
            <v>#N/A</v>
          </cell>
        </row>
        <row r="285">
          <cell r="G285" t="str">
            <v>REGENCY HOSPITAL LTD.,</v>
          </cell>
          <cell r="I285">
            <v>-10560</v>
          </cell>
          <cell r="J285">
            <v>0</v>
          </cell>
          <cell r="K285">
            <v>0</v>
          </cell>
          <cell r="L285">
            <v>-10560</v>
          </cell>
          <cell r="N285">
            <v>-10560</v>
          </cell>
          <cell r="O285">
            <v>12</v>
          </cell>
          <cell r="V285" t="str">
            <v>*</v>
          </cell>
          <cell r="X285" t="e">
            <v>#N/A</v>
          </cell>
        </row>
        <row r="286">
          <cell r="G286" t="str">
            <v>KANPUR MEDICAL CENTRE PVT. LTD.,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N286" t="str">
            <v/>
          </cell>
          <cell r="O286">
            <v>12</v>
          </cell>
          <cell r="V286" t="str">
            <v>*</v>
          </cell>
          <cell r="X286" t="e">
            <v>#N/A</v>
          </cell>
        </row>
        <row r="287">
          <cell r="G287" t="str">
            <v>DR. ARCHANA BHADAURIA</v>
          </cell>
          <cell r="I287">
            <v>-59999.99</v>
          </cell>
          <cell r="J287">
            <v>0</v>
          </cell>
          <cell r="K287">
            <v>0</v>
          </cell>
          <cell r="L287">
            <v>-59999.99</v>
          </cell>
          <cell r="N287">
            <v>-59999.99</v>
          </cell>
          <cell r="O287">
            <v>12</v>
          </cell>
          <cell r="V287" t="str">
            <v>*</v>
          </cell>
          <cell r="X287" t="e">
            <v>#N/A</v>
          </cell>
        </row>
        <row r="288">
          <cell r="G288" t="str">
            <v>A.G. ENTERPRISES</v>
          </cell>
          <cell r="I288">
            <v>-59273.760000000002</v>
          </cell>
          <cell r="J288">
            <v>0</v>
          </cell>
          <cell r="K288">
            <v>0</v>
          </cell>
          <cell r="L288">
            <v>-59273.760000000002</v>
          </cell>
          <cell r="N288">
            <v>-59273.760000000002</v>
          </cell>
          <cell r="O288">
            <v>12</v>
          </cell>
          <cell r="V288" t="str">
            <v>*</v>
          </cell>
          <cell r="X288" t="e">
            <v>#N/A</v>
          </cell>
        </row>
        <row r="289">
          <cell r="G289" t="str">
            <v>LATA ENTERPRISES</v>
          </cell>
          <cell r="I289">
            <v>205954.55</v>
          </cell>
          <cell r="J289">
            <v>129205.6</v>
          </cell>
          <cell r="K289">
            <v>335000</v>
          </cell>
          <cell r="L289">
            <v>160.15</v>
          </cell>
          <cell r="N289" t="str">
            <v/>
          </cell>
          <cell r="O289">
            <v>12</v>
          </cell>
          <cell r="V289" t="str">
            <v>*</v>
          </cell>
          <cell r="X289" t="e">
            <v>#N/A</v>
          </cell>
        </row>
        <row r="290">
          <cell r="G290" t="str">
            <v>MAYUR DISTRIBUTORS</v>
          </cell>
          <cell r="I290">
            <v>-484.2</v>
          </cell>
          <cell r="J290">
            <v>0</v>
          </cell>
          <cell r="K290">
            <v>0</v>
          </cell>
          <cell r="L290">
            <v>-484.2</v>
          </cell>
          <cell r="N290">
            <v>-484.2</v>
          </cell>
          <cell r="O290">
            <v>12</v>
          </cell>
          <cell r="V290" t="str">
            <v>*</v>
          </cell>
          <cell r="X290" t="e">
            <v>#N/A</v>
          </cell>
        </row>
        <row r="291">
          <cell r="G291" t="str">
            <v>SHIV BIOMEDICALS</v>
          </cell>
          <cell r="I291">
            <v>-380</v>
          </cell>
          <cell r="J291">
            <v>0</v>
          </cell>
          <cell r="K291">
            <v>0</v>
          </cell>
          <cell r="L291">
            <v>-380</v>
          </cell>
          <cell r="N291">
            <v>-380</v>
          </cell>
          <cell r="O291">
            <v>12</v>
          </cell>
          <cell r="V291" t="str">
            <v>*</v>
          </cell>
          <cell r="X291" t="e">
            <v>#N/A</v>
          </cell>
        </row>
        <row r="292">
          <cell r="G292" t="str">
            <v>INSTACORP INTERNATIONAL</v>
          </cell>
          <cell r="I292">
            <v>682.96</v>
          </cell>
          <cell r="J292">
            <v>117975</v>
          </cell>
          <cell r="K292">
            <v>119150</v>
          </cell>
          <cell r="L292">
            <v>-492.04</v>
          </cell>
          <cell r="N292">
            <v>-492.04</v>
          </cell>
          <cell r="O292">
            <v>12</v>
          </cell>
          <cell r="V292" t="str">
            <v>*</v>
          </cell>
          <cell r="X292" t="e">
            <v>#N/A</v>
          </cell>
        </row>
        <row r="293">
          <cell r="G293" t="str">
            <v>COMMAND HOSPITAL</v>
          </cell>
          <cell r="I293">
            <v>-44435</v>
          </cell>
          <cell r="J293">
            <v>0</v>
          </cell>
          <cell r="K293">
            <v>20000</v>
          </cell>
          <cell r="L293">
            <v>-64435</v>
          </cell>
          <cell r="N293">
            <v>-64435</v>
          </cell>
          <cell r="O293">
            <v>12</v>
          </cell>
          <cell r="V293" t="str">
            <v>*</v>
          </cell>
          <cell r="X293" t="e">
            <v>#N/A</v>
          </cell>
        </row>
        <row r="294">
          <cell r="G294" t="str">
            <v>NEW AJAI MEDICAL &amp; SURGICAL PALACE</v>
          </cell>
          <cell r="I294">
            <v>32396</v>
          </cell>
          <cell r="J294">
            <v>0</v>
          </cell>
          <cell r="K294">
            <v>0</v>
          </cell>
          <cell r="L294">
            <v>32396</v>
          </cell>
          <cell r="N294" t="str">
            <v/>
          </cell>
          <cell r="O294">
            <v>12</v>
          </cell>
          <cell r="V294" t="str">
            <v>*</v>
          </cell>
          <cell r="X294" t="e">
            <v>#N/A</v>
          </cell>
        </row>
        <row r="295">
          <cell r="G295" t="str">
            <v>KAPSONS PHARMACEUTICALS &amp; ALLIED DIST.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N295" t="str">
            <v/>
          </cell>
          <cell r="O295">
            <v>12</v>
          </cell>
          <cell r="V295" t="str">
            <v>*</v>
          </cell>
          <cell r="X295" t="e">
            <v>#N/A</v>
          </cell>
        </row>
        <row r="296">
          <cell r="G296" t="str">
            <v>KHALSA DISTRIBUTORS</v>
          </cell>
          <cell r="I296">
            <v>437468.75</v>
          </cell>
          <cell r="J296">
            <v>0</v>
          </cell>
          <cell r="K296">
            <v>0</v>
          </cell>
          <cell r="L296">
            <v>437468.75</v>
          </cell>
          <cell r="N296" t="str">
            <v/>
          </cell>
          <cell r="O296">
            <v>12</v>
          </cell>
          <cell r="V296" t="str">
            <v>*</v>
          </cell>
          <cell r="X296" t="e">
            <v>#N/A</v>
          </cell>
        </row>
        <row r="297">
          <cell r="G297" t="str">
            <v>UNION MEDICARE</v>
          </cell>
          <cell r="I297">
            <v>-60000</v>
          </cell>
          <cell r="J297">
            <v>56160</v>
          </cell>
          <cell r="K297">
            <v>0</v>
          </cell>
          <cell r="L297">
            <v>-3840</v>
          </cell>
          <cell r="N297">
            <v>-3840</v>
          </cell>
          <cell r="O297">
            <v>12</v>
          </cell>
          <cell r="V297" t="str">
            <v>*</v>
          </cell>
          <cell r="X297" t="e">
            <v>#N/A</v>
          </cell>
        </row>
        <row r="298">
          <cell r="G298" t="str">
            <v>GOPAL SURGICALS</v>
          </cell>
          <cell r="I298">
            <v>-33610.400000000001</v>
          </cell>
          <cell r="J298">
            <v>54887</v>
          </cell>
          <cell r="K298">
            <v>30250</v>
          </cell>
          <cell r="L298">
            <v>-8973.4</v>
          </cell>
          <cell r="N298">
            <v>-8973.4</v>
          </cell>
          <cell r="O298">
            <v>12</v>
          </cell>
          <cell r="V298" t="str">
            <v>*</v>
          </cell>
          <cell r="X298" t="e">
            <v>#N/A</v>
          </cell>
        </row>
        <row r="299">
          <cell r="G299" t="str">
            <v>KHALSA PHARMACEUTICALS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N299" t="str">
            <v/>
          </cell>
          <cell r="O299">
            <v>12</v>
          </cell>
          <cell r="V299" t="str">
            <v>*</v>
          </cell>
          <cell r="X299" t="e">
            <v>#N/A</v>
          </cell>
        </row>
        <row r="300">
          <cell r="G300" t="str">
            <v>SHIVAM ENTERPRISES</v>
          </cell>
          <cell r="I300">
            <v>0</v>
          </cell>
          <cell r="J300">
            <v>61640</v>
          </cell>
          <cell r="K300">
            <v>61672</v>
          </cell>
          <cell r="L300">
            <v>-32</v>
          </cell>
          <cell r="N300">
            <v>-32</v>
          </cell>
          <cell r="O300">
            <v>12</v>
          </cell>
          <cell r="V300" t="str">
            <v>*</v>
          </cell>
          <cell r="X300" t="e">
            <v>#N/A</v>
          </cell>
        </row>
        <row r="301">
          <cell r="G301" t="str">
            <v>SANJAY GANDHI POST GRADUATE INSTITUTE</v>
          </cell>
          <cell r="I301">
            <v>1232797.49</v>
          </cell>
          <cell r="J301">
            <v>0</v>
          </cell>
          <cell r="K301">
            <v>0</v>
          </cell>
          <cell r="L301">
            <v>1232797.49</v>
          </cell>
          <cell r="N301" t="str">
            <v/>
          </cell>
          <cell r="O301">
            <v>12</v>
          </cell>
          <cell r="V301" t="str">
            <v>*</v>
          </cell>
          <cell r="X301" t="e">
            <v>#N/A</v>
          </cell>
        </row>
        <row r="302">
          <cell r="G302" t="str">
            <v>D.V.T.ENTERPRISES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N302" t="str">
            <v/>
          </cell>
          <cell r="O302">
            <v>12</v>
          </cell>
          <cell r="V302" t="str">
            <v>*</v>
          </cell>
          <cell r="X302" t="e">
            <v>#N/A</v>
          </cell>
        </row>
        <row r="303">
          <cell r="G303" t="str">
            <v>SEWA HOSPITAL</v>
          </cell>
          <cell r="I303">
            <v>-27988.58</v>
          </cell>
          <cell r="J303">
            <v>0</v>
          </cell>
          <cell r="K303">
            <v>0</v>
          </cell>
          <cell r="L303">
            <v>-27988.58</v>
          </cell>
          <cell r="N303">
            <v>-27988.58</v>
          </cell>
          <cell r="O303">
            <v>12</v>
          </cell>
          <cell r="V303" t="str">
            <v>*</v>
          </cell>
          <cell r="X303" t="e">
            <v>#N/A</v>
          </cell>
        </row>
        <row r="304">
          <cell r="G304" t="str">
            <v>DAYANAND MEDICAL COLLEGE &amp; HOSPITAL</v>
          </cell>
          <cell r="I304">
            <v>22834</v>
          </cell>
          <cell r="J304">
            <v>0</v>
          </cell>
          <cell r="K304">
            <v>0</v>
          </cell>
          <cell r="L304">
            <v>22834</v>
          </cell>
          <cell r="N304" t="str">
            <v/>
          </cell>
          <cell r="O304">
            <v>12</v>
          </cell>
          <cell r="V304" t="str">
            <v>*</v>
          </cell>
          <cell r="X304" t="e">
            <v>#N/A</v>
          </cell>
        </row>
        <row r="305">
          <cell r="G305" t="str">
            <v>SUMIT SURGICALS</v>
          </cell>
          <cell r="I305">
            <v>-104.13</v>
          </cell>
          <cell r="J305">
            <v>0</v>
          </cell>
          <cell r="K305">
            <v>0</v>
          </cell>
          <cell r="L305">
            <v>-104.13</v>
          </cell>
          <cell r="N305">
            <v>-104.13</v>
          </cell>
          <cell r="O305">
            <v>12</v>
          </cell>
          <cell r="V305" t="str">
            <v>*</v>
          </cell>
          <cell r="X305" t="e">
            <v>#N/A</v>
          </cell>
        </row>
        <row r="306">
          <cell r="G306" t="str">
            <v>AMAN ENTERPRISES</v>
          </cell>
          <cell r="I306">
            <v>-196</v>
          </cell>
          <cell r="J306">
            <v>0</v>
          </cell>
          <cell r="K306">
            <v>0</v>
          </cell>
          <cell r="L306">
            <v>-196</v>
          </cell>
          <cell r="N306">
            <v>-196</v>
          </cell>
          <cell r="O306">
            <v>12</v>
          </cell>
          <cell r="V306" t="str">
            <v>*</v>
          </cell>
          <cell r="X306" t="e">
            <v>#N/A</v>
          </cell>
        </row>
        <row r="307">
          <cell r="G307" t="str">
            <v>DEEPAK HOSPITALS</v>
          </cell>
          <cell r="I307">
            <v>1900260</v>
          </cell>
          <cell r="J307">
            <v>0</v>
          </cell>
          <cell r="K307">
            <v>0</v>
          </cell>
          <cell r="L307">
            <v>1900260</v>
          </cell>
          <cell r="N307" t="str">
            <v/>
          </cell>
          <cell r="O307">
            <v>12</v>
          </cell>
          <cell r="V307" t="str">
            <v>*</v>
          </cell>
          <cell r="X307" t="e">
            <v>#N/A</v>
          </cell>
        </row>
        <row r="308">
          <cell r="G308" t="str">
            <v>LIFE CARE SYSTEMS</v>
          </cell>
          <cell r="I308">
            <v>55110.59</v>
          </cell>
          <cell r="J308">
            <v>0</v>
          </cell>
          <cell r="K308">
            <v>0</v>
          </cell>
          <cell r="L308">
            <v>55110.59</v>
          </cell>
          <cell r="N308" t="str">
            <v/>
          </cell>
          <cell r="O308">
            <v>12</v>
          </cell>
          <cell r="V308" t="str">
            <v>*</v>
          </cell>
          <cell r="X308" t="e">
            <v>#N/A</v>
          </cell>
        </row>
        <row r="309">
          <cell r="G309" t="str">
            <v>NEERAJ MEDICAL AGENCIES</v>
          </cell>
          <cell r="I309">
            <v>200386.99</v>
          </cell>
          <cell r="J309">
            <v>0</v>
          </cell>
          <cell r="K309">
            <v>250000</v>
          </cell>
          <cell r="L309">
            <v>-49613.01</v>
          </cell>
          <cell r="N309">
            <v>-49613.01</v>
          </cell>
          <cell r="O309">
            <v>12</v>
          </cell>
          <cell r="V309" t="str">
            <v>*</v>
          </cell>
          <cell r="X309" t="e">
            <v>#N/A</v>
          </cell>
        </row>
        <row r="310">
          <cell r="G310" t="str">
            <v>CHRISTIAN MEDICAL COLLEGE</v>
          </cell>
          <cell r="I310">
            <v>765000.04</v>
          </cell>
          <cell r="J310">
            <v>0</v>
          </cell>
          <cell r="K310">
            <v>0</v>
          </cell>
          <cell r="L310">
            <v>765000.04</v>
          </cell>
          <cell r="N310" t="str">
            <v/>
          </cell>
          <cell r="O310">
            <v>12</v>
          </cell>
          <cell r="V310" t="str">
            <v>*</v>
          </cell>
          <cell r="X310" t="e">
            <v>#N/A</v>
          </cell>
        </row>
        <row r="311">
          <cell r="G311" t="str">
            <v>G.T.B AGENCIES</v>
          </cell>
          <cell r="I311">
            <v>-1641</v>
          </cell>
          <cell r="J311">
            <v>0</v>
          </cell>
          <cell r="K311">
            <v>0</v>
          </cell>
          <cell r="L311">
            <v>-1641</v>
          </cell>
          <cell r="N311">
            <v>-1641</v>
          </cell>
          <cell r="O311">
            <v>12</v>
          </cell>
          <cell r="V311" t="str">
            <v>*</v>
          </cell>
          <cell r="X311" t="e">
            <v>#N/A</v>
          </cell>
        </row>
        <row r="312">
          <cell r="G312" t="str">
            <v>DR.PREM HOSPITAL(PVT.)LTD.</v>
          </cell>
          <cell r="I312">
            <v>20000.009999999998</v>
          </cell>
          <cell r="J312">
            <v>0</v>
          </cell>
          <cell r="K312">
            <v>0</v>
          </cell>
          <cell r="L312">
            <v>20000.009999999998</v>
          </cell>
          <cell r="N312" t="str">
            <v/>
          </cell>
          <cell r="O312">
            <v>12</v>
          </cell>
          <cell r="V312" t="str">
            <v>*</v>
          </cell>
          <cell r="X312" t="e">
            <v>#N/A</v>
          </cell>
        </row>
        <row r="313">
          <cell r="G313" t="str">
            <v>KOHLI ENTERPRISES</v>
          </cell>
          <cell r="I313">
            <v>-5416.88</v>
          </cell>
          <cell r="J313">
            <v>0</v>
          </cell>
          <cell r="K313">
            <v>0</v>
          </cell>
          <cell r="L313">
            <v>-5416.88</v>
          </cell>
          <cell r="N313">
            <v>-5416.88</v>
          </cell>
          <cell r="O313">
            <v>12</v>
          </cell>
          <cell r="V313" t="str">
            <v>*</v>
          </cell>
          <cell r="X313" t="e">
            <v>#N/A</v>
          </cell>
        </row>
        <row r="314">
          <cell r="G314" t="str">
            <v>AROMA SURGICAL HOUSE.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N314" t="str">
            <v/>
          </cell>
          <cell r="O314">
            <v>12</v>
          </cell>
          <cell r="V314" t="str">
            <v>*</v>
          </cell>
          <cell r="X314" t="e">
            <v>#N/A</v>
          </cell>
        </row>
        <row r="315">
          <cell r="G315" t="str">
            <v>KARAN MARKETING CO.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N315" t="str">
            <v/>
          </cell>
          <cell r="O315">
            <v>12</v>
          </cell>
          <cell r="V315" t="str">
            <v>*</v>
          </cell>
          <cell r="X315" t="e">
            <v>#N/A</v>
          </cell>
        </row>
        <row r="316">
          <cell r="G316" t="str">
            <v>MANGALAM MEDICOS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N316" t="str">
            <v/>
          </cell>
          <cell r="O316">
            <v>12</v>
          </cell>
          <cell r="V316" t="str">
            <v>*</v>
          </cell>
          <cell r="X316" t="e">
            <v>#N/A</v>
          </cell>
        </row>
        <row r="317">
          <cell r="G317" t="str">
            <v>S.K.ENTERPRISES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N317" t="str">
            <v/>
          </cell>
          <cell r="O317">
            <v>12</v>
          </cell>
          <cell r="V317" t="str">
            <v>*</v>
          </cell>
          <cell r="X317" t="e">
            <v>#N/A</v>
          </cell>
        </row>
        <row r="318">
          <cell r="G318" t="str">
            <v>BHARAT TRADES AGENCY</v>
          </cell>
          <cell r="I318">
            <v>-3053.89</v>
          </cell>
          <cell r="J318">
            <v>3053.89</v>
          </cell>
          <cell r="K318">
            <v>0</v>
          </cell>
          <cell r="L318">
            <v>0</v>
          </cell>
          <cell r="N318" t="str">
            <v/>
          </cell>
          <cell r="O318">
            <v>12</v>
          </cell>
          <cell r="V318" t="str">
            <v>*</v>
          </cell>
          <cell r="X318" t="e">
            <v>#N/A</v>
          </cell>
        </row>
        <row r="319">
          <cell r="G319" t="str">
            <v>MEDIN SURGE HOUSE</v>
          </cell>
          <cell r="I319">
            <v>-1197</v>
          </cell>
          <cell r="J319">
            <v>0</v>
          </cell>
          <cell r="K319">
            <v>0</v>
          </cell>
          <cell r="L319">
            <v>-1197</v>
          </cell>
          <cell r="N319">
            <v>-1197</v>
          </cell>
          <cell r="O319">
            <v>12</v>
          </cell>
          <cell r="V319" t="str">
            <v>*</v>
          </cell>
          <cell r="X319" t="e">
            <v>#N/A</v>
          </cell>
        </row>
        <row r="320">
          <cell r="G320" t="str">
            <v>INDIAN DRUG &amp; PHARMACEUTICAL AGENCIES</v>
          </cell>
          <cell r="I320">
            <v>-6312.95</v>
          </cell>
          <cell r="J320">
            <v>0</v>
          </cell>
          <cell r="K320">
            <v>0</v>
          </cell>
          <cell r="L320">
            <v>-6312.95</v>
          </cell>
          <cell r="N320">
            <v>-6312.95</v>
          </cell>
          <cell r="O320">
            <v>12</v>
          </cell>
          <cell r="V320" t="str">
            <v>*</v>
          </cell>
          <cell r="X320" t="e">
            <v>#N/A</v>
          </cell>
        </row>
        <row r="321">
          <cell r="G321" t="str">
            <v>BHARAT MEDICAL INSTRUMENTS (P) LTD.</v>
          </cell>
          <cell r="I321">
            <v>-0.12</v>
          </cell>
          <cell r="J321">
            <v>220043.85</v>
          </cell>
          <cell r="K321">
            <v>233959.89</v>
          </cell>
          <cell r="L321">
            <v>-13916.16</v>
          </cell>
          <cell r="N321">
            <v>-13916.16</v>
          </cell>
          <cell r="O321">
            <v>12</v>
          </cell>
          <cell r="V321" t="str">
            <v>*</v>
          </cell>
          <cell r="X321" t="e">
            <v>#N/A</v>
          </cell>
        </row>
        <row r="322">
          <cell r="G322" t="str">
            <v>BANGALORE SURGICALS</v>
          </cell>
          <cell r="I322">
            <v>3433069.88</v>
          </cell>
          <cell r="J322">
            <v>2075640</v>
          </cell>
          <cell r="K322">
            <v>66560</v>
          </cell>
          <cell r="L322">
            <v>5442149.8799999999</v>
          </cell>
          <cell r="N322" t="str">
            <v/>
          </cell>
          <cell r="O322">
            <v>12</v>
          </cell>
          <cell r="V322" t="str">
            <v>*</v>
          </cell>
          <cell r="X322" t="e">
            <v>#N/A</v>
          </cell>
        </row>
        <row r="323">
          <cell r="G323" t="str">
            <v>ASHWINI BIOTECH</v>
          </cell>
          <cell r="I323">
            <v>-13160.75</v>
          </cell>
          <cell r="J323">
            <v>0</v>
          </cell>
          <cell r="K323">
            <v>0</v>
          </cell>
          <cell r="L323">
            <v>-13160.75</v>
          </cell>
          <cell r="N323">
            <v>-13160.75</v>
          </cell>
          <cell r="O323">
            <v>12</v>
          </cell>
          <cell r="V323" t="str">
            <v>*</v>
          </cell>
          <cell r="X323" t="e">
            <v>#N/A</v>
          </cell>
        </row>
        <row r="324">
          <cell r="G324" t="str">
            <v>ASHWINI RENAL CARE PVT. LTD.</v>
          </cell>
          <cell r="I324">
            <v>268745.24</v>
          </cell>
          <cell r="J324">
            <v>225608.47</v>
          </cell>
          <cell r="K324">
            <v>0</v>
          </cell>
          <cell r="L324">
            <v>494353.71</v>
          </cell>
          <cell r="N324" t="str">
            <v/>
          </cell>
          <cell r="O324">
            <v>12</v>
          </cell>
          <cell r="V324" t="str">
            <v>*</v>
          </cell>
          <cell r="X324" t="e">
            <v>#N/A</v>
          </cell>
        </row>
        <row r="325">
          <cell r="G325" t="str">
            <v>MANGAL AGENCIES</v>
          </cell>
          <cell r="I325">
            <v>184857.02</v>
          </cell>
          <cell r="J325">
            <v>0</v>
          </cell>
          <cell r="K325">
            <v>0</v>
          </cell>
          <cell r="L325">
            <v>184857.02</v>
          </cell>
          <cell r="N325" t="str">
            <v/>
          </cell>
          <cell r="O325">
            <v>12</v>
          </cell>
          <cell r="V325" t="str">
            <v>*</v>
          </cell>
          <cell r="X325" t="e">
            <v>#N/A</v>
          </cell>
        </row>
        <row r="326">
          <cell r="G326" t="str">
            <v>PHARMAX  DISTRIBUTORS</v>
          </cell>
          <cell r="I326">
            <v>57062.23</v>
          </cell>
          <cell r="J326">
            <v>0</v>
          </cell>
          <cell r="K326">
            <v>0</v>
          </cell>
          <cell r="L326">
            <v>57062.23</v>
          </cell>
          <cell r="N326" t="str">
            <v/>
          </cell>
          <cell r="O326">
            <v>12</v>
          </cell>
          <cell r="V326" t="str">
            <v>*</v>
          </cell>
          <cell r="X326" t="e">
            <v>#N/A</v>
          </cell>
        </row>
        <row r="327">
          <cell r="G327" t="str">
            <v>MERLINHAWK ASSOCIATES PVT.LTD.</v>
          </cell>
          <cell r="I327">
            <v>5865158.4400000004</v>
          </cell>
          <cell r="J327">
            <v>2496737.56</v>
          </cell>
          <cell r="K327">
            <v>1423292.42</v>
          </cell>
          <cell r="L327">
            <v>6938603.5800000001</v>
          </cell>
          <cell r="N327" t="str">
            <v/>
          </cell>
          <cell r="O327">
            <v>12</v>
          </cell>
          <cell r="V327" t="str">
            <v>*</v>
          </cell>
          <cell r="X327" t="e">
            <v>#N/A</v>
          </cell>
        </row>
        <row r="328">
          <cell r="G328" t="str">
            <v>BALAJI ENTERPRISES</v>
          </cell>
          <cell r="I328">
            <v>605.75</v>
          </cell>
          <cell r="J328">
            <v>0</v>
          </cell>
          <cell r="K328">
            <v>0</v>
          </cell>
          <cell r="L328">
            <v>605.75</v>
          </cell>
          <cell r="N328" t="str">
            <v/>
          </cell>
          <cell r="O328">
            <v>12</v>
          </cell>
          <cell r="V328" t="str">
            <v>*</v>
          </cell>
          <cell r="X328" t="e">
            <v>#N/A</v>
          </cell>
        </row>
        <row r="329">
          <cell r="G329" t="str">
            <v>PRERANA SALES</v>
          </cell>
          <cell r="I329">
            <v>37806</v>
          </cell>
          <cell r="J329">
            <v>182580</v>
          </cell>
          <cell r="K329">
            <v>182240</v>
          </cell>
          <cell r="L329">
            <v>38146</v>
          </cell>
          <cell r="N329" t="str">
            <v/>
          </cell>
          <cell r="O329">
            <v>12</v>
          </cell>
          <cell r="V329" t="str">
            <v>*</v>
          </cell>
          <cell r="X329" t="e">
            <v>#N/A</v>
          </cell>
        </row>
        <row r="330">
          <cell r="G330" t="str">
            <v>HOSTO MEDICARE PVT LTD.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N330" t="str">
            <v/>
          </cell>
          <cell r="O330">
            <v>12</v>
          </cell>
          <cell r="V330" t="str">
            <v>*</v>
          </cell>
          <cell r="X330" t="e">
            <v>#N/A</v>
          </cell>
        </row>
        <row r="331">
          <cell r="G331" t="str">
            <v>SHREE PARSHAVA DRUG HOUSE</v>
          </cell>
          <cell r="I331">
            <v>-629.66</v>
          </cell>
          <cell r="J331">
            <v>0</v>
          </cell>
          <cell r="K331">
            <v>0</v>
          </cell>
          <cell r="L331">
            <v>-629.66</v>
          </cell>
          <cell r="N331">
            <v>-629.66</v>
          </cell>
          <cell r="O331">
            <v>12</v>
          </cell>
          <cell r="V331" t="str">
            <v>*</v>
          </cell>
          <cell r="X331" t="e">
            <v>#N/A</v>
          </cell>
        </row>
        <row r="332">
          <cell r="G332" t="str">
            <v>ESQUIRE SURGICALS</v>
          </cell>
          <cell r="I332">
            <v>29294</v>
          </cell>
          <cell r="J332">
            <v>0</v>
          </cell>
          <cell r="K332">
            <v>0</v>
          </cell>
          <cell r="L332">
            <v>29294</v>
          </cell>
          <cell r="N332" t="str">
            <v/>
          </cell>
          <cell r="O332">
            <v>12</v>
          </cell>
          <cell r="V332" t="str">
            <v>*</v>
          </cell>
          <cell r="X332" t="e">
            <v>#N/A</v>
          </cell>
        </row>
        <row r="333">
          <cell r="G333" t="str">
            <v>SIGMA PHARMA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N333" t="str">
            <v/>
          </cell>
          <cell r="O333">
            <v>12</v>
          </cell>
          <cell r="V333" t="str">
            <v>*</v>
          </cell>
          <cell r="X333" t="e">
            <v>#N/A</v>
          </cell>
        </row>
        <row r="334">
          <cell r="G334" t="str">
            <v>SATYAM TRADING CORPORATION</v>
          </cell>
          <cell r="I334">
            <v>24355.200000000001</v>
          </cell>
          <cell r="J334">
            <v>0</v>
          </cell>
          <cell r="K334">
            <v>0</v>
          </cell>
          <cell r="L334">
            <v>24355.200000000001</v>
          </cell>
          <cell r="N334" t="str">
            <v/>
          </cell>
          <cell r="O334">
            <v>12</v>
          </cell>
          <cell r="V334" t="str">
            <v>*</v>
          </cell>
          <cell r="X334" t="e">
            <v>#N/A</v>
          </cell>
        </row>
        <row r="335">
          <cell r="G335" t="str">
            <v>HEALTH CARE AGENCIES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N335" t="str">
            <v/>
          </cell>
          <cell r="O335">
            <v>12</v>
          </cell>
          <cell r="V335" t="str">
            <v>*</v>
          </cell>
          <cell r="X335" t="e">
            <v>#N/A</v>
          </cell>
        </row>
        <row r="336">
          <cell r="G336" t="str">
            <v>THIRU BALAJI ASSOCIATES</v>
          </cell>
          <cell r="I336">
            <v>-193.16</v>
          </cell>
          <cell r="J336">
            <v>0</v>
          </cell>
          <cell r="K336">
            <v>0</v>
          </cell>
          <cell r="L336">
            <v>-193.16</v>
          </cell>
          <cell r="N336">
            <v>-193.16</v>
          </cell>
          <cell r="O336">
            <v>12</v>
          </cell>
          <cell r="V336" t="str">
            <v>*</v>
          </cell>
          <cell r="X336" t="e">
            <v>#N/A</v>
          </cell>
        </row>
        <row r="337">
          <cell r="G337" t="str">
            <v>HOSPITAL SURGICALS</v>
          </cell>
          <cell r="I337">
            <v>-35344.69</v>
          </cell>
          <cell r="J337">
            <v>180556</v>
          </cell>
          <cell r="K337">
            <v>185596</v>
          </cell>
          <cell r="L337">
            <v>-40384.69</v>
          </cell>
          <cell r="N337">
            <v>-40384.69</v>
          </cell>
          <cell r="O337">
            <v>12</v>
          </cell>
          <cell r="V337" t="str">
            <v>*</v>
          </cell>
          <cell r="X337" t="e">
            <v>#N/A</v>
          </cell>
        </row>
        <row r="338">
          <cell r="G338" t="str">
            <v>VIBASH COIMBATORE SURGICALS LTD.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N338" t="str">
            <v/>
          </cell>
          <cell r="O338">
            <v>12</v>
          </cell>
          <cell r="V338" t="str">
            <v>*</v>
          </cell>
          <cell r="X338" t="e">
            <v>#N/A</v>
          </cell>
        </row>
        <row r="339">
          <cell r="G339" t="str">
            <v>SRI VENKATESWARA PHARMACEUTICALS</v>
          </cell>
          <cell r="I339">
            <v>-873.6</v>
          </cell>
          <cell r="J339">
            <v>0</v>
          </cell>
          <cell r="K339">
            <v>0</v>
          </cell>
          <cell r="L339">
            <v>-873.6</v>
          </cell>
          <cell r="N339">
            <v>-873.6</v>
          </cell>
          <cell r="O339">
            <v>12</v>
          </cell>
          <cell r="V339" t="str">
            <v>*</v>
          </cell>
          <cell r="X339" t="e">
            <v>#N/A</v>
          </cell>
        </row>
        <row r="340">
          <cell r="G340" t="str">
            <v>SABERWAL SURGICALS CO. PVT. LTD.</v>
          </cell>
          <cell r="I340">
            <v>-12896</v>
          </cell>
          <cell r="J340">
            <v>23712</v>
          </cell>
          <cell r="K340">
            <v>33072</v>
          </cell>
          <cell r="L340">
            <v>-22256</v>
          </cell>
          <cell r="N340">
            <v>-22256</v>
          </cell>
          <cell r="O340">
            <v>12</v>
          </cell>
          <cell r="V340" t="str">
            <v>*</v>
          </cell>
          <cell r="X340" t="e">
            <v>#N/A</v>
          </cell>
        </row>
        <row r="341">
          <cell r="G341" t="str">
            <v>SABERWAL SURGICALS</v>
          </cell>
          <cell r="I341">
            <v>116377.66</v>
          </cell>
          <cell r="J341">
            <v>23712</v>
          </cell>
          <cell r="K341">
            <v>23712</v>
          </cell>
          <cell r="L341">
            <v>116377.66</v>
          </cell>
          <cell r="N341" t="str">
            <v/>
          </cell>
          <cell r="O341">
            <v>12</v>
          </cell>
          <cell r="V341" t="str">
            <v>*</v>
          </cell>
          <cell r="X341" t="e">
            <v>#N/A</v>
          </cell>
        </row>
        <row r="342">
          <cell r="G342" t="str">
            <v>ESTOMA SERVICE CENTRE</v>
          </cell>
          <cell r="I342">
            <v>27000</v>
          </cell>
          <cell r="J342">
            <v>0</v>
          </cell>
          <cell r="K342">
            <v>0</v>
          </cell>
          <cell r="L342">
            <v>27000</v>
          </cell>
          <cell r="N342" t="str">
            <v/>
          </cell>
          <cell r="O342">
            <v>12</v>
          </cell>
          <cell r="V342" t="str">
            <v>*</v>
          </cell>
          <cell r="X342" t="e">
            <v>#N/A</v>
          </cell>
        </row>
        <row r="343">
          <cell r="G343" t="str">
            <v>GOVT KILPAUK MEDICAL COLLEGE HOSPITAL</v>
          </cell>
          <cell r="I343">
            <v>16028</v>
          </cell>
          <cell r="J343">
            <v>0</v>
          </cell>
          <cell r="K343">
            <v>0</v>
          </cell>
          <cell r="L343">
            <v>16028</v>
          </cell>
          <cell r="N343" t="str">
            <v/>
          </cell>
          <cell r="O343">
            <v>12</v>
          </cell>
          <cell r="V343" t="str">
            <v>*</v>
          </cell>
          <cell r="X343" t="e">
            <v>#N/A</v>
          </cell>
        </row>
        <row r="344">
          <cell r="G344" t="str">
            <v>GOVT GENERAL  HOSPITAL</v>
          </cell>
          <cell r="I344">
            <v>37440</v>
          </cell>
          <cell r="J344">
            <v>0</v>
          </cell>
          <cell r="K344">
            <v>0</v>
          </cell>
          <cell r="L344">
            <v>37440</v>
          </cell>
          <cell r="N344" t="str">
            <v/>
          </cell>
          <cell r="O344">
            <v>12</v>
          </cell>
          <cell r="V344" t="str">
            <v>*</v>
          </cell>
          <cell r="X344" t="e">
            <v>#N/A</v>
          </cell>
        </row>
        <row r="345">
          <cell r="G345" t="str">
            <v>HIMAT MEDICAL STORES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N345" t="str">
            <v/>
          </cell>
          <cell r="O345">
            <v>12</v>
          </cell>
          <cell r="V345" t="str">
            <v>*</v>
          </cell>
          <cell r="X345" t="e">
            <v>#N/A</v>
          </cell>
        </row>
        <row r="346">
          <cell r="G346" t="str">
            <v>MBBS   ENTERPRISES</v>
          </cell>
          <cell r="I346">
            <v>9568</v>
          </cell>
          <cell r="J346">
            <v>0</v>
          </cell>
          <cell r="K346">
            <v>0</v>
          </cell>
          <cell r="L346">
            <v>9568</v>
          </cell>
          <cell r="N346" t="str">
            <v/>
          </cell>
          <cell r="O346">
            <v>12</v>
          </cell>
          <cell r="V346" t="str">
            <v>*</v>
          </cell>
          <cell r="X346" t="e">
            <v>#N/A</v>
          </cell>
        </row>
        <row r="347">
          <cell r="G347" t="str">
            <v>MEDIHAUXE ASSOCIATES  MADRAS</v>
          </cell>
          <cell r="I347">
            <v>27235.31</v>
          </cell>
          <cell r="J347">
            <v>0</v>
          </cell>
          <cell r="K347">
            <v>0</v>
          </cell>
          <cell r="L347">
            <v>27235.31</v>
          </cell>
          <cell r="N347" t="str">
            <v/>
          </cell>
          <cell r="O347">
            <v>12</v>
          </cell>
          <cell r="V347" t="str">
            <v>*</v>
          </cell>
          <cell r="X347" t="e">
            <v>#N/A</v>
          </cell>
        </row>
        <row r="348">
          <cell r="G348" t="str">
            <v>MILLION  PHARAM</v>
          </cell>
          <cell r="I348">
            <v>14451.8</v>
          </cell>
          <cell r="J348">
            <v>0</v>
          </cell>
          <cell r="K348">
            <v>0</v>
          </cell>
          <cell r="L348">
            <v>14451.8</v>
          </cell>
          <cell r="N348" t="str">
            <v/>
          </cell>
          <cell r="O348">
            <v>12</v>
          </cell>
          <cell r="V348" t="str">
            <v>*</v>
          </cell>
          <cell r="X348" t="e">
            <v>#N/A</v>
          </cell>
        </row>
        <row r="349">
          <cell r="G349" t="str">
            <v>O K MEDICAL AGENCIES</v>
          </cell>
          <cell r="I349">
            <v>176457.97</v>
          </cell>
          <cell r="J349">
            <v>0</v>
          </cell>
          <cell r="K349">
            <v>0</v>
          </cell>
          <cell r="L349">
            <v>176457.97</v>
          </cell>
          <cell r="N349" t="str">
            <v/>
          </cell>
          <cell r="O349">
            <v>12</v>
          </cell>
          <cell r="V349" t="str">
            <v>*</v>
          </cell>
          <cell r="X349" t="e">
            <v>#N/A</v>
          </cell>
        </row>
        <row r="350">
          <cell r="G350" t="str">
            <v>ROENTGEN CHEMICALS &amp; ALLIED PRODUCTS</v>
          </cell>
          <cell r="I350">
            <v>276229</v>
          </cell>
          <cell r="J350">
            <v>269480</v>
          </cell>
          <cell r="K350">
            <v>707072.8</v>
          </cell>
          <cell r="L350">
            <v>-161363.79999999999</v>
          </cell>
          <cell r="N350">
            <v>-161363.79999999999</v>
          </cell>
          <cell r="O350">
            <v>12</v>
          </cell>
          <cell r="V350" t="str">
            <v>*</v>
          </cell>
          <cell r="X350" t="e">
            <v>#N/A</v>
          </cell>
        </row>
        <row r="351">
          <cell r="G351" t="str">
            <v>OM AGENCIES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N351" t="str">
            <v/>
          </cell>
          <cell r="O351">
            <v>12</v>
          </cell>
          <cell r="V351" t="str">
            <v>*</v>
          </cell>
          <cell r="X351" t="e">
            <v>#N/A</v>
          </cell>
        </row>
        <row r="352">
          <cell r="G352" t="str">
            <v>ADVANCE SURGICALS PVT. LTD</v>
          </cell>
          <cell r="I352">
            <v>-3.64</v>
          </cell>
          <cell r="J352">
            <v>0</v>
          </cell>
          <cell r="K352">
            <v>0</v>
          </cell>
          <cell r="L352">
            <v>-3.64</v>
          </cell>
          <cell r="N352">
            <v>-3.64</v>
          </cell>
          <cell r="O352">
            <v>12</v>
          </cell>
          <cell r="V352" t="str">
            <v>*</v>
          </cell>
          <cell r="X352" t="e">
            <v>#N/A</v>
          </cell>
        </row>
        <row r="353">
          <cell r="G353" t="str">
            <v>PIKAYS MEDICO SURGICAL</v>
          </cell>
          <cell r="I353">
            <v>62516.46</v>
          </cell>
          <cell r="J353">
            <v>0</v>
          </cell>
          <cell r="K353">
            <v>0</v>
          </cell>
          <cell r="L353">
            <v>62516.46</v>
          </cell>
          <cell r="N353" t="str">
            <v/>
          </cell>
          <cell r="O353">
            <v>12</v>
          </cell>
          <cell r="V353" t="str">
            <v>*</v>
          </cell>
          <cell r="X353" t="e">
            <v>#N/A</v>
          </cell>
        </row>
        <row r="354">
          <cell r="G354" t="str">
            <v>THE SOUTH INDIA SURGICAL CO. LTD.</v>
          </cell>
          <cell r="I354">
            <v>3520.38</v>
          </cell>
          <cell r="J354">
            <v>0</v>
          </cell>
          <cell r="K354">
            <v>0</v>
          </cell>
          <cell r="L354">
            <v>3520.38</v>
          </cell>
          <cell r="N354" t="str">
            <v/>
          </cell>
          <cell r="O354">
            <v>12</v>
          </cell>
          <cell r="V354" t="str">
            <v>*</v>
          </cell>
          <cell r="X354" t="e">
            <v>#N/A</v>
          </cell>
        </row>
        <row r="355">
          <cell r="G355" t="str">
            <v>APOLLO HOSPITALS LIMITED.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N355" t="str">
            <v/>
          </cell>
          <cell r="O355">
            <v>12</v>
          </cell>
          <cell r="V355" t="str">
            <v>*</v>
          </cell>
          <cell r="X355" t="e">
            <v>#N/A</v>
          </cell>
        </row>
        <row r="356">
          <cell r="G356" t="str">
            <v>SHRI RAMCHANDRA HOSPITAL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N356" t="str">
            <v/>
          </cell>
          <cell r="O356">
            <v>12</v>
          </cell>
          <cell r="V356" t="str">
            <v>*</v>
          </cell>
          <cell r="X356" t="e">
            <v>#N/A</v>
          </cell>
        </row>
        <row r="357">
          <cell r="G357" t="str">
            <v>HEALTH CARE INDIA LIMITED</v>
          </cell>
          <cell r="I357">
            <v>64483.21</v>
          </cell>
          <cell r="J357">
            <v>0</v>
          </cell>
          <cell r="K357">
            <v>0</v>
          </cell>
          <cell r="L357">
            <v>64483.21</v>
          </cell>
          <cell r="N357" t="str">
            <v/>
          </cell>
          <cell r="O357">
            <v>12</v>
          </cell>
          <cell r="V357" t="str">
            <v>*</v>
          </cell>
          <cell r="X357" t="e">
            <v>#N/A</v>
          </cell>
        </row>
        <row r="358">
          <cell r="G358" t="str">
            <v>MEDICAL SERVICES CORPORATION</v>
          </cell>
          <cell r="I358">
            <v>516835.89</v>
          </cell>
          <cell r="J358">
            <v>0</v>
          </cell>
          <cell r="K358">
            <v>0</v>
          </cell>
          <cell r="L358">
            <v>516835.89</v>
          </cell>
          <cell r="N358" t="str">
            <v/>
          </cell>
          <cell r="O358">
            <v>12</v>
          </cell>
          <cell r="V358" t="str">
            <v>*</v>
          </cell>
          <cell r="X358" t="e">
            <v>#N/A</v>
          </cell>
        </row>
        <row r="359">
          <cell r="G359" t="str">
            <v>SETH IMPEX</v>
          </cell>
          <cell r="I359">
            <v>0</v>
          </cell>
          <cell r="J359">
            <v>379925</v>
          </cell>
          <cell r="K359">
            <v>50000</v>
          </cell>
          <cell r="L359">
            <v>329925</v>
          </cell>
          <cell r="N359" t="str">
            <v/>
          </cell>
          <cell r="O359">
            <v>12</v>
          </cell>
          <cell r="V359" t="str">
            <v>*</v>
          </cell>
          <cell r="X359" t="e">
            <v>#N/A</v>
          </cell>
        </row>
        <row r="360">
          <cell r="G360" t="str">
            <v>MULTICARE MEDICAL EQIPMENT LTD.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N360" t="str">
            <v/>
          </cell>
          <cell r="O360">
            <v>12</v>
          </cell>
          <cell r="V360" t="str">
            <v>*</v>
          </cell>
          <cell r="X360" t="e">
            <v>#N/A</v>
          </cell>
        </row>
        <row r="361">
          <cell r="G361" t="str">
            <v>GOLDEN HARVEST INDUSTRIES</v>
          </cell>
          <cell r="I361">
            <v>-4872.32</v>
          </cell>
          <cell r="J361">
            <v>154756</v>
          </cell>
          <cell r="K361">
            <v>199627</v>
          </cell>
          <cell r="L361">
            <v>-49743.32</v>
          </cell>
          <cell r="N361">
            <v>-49743.32</v>
          </cell>
          <cell r="O361">
            <v>12</v>
          </cell>
          <cell r="V361" t="str">
            <v>*</v>
          </cell>
          <cell r="X361" t="e">
            <v>#N/A</v>
          </cell>
        </row>
        <row r="362">
          <cell r="G362" t="str">
            <v>S.S. CHEMICALS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N362" t="str">
            <v/>
          </cell>
          <cell r="O362">
            <v>12</v>
          </cell>
          <cell r="V362" t="str">
            <v>*</v>
          </cell>
          <cell r="X362" t="e">
            <v>#N/A</v>
          </cell>
        </row>
        <row r="363">
          <cell r="G363" t="str">
            <v>ESSAR MEDITECH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N363" t="str">
            <v/>
          </cell>
          <cell r="O363">
            <v>12</v>
          </cell>
          <cell r="V363" t="str">
            <v>*</v>
          </cell>
          <cell r="X363" t="e">
            <v>#N/A</v>
          </cell>
        </row>
        <row r="364">
          <cell r="G364" t="str">
            <v>INST. OF CHILD HEALTH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N364" t="str">
            <v/>
          </cell>
          <cell r="O364">
            <v>12</v>
          </cell>
          <cell r="V364" t="str">
            <v>*</v>
          </cell>
          <cell r="X364" t="e">
            <v>#N/A</v>
          </cell>
        </row>
        <row r="365">
          <cell r="G365" t="str">
            <v>IMMUNE BIO-MEDICAL SYSTEMS</v>
          </cell>
          <cell r="I365">
            <v>-569.72</v>
          </cell>
          <cell r="J365">
            <v>0</v>
          </cell>
          <cell r="K365">
            <v>0</v>
          </cell>
          <cell r="L365">
            <v>-569.72</v>
          </cell>
          <cell r="N365">
            <v>-569.72</v>
          </cell>
          <cell r="O365">
            <v>12</v>
          </cell>
          <cell r="V365" t="str">
            <v>*</v>
          </cell>
          <cell r="X365" t="e">
            <v>#N/A</v>
          </cell>
        </row>
        <row r="366">
          <cell r="G366" t="str">
            <v>GAP ENTERPRISE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N366" t="str">
            <v/>
          </cell>
          <cell r="O366">
            <v>12</v>
          </cell>
          <cell r="V366" t="str">
            <v>*</v>
          </cell>
          <cell r="X366" t="e">
            <v>#N/A</v>
          </cell>
        </row>
        <row r="367">
          <cell r="G367" t="str">
            <v>BIO VISION MEDICAL SYSTEMS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N367" t="str">
            <v/>
          </cell>
          <cell r="O367">
            <v>12</v>
          </cell>
          <cell r="V367" t="str">
            <v>*</v>
          </cell>
          <cell r="X367" t="e">
            <v>#N/A</v>
          </cell>
        </row>
        <row r="368">
          <cell r="G368" t="str">
            <v>TAMIL NADU MEDICAL SERVICES CORPORATION(PREM PHARMA)</v>
          </cell>
          <cell r="I368">
            <v>1285825</v>
          </cell>
          <cell r="J368">
            <v>0</v>
          </cell>
          <cell r="K368">
            <v>0</v>
          </cell>
          <cell r="L368">
            <v>1285825</v>
          </cell>
          <cell r="N368" t="str">
            <v/>
          </cell>
          <cell r="O368">
            <v>12</v>
          </cell>
          <cell r="V368" t="str">
            <v>*</v>
          </cell>
          <cell r="X368" t="e">
            <v>#N/A</v>
          </cell>
        </row>
        <row r="369">
          <cell r="G369" t="str">
            <v>MAJESTIC MEDICAL SYSTEM</v>
          </cell>
          <cell r="I369">
            <v>-3416.32</v>
          </cell>
          <cell r="J369">
            <v>0</v>
          </cell>
          <cell r="K369">
            <v>0</v>
          </cell>
          <cell r="L369">
            <v>-3416.32</v>
          </cell>
          <cell r="N369">
            <v>-3416.32</v>
          </cell>
          <cell r="O369">
            <v>12</v>
          </cell>
          <cell r="V369" t="str">
            <v>*</v>
          </cell>
          <cell r="X369" t="e">
            <v>#N/A</v>
          </cell>
        </row>
        <row r="370">
          <cell r="G370" t="str">
            <v>ANGIO CARE PVT. LTD.</v>
          </cell>
          <cell r="I370">
            <v>-555</v>
          </cell>
          <cell r="J370">
            <v>0</v>
          </cell>
          <cell r="K370">
            <v>0</v>
          </cell>
          <cell r="L370">
            <v>-555</v>
          </cell>
          <cell r="N370">
            <v>-555</v>
          </cell>
          <cell r="O370">
            <v>12</v>
          </cell>
          <cell r="V370" t="str">
            <v>*</v>
          </cell>
          <cell r="X370" t="e">
            <v>#N/A</v>
          </cell>
        </row>
        <row r="371">
          <cell r="G371" t="str">
            <v>DISTRIBUTION POINT</v>
          </cell>
          <cell r="I371">
            <v>-2330</v>
          </cell>
          <cell r="J371">
            <v>0</v>
          </cell>
          <cell r="K371">
            <v>0</v>
          </cell>
          <cell r="L371">
            <v>-2330</v>
          </cell>
          <cell r="N371">
            <v>-2330</v>
          </cell>
          <cell r="O371">
            <v>12</v>
          </cell>
          <cell r="V371" t="str">
            <v>*</v>
          </cell>
          <cell r="X371" t="e">
            <v>#N/A</v>
          </cell>
        </row>
        <row r="372">
          <cell r="G372" t="str">
            <v>GLOBAL MEDICARE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N372" t="str">
            <v/>
          </cell>
          <cell r="O372">
            <v>12</v>
          </cell>
          <cell r="V372" t="str">
            <v>*</v>
          </cell>
          <cell r="X372" t="e">
            <v>#N/A</v>
          </cell>
        </row>
        <row r="373">
          <cell r="G373" t="str">
            <v>S.S. NIMS MEDICAL HALL</v>
          </cell>
          <cell r="I373">
            <v>-3694</v>
          </cell>
          <cell r="J373">
            <v>0</v>
          </cell>
          <cell r="K373">
            <v>0</v>
          </cell>
          <cell r="L373">
            <v>-3694</v>
          </cell>
          <cell r="N373">
            <v>-3694</v>
          </cell>
          <cell r="O373">
            <v>12</v>
          </cell>
          <cell r="V373" t="str">
            <v>*</v>
          </cell>
          <cell r="X373" t="e">
            <v>#N/A</v>
          </cell>
        </row>
        <row r="374">
          <cell r="G374" t="str">
            <v>VINAYAK ENTERPRISES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N374" t="str">
            <v/>
          </cell>
          <cell r="O374">
            <v>12</v>
          </cell>
          <cell r="V374" t="str">
            <v>*</v>
          </cell>
          <cell r="X374" t="e">
            <v>#N/A</v>
          </cell>
        </row>
        <row r="375">
          <cell r="G375" t="str">
            <v>MEDIHAUXE INTERNATIONAL - PATTAPARTHI</v>
          </cell>
          <cell r="I375">
            <v>5477.16</v>
          </cell>
          <cell r="J375">
            <v>0</v>
          </cell>
          <cell r="K375">
            <v>0</v>
          </cell>
          <cell r="L375">
            <v>5477.16</v>
          </cell>
          <cell r="N375" t="str">
            <v/>
          </cell>
          <cell r="O375">
            <v>12</v>
          </cell>
          <cell r="V375" t="str">
            <v>*</v>
          </cell>
          <cell r="X375" t="e">
            <v>#N/A</v>
          </cell>
        </row>
        <row r="376">
          <cell r="G376" t="str">
            <v>HEALTH CARE NEEDS</v>
          </cell>
          <cell r="I376">
            <v>32500</v>
          </cell>
          <cell r="J376">
            <v>0</v>
          </cell>
          <cell r="K376">
            <v>32500</v>
          </cell>
          <cell r="L376">
            <v>0</v>
          </cell>
          <cell r="N376" t="str">
            <v/>
          </cell>
          <cell r="O376">
            <v>12</v>
          </cell>
          <cell r="V376" t="str">
            <v>*</v>
          </cell>
          <cell r="X376" t="e">
            <v>#N/A</v>
          </cell>
        </row>
        <row r="377">
          <cell r="G377" t="str">
            <v>HEALTH CARE (INDIA)  LIMITED    HYDERABAD</v>
          </cell>
          <cell r="I377">
            <v>21983.19</v>
          </cell>
          <cell r="J377">
            <v>0</v>
          </cell>
          <cell r="K377">
            <v>0</v>
          </cell>
          <cell r="L377">
            <v>21983.19</v>
          </cell>
          <cell r="N377" t="str">
            <v/>
          </cell>
          <cell r="O377">
            <v>12</v>
          </cell>
          <cell r="V377" t="str">
            <v>*</v>
          </cell>
          <cell r="X377" t="e">
            <v>#N/A</v>
          </cell>
        </row>
        <row r="378">
          <cell r="G378" t="str">
            <v>VISHAL PHARMA</v>
          </cell>
          <cell r="I378">
            <v>-887</v>
          </cell>
          <cell r="J378">
            <v>0</v>
          </cell>
          <cell r="K378">
            <v>0</v>
          </cell>
          <cell r="L378">
            <v>-887</v>
          </cell>
          <cell r="N378">
            <v>-887</v>
          </cell>
          <cell r="O378">
            <v>12</v>
          </cell>
          <cell r="V378" t="str">
            <v>*</v>
          </cell>
          <cell r="X378" t="e">
            <v>#N/A</v>
          </cell>
        </row>
        <row r="379">
          <cell r="G379" t="str">
            <v>PIONEER MARKETING AGENCIES</v>
          </cell>
          <cell r="I379">
            <v>14680.64</v>
          </cell>
          <cell r="J379">
            <v>0</v>
          </cell>
          <cell r="K379">
            <v>0</v>
          </cell>
          <cell r="L379">
            <v>14680.64</v>
          </cell>
          <cell r="N379" t="str">
            <v/>
          </cell>
          <cell r="O379">
            <v>12</v>
          </cell>
          <cell r="V379" t="str">
            <v>*</v>
          </cell>
          <cell r="X379" t="e">
            <v>#N/A</v>
          </cell>
        </row>
        <row r="380">
          <cell r="G380" t="str">
            <v>HEALTH CARE SUPPLIES</v>
          </cell>
          <cell r="I380">
            <v>1846000</v>
          </cell>
          <cell r="J380">
            <v>11349800</v>
          </cell>
          <cell r="K380">
            <v>9807800</v>
          </cell>
          <cell r="L380">
            <v>3388000</v>
          </cell>
          <cell r="N380" t="str">
            <v/>
          </cell>
          <cell r="O380">
            <v>12</v>
          </cell>
          <cell r="V380" t="str">
            <v>*</v>
          </cell>
          <cell r="X380" t="e">
            <v>#N/A</v>
          </cell>
        </row>
        <row r="381">
          <cell r="G381" t="str">
            <v>SHETH IMPEX</v>
          </cell>
          <cell r="I381">
            <v>-356.88</v>
          </cell>
          <cell r="J381">
            <v>180000</v>
          </cell>
          <cell r="K381">
            <v>0</v>
          </cell>
          <cell r="L381">
            <v>179643.12</v>
          </cell>
          <cell r="N381" t="str">
            <v/>
          </cell>
          <cell r="O381">
            <v>12</v>
          </cell>
          <cell r="V381" t="str">
            <v>*</v>
          </cell>
          <cell r="X381" t="e">
            <v>#N/A</v>
          </cell>
        </row>
        <row r="382">
          <cell r="G382" t="str">
            <v>UNITED PHARMA</v>
          </cell>
          <cell r="I382">
            <v>-7100.2</v>
          </cell>
          <cell r="J382">
            <v>0</v>
          </cell>
          <cell r="K382">
            <v>0</v>
          </cell>
          <cell r="L382">
            <v>-7100.2</v>
          </cell>
          <cell r="N382">
            <v>-7100.2</v>
          </cell>
          <cell r="O382">
            <v>12</v>
          </cell>
          <cell r="V382" t="str">
            <v>*</v>
          </cell>
          <cell r="X382" t="e">
            <v>#N/A</v>
          </cell>
        </row>
        <row r="383">
          <cell r="G383" t="str">
            <v>BANGALORE SURGICALS</v>
          </cell>
          <cell r="I383">
            <v>12322041.58</v>
          </cell>
          <cell r="J383">
            <v>5590200</v>
          </cell>
          <cell r="K383">
            <v>14590200</v>
          </cell>
          <cell r="L383">
            <v>3244800</v>
          </cell>
          <cell r="N383" t="str">
            <v/>
          </cell>
          <cell r="O383">
            <v>12</v>
          </cell>
          <cell r="V383" t="str">
            <v>*</v>
          </cell>
          <cell r="X383" t="e">
            <v>#N/A</v>
          </cell>
        </row>
        <row r="384">
          <cell r="G384" t="str">
            <v>SABERWAL SURGICALS PONDICHERRY</v>
          </cell>
          <cell r="I384">
            <v>69425</v>
          </cell>
          <cell r="J384">
            <v>0</v>
          </cell>
          <cell r="K384">
            <v>0</v>
          </cell>
          <cell r="L384">
            <v>69425</v>
          </cell>
          <cell r="N384" t="str">
            <v/>
          </cell>
          <cell r="O384">
            <v>12</v>
          </cell>
          <cell r="V384" t="str">
            <v>*</v>
          </cell>
          <cell r="X384" t="e">
            <v>#N/A</v>
          </cell>
        </row>
        <row r="385">
          <cell r="G385" t="str">
            <v>OM AGENCIES.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N385" t="str">
            <v/>
          </cell>
          <cell r="O385">
            <v>12</v>
          </cell>
          <cell r="V385" t="str">
            <v>*</v>
          </cell>
          <cell r="X385" t="e">
            <v>#N/A</v>
          </cell>
        </row>
        <row r="386">
          <cell r="G386" t="str">
            <v>ROENTGEN CHEMICALS AND ALLIED PRODUCTS.</v>
          </cell>
          <cell r="I386">
            <v>-15.6</v>
          </cell>
          <cell r="J386">
            <v>0</v>
          </cell>
          <cell r="K386">
            <v>0</v>
          </cell>
          <cell r="L386">
            <v>-15.6</v>
          </cell>
          <cell r="N386">
            <v>-15.6</v>
          </cell>
          <cell r="O386">
            <v>12</v>
          </cell>
          <cell r="V386" t="str">
            <v>*</v>
          </cell>
          <cell r="X386" t="e">
            <v>#N/A</v>
          </cell>
        </row>
        <row r="387">
          <cell r="G387" t="str">
            <v>SIDDHI PHARMA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N387" t="str">
            <v/>
          </cell>
          <cell r="O387">
            <v>12</v>
          </cell>
          <cell r="V387" t="str">
            <v>*</v>
          </cell>
          <cell r="X387" t="e">
            <v>#N/A</v>
          </cell>
        </row>
        <row r="388">
          <cell r="G388" t="str">
            <v>MONARCH ENTERPRISES</v>
          </cell>
          <cell r="I388">
            <v>19886.5</v>
          </cell>
          <cell r="J388">
            <v>719379.6</v>
          </cell>
          <cell r="K388">
            <v>755155.8</v>
          </cell>
          <cell r="L388">
            <v>-15889.7</v>
          </cell>
          <cell r="N388">
            <v>-15889.7</v>
          </cell>
          <cell r="O388">
            <v>12</v>
          </cell>
          <cell r="V388" t="str">
            <v>*</v>
          </cell>
          <cell r="X388" t="e">
            <v>#N/A</v>
          </cell>
        </row>
        <row r="389">
          <cell r="G389" t="str">
            <v>GOMATHI PHOTO STORES</v>
          </cell>
          <cell r="I389">
            <v>-434</v>
          </cell>
          <cell r="J389">
            <v>65352</v>
          </cell>
          <cell r="K389">
            <v>65352</v>
          </cell>
          <cell r="L389">
            <v>-434</v>
          </cell>
          <cell r="N389">
            <v>-434</v>
          </cell>
          <cell r="O389">
            <v>12</v>
          </cell>
          <cell r="V389" t="str">
            <v>*</v>
          </cell>
          <cell r="X389" t="e">
            <v>#N/A</v>
          </cell>
        </row>
        <row r="390">
          <cell r="G390" t="str">
            <v>CHRISTIAN MEDICAL COLLEGE &amp; HOSPITAL</v>
          </cell>
          <cell r="I390">
            <v>108992</v>
          </cell>
          <cell r="J390">
            <v>0</v>
          </cell>
          <cell r="K390">
            <v>0</v>
          </cell>
          <cell r="L390">
            <v>108992</v>
          </cell>
          <cell r="N390" t="str">
            <v/>
          </cell>
          <cell r="O390">
            <v>12</v>
          </cell>
          <cell r="V390" t="str">
            <v>*</v>
          </cell>
          <cell r="X390" t="e">
            <v>#N/A</v>
          </cell>
        </row>
        <row r="391">
          <cell r="G391" t="str">
            <v>AMAR ENTERPRISES</v>
          </cell>
          <cell r="I391">
            <v>-386</v>
          </cell>
          <cell r="J391">
            <v>0</v>
          </cell>
          <cell r="K391">
            <v>0</v>
          </cell>
          <cell r="L391">
            <v>-386</v>
          </cell>
          <cell r="N391">
            <v>-386</v>
          </cell>
          <cell r="O391">
            <v>12</v>
          </cell>
          <cell r="V391" t="str">
            <v>*</v>
          </cell>
          <cell r="X391" t="e">
            <v>#N/A</v>
          </cell>
        </row>
        <row r="392">
          <cell r="G392" t="str">
            <v>APRA NURSING HOME, ANAND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N392" t="str">
            <v/>
          </cell>
          <cell r="O392">
            <v>12</v>
          </cell>
          <cell r="V392" t="str">
            <v>*</v>
          </cell>
          <cell r="X392" t="e">
            <v>#N/A</v>
          </cell>
        </row>
        <row r="393">
          <cell r="G393" t="str">
            <v>KESHAV ENTERPRISES</v>
          </cell>
          <cell r="I393">
            <v>-26942.59</v>
          </cell>
          <cell r="J393">
            <v>253314.4</v>
          </cell>
          <cell r="K393">
            <v>131872</v>
          </cell>
          <cell r="L393">
            <v>94499.81</v>
          </cell>
          <cell r="N393" t="str">
            <v/>
          </cell>
          <cell r="O393">
            <v>12</v>
          </cell>
          <cell r="V393" t="str">
            <v>*</v>
          </cell>
          <cell r="X393" t="e">
            <v>#N/A</v>
          </cell>
        </row>
        <row r="394">
          <cell r="G394" t="str">
            <v>U.N. MEHTA INSTITUTE OF CARDIO &amp; REC</v>
          </cell>
          <cell r="I394">
            <v>-36312</v>
          </cell>
          <cell r="J394">
            <v>0</v>
          </cell>
          <cell r="K394">
            <v>0</v>
          </cell>
          <cell r="L394">
            <v>-36312</v>
          </cell>
          <cell r="N394">
            <v>-36312</v>
          </cell>
          <cell r="O394">
            <v>12</v>
          </cell>
          <cell r="V394" t="str">
            <v>*</v>
          </cell>
          <cell r="X394" t="e">
            <v>#N/A</v>
          </cell>
        </row>
        <row r="395">
          <cell r="G395" t="str">
            <v>DR. MUKUR PETROLWALA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N395" t="str">
            <v/>
          </cell>
          <cell r="O395">
            <v>12</v>
          </cell>
          <cell r="V395" t="str">
            <v>*</v>
          </cell>
          <cell r="X395" t="e">
            <v>#N/A</v>
          </cell>
        </row>
        <row r="396">
          <cell r="G396" t="str">
            <v>DESAI AGENCIES</v>
          </cell>
          <cell r="I396">
            <v>-1348.96</v>
          </cell>
          <cell r="J396">
            <v>65000</v>
          </cell>
          <cell r="K396">
            <v>67184</v>
          </cell>
          <cell r="L396">
            <v>-3532.96</v>
          </cell>
          <cell r="N396">
            <v>-3532.96</v>
          </cell>
          <cell r="O396">
            <v>12</v>
          </cell>
          <cell r="V396" t="str">
            <v>*</v>
          </cell>
          <cell r="X396" t="e">
            <v>#N/A</v>
          </cell>
        </row>
        <row r="397">
          <cell r="G397" t="str">
            <v>RAJASTHAN HOSPITALS</v>
          </cell>
          <cell r="I397">
            <v>708.96</v>
          </cell>
          <cell r="J397">
            <v>0</v>
          </cell>
          <cell r="K397">
            <v>0</v>
          </cell>
          <cell r="L397">
            <v>708.96</v>
          </cell>
          <cell r="N397" t="str">
            <v/>
          </cell>
          <cell r="O397">
            <v>12</v>
          </cell>
          <cell r="V397" t="str">
            <v>*</v>
          </cell>
          <cell r="X397" t="e">
            <v>#N/A</v>
          </cell>
        </row>
        <row r="398">
          <cell r="G398" t="str">
            <v>AVANTI SURGICO SALES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N398" t="str">
            <v/>
          </cell>
          <cell r="O398">
            <v>12</v>
          </cell>
          <cell r="V398" t="str">
            <v>*</v>
          </cell>
          <cell r="X398" t="e">
            <v>#N/A</v>
          </cell>
        </row>
        <row r="399">
          <cell r="G399" t="str">
            <v>KRISHNA HEART INSTITUTE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N399" t="str">
            <v/>
          </cell>
          <cell r="O399">
            <v>12</v>
          </cell>
          <cell r="V399" t="str">
            <v>*</v>
          </cell>
          <cell r="X399" t="e">
            <v>#N/A</v>
          </cell>
        </row>
        <row r="400">
          <cell r="G400" t="str">
            <v>NEEL CORPORATION</v>
          </cell>
          <cell r="I400">
            <v>2520</v>
          </cell>
          <cell r="J400">
            <v>0</v>
          </cell>
          <cell r="K400">
            <v>0</v>
          </cell>
          <cell r="L400">
            <v>2520</v>
          </cell>
          <cell r="N400" t="str">
            <v/>
          </cell>
          <cell r="O400">
            <v>12</v>
          </cell>
          <cell r="V400" t="str">
            <v>*</v>
          </cell>
          <cell r="X400" t="e">
            <v>#N/A</v>
          </cell>
        </row>
        <row r="401">
          <cell r="G401" t="str">
            <v>DYNAMIC MARKETING HOUSE</v>
          </cell>
          <cell r="I401">
            <v>-970.01</v>
          </cell>
          <cell r="J401">
            <v>0</v>
          </cell>
          <cell r="K401">
            <v>0</v>
          </cell>
          <cell r="L401">
            <v>-970.01</v>
          </cell>
          <cell r="N401">
            <v>-970.01</v>
          </cell>
          <cell r="O401">
            <v>12</v>
          </cell>
          <cell r="V401" t="str">
            <v>*</v>
          </cell>
          <cell r="X401" t="e">
            <v>#N/A</v>
          </cell>
        </row>
        <row r="402">
          <cell r="G402" t="str">
            <v>YOGESHWAR HEALTHCARE LTD.</v>
          </cell>
          <cell r="I402">
            <v>12</v>
          </cell>
          <cell r="J402">
            <v>0</v>
          </cell>
          <cell r="K402">
            <v>0</v>
          </cell>
          <cell r="L402">
            <v>12</v>
          </cell>
          <cell r="N402" t="str">
            <v/>
          </cell>
          <cell r="O402">
            <v>12</v>
          </cell>
          <cell r="V402" t="str">
            <v>*</v>
          </cell>
          <cell r="X402" t="e">
            <v>#N/A</v>
          </cell>
        </row>
        <row r="403">
          <cell r="G403" t="str">
            <v>MILLENIUM ENTERPRISE</v>
          </cell>
          <cell r="I403">
            <v>-7045.24</v>
          </cell>
          <cell r="J403">
            <v>0</v>
          </cell>
          <cell r="K403">
            <v>0</v>
          </cell>
          <cell r="L403">
            <v>-7045.24</v>
          </cell>
          <cell r="N403">
            <v>-7045.24</v>
          </cell>
          <cell r="O403">
            <v>12</v>
          </cell>
          <cell r="V403" t="str">
            <v>*</v>
          </cell>
          <cell r="X403" t="e">
            <v>#N/A</v>
          </cell>
        </row>
        <row r="404">
          <cell r="G404" t="str">
            <v>UMA SURGICAL</v>
          </cell>
          <cell r="I404">
            <v>-62664</v>
          </cell>
          <cell r="J404">
            <v>82160</v>
          </cell>
          <cell r="K404">
            <v>82400</v>
          </cell>
          <cell r="L404">
            <v>-62904</v>
          </cell>
          <cell r="N404">
            <v>-62904</v>
          </cell>
          <cell r="O404">
            <v>12</v>
          </cell>
          <cell r="V404" t="str">
            <v>*</v>
          </cell>
          <cell r="X404" t="e">
            <v>#N/A</v>
          </cell>
        </row>
        <row r="405">
          <cell r="G405" t="str">
            <v>CURE HOSPICARE INC.</v>
          </cell>
          <cell r="I405">
            <v>0</v>
          </cell>
          <cell r="J405">
            <v>547250</v>
          </cell>
          <cell r="K405">
            <v>547250</v>
          </cell>
          <cell r="L405">
            <v>0</v>
          </cell>
          <cell r="N405" t="str">
            <v/>
          </cell>
          <cell r="O405">
            <v>12</v>
          </cell>
          <cell r="V405" t="str">
            <v>*</v>
          </cell>
          <cell r="X405" t="e">
            <v>#N/A</v>
          </cell>
        </row>
        <row r="406">
          <cell r="G406" t="str">
            <v>KRISHNA ENTERPRISE.</v>
          </cell>
          <cell r="I406">
            <v>-29856</v>
          </cell>
          <cell r="J406">
            <v>209026.12</v>
          </cell>
          <cell r="K406">
            <v>178000</v>
          </cell>
          <cell r="L406">
            <v>1170.1199999999999</v>
          </cell>
          <cell r="N406" t="str">
            <v/>
          </cell>
          <cell r="O406">
            <v>12</v>
          </cell>
          <cell r="V406" t="str">
            <v>*</v>
          </cell>
          <cell r="X406" t="e">
            <v>#N/A</v>
          </cell>
        </row>
        <row r="407">
          <cell r="G407" t="str">
            <v>ROTOVISION INCORPORATED</v>
          </cell>
          <cell r="I407">
            <v>0</v>
          </cell>
          <cell r="J407">
            <v>297688</v>
          </cell>
          <cell r="K407">
            <v>75000</v>
          </cell>
          <cell r="L407">
            <v>222688</v>
          </cell>
          <cell r="N407" t="str">
            <v/>
          </cell>
          <cell r="O407">
            <v>12</v>
          </cell>
          <cell r="V407" t="str">
            <v>*</v>
          </cell>
          <cell r="X407" t="e">
            <v>#N/A</v>
          </cell>
        </row>
        <row r="408">
          <cell r="G408" t="str">
            <v>MAHESH  PHARMACY</v>
          </cell>
          <cell r="I408">
            <v>18032.14</v>
          </cell>
          <cell r="J408">
            <v>0</v>
          </cell>
          <cell r="K408">
            <v>0</v>
          </cell>
          <cell r="L408">
            <v>18032.14</v>
          </cell>
          <cell r="N408" t="str">
            <v/>
          </cell>
          <cell r="O408">
            <v>12</v>
          </cell>
          <cell r="V408" t="str">
            <v>*</v>
          </cell>
          <cell r="X408" t="e">
            <v>#N/A</v>
          </cell>
        </row>
        <row r="409">
          <cell r="G409" t="str">
            <v>V.S.ENTERPRISES</v>
          </cell>
          <cell r="I409">
            <v>-1350</v>
          </cell>
          <cell r="J409">
            <v>0</v>
          </cell>
          <cell r="K409">
            <v>0</v>
          </cell>
          <cell r="L409">
            <v>-1350</v>
          </cell>
          <cell r="N409">
            <v>-1350</v>
          </cell>
          <cell r="O409">
            <v>12</v>
          </cell>
          <cell r="V409" t="str">
            <v>*</v>
          </cell>
          <cell r="X409" t="e">
            <v>#N/A</v>
          </cell>
        </row>
        <row r="410">
          <cell r="G410" t="str">
            <v>HONEST SURGICAL COMPANY</v>
          </cell>
          <cell r="I410">
            <v>-624</v>
          </cell>
          <cell r="J410">
            <v>0</v>
          </cell>
          <cell r="K410">
            <v>0</v>
          </cell>
          <cell r="L410">
            <v>-624</v>
          </cell>
          <cell r="N410">
            <v>-624</v>
          </cell>
          <cell r="O410">
            <v>12</v>
          </cell>
          <cell r="V410" t="str">
            <v>*</v>
          </cell>
          <cell r="X410" t="e">
            <v>#N/A</v>
          </cell>
        </row>
        <row r="411">
          <cell r="G411" t="str">
            <v>PRACHI ENTERPRISES</v>
          </cell>
          <cell r="I411">
            <v>-2196</v>
          </cell>
          <cell r="J411">
            <v>185047.12</v>
          </cell>
          <cell r="K411">
            <v>199200</v>
          </cell>
          <cell r="L411">
            <v>-16348.88</v>
          </cell>
          <cell r="N411">
            <v>-16348.88</v>
          </cell>
          <cell r="O411">
            <v>12</v>
          </cell>
          <cell r="V411" t="str">
            <v>*</v>
          </cell>
          <cell r="X411" t="e">
            <v>#N/A</v>
          </cell>
        </row>
        <row r="412">
          <cell r="G412" t="str">
            <v>CENTRAL MEDICAL STORES BHILAI</v>
          </cell>
          <cell r="I412">
            <v>3150</v>
          </cell>
          <cell r="J412">
            <v>0</v>
          </cell>
          <cell r="K412">
            <v>0</v>
          </cell>
          <cell r="L412">
            <v>3150</v>
          </cell>
          <cell r="N412" t="str">
            <v/>
          </cell>
          <cell r="O412">
            <v>12</v>
          </cell>
          <cell r="V412" t="str">
            <v>*</v>
          </cell>
          <cell r="X412" t="e">
            <v>#N/A</v>
          </cell>
        </row>
        <row r="413">
          <cell r="G413" t="str">
            <v>CASH SURGICALS</v>
          </cell>
          <cell r="I413">
            <v>2.56</v>
          </cell>
          <cell r="J413">
            <v>0</v>
          </cell>
          <cell r="K413">
            <v>0</v>
          </cell>
          <cell r="L413">
            <v>2.56</v>
          </cell>
          <cell r="N413" t="str">
            <v/>
          </cell>
          <cell r="O413">
            <v>12</v>
          </cell>
          <cell r="V413" t="str">
            <v>*</v>
          </cell>
          <cell r="X413" t="e">
            <v>#N/A</v>
          </cell>
        </row>
        <row r="414">
          <cell r="G414" t="str">
            <v>OM CRITICAL CARE CENTRE PVT. LTD.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N414" t="str">
            <v/>
          </cell>
          <cell r="O414">
            <v>12</v>
          </cell>
          <cell r="V414" t="str">
            <v>*</v>
          </cell>
          <cell r="X414" t="e">
            <v>#N/A</v>
          </cell>
        </row>
        <row r="415">
          <cell r="G415" t="str">
            <v>SAI ASSOCIATES</v>
          </cell>
          <cell r="I415">
            <v>29492.92</v>
          </cell>
          <cell r="J415">
            <v>58476</v>
          </cell>
          <cell r="K415">
            <v>185750</v>
          </cell>
          <cell r="L415">
            <v>-97781.08</v>
          </cell>
          <cell r="N415">
            <v>-97781.08</v>
          </cell>
          <cell r="O415">
            <v>12</v>
          </cell>
          <cell r="V415" t="str">
            <v>*</v>
          </cell>
          <cell r="X415" t="e">
            <v>#N/A</v>
          </cell>
        </row>
        <row r="416">
          <cell r="G416" t="str">
            <v>VIMAL SURGICALS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N416" t="str">
            <v/>
          </cell>
          <cell r="O416">
            <v>12</v>
          </cell>
          <cell r="V416" t="str">
            <v>*</v>
          </cell>
          <cell r="X416" t="e">
            <v>#N/A</v>
          </cell>
        </row>
        <row r="417">
          <cell r="G417" t="str">
            <v>CHARAK HOSPITAL</v>
          </cell>
          <cell r="I417">
            <v>9543.5400000000009</v>
          </cell>
          <cell r="J417">
            <v>0</v>
          </cell>
          <cell r="K417">
            <v>0</v>
          </cell>
          <cell r="L417">
            <v>9543.5400000000009</v>
          </cell>
          <cell r="N417" t="str">
            <v/>
          </cell>
          <cell r="O417">
            <v>12</v>
          </cell>
          <cell r="V417" t="str">
            <v>*</v>
          </cell>
          <cell r="X417" t="e">
            <v>#N/A</v>
          </cell>
        </row>
        <row r="418">
          <cell r="G418" t="str">
            <v>CHOITTHRAM HOSPITAL</v>
          </cell>
          <cell r="I418">
            <v>35195.4</v>
          </cell>
          <cell r="J418">
            <v>0</v>
          </cell>
          <cell r="K418">
            <v>0</v>
          </cell>
          <cell r="L418">
            <v>35195.4</v>
          </cell>
          <cell r="N418" t="str">
            <v/>
          </cell>
          <cell r="O418">
            <v>12</v>
          </cell>
          <cell r="V418" t="str">
            <v>*</v>
          </cell>
          <cell r="X418" t="e">
            <v>#N/A</v>
          </cell>
        </row>
        <row r="419">
          <cell r="G419" t="str">
            <v>SHANTHI  MEDICOSE</v>
          </cell>
          <cell r="I419">
            <v>23419.52</v>
          </cell>
          <cell r="J419">
            <v>0</v>
          </cell>
          <cell r="K419">
            <v>0</v>
          </cell>
          <cell r="L419">
            <v>23419.52</v>
          </cell>
          <cell r="N419" t="str">
            <v/>
          </cell>
          <cell r="O419">
            <v>12</v>
          </cell>
          <cell r="V419" t="str">
            <v>*</v>
          </cell>
          <cell r="X419" t="e">
            <v>#N/A</v>
          </cell>
        </row>
        <row r="420">
          <cell r="G420" t="str">
            <v>RAJNI ENTERPRISES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N420" t="str">
            <v/>
          </cell>
          <cell r="O420">
            <v>12</v>
          </cell>
          <cell r="V420" t="str">
            <v>*</v>
          </cell>
          <cell r="X420" t="e">
            <v>#N/A</v>
          </cell>
        </row>
        <row r="421">
          <cell r="G421" t="str">
            <v>SUPER MEDICAL DISTRIBUTORS</v>
          </cell>
          <cell r="I421">
            <v>-80</v>
          </cell>
          <cell r="J421">
            <v>0</v>
          </cell>
          <cell r="K421">
            <v>0</v>
          </cell>
          <cell r="L421">
            <v>-80</v>
          </cell>
          <cell r="N421">
            <v>-80</v>
          </cell>
          <cell r="O421">
            <v>12</v>
          </cell>
          <cell r="V421" t="str">
            <v>*</v>
          </cell>
          <cell r="X421" t="e">
            <v>#N/A</v>
          </cell>
        </row>
        <row r="422">
          <cell r="G422" t="str">
            <v>THE DIRECTOR, WANLESS HOSPITAL</v>
          </cell>
          <cell r="I422">
            <v>15489.61</v>
          </cell>
          <cell r="J422">
            <v>0</v>
          </cell>
          <cell r="K422">
            <v>0</v>
          </cell>
          <cell r="L422">
            <v>15489.61</v>
          </cell>
          <cell r="N422" t="str">
            <v/>
          </cell>
          <cell r="O422">
            <v>12</v>
          </cell>
          <cell r="V422" t="str">
            <v>*</v>
          </cell>
          <cell r="X422" t="e">
            <v>#N/A</v>
          </cell>
        </row>
        <row r="423">
          <cell r="G423" t="str">
            <v>MAHALAKSHMI  HOSPITAL</v>
          </cell>
          <cell r="I423">
            <v>12751.28</v>
          </cell>
          <cell r="J423">
            <v>0</v>
          </cell>
          <cell r="K423">
            <v>0</v>
          </cell>
          <cell r="L423">
            <v>12751.28</v>
          </cell>
          <cell r="N423" t="str">
            <v/>
          </cell>
          <cell r="O423">
            <v>12</v>
          </cell>
          <cell r="V423" t="str">
            <v>*</v>
          </cell>
          <cell r="X423" t="e">
            <v>#N/A</v>
          </cell>
        </row>
        <row r="424">
          <cell r="G424" t="str">
            <v>DATTA MEDICAL STORES</v>
          </cell>
          <cell r="I424">
            <v>8981.2000000000007</v>
          </cell>
          <cell r="J424">
            <v>0</v>
          </cell>
          <cell r="K424">
            <v>0</v>
          </cell>
          <cell r="L424">
            <v>8981.2000000000007</v>
          </cell>
          <cell r="N424" t="str">
            <v/>
          </cell>
          <cell r="O424">
            <v>12</v>
          </cell>
          <cell r="V424" t="str">
            <v>*</v>
          </cell>
          <cell r="X424" t="e">
            <v>#N/A</v>
          </cell>
        </row>
        <row r="425">
          <cell r="G425" t="str">
            <v>ROYAL PHARMA</v>
          </cell>
          <cell r="I425">
            <v>34320</v>
          </cell>
          <cell r="J425">
            <v>0</v>
          </cell>
          <cell r="K425">
            <v>0</v>
          </cell>
          <cell r="L425">
            <v>34320</v>
          </cell>
          <cell r="N425" t="str">
            <v/>
          </cell>
          <cell r="O425">
            <v>12</v>
          </cell>
          <cell r="V425" t="str">
            <v>*</v>
          </cell>
          <cell r="X425" t="e">
            <v>#N/A</v>
          </cell>
        </row>
        <row r="426">
          <cell r="G426" t="str">
            <v>P D HINDUJA HOSPITAL BOMBAY</v>
          </cell>
          <cell r="I426">
            <v>190492.94</v>
          </cell>
          <cell r="J426">
            <v>0</v>
          </cell>
          <cell r="K426">
            <v>9466.8799999999992</v>
          </cell>
          <cell r="L426">
            <v>181026.06</v>
          </cell>
          <cell r="N426" t="str">
            <v/>
          </cell>
          <cell r="O426">
            <v>12</v>
          </cell>
          <cell r="V426" t="str">
            <v>*</v>
          </cell>
          <cell r="X426" t="e">
            <v>#N/A</v>
          </cell>
        </row>
        <row r="427">
          <cell r="G427" t="str">
            <v>MEDICAL RESEARCH CENTRE</v>
          </cell>
          <cell r="I427">
            <v>57638.62</v>
          </cell>
          <cell r="J427">
            <v>0</v>
          </cell>
          <cell r="K427">
            <v>0</v>
          </cell>
          <cell r="L427">
            <v>57638.62</v>
          </cell>
          <cell r="N427" t="str">
            <v/>
          </cell>
          <cell r="O427">
            <v>12</v>
          </cell>
          <cell r="V427" t="str">
            <v>*</v>
          </cell>
          <cell r="X427" t="e">
            <v>#N/A</v>
          </cell>
        </row>
        <row r="428">
          <cell r="G428" t="str">
            <v>BOMBAY HOSPITAL TRUST</v>
          </cell>
          <cell r="I428">
            <v>9445</v>
          </cell>
          <cell r="J428">
            <v>0</v>
          </cell>
          <cell r="K428">
            <v>0</v>
          </cell>
          <cell r="L428">
            <v>9445</v>
          </cell>
          <cell r="N428" t="str">
            <v/>
          </cell>
          <cell r="O428">
            <v>12</v>
          </cell>
          <cell r="V428" t="str">
            <v>*</v>
          </cell>
          <cell r="X428" t="e">
            <v>#N/A</v>
          </cell>
        </row>
        <row r="429">
          <cell r="G429" t="str">
            <v>PANKIT &amp; CO.</v>
          </cell>
          <cell r="I429">
            <v>-0.4</v>
          </cell>
          <cell r="J429">
            <v>0</v>
          </cell>
          <cell r="K429">
            <v>0</v>
          </cell>
          <cell r="L429">
            <v>-0.4</v>
          </cell>
          <cell r="N429">
            <v>-0.4</v>
          </cell>
          <cell r="O429">
            <v>12</v>
          </cell>
          <cell r="V429" t="str">
            <v>*</v>
          </cell>
          <cell r="X429" t="e">
            <v>#N/A</v>
          </cell>
        </row>
        <row r="430">
          <cell r="G430" t="str">
            <v>GAURAV   ENTERPRISES</v>
          </cell>
          <cell r="I430">
            <v>92851.199999999997</v>
          </cell>
          <cell r="J430">
            <v>0</v>
          </cell>
          <cell r="K430">
            <v>0</v>
          </cell>
          <cell r="L430">
            <v>92851.199999999997</v>
          </cell>
          <cell r="N430" t="str">
            <v/>
          </cell>
          <cell r="O430">
            <v>12</v>
          </cell>
          <cell r="V430" t="str">
            <v>*</v>
          </cell>
          <cell r="X430" t="e">
            <v>#N/A</v>
          </cell>
        </row>
        <row r="431">
          <cell r="G431" t="str">
            <v>RAJNI ENTERPRISE</v>
          </cell>
          <cell r="I431">
            <v>-0.15</v>
          </cell>
          <cell r="J431">
            <v>218400</v>
          </cell>
          <cell r="K431">
            <v>218400</v>
          </cell>
          <cell r="L431">
            <v>-0.15</v>
          </cell>
          <cell r="N431">
            <v>-0.15</v>
          </cell>
          <cell r="O431">
            <v>12</v>
          </cell>
          <cell r="V431" t="str">
            <v>*</v>
          </cell>
          <cell r="X431" t="e">
            <v>#N/A</v>
          </cell>
        </row>
        <row r="432">
          <cell r="G432" t="str">
            <v>MEHTA TRADING CORPORATION</v>
          </cell>
          <cell r="I432">
            <v>-0.06</v>
          </cell>
          <cell r="J432">
            <v>0</v>
          </cell>
          <cell r="K432">
            <v>0</v>
          </cell>
          <cell r="L432">
            <v>-0.06</v>
          </cell>
          <cell r="N432">
            <v>-0.06</v>
          </cell>
          <cell r="O432">
            <v>12</v>
          </cell>
          <cell r="V432" t="str">
            <v>*</v>
          </cell>
          <cell r="X432" t="e">
            <v>#N/A</v>
          </cell>
        </row>
        <row r="433">
          <cell r="G433" t="str">
            <v>JASLOK HOSPITAL &amp; RESEARCH CENTRE</v>
          </cell>
          <cell r="I433">
            <v>65672.02</v>
          </cell>
          <cell r="J433">
            <v>9672.61</v>
          </cell>
          <cell r="K433">
            <v>0</v>
          </cell>
          <cell r="L433">
            <v>75344.63</v>
          </cell>
          <cell r="N433" t="str">
            <v/>
          </cell>
          <cell r="O433">
            <v>12</v>
          </cell>
          <cell r="V433" t="str">
            <v>*</v>
          </cell>
          <cell r="X433" t="e">
            <v>#N/A</v>
          </cell>
        </row>
        <row r="434">
          <cell r="G434" t="str">
            <v>LTMG HOSP COLLEGE</v>
          </cell>
          <cell r="I434">
            <v>11175.95</v>
          </cell>
          <cell r="J434">
            <v>0</v>
          </cell>
          <cell r="K434">
            <v>0</v>
          </cell>
          <cell r="L434">
            <v>11175.95</v>
          </cell>
          <cell r="N434" t="str">
            <v/>
          </cell>
          <cell r="O434">
            <v>12</v>
          </cell>
          <cell r="V434" t="str">
            <v>*</v>
          </cell>
          <cell r="X434" t="e">
            <v>#N/A</v>
          </cell>
        </row>
        <row r="435">
          <cell r="G435" t="str">
            <v>GOVT OF INDIA MINISTRY OF DEFE INHS ASVN</v>
          </cell>
          <cell r="I435">
            <v>164694.39999999999</v>
          </cell>
          <cell r="J435">
            <v>0</v>
          </cell>
          <cell r="K435">
            <v>0</v>
          </cell>
          <cell r="L435">
            <v>164694.39999999999</v>
          </cell>
          <cell r="N435" t="str">
            <v/>
          </cell>
          <cell r="O435">
            <v>12</v>
          </cell>
          <cell r="V435" t="str">
            <v>*</v>
          </cell>
          <cell r="X435" t="e">
            <v>#N/A</v>
          </cell>
        </row>
        <row r="436">
          <cell r="G436" t="str">
            <v>UNITED SURGICALS - MUMBAI</v>
          </cell>
          <cell r="I436">
            <v>28552.97</v>
          </cell>
          <cell r="J436">
            <v>38448</v>
          </cell>
          <cell r="K436">
            <v>0</v>
          </cell>
          <cell r="L436">
            <v>67000.97</v>
          </cell>
          <cell r="N436" t="str">
            <v/>
          </cell>
          <cell r="O436">
            <v>12</v>
          </cell>
          <cell r="V436" t="str">
            <v>*</v>
          </cell>
          <cell r="X436" t="e">
            <v>#N/A</v>
          </cell>
        </row>
        <row r="437">
          <cell r="G437" t="str">
            <v>S  K  ENTERPRISES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N437" t="str">
            <v/>
          </cell>
          <cell r="O437">
            <v>12</v>
          </cell>
          <cell r="V437" t="str">
            <v>*</v>
          </cell>
          <cell r="X437" t="e">
            <v>#N/A</v>
          </cell>
        </row>
        <row r="438">
          <cell r="G438" t="str">
            <v>SIR HURKISONDAS  NURROTUMDAS HOSPITAL</v>
          </cell>
          <cell r="I438">
            <v>4100.0200000000004</v>
          </cell>
          <cell r="J438">
            <v>0</v>
          </cell>
          <cell r="K438">
            <v>0</v>
          </cell>
          <cell r="L438">
            <v>4100.0200000000004</v>
          </cell>
          <cell r="N438" t="str">
            <v/>
          </cell>
          <cell r="O438">
            <v>12</v>
          </cell>
          <cell r="V438" t="str">
            <v>*</v>
          </cell>
          <cell r="X438" t="e">
            <v>#N/A</v>
          </cell>
        </row>
        <row r="439">
          <cell r="G439" t="str">
            <v>TATA MEMORIAL HOSPITAL</v>
          </cell>
          <cell r="I439">
            <v>239951.5</v>
          </cell>
          <cell r="J439">
            <v>0</v>
          </cell>
          <cell r="K439">
            <v>0</v>
          </cell>
          <cell r="L439">
            <v>239951.5</v>
          </cell>
          <cell r="N439" t="str">
            <v/>
          </cell>
          <cell r="O439">
            <v>12</v>
          </cell>
          <cell r="V439" t="str">
            <v>*</v>
          </cell>
          <cell r="X439" t="e">
            <v>#N/A</v>
          </cell>
        </row>
        <row r="440">
          <cell r="G440" t="str">
            <v>HOECHST MARRION RUSSOLE LIMITED</v>
          </cell>
          <cell r="I440">
            <v>340124.69</v>
          </cell>
          <cell r="J440">
            <v>0</v>
          </cell>
          <cell r="K440">
            <v>0</v>
          </cell>
          <cell r="L440">
            <v>340124.69</v>
          </cell>
          <cell r="N440" t="str">
            <v/>
          </cell>
          <cell r="O440">
            <v>12</v>
          </cell>
          <cell r="V440" t="str">
            <v>*</v>
          </cell>
          <cell r="X440" t="e">
            <v>#N/A</v>
          </cell>
        </row>
        <row r="441">
          <cell r="G441" t="str">
            <v>SURGI PHARMA (S.P.ENTERPRISE)</v>
          </cell>
          <cell r="I441">
            <v>-2195.92</v>
          </cell>
          <cell r="J441">
            <v>0</v>
          </cell>
          <cell r="K441">
            <v>0</v>
          </cell>
          <cell r="L441">
            <v>-2195.92</v>
          </cell>
          <cell r="N441">
            <v>-2195.92</v>
          </cell>
          <cell r="O441">
            <v>12</v>
          </cell>
          <cell r="V441" t="str">
            <v>*</v>
          </cell>
          <cell r="X441" t="e">
            <v>#N/A</v>
          </cell>
        </row>
        <row r="442">
          <cell r="G442" t="str">
            <v>JAGDISH CHEDDHA</v>
          </cell>
          <cell r="I442">
            <v>48150.11</v>
          </cell>
          <cell r="J442">
            <v>0</v>
          </cell>
          <cell r="K442">
            <v>0</v>
          </cell>
          <cell r="L442">
            <v>48150.11</v>
          </cell>
          <cell r="N442" t="str">
            <v/>
          </cell>
          <cell r="O442">
            <v>12</v>
          </cell>
          <cell r="V442" t="str">
            <v>*</v>
          </cell>
          <cell r="X442" t="e">
            <v>#N/A</v>
          </cell>
        </row>
        <row r="443">
          <cell r="G443" t="str">
            <v>RAJNI ENTERPRISE (BANK GUARANTEE)</v>
          </cell>
          <cell r="I443">
            <v>3274993.62</v>
          </cell>
          <cell r="J443">
            <v>2437261.5</v>
          </cell>
          <cell r="K443">
            <v>2157629</v>
          </cell>
          <cell r="L443">
            <v>3554626.12</v>
          </cell>
          <cell r="N443" t="str">
            <v/>
          </cell>
          <cell r="O443">
            <v>12</v>
          </cell>
          <cell r="V443" t="str">
            <v>*</v>
          </cell>
          <cell r="X443" t="e">
            <v>#N/A</v>
          </cell>
        </row>
        <row r="444">
          <cell r="G444" t="str">
            <v>SAMARTH HOSPITAL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N444" t="str">
            <v/>
          </cell>
          <cell r="O444">
            <v>12</v>
          </cell>
          <cell r="V444" t="str">
            <v>*</v>
          </cell>
          <cell r="X444" t="e">
            <v>#N/A</v>
          </cell>
        </row>
        <row r="445">
          <cell r="G445" t="str">
            <v>MAHATMA GANDHI MISSION (NEW BOMBAY HOSP.)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N445" t="str">
            <v/>
          </cell>
          <cell r="O445">
            <v>12</v>
          </cell>
          <cell r="V445" t="str">
            <v>*</v>
          </cell>
          <cell r="X445" t="e">
            <v>#N/A</v>
          </cell>
        </row>
        <row r="446">
          <cell r="G446" t="str">
            <v>RANE HOSPITAL</v>
          </cell>
          <cell r="I446">
            <v>-2000</v>
          </cell>
          <cell r="J446">
            <v>0</v>
          </cell>
          <cell r="K446">
            <v>0</v>
          </cell>
          <cell r="L446">
            <v>-2000</v>
          </cell>
          <cell r="N446">
            <v>-2000</v>
          </cell>
          <cell r="O446">
            <v>12</v>
          </cell>
          <cell r="V446" t="str">
            <v>*</v>
          </cell>
          <cell r="X446" t="e">
            <v>#N/A</v>
          </cell>
        </row>
        <row r="447">
          <cell r="G447" t="str">
            <v>S.K.SHARMA &amp; COMPANY</v>
          </cell>
          <cell r="I447">
            <v>0</v>
          </cell>
          <cell r="J447">
            <v>96316.64</v>
          </cell>
          <cell r="K447">
            <v>96316.64</v>
          </cell>
          <cell r="L447">
            <v>0</v>
          </cell>
          <cell r="N447" t="str">
            <v/>
          </cell>
          <cell r="O447">
            <v>12</v>
          </cell>
          <cell r="V447" t="str">
            <v>*</v>
          </cell>
          <cell r="X447" t="e">
            <v>#N/A</v>
          </cell>
        </row>
        <row r="448">
          <cell r="G448" t="str">
            <v>H R J SURGICALS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N448" t="str">
            <v/>
          </cell>
          <cell r="O448">
            <v>12</v>
          </cell>
          <cell r="V448" t="str">
            <v>*</v>
          </cell>
          <cell r="X448" t="e">
            <v>#N/A</v>
          </cell>
        </row>
        <row r="449">
          <cell r="G449" t="str">
            <v>EDIFICE CORPORATION</v>
          </cell>
          <cell r="I449">
            <v>-189.28</v>
          </cell>
          <cell r="J449">
            <v>313395.65999999997</v>
          </cell>
          <cell r="K449">
            <v>151395.66</v>
          </cell>
          <cell r="L449">
            <v>161810.72</v>
          </cell>
          <cell r="N449" t="str">
            <v/>
          </cell>
          <cell r="O449">
            <v>12</v>
          </cell>
          <cell r="V449" t="str">
            <v>*</v>
          </cell>
          <cell r="X449" t="e">
            <v>#N/A</v>
          </cell>
        </row>
        <row r="450">
          <cell r="G450" t="str">
            <v>SUPERINTENDENT (CAMA) &amp; ALBLES HOSPITAL</v>
          </cell>
          <cell r="I450">
            <v>-5200</v>
          </cell>
          <cell r="J450">
            <v>19000</v>
          </cell>
          <cell r="K450">
            <v>0</v>
          </cell>
          <cell r="L450">
            <v>13800</v>
          </cell>
          <cell r="N450" t="str">
            <v/>
          </cell>
          <cell r="O450">
            <v>12</v>
          </cell>
          <cell r="V450" t="str">
            <v>*</v>
          </cell>
          <cell r="X450" t="e">
            <v>#N/A</v>
          </cell>
        </row>
        <row r="451">
          <cell r="G451" t="str">
            <v>B.A.R.C. HOSPITAL</v>
          </cell>
          <cell r="I451">
            <v>33519.199999999997</v>
          </cell>
          <cell r="J451">
            <v>0</v>
          </cell>
          <cell r="K451">
            <v>0</v>
          </cell>
          <cell r="L451">
            <v>33519.199999999997</v>
          </cell>
          <cell r="N451" t="str">
            <v/>
          </cell>
          <cell r="O451">
            <v>12</v>
          </cell>
          <cell r="V451" t="str">
            <v>*</v>
          </cell>
          <cell r="X451" t="e">
            <v>#N/A</v>
          </cell>
        </row>
        <row r="452">
          <cell r="G452" t="str">
            <v>BREACH CANDY HOSPITAL</v>
          </cell>
          <cell r="I452">
            <v>180400</v>
          </cell>
          <cell r="J452">
            <v>0</v>
          </cell>
          <cell r="K452">
            <v>0</v>
          </cell>
          <cell r="L452">
            <v>180400</v>
          </cell>
          <cell r="N452" t="str">
            <v/>
          </cell>
          <cell r="O452">
            <v>12</v>
          </cell>
          <cell r="V452" t="str">
            <v>*</v>
          </cell>
          <cell r="X452" t="e">
            <v>#N/A</v>
          </cell>
        </row>
        <row r="453">
          <cell r="G453" t="str">
            <v>RAMAKRISHNA MISSION HOSPITAL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N453" t="str">
            <v/>
          </cell>
          <cell r="O453">
            <v>12</v>
          </cell>
          <cell r="V453" t="str">
            <v>*</v>
          </cell>
          <cell r="X453" t="e">
            <v>#N/A</v>
          </cell>
        </row>
        <row r="454">
          <cell r="G454" t="str">
            <v>HOLY FAMILY HOSPITALS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N454" t="str">
            <v/>
          </cell>
          <cell r="O454">
            <v>12</v>
          </cell>
          <cell r="V454" t="str">
            <v>*</v>
          </cell>
          <cell r="X454" t="e">
            <v>#N/A</v>
          </cell>
        </row>
        <row r="455">
          <cell r="G455" t="str">
            <v>SHUSHRUSHA CITIZEN CO-OP HOSPITAL LTD.</v>
          </cell>
          <cell r="I455">
            <v>26700</v>
          </cell>
          <cell r="J455">
            <v>0</v>
          </cell>
          <cell r="K455">
            <v>0</v>
          </cell>
          <cell r="L455">
            <v>26700</v>
          </cell>
          <cell r="N455" t="str">
            <v/>
          </cell>
          <cell r="O455">
            <v>12</v>
          </cell>
          <cell r="V455" t="str">
            <v>*</v>
          </cell>
          <cell r="X455" t="e">
            <v>#N/A</v>
          </cell>
        </row>
        <row r="456">
          <cell r="G456" t="str">
            <v>PHADKE HOSPITAL</v>
          </cell>
          <cell r="I456">
            <v>-8843.9</v>
          </cell>
          <cell r="J456">
            <v>0</v>
          </cell>
          <cell r="K456">
            <v>0</v>
          </cell>
          <cell r="L456">
            <v>-8843.9</v>
          </cell>
          <cell r="N456">
            <v>-8843.9</v>
          </cell>
          <cell r="O456">
            <v>12</v>
          </cell>
          <cell r="V456" t="str">
            <v>*</v>
          </cell>
          <cell r="X456" t="e">
            <v>#N/A</v>
          </cell>
        </row>
        <row r="457">
          <cell r="G457" t="str">
            <v>RAJ ORTHOPAEDIC HOSPITAL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N457" t="str">
            <v/>
          </cell>
          <cell r="O457">
            <v>12</v>
          </cell>
          <cell r="V457" t="str">
            <v>*</v>
          </cell>
          <cell r="X457" t="e">
            <v>#N/A</v>
          </cell>
        </row>
        <row r="458">
          <cell r="G458" t="str">
            <v>SIR J J GROUP OF HOSPITALS</v>
          </cell>
          <cell r="I458">
            <v>18242.8</v>
          </cell>
          <cell r="J458">
            <v>0</v>
          </cell>
          <cell r="K458">
            <v>0</v>
          </cell>
          <cell r="L458">
            <v>18242.8</v>
          </cell>
          <cell r="N458" t="str">
            <v/>
          </cell>
          <cell r="O458">
            <v>12</v>
          </cell>
          <cell r="V458" t="str">
            <v>*</v>
          </cell>
          <cell r="X458" t="e">
            <v>#N/A</v>
          </cell>
        </row>
        <row r="459">
          <cell r="G459" t="str">
            <v>SUPREME SUPPLIERS</v>
          </cell>
          <cell r="I459">
            <v>0</v>
          </cell>
          <cell r="J459">
            <v>62400</v>
          </cell>
          <cell r="K459">
            <v>62400</v>
          </cell>
          <cell r="L459">
            <v>0</v>
          </cell>
          <cell r="N459" t="str">
            <v/>
          </cell>
          <cell r="O459">
            <v>12</v>
          </cell>
          <cell r="V459" t="str">
            <v>*</v>
          </cell>
          <cell r="X459" t="e">
            <v>#N/A</v>
          </cell>
        </row>
        <row r="460">
          <cell r="G460" t="str">
            <v>EMPIRE CHEMISTS</v>
          </cell>
          <cell r="I460">
            <v>-123.27</v>
          </cell>
          <cell r="J460">
            <v>0</v>
          </cell>
          <cell r="K460">
            <v>0</v>
          </cell>
          <cell r="L460">
            <v>-123.27</v>
          </cell>
          <cell r="N460">
            <v>-123.27</v>
          </cell>
          <cell r="O460">
            <v>12</v>
          </cell>
          <cell r="V460" t="str">
            <v>*</v>
          </cell>
          <cell r="X460" t="e">
            <v>#N/A</v>
          </cell>
        </row>
        <row r="461">
          <cell r="G461" t="str">
            <v>NAYAN TRADE CORPORATION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N461" t="str">
            <v/>
          </cell>
          <cell r="O461">
            <v>12</v>
          </cell>
          <cell r="V461" t="str">
            <v>*</v>
          </cell>
          <cell r="X461" t="e">
            <v>#N/A</v>
          </cell>
        </row>
        <row r="462">
          <cell r="G462" t="str">
            <v>DR. SANDEEP DIWAN</v>
          </cell>
          <cell r="I462">
            <v>0.01</v>
          </cell>
          <cell r="J462">
            <v>0</v>
          </cell>
          <cell r="K462">
            <v>0</v>
          </cell>
          <cell r="L462">
            <v>0.01</v>
          </cell>
          <cell r="N462" t="str">
            <v/>
          </cell>
          <cell r="O462">
            <v>12</v>
          </cell>
          <cell r="V462" t="str">
            <v>*</v>
          </cell>
          <cell r="X462" t="e">
            <v>#N/A</v>
          </cell>
        </row>
        <row r="463">
          <cell r="G463" t="str">
            <v>HIRA PHARMA DISTRIBUTORS PVT.LTD</v>
          </cell>
          <cell r="I463">
            <v>93.6</v>
          </cell>
          <cell r="J463">
            <v>0</v>
          </cell>
          <cell r="K463">
            <v>0</v>
          </cell>
          <cell r="L463">
            <v>93.6</v>
          </cell>
          <cell r="N463" t="str">
            <v/>
          </cell>
          <cell r="O463">
            <v>12</v>
          </cell>
          <cell r="V463" t="str">
            <v>*</v>
          </cell>
          <cell r="X463" t="e">
            <v>#N/A</v>
          </cell>
        </row>
        <row r="464">
          <cell r="G464" t="str">
            <v>UNIVAL SURGICAL TRADERS</v>
          </cell>
          <cell r="I464">
            <v>-10311.17</v>
          </cell>
          <cell r="J464">
            <v>20088</v>
          </cell>
          <cell r="K464">
            <v>20088</v>
          </cell>
          <cell r="L464">
            <v>-10311.17</v>
          </cell>
          <cell r="N464">
            <v>-10311.17</v>
          </cell>
          <cell r="O464">
            <v>12</v>
          </cell>
          <cell r="V464" t="str">
            <v>*</v>
          </cell>
          <cell r="X464" t="e">
            <v>#N/A</v>
          </cell>
        </row>
        <row r="465">
          <cell r="G465" t="str">
            <v>CHETANA FOUNDATION</v>
          </cell>
          <cell r="I465">
            <v>-0.66</v>
          </cell>
          <cell r="J465">
            <v>0</v>
          </cell>
          <cell r="K465">
            <v>0</v>
          </cell>
          <cell r="L465">
            <v>-0.66</v>
          </cell>
          <cell r="N465">
            <v>-0.66</v>
          </cell>
          <cell r="O465">
            <v>12</v>
          </cell>
          <cell r="V465" t="str">
            <v>*</v>
          </cell>
          <cell r="X465" t="e">
            <v>#N/A</v>
          </cell>
        </row>
        <row r="466">
          <cell r="G466" t="str">
            <v>PRINCE ALI KHAN HOSPITAL</v>
          </cell>
          <cell r="I466">
            <v>14706.03</v>
          </cell>
          <cell r="J466">
            <v>0</v>
          </cell>
          <cell r="K466">
            <v>0</v>
          </cell>
          <cell r="L466">
            <v>14706.03</v>
          </cell>
          <cell r="N466" t="str">
            <v/>
          </cell>
          <cell r="O466">
            <v>12</v>
          </cell>
          <cell r="V466" t="str">
            <v>*</v>
          </cell>
          <cell r="X466" t="e">
            <v>#N/A</v>
          </cell>
        </row>
        <row r="467">
          <cell r="G467" t="str">
            <v>HEELING TOUCH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N467" t="str">
            <v/>
          </cell>
          <cell r="O467">
            <v>12</v>
          </cell>
          <cell r="V467" t="str">
            <v>*</v>
          </cell>
          <cell r="X467" t="e">
            <v>#N/A</v>
          </cell>
        </row>
        <row r="468">
          <cell r="G468" t="str">
            <v>V.RAJKOTIA &amp; CO.</v>
          </cell>
          <cell r="I468">
            <v>-10.4</v>
          </cell>
          <cell r="J468">
            <v>0</v>
          </cell>
          <cell r="K468">
            <v>0</v>
          </cell>
          <cell r="L468">
            <v>-10.4</v>
          </cell>
          <cell r="N468">
            <v>-10.4</v>
          </cell>
          <cell r="O468">
            <v>12</v>
          </cell>
          <cell r="V468" t="str">
            <v>*</v>
          </cell>
          <cell r="X468" t="e">
            <v>#N/A</v>
          </cell>
        </row>
        <row r="469">
          <cell r="G469" t="str">
            <v>HOLY SPIRIT HOSPITAL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N469" t="str">
            <v/>
          </cell>
          <cell r="O469">
            <v>12</v>
          </cell>
          <cell r="V469" t="str">
            <v>*</v>
          </cell>
          <cell r="X469" t="e">
            <v>#N/A</v>
          </cell>
        </row>
        <row r="470">
          <cell r="G470" t="str">
            <v>SHRIMATI SUNITADEVI SINGHANIA MED. RES. CENTRE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N470" t="str">
            <v/>
          </cell>
          <cell r="O470">
            <v>12</v>
          </cell>
          <cell r="V470" t="str">
            <v>*</v>
          </cell>
          <cell r="X470" t="e">
            <v>#N/A</v>
          </cell>
        </row>
        <row r="471">
          <cell r="G471" t="str">
            <v>PRABHA SURGICALS</v>
          </cell>
          <cell r="I471">
            <v>0</v>
          </cell>
          <cell r="J471">
            <v>241388</v>
          </cell>
          <cell r="K471">
            <v>345158</v>
          </cell>
          <cell r="L471">
            <v>-103770</v>
          </cell>
          <cell r="N471">
            <v>-103770</v>
          </cell>
          <cell r="O471">
            <v>12</v>
          </cell>
          <cell r="V471" t="str">
            <v>*</v>
          </cell>
          <cell r="X471" t="e">
            <v>#N/A</v>
          </cell>
        </row>
        <row r="472">
          <cell r="G472" t="str">
            <v>KRISHNA CARDIAC CARE CENTRE</v>
          </cell>
          <cell r="I472">
            <v>88000</v>
          </cell>
          <cell r="J472">
            <v>0</v>
          </cell>
          <cell r="K472">
            <v>88000</v>
          </cell>
          <cell r="L472">
            <v>0</v>
          </cell>
          <cell r="N472" t="str">
            <v/>
          </cell>
          <cell r="O472">
            <v>12</v>
          </cell>
          <cell r="V472" t="str">
            <v>*</v>
          </cell>
          <cell r="X472" t="e">
            <v>#N/A</v>
          </cell>
        </row>
        <row r="473">
          <cell r="G473" t="str">
            <v>METCO SCIENTIFIC INDUSTRIES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N473" t="str">
            <v/>
          </cell>
          <cell r="O473">
            <v>12</v>
          </cell>
          <cell r="V473" t="str">
            <v>*</v>
          </cell>
          <cell r="X473" t="e">
            <v>#N/A</v>
          </cell>
        </row>
        <row r="474">
          <cell r="G474" t="str">
            <v>MEHTA SURGICAL EMPORIUM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N474" t="str">
            <v/>
          </cell>
          <cell r="O474">
            <v>12</v>
          </cell>
          <cell r="V474" t="str">
            <v>*</v>
          </cell>
          <cell r="X474" t="e">
            <v>#N/A</v>
          </cell>
        </row>
        <row r="475">
          <cell r="G475" t="str">
            <v>SAKHI GROUP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N475" t="str">
            <v/>
          </cell>
          <cell r="O475">
            <v>12</v>
          </cell>
          <cell r="V475" t="str">
            <v>*</v>
          </cell>
          <cell r="X475" t="e">
            <v>#N/A</v>
          </cell>
        </row>
        <row r="476">
          <cell r="G476" t="str">
            <v>THE MUSLIM AMBULANCE SOCIETY MATERNITY AND NURSING HOME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N476" t="str">
            <v/>
          </cell>
          <cell r="O476">
            <v>12</v>
          </cell>
          <cell r="V476" t="str">
            <v>*</v>
          </cell>
          <cell r="X476" t="e">
            <v>#N/A</v>
          </cell>
        </row>
        <row r="477">
          <cell r="G477" t="str">
            <v>VAIBHAV SURGICALS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N477" t="str">
            <v/>
          </cell>
          <cell r="O477">
            <v>12</v>
          </cell>
          <cell r="V477" t="str">
            <v>*</v>
          </cell>
          <cell r="X477" t="e">
            <v>#N/A</v>
          </cell>
        </row>
        <row r="478">
          <cell r="G478" t="str">
            <v>MEDICARE ENTERPRISES</v>
          </cell>
          <cell r="I478">
            <v>52800</v>
          </cell>
          <cell r="J478">
            <v>0</v>
          </cell>
          <cell r="K478">
            <v>52800</v>
          </cell>
          <cell r="L478">
            <v>0</v>
          </cell>
          <cell r="N478" t="str">
            <v/>
          </cell>
          <cell r="O478">
            <v>12</v>
          </cell>
          <cell r="V478" t="str">
            <v>*</v>
          </cell>
          <cell r="X478" t="e">
            <v>#N/A</v>
          </cell>
        </row>
        <row r="479">
          <cell r="G479" t="str">
            <v>M/S JOHL ENTERPRISES</v>
          </cell>
          <cell r="I479">
            <v>0</v>
          </cell>
          <cell r="J479">
            <v>609591.1</v>
          </cell>
          <cell r="K479">
            <v>300000</v>
          </cell>
          <cell r="L479">
            <v>309591.09999999998</v>
          </cell>
          <cell r="N479" t="str">
            <v/>
          </cell>
          <cell r="O479">
            <v>12</v>
          </cell>
          <cell r="V479" t="str">
            <v>*</v>
          </cell>
          <cell r="X479" t="e">
            <v>#N/A</v>
          </cell>
        </row>
        <row r="480">
          <cell r="G480" t="str">
            <v>D.Z. PATEL (RAMOL/LONDON) CARDIO. CENTRE</v>
          </cell>
          <cell r="I480">
            <v>-0.01</v>
          </cell>
          <cell r="J480">
            <v>0</v>
          </cell>
          <cell r="K480">
            <v>0</v>
          </cell>
          <cell r="L480">
            <v>-0.01</v>
          </cell>
          <cell r="N480">
            <v>-0.01</v>
          </cell>
          <cell r="O480">
            <v>12</v>
          </cell>
          <cell r="V480" t="str">
            <v>*</v>
          </cell>
          <cell r="X480" t="e">
            <v>#N/A</v>
          </cell>
        </row>
        <row r="481">
          <cell r="G481" t="str">
            <v>AMTREX DISTRIBUTORS</v>
          </cell>
          <cell r="I481">
            <v>-1034.9000000000001</v>
          </cell>
          <cell r="J481">
            <v>155950</v>
          </cell>
          <cell r="K481">
            <v>251200</v>
          </cell>
          <cell r="L481">
            <v>-96284.9</v>
          </cell>
          <cell r="N481">
            <v>-96284.9</v>
          </cell>
          <cell r="O481">
            <v>12</v>
          </cell>
          <cell r="V481" t="str">
            <v>*</v>
          </cell>
          <cell r="X481" t="e">
            <v>#N/A</v>
          </cell>
        </row>
        <row r="482">
          <cell r="G482" t="str">
            <v>RAHUL ENTERPRISES,</v>
          </cell>
          <cell r="I482">
            <v>-15.12</v>
          </cell>
          <cell r="J482">
            <v>0</v>
          </cell>
          <cell r="K482">
            <v>0</v>
          </cell>
          <cell r="L482">
            <v>-15.12</v>
          </cell>
          <cell r="N482">
            <v>-15.12</v>
          </cell>
          <cell r="O482">
            <v>12</v>
          </cell>
          <cell r="V482" t="str">
            <v>*</v>
          </cell>
          <cell r="X482" t="e">
            <v>#N/A</v>
          </cell>
        </row>
        <row r="483">
          <cell r="G483" t="str">
            <v>RAJEBAHADUR HEART FOUNDATION PVT. LTD.</v>
          </cell>
          <cell r="I483">
            <v>0.18</v>
          </cell>
          <cell r="J483">
            <v>0</v>
          </cell>
          <cell r="K483">
            <v>0</v>
          </cell>
          <cell r="L483">
            <v>0.18</v>
          </cell>
          <cell r="N483" t="str">
            <v/>
          </cell>
          <cell r="O483">
            <v>12</v>
          </cell>
          <cell r="V483" t="str">
            <v>*</v>
          </cell>
          <cell r="X483" t="e">
            <v>#N/A</v>
          </cell>
        </row>
        <row r="484">
          <cell r="G484" t="str">
            <v>SHREE SAMARTH RISHIKESH HOSPITAL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N484" t="str">
            <v/>
          </cell>
          <cell r="O484">
            <v>12</v>
          </cell>
          <cell r="V484" t="str">
            <v>*</v>
          </cell>
          <cell r="X484" t="e">
            <v>#N/A</v>
          </cell>
        </row>
        <row r="485">
          <cell r="G485" t="str">
            <v>HEALING TOUCH ANGIOGRAPHY &amp; CARD. SURG. CENTRE PVT. LTD.</v>
          </cell>
          <cell r="I485">
            <v>518999.96</v>
          </cell>
          <cell r="J485">
            <v>229000</v>
          </cell>
          <cell r="K485">
            <v>747999.96</v>
          </cell>
          <cell r="L485">
            <v>0</v>
          </cell>
          <cell r="N485" t="str">
            <v/>
          </cell>
          <cell r="O485">
            <v>12</v>
          </cell>
          <cell r="V485" t="str">
            <v>*</v>
          </cell>
          <cell r="X485" t="e">
            <v>#N/A</v>
          </cell>
        </row>
        <row r="486">
          <cell r="G486" t="str">
            <v>CHAITAINYA ENTERPRISES</v>
          </cell>
          <cell r="I486">
            <v>5245.44</v>
          </cell>
          <cell r="J486">
            <v>26000</v>
          </cell>
          <cell r="K486">
            <v>31348</v>
          </cell>
          <cell r="L486">
            <v>-102.56</v>
          </cell>
          <cell r="N486">
            <v>-102.56</v>
          </cell>
          <cell r="O486">
            <v>12</v>
          </cell>
          <cell r="V486" t="str">
            <v>*</v>
          </cell>
          <cell r="X486" t="e">
            <v>#N/A</v>
          </cell>
        </row>
        <row r="487">
          <cell r="G487" t="str">
            <v>PIONEER DIST. PANJI</v>
          </cell>
          <cell r="I487">
            <v>15851.4</v>
          </cell>
          <cell r="J487">
            <v>0</v>
          </cell>
          <cell r="K487">
            <v>0</v>
          </cell>
          <cell r="L487">
            <v>15851.4</v>
          </cell>
          <cell r="N487" t="str">
            <v/>
          </cell>
          <cell r="O487">
            <v>12</v>
          </cell>
          <cell r="V487" t="str">
            <v>*</v>
          </cell>
          <cell r="X487" t="e">
            <v>#N/A</v>
          </cell>
        </row>
        <row r="488">
          <cell r="G488" t="str">
            <v>THE DEAN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N488" t="str">
            <v/>
          </cell>
          <cell r="O488">
            <v>12</v>
          </cell>
          <cell r="V488" t="str">
            <v>*</v>
          </cell>
          <cell r="X488" t="e">
            <v>#N/A</v>
          </cell>
        </row>
        <row r="489">
          <cell r="G489" t="str">
            <v>BHAGWATI MEDICAL AGENCY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N489" t="str">
            <v/>
          </cell>
          <cell r="O489">
            <v>12</v>
          </cell>
          <cell r="V489" t="str">
            <v>*</v>
          </cell>
          <cell r="X489" t="e">
            <v>#N/A</v>
          </cell>
        </row>
        <row r="490">
          <cell r="G490" t="str">
            <v>MEDICAL SUPERINTENDENT JEHANGIR HOSPITAL</v>
          </cell>
          <cell r="I490">
            <v>24708.98</v>
          </cell>
          <cell r="J490">
            <v>0</v>
          </cell>
          <cell r="K490">
            <v>0</v>
          </cell>
          <cell r="L490">
            <v>24708.98</v>
          </cell>
          <cell r="N490" t="str">
            <v/>
          </cell>
          <cell r="O490">
            <v>12</v>
          </cell>
          <cell r="V490" t="str">
            <v>*</v>
          </cell>
          <cell r="X490" t="e">
            <v>#N/A</v>
          </cell>
        </row>
        <row r="491">
          <cell r="G491" t="str">
            <v>KANCHAN DRUGS PVT LTD</v>
          </cell>
          <cell r="I491">
            <v>157578.14000000001</v>
          </cell>
          <cell r="J491">
            <v>0</v>
          </cell>
          <cell r="K491">
            <v>0</v>
          </cell>
          <cell r="L491">
            <v>157578.14000000001</v>
          </cell>
          <cell r="N491" t="str">
            <v/>
          </cell>
          <cell r="O491">
            <v>12</v>
          </cell>
          <cell r="V491" t="str">
            <v>*</v>
          </cell>
          <cell r="X491" t="e">
            <v>#N/A</v>
          </cell>
        </row>
        <row r="492">
          <cell r="G492" t="str">
            <v>KANCHAN DRUGS PVT LTD  (URALI)</v>
          </cell>
          <cell r="I492">
            <v>59999.8</v>
          </cell>
          <cell r="J492">
            <v>0</v>
          </cell>
          <cell r="K492">
            <v>0</v>
          </cell>
          <cell r="L492">
            <v>59999.8</v>
          </cell>
          <cell r="N492" t="str">
            <v/>
          </cell>
          <cell r="O492">
            <v>12</v>
          </cell>
          <cell r="V492" t="str">
            <v>*</v>
          </cell>
          <cell r="X492" t="e">
            <v>#N/A</v>
          </cell>
        </row>
        <row r="493">
          <cell r="G493" t="str">
            <v>MAHARASHTRA MEDICAL RESEARCH SOCIETY</v>
          </cell>
          <cell r="I493">
            <v>25411.74</v>
          </cell>
          <cell r="J493">
            <v>0</v>
          </cell>
          <cell r="K493">
            <v>0</v>
          </cell>
          <cell r="L493">
            <v>25411.74</v>
          </cell>
          <cell r="N493" t="str">
            <v/>
          </cell>
          <cell r="O493">
            <v>12</v>
          </cell>
          <cell r="V493" t="str">
            <v>*</v>
          </cell>
          <cell r="X493" t="e">
            <v>#N/A</v>
          </cell>
        </row>
        <row r="494">
          <cell r="G494" t="str">
            <v>ARMED FORCES MEDICAL COLLEGE</v>
          </cell>
          <cell r="I494">
            <v>145600</v>
          </cell>
          <cell r="J494">
            <v>0</v>
          </cell>
          <cell r="K494">
            <v>0</v>
          </cell>
          <cell r="L494">
            <v>145600</v>
          </cell>
          <cell r="N494" t="str">
            <v/>
          </cell>
          <cell r="O494">
            <v>12</v>
          </cell>
          <cell r="V494" t="str">
            <v>*</v>
          </cell>
          <cell r="X494" t="e">
            <v>#N/A</v>
          </cell>
        </row>
        <row r="495">
          <cell r="G495" t="str">
            <v>POONA MEDICAL FOUDATION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N495" t="str">
            <v/>
          </cell>
          <cell r="O495">
            <v>12</v>
          </cell>
          <cell r="V495" t="str">
            <v>*</v>
          </cell>
          <cell r="X495" t="e">
            <v>#N/A</v>
          </cell>
        </row>
        <row r="496">
          <cell r="G496" t="str">
            <v>SHREE MEDICAL FOUNDATION (PRAYAG HP)</v>
          </cell>
          <cell r="I496">
            <v>-0.03</v>
          </cell>
          <cell r="J496">
            <v>0</v>
          </cell>
          <cell r="K496">
            <v>0</v>
          </cell>
          <cell r="L496">
            <v>-0.03</v>
          </cell>
          <cell r="N496">
            <v>-0.03</v>
          </cell>
          <cell r="O496">
            <v>12</v>
          </cell>
          <cell r="V496" t="str">
            <v>*</v>
          </cell>
          <cell r="X496" t="e">
            <v>#N/A</v>
          </cell>
        </row>
        <row r="497">
          <cell r="G497" t="str">
            <v>INSTITUTE OF TOXICOLOGICAL STUDIES</v>
          </cell>
          <cell r="I497">
            <v>-200</v>
          </cell>
          <cell r="J497">
            <v>0</v>
          </cell>
          <cell r="K497">
            <v>0</v>
          </cell>
          <cell r="L497">
            <v>-200</v>
          </cell>
          <cell r="N497">
            <v>-200</v>
          </cell>
          <cell r="O497">
            <v>12</v>
          </cell>
          <cell r="V497" t="str">
            <v>*</v>
          </cell>
          <cell r="X497" t="e">
            <v>#N/A</v>
          </cell>
        </row>
        <row r="498">
          <cell r="G498" t="str">
            <v>THE MEDICAL SUPERINTENDENT K.E.M. HOSPITAL</v>
          </cell>
          <cell r="I498">
            <v>16674.080000000002</v>
          </cell>
          <cell r="J498">
            <v>0</v>
          </cell>
          <cell r="K498">
            <v>0</v>
          </cell>
          <cell r="L498">
            <v>16674.080000000002</v>
          </cell>
          <cell r="N498" t="str">
            <v/>
          </cell>
          <cell r="O498">
            <v>12</v>
          </cell>
          <cell r="V498" t="str">
            <v>*</v>
          </cell>
          <cell r="X498" t="e">
            <v>#N/A</v>
          </cell>
        </row>
        <row r="499">
          <cell r="G499" t="str">
            <v>THE MEDICAL SUPERINTENDENT RATNA HOSPITAL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N499" t="str">
            <v/>
          </cell>
          <cell r="O499">
            <v>12</v>
          </cell>
          <cell r="V499" t="str">
            <v>*</v>
          </cell>
          <cell r="X499" t="e">
            <v>#N/A</v>
          </cell>
        </row>
        <row r="500">
          <cell r="G500" t="str">
            <v>RATNA MEMORIAL HOSPITAL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N500" t="str">
            <v/>
          </cell>
          <cell r="O500">
            <v>12</v>
          </cell>
          <cell r="V500" t="str">
            <v>*</v>
          </cell>
          <cell r="X500" t="e">
            <v>#N/A</v>
          </cell>
        </row>
        <row r="501">
          <cell r="G501" t="str">
            <v>DR. A.W. KALANTRE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N501" t="str">
            <v/>
          </cell>
          <cell r="O501">
            <v>12</v>
          </cell>
          <cell r="V501" t="str">
            <v>*</v>
          </cell>
          <cell r="X501" t="e">
            <v>#N/A</v>
          </cell>
        </row>
        <row r="502">
          <cell r="G502" t="str">
            <v>N.M.WADIA HOSPITAL</v>
          </cell>
          <cell r="I502">
            <v>0.01</v>
          </cell>
          <cell r="J502">
            <v>0</v>
          </cell>
          <cell r="K502">
            <v>0</v>
          </cell>
          <cell r="L502">
            <v>0.01</v>
          </cell>
          <cell r="N502" t="str">
            <v/>
          </cell>
          <cell r="O502">
            <v>12</v>
          </cell>
          <cell r="V502" t="str">
            <v>*</v>
          </cell>
          <cell r="X502" t="e">
            <v>#N/A</v>
          </cell>
        </row>
        <row r="503">
          <cell r="G503" t="str">
            <v>DR. SHAISHNAV CLINIC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N503" t="str">
            <v/>
          </cell>
          <cell r="O503">
            <v>12</v>
          </cell>
          <cell r="V503" t="str">
            <v>*</v>
          </cell>
          <cell r="X503" t="e">
            <v>#N/A</v>
          </cell>
        </row>
        <row r="504">
          <cell r="G504" t="str">
            <v>DR. D.Y. PATIL HOSPITAL &amp; RESEARCH CENTRE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N504" t="str">
            <v/>
          </cell>
          <cell r="O504">
            <v>12</v>
          </cell>
          <cell r="V504" t="str">
            <v>*</v>
          </cell>
          <cell r="X504" t="e">
            <v>#N/A</v>
          </cell>
        </row>
        <row r="505">
          <cell r="G505" t="str">
            <v>ELMED</v>
          </cell>
          <cell r="I505">
            <v>0</v>
          </cell>
          <cell r="J505">
            <v>92240</v>
          </cell>
          <cell r="K505">
            <v>92240</v>
          </cell>
          <cell r="L505">
            <v>0</v>
          </cell>
          <cell r="N505" t="str">
            <v/>
          </cell>
          <cell r="O505">
            <v>12</v>
          </cell>
          <cell r="V505" t="str">
            <v>*</v>
          </cell>
          <cell r="X505" t="e">
            <v>#N/A</v>
          </cell>
        </row>
        <row r="506">
          <cell r="G506" t="str">
            <v>JAGTAP HOSPITAL</v>
          </cell>
          <cell r="I506">
            <v>0</v>
          </cell>
          <cell r="J506">
            <v>99000</v>
          </cell>
          <cell r="K506">
            <v>99000</v>
          </cell>
          <cell r="L506">
            <v>0</v>
          </cell>
          <cell r="N506" t="str">
            <v/>
          </cell>
          <cell r="O506">
            <v>12</v>
          </cell>
          <cell r="V506" t="str">
            <v>*</v>
          </cell>
          <cell r="X506" t="e">
            <v>#N/A</v>
          </cell>
        </row>
        <row r="507">
          <cell r="G507" t="str">
            <v>FAIRDEAL  AGENCIES</v>
          </cell>
          <cell r="I507">
            <v>14052.5</v>
          </cell>
          <cell r="J507">
            <v>0</v>
          </cell>
          <cell r="K507">
            <v>0</v>
          </cell>
          <cell r="L507">
            <v>14052.5</v>
          </cell>
          <cell r="N507" t="str">
            <v/>
          </cell>
          <cell r="O507">
            <v>12</v>
          </cell>
          <cell r="V507" t="str">
            <v>*</v>
          </cell>
          <cell r="X507" t="e">
            <v>#N/A</v>
          </cell>
        </row>
        <row r="508">
          <cell r="G508" t="str">
            <v>BECHTEL INTERNATIONAL INC.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N508" t="str">
            <v/>
          </cell>
          <cell r="O508">
            <v>12</v>
          </cell>
          <cell r="V508" t="str">
            <v>*</v>
          </cell>
          <cell r="X508" t="e">
            <v>#N/A</v>
          </cell>
        </row>
        <row r="509">
          <cell r="G509" t="str">
            <v>BAGREE ENTERPRISE RAIPUR,</v>
          </cell>
          <cell r="I509">
            <v>-18862.580000000002</v>
          </cell>
          <cell r="J509">
            <v>149911.82</v>
          </cell>
          <cell r="K509">
            <v>131911.82</v>
          </cell>
          <cell r="L509">
            <v>-862.58</v>
          </cell>
          <cell r="N509">
            <v>-862.58</v>
          </cell>
          <cell r="O509">
            <v>12</v>
          </cell>
          <cell r="V509" t="str">
            <v>*</v>
          </cell>
          <cell r="X509" t="e">
            <v>#N/A</v>
          </cell>
        </row>
        <row r="510">
          <cell r="G510" t="str">
            <v>ASHWINI SAHAKARI RUGNALAYA &amp; REC. CEN. NORTH</v>
          </cell>
          <cell r="I510">
            <v>-1000</v>
          </cell>
          <cell r="J510">
            <v>0</v>
          </cell>
          <cell r="K510">
            <v>0</v>
          </cell>
          <cell r="L510">
            <v>-1000</v>
          </cell>
          <cell r="N510">
            <v>-1000</v>
          </cell>
          <cell r="O510">
            <v>12</v>
          </cell>
          <cell r="V510" t="str">
            <v>*</v>
          </cell>
          <cell r="X510" t="e">
            <v>#N/A</v>
          </cell>
        </row>
        <row r="511">
          <cell r="G511" t="str">
            <v>SHREE MAHAVIR HEALTH &amp; MED. RELIEF SOC.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N511" t="str">
            <v/>
          </cell>
          <cell r="O511">
            <v>12</v>
          </cell>
          <cell r="V511" t="str">
            <v>*</v>
          </cell>
          <cell r="X511" t="e">
            <v>#N/A</v>
          </cell>
        </row>
        <row r="512">
          <cell r="G512" t="str">
            <v>HEALING HANDS HOSPITAL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N512" t="str">
            <v/>
          </cell>
          <cell r="O512">
            <v>12</v>
          </cell>
          <cell r="V512" t="str">
            <v>*</v>
          </cell>
          <cell r="X512" t="e">
            <v>#N/A</v>
          </cell>
        </row>
        <row r="513">
          <cell r="G513" t="str">
            <v>PARMITA TRADING CO. LTD</v>
          </cell>
          <cell r="I513">
            <v>-1166.4000000000001</v>
          </cell>
          <cell r="J513">
            <v>0</v>
          </cell>
          <cell r="K513">
            <v>0</v>
          </cell>
          <cell r="L513">
            <v>-1166.4000000000001</v>
          </cell>
          <cell r="N513">
            <v>-1166.4000000000001</v>
          </cell>
          <cell r="O513">
            <v>12</v>
          </cell>
          <cell r="V513" t="str">
            <v>*</v>
          </cell>
          <cell r="X513" t="e">
            <v>#N/A</v>
          </cell>
        </row>
        <row r="514">
          <cell r="G514" t="str">
            <v>IMPEX SPEEDWAYS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N514" t="str">
            <v/>
          </cell>
          <cell r="O514">
            <v>12</v>
          </cell>
          <cell r="V514" t="str">
            <v>*</v>
          </cell>
          <cell r="X514" t="e">
            <v>#N/A</v>
          </cell>
        </row>
        <row r="515">
          <cell r="G515" t="str">
            <v>PROVISION FOR DOUBTFUL DEBTS - 3RD PARTY</v>
          </cell>
          <cell r="H515" t="str">
            <v>Less: Provision for Doubtful Debts</v>
          </cell>
          <cell r="I515">
            <v>-8093766</v>
          </cell>
          <cell r="J515">
            <v>0</v>
          </cell>
          <cell r="K515">
            <v>0</v>
          </cell>
          <cell r="L515">
            <v>-8093766</v>
          </cell>
          <cell r="N515">
            <v>-8093766</v>
          </cell>
          <cell r="O515" t="str">
            <v>Z</v>
          </cell>
          <cell r="V515" t="str">
            <v>*</v>
          </cell>
          <cell r="X515" t="e">
            <v>#N/A</v>
          </cell>
        </row>
        <row r="516">
          <cell r="G516" t="str">
            <v>B.BRAUN MEDICAL IND. SDN. BHD.</v>
          </cell>
          <cell r="H516" t="str">
            <v>Due from Group Cos.</v>
          </cell>
          <cell r="I516">
            <v>325004.5</v>
          </cell>
          <cell r="J516">
            <v>0</v>
          </cell>
          <cell r="K516">
            <v>0</v>
          </cell>
          <cell r="L516">
            <v>338173.5</v>
          </cell>
          <cell r="N516">
            <v>11312658.149999999</v>
          </cell>
          <cell r="O516">
            <v>13</v>
          </cell>
          <cell r="V516" t="str">
            <v>*</v>
          </cell>
          <cell r="X516" t="e">
            <v>#N/A</v>
          </cell>
        </row>
        <row r="517">
          <cell r="G517" t="str">
            <v>B.BRAUN MEDICAL SUPPLIES SDN.BHD</v>
          </cell>
          <cell r="I517">
            <v>141853.76000000001</v>
          </cell>
          <cell r="J517">
            <v>0</v>
          </cell>
          <cell r="K517">
            <v>0</v>
          </cell>
          <cell r="L517">
            <v>166257.76</v>
          </cell>
          <cell r="O517">
            <v>13</v>
          </cell>
          <cell r="V517" t="str">
            <v>*</v>
          </cell>
          <cell r="X517" t="e">
            <v>#N/A</v>
          </cell>
        </row>
        <row r="518">
          <cell r="G518" t="str">
            <v>B.BRAUN SURGICAL SDN. BHD.</v>
          </cell>
          <cell r="I518">
            <v>57281</v>
          </cell>
          <cell r="J518">
            <v>160410</v>
          </cell>
          <cell r="K518">
            <v>57281</v>
          </cell>
          <cell r="L518">
            <v>160670</v>
          </cell>
          <cell r="O518">
            <v>13</v>
          </cell>
          <cell r="V518" t="str">
            <v>*</v>
          </cell>
          <cell r="X518" t="e">
            <v>#N/A</v>
          </cell>
        </row>
        <row r="519">
          <cell r="G519" t="str">
            <v>B.BRAUN NEEDLES INDUSTRIES</v>
          </cell>
          <cell r="I519">
            <v>1082003.56</v>
          </cell>
          <cell r="J519">
            <v>270555</v>
          </cell>
          <cell r="K519">
            <v>0</v>
          </cell>
          <cell r="L519">
            <v>1395415.56</v>
          </cell>
          <cell r="O519">
            <v>13</v>
          </cell>
          <cell r="V519" t="str">
            <v>*</v>
          </cell>
          <cell r="X519" t="e">
            <v>#N/A</v>
          </cell>
        </row>
        <row r="520">
          <cell r="G520" t="str">
            <v>B.BRAUN PRECISION ENG. SDN.BHD</v>
          </cell>
          <cell r="I520">
            <v>1077255</v>
          </cell>
          <cell r="J520">
            <v>0</v>
          </cell>
          <cell r="K520">
            <v>0</v>
          </cell>
          <cell r="L520">
            <v>1130864</v>
          </cell>
          <cell r="O520">
            <v>13</v>
          </cell>
          <cell r="V520" t="str">
            <v>*</v>
          </cell>
          <cell r="X520" t="e">
            <v>#N/A</v>
          </cell>
        </row>
        <row r="521">
          <cell r="G521" t="str">
            <v>B.BRAUN INTERNATIONAL PTE. LTD.</v>
          </cell>
          <cell r="I521">
            <v>47578</v>
          </cell>
          <cell r="J521">
            <v>0</v>
          </cell>
          <cell r="K521">
            <v>7209</v>
          </cell>
          <cell r="L521">
            <v>41506</v>
          </cell>
          <cell r="O521">
            <v>13</v>
          </cell>
          <cell r="V521" t="str">
            <v>*</v>
          </cell>
          <cell r="X521" t="e">
            <v>#N/A</v>
          </cell>
        </row>
        <row r="522">
          <cell r="G522" t="str">
            <v>B.BRAUN INTERNATIONAL PTE. LTD.</v>
          </cell>
          <cell r="I522">
            <v>118162.5</v>
          </cell>
          <cell r="J522">
            <v>0</v>
          </cell>
          <cell r="K522">
            <v>0</v>
          </cell>
          <cell r="L522">
            <v>115000.5</v>
          </cell>
          <cell r="O522">
            <v>13</v>
          </cell>
          <cell r="V522" t="str">
            <v>*</v>
          </cell>
          <cell r="X522" t="e">
            <v>#N/A</v>
          </cell>
        </row>
        <row r="523">
          <cell r="G523" t="str">
            <v>B.BRAUN MELSUNGEN AG.</v>
          </cell>
          <cell r="I523">
            <v>2091557.73</v>
          </cell>
          <cell r="J523">
            <v>199822</v>
          </cell>
          <cell r="K523">
            <v>79945.960000000006</v>
          </cell>
          <cell r="L523">
            <v>2273808.77</v>
          </cell>
          <cell r="O523">
            <v>13</v>
          </cell>
          <cell r="V523" t="str">
            <v>*</v>
          </cell>
          <cell r="X523" t="e">
            <v>#N/A</v>
          </cell>
        </row>
        <row r="524">
          <cell r="G524" t="str">
            <v>AESCULAP AG &amp; CO.KG - TUTTLINGEN</v>
          </cell>
          <cell r="I524">
            <v>4615592.68</v>
          </cell>
          <cell r="J524">
            <v>4621174.4800000004</v>
          </cell>
          <cell r="K524">
            <v>5062006.22</v>
          </cell>
          <cell r="L524">
            <v>4192089.94</v>
          </cell>
          <cell r="O524">
            <v>13</v>
          </cell>
          <cell r="V524" t="str">
            <v>*</v>
          </cell>
          <cell r="X524" t="e">
            <v>#N/A</v>
          </cell>
        </row>
        <row r="525">
          <cell r="G525" t="str">
            <v>AESCULAP AG &amp; CO. KG - MELSUNGEN</v>
          </cell>
          <cell r="I525">
            <v>45661.22</v>
          </cell>
          <cell r="J525">
            <v>43683</v>
          </cell>
          <cell r="K525">
            <v>89421.48</v>
          </cell>
          <cell r="L525">
            <v>-86.78</v>
          </cell>
          <cell r="O525">
            <v>13</v>
          </cell>
          <cell r="V525" t="str">
            <v>*</v>
          </cell>
          <cell r="X525" t="e">
            <v>#N/A</v>
          </cell>
        </row>
        <row r="526">
          <cell r="G526" t="str">
            <v>B.BRAUN MEDICAL S.A.FRANCE</v>
          </cell>
          <cell r="I526">
            <v>22128.75</v>
          </cell>
          <cell r="J526">
            <v>0</v>
          </cell>
          <cell r="K526">
            <v>0</v>
          </cell>
          <cell r="L526">
            <v>19234.75</v>
          </cell>
          <cell r="O526">
            <v>13</v>
          </cell>
          <cell r="V526" t="str">
            <v>*</v>
          </cell>
          <cell r="X526" t="e">
            <v>#N/A</v>
          </cell>
        </row>
        <row r="527">
          <cell r="G527" t="str">
            <v>B.BRAUN SURGICAL S.A. SPAIN</v>
          </cell>
          <cell r="I527">
            <v>200922</v>
          </cell>
          <cell r="J527">
            <v>769609</v>
          </cell>
          <cell r="K527">
            <v>0</v>
          </cell>
          <cell r="L527">
            <v>981336</v>
          </cell>
          <cell r="O527">
            <v>13</v>
          </cell>
          <cell r="V527" t="str">
            <v>*</v>
          </cell>
          <cell r="X527" t="e">
            <v>#N/A</v>
          </cell>
        </row>
        <row r="528">
          <cell r="G528" t="str">
            <v>B.BRAUN MEDICAL LIMITED,U.K.</v>
          </cell>
          <cell r="I528">
            <v>262700.79999999999</v>
          </cell>
          <cell r="J528">
            <v>376344</v>
          </cell>
          <cell r="K528">
            <v>635104.52</v>
          </cell>
          <cell r="L528">
            <v>3940.28</v>
          </cell>
          <cell r="O528">
            <v>13</v>
          </cell>
          <cell r="V528" t="str">
            <v>*</v>
          </cell>
          <cell r="X528" t="e">
            <v>#N/A</v>
          </cell>
        </row>
        <row r="529">
          <cell r="G529" t="str">
            <v>B.BRAUN MEDICAL INC.</v>
          </cell>
          <cell r="I529">
            <v>76262.87</v>
          </cell>
          <cell r="J529">
            <v>7209</v>
          </cell>
          <cell r="K529">
            <v>0</v>
          </cell>
          <cell r="L529">
            <v>87980.87</v>
          </cell>
          <cell r="O529">
            <v>13</v>
          </cell>
          <cell r="V529" t="str">
            <v>*</v>
          </cell>
          <cell r="X529" t="e">
            <v>#N/A</v>
          </cell>
        </row>
        <row r="530">
          <cell r="G530" t="str">
            <v>ATRIUM MEDICAL CORP.</v>
          </cell>
          <cell r="I530">
            <v>93997</v>
          </cell>
          <cell r="J530">
            <v>0</v>
          </cell>
          <cell r="K530">
            <v>0</v>
          </cell>
          <cell r="L530">
            <v>97115</v>
          </cell>
          <cell r="O530">
            <v>13</v>
          </cell>
          <cell r="V530" t="str">
            <v>*</v>
          </cell>
          <cell r="X530" t="e">
            <v>#N/A</v>
          </cell>
        </row>
        <row r="531">
          <cell r="G531" t="str">
            <v>B.BRAUN MEDICAL IND. SDN. BHD.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O531">
            <v>13</v>
          </cell>
          <cell r="V531" t="str">
            <v>*</v>
          </cell>
          <cell r="X531" t="e">
            <v>#N/A</v>
          </cell>
        </row>
        <row r="532">
          <cell r="G532" t="str">
            <v>B.BRAUN PHARMACEUTICAL IND. S/B</v>
          </cell>
          <cell r="I532">
            <v>555000</v>
          </cell>
          <cell r="J532">
            <v>0</v>
          </cell>
          <cell r="K532">
            <v>500000</v>
          </cell>
          <cell r="L532">
            <v>55000</v>
          </cell>
          <cell r="O532">
            <v>13</v>
          </cell>
          <cell r="V532" t="str">
            <v>*</v>
          </cell>
          <cell r="X532" t="e">
            <v>#N/A</v>
          </cell>
        </row>
        <row r="533">
          <cell r="G533" t="str">
            <v>B.BRAUN HANOI PHARMACEUTICALS CO.</v>
          </cell>
          <cell r="I533">
            <v>180912</v>
          </cell>
          <cell r="J533">
            <v>0</v>
          </cell>
          <cell r="K533">
            <v>0</v>
          </cell>
          <cell r="L533">
            <v>180912</v>
          </cell>
          <cell r="O533">
            <v>13</v>
          </cell>
          <cell r="V533" t="str">
            <v>*</v>
          </cell>
          <cell r="X533" t="e">
            <v>#N/A</v>
          </cell>
        </row>
        <row r="534">
          <cell r="G534" t="str">
            <v>B.BRAUN MELSUNGEN AG.</v>
          </cell>
          <cell r="I534">
            <v>73440</v>
          </cell>
          <cell r="J534">
            <v>0</v>
          </cell>
          <cell r="K534">
            <v>0</v>
          </cell>
          <cell r="L534">
            <v>73440</v>
          </cell>
          <cell r="O534">
            <v>13</v>
          </cell>
          <cell r="V534" t="str">
            <v>*</v>
          </cell>
          <cell r="X534" t="e">
            <v>#N/A</v>
          </cell>
        </row>
        <row r="535">
          <cell r="G535" t="str">
            <v>B.BRAUN MEDICAL AG. SWITZERLAND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O535">
            <v>13</v>
          </cell>
          <cell r="V535" t="str">
            <v>*</v>
          </cell>
          <cell r="X535" t="e">
            <v>#N/A</v>
          </cell>
        </row>
        <row r="536">
          <cell r="G536" t="str">
            <v>MODVAT RECEIVABLE -RG 23 PART II</v>
          </cell>
          <cell r="H536" t="str">
            <v>Modvat RG23-Part II</v>
          </cell>
          <cell r="I536">
            <v>74512</v>
          </cell>
          <cell r="J536">
            <v>0</v>
          </cell>
          <cell r="K536">
            <v>0</v>
          </cell>
          <cell r="L536">
            <v>74512</v>
          </cell>
          <cell r="N536">
            <v>74512</v>
          </cell>
          <cell r="O536" t="str">
            <v>z</v>
          </cell>
          <cell r="U536">
            <v>502403</v>
          </cell>
          <cell r="V536" t="str">
            <v>*</v>
          </cell>
          <cell r="X536" t="e">
            <v>#N/A</v>
          </cell>
        </row>
        <row r="537">
          <cell r="G537" t="str">
            <v>DEPOSIT IN P.L.A. A/C</v>
          </cell>
          <cell r="H537" t="str">
            <v>Deposit in PLA</v>
          </cell>
          <cell r="I537">
            <v>3592</v>
          </cell>
          <cell r="J537">
            <v>0</v>
          </cell>
          <cell r="K537">
            <v>0</v>
          </cell>
          <cell r="L537">
            <v>3592</v>
          </cell>
          <cell r="N537">
            <v>3592</v>
          </cell>
          <cell r="O537" t="str">
            <v>z</v>
          </cell>
          <cell r="V537" t="str">
            <v>*</v>
          </cell>
          <cell r="X537" t="e">
            <v>#N/A</v>
          </cell>
        </row>
        <row r="538">
          <cell r="G538" t="str">
            <v>REFUNDABLE DUTY A/C</v>
          </cell>
          <cell r="H538" t="str">
            <v>Refundable Duty A/c</v>
          </cell>
          <cell r="I538">
            <v>424299</v>
          </cell>
          <cell r="J538">
            <v>0</v>
          </cell>
          <cell r="K538">
            <v>0</v>
          </cell>
          <cell r="L538">
            <v>424299</v>
          </cell>
          <cell r="N538">
            <v>424299</v>
          </cell>
          <cell r="O538" t="str">
            <v>z</v>
          </cell>
          <cell r="V538" t="str">
            <v>*</v>
          </cell>
          <cell r="X538" t="e">
            <v>#N/A</v>
          </cell>
        </row>
        <row r="539">
          <cell r="G539" t="str">
            <v>FESTIWAL ADVANCES</v>
          </cell>
          <cell r="H539" t="str">
            <v>Festival Advance</v>
          </cell>
          <cell r="I539">
            <v>51800</v>
          </cell>
          <cell r="J539">
            <v>0</v>
          </cell>
          <cell r="K539">
            <v>600</v>
          </cell>
          <cell r="L539">
            <v>51200</v>
          </cell>
          <cell r="N539">
            <v>51200</v>
          </cell>
          <cell r="O539" t="str">
            <v>z</v>
          </cell>
          <cell r="U539">
            <v>51200</v>
          </cell>
          <cell r="V539" t="str">
            <v>*</v>
          </cell>
          <cell r="X539" t="e">
            <v>#N/A</v>
          </cell>
        </row>
        <row r="540">
          <cell r="G540" t="str">
            <v>TOUR ADVANCES</v>
          </cell>
          <cell r="I540">
            <v>0</v>
          </cell>
          <cell r="J540">
            <v>15532</v>
          </cell>
          <cell r="K540">
            <v>15532</v>
          </cell>
          <cell r="L540">
            <v>0</v>
          </cell>
          <cell r="N540">
            <v>0</v>
          </cell>
          <cell r="O540" t="str">
            <v>z</v>
          </cell>
          <cell r="U540">
            <v>130325</v>
          </cell>
          <cell r="V540" t="str">
            <v>*</v>
          </cell>
          <cell r="X540" t="e">
            <v>#N/A</v>
          </cell>
        </row>
        <row r="541">
          <cell r="G541" t="str">
            <v>LALIT KUMAR SETH</v>
          </cell>
          <cell r="I541">
            <v>0</v>
          </cell>
          <cell r="J541">
            <v>57990</v>
          </cell>
          <cell r="K541">
            <v>57990</v>
          </cell>
          <cell r="L541">
            <v>0</v>
          </cell>
          <cell r="N541">
            <v>0</v>
          </cell>
          <cell r="O541" t="str">
            <v>z</v>
          </cell>
          <cell r="V541" t="str">
            <v>*</v>
          </cell>
          <cell r="X541" t="e">
            <v>#N/A</v>
          </cell>
        </row>
        <row r="542">
          <cell r="G542" t="str">
            <v>V. LAKSHMIPATHY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N542">
            <v>0</v>
          </cell>
          <cell r="O542" t="str">
            <v>z</v>
          </cell>
          <cell r="V542" t="str">
            <v>*</v>
          </cell>
          <cell r="X542" t="e">
            <v>#N/A</v>
          </cell>
        </row>
        <row r="543">
          <cell r="G543" t="str">
            <v>ASHISH K. MATTU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N543">
            <v>0</v>
          </cell>
          <cell r="O543" t="str">
            <v>z</v>
          </cell>
          <cell r="V543" t="str">
            <v>*</v>
          </cell>
          <cell r="X543" t="e">
            <v>#N/A</v>
          </cell>
        </row>
        <row r="544">
          <cell r="G544" t="str">
            <v>MAHITOSH BHATNAGAR</v>
          </cell>
          <cell r="I544">
            <v>0</v>
          </cell>
          <cell r="J544">
            <v>11748</v>
          </cell>
          <cell r="K544">
            <v>11748</v>
          </cell>
          <cell r="L544">
            <v>0</v>
          </cell>
          <cell r="N544">
            <v>0</v>
          </cell>
          <cell r="O544" t="str">
            <v>z</v>
          </cell>
          <cell r="V544" t="str">
            <v>*</v>
          </cell>
          <cell r="X544" t="e">
            <v>#N/A</v>
          </cell>
        </row>
        <row r="545">
          <cell r="G545" t="str">
            <v>S. A. JOHNSON</v>
          </cell>
          <cell r="I545">
            <v>9500</v>
          </cell>
          <cell r="J545">
            <v>11476</v>
          </cell>
          <cell r="K545">
            <v>10977</v>
          </cell>
          <cell r="L545">
            <v>9999</v>
          </cell>
          <cell r="N545">
            <v>9999</v>
          </cell>
          <cell r="O545" t="str">
            <v>z</v>
          </cell>
          <cell r="V545" t="str">
            <v>*</v>
          </cell>
          <cell r="X545" t="e">
            <v>#N/A</v>
          </cell>
        </row>
        <row r="546">
          <cell r="G546" t="str">
            <v>RAJENDER S. GOLAN</v>
          </cell>
          <cell r="I546">
            <v>0</v>
          </cell>
          <cell r="J546">
            <v>8485</v>
          </cell>
          <cell r="K546">
            <v>8485</v>
          </cell>
          <cell r="L546">
            <v>0</v>
          </cell>
          <cell r="N546">
            <v>0</v>
          </cell>
          <cell r="O546" t="str">
            <v>z</v>
          </cell>
          <cell r="V546" t="str">
            <v>*</v>
          </cell>
          <cell r="X546" t="e">
            <v>#N/A</v>
          </cell>
        </row>
        <row r="547">
          <cell r="G547" t="str">
            <v>BHAVESH B. PANDYA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N547">
            <v>0</v>
          </cell>
          <cell r="O547" t="str">
            <v>z</v>
          </cell>
          <cell r="V547" t="str">
            <v>*</v>
          </cell>
          <cell r="X547" t="e">
            <v>#N/A</v>
          </cell>
        </row>
        <row r="548">
          <cell r="G548" t="str">
            <v>PRATIBHA  SHIRSALE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N548">
            <v>0</v>
          </cell>
          <cell r="O548" t="str">
            <v>z</v>
          </cell>
          <cell r="V548" t="str">
            <v>*</v>
          </cell>
          <cell r="X548" t="e">
            <v>#N/A</v>
          </cell>
        </row>
        <row r="549">
          <cell r="G549" t="str">
            <v>LALIT P.  JADE</v>
          </cell>
          <cell r="I549">
            <v>0</v>
          </cell>
          <cell r="J549">
            <v>17470</v>
          </cell>
          <cell r="K549">
            <v>0</v>
          </cell>
          <cell r="L549">
            <v>17470</v>
          </cell>
          <cell r="N549">
            <v>17470</v>
          </cell>
          <cell r="O549" t="str">
            <v>z</v>
          </cell>
          <cell r="V549" t="str">
            <v>*</v>
          </cell>
          <cell r="X549" t="e">
            <v>#N/A</v>
          </cell>
        </row>
        <row r="550">
          <cell r="G550" t="str">
            <v>MANISH DESHMUKH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N550">
            <v>0</v>
          </cell>
          <cell r="O550" t="str">
            <v>z</v>
          </cell>
          <cell r="V550" t="str">
            <v>*</v>
          </cell>
          <cell r="X550" t="e">
            <v>#N/A</v>
          </cell>
        </row>
        <row r="551">
          <cell r="G551" t="str">
            <v>NITISH SHARMA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N551">
            <v>0</v>
          </cell>
          <cell r="O551" t="str">
            <v>z</v>
          </cell>
          <cell r="V551" t="str">
            <v>*</v>
          </cell>
          <cell r="X551" t="e">
            <v>#N/A</v>
          </cell>
        </row>
        <row r="552">
          <cell r="G552" t="str">
            <v>PRAKASH CHANDRA MISHRA</v>
          </cell>
          <cell r="I552">
            <v>0</v>
          </cell>
          <cell r="J552">
            <v>2090</v>
          </cell>
          <cell r="K552">
            <v>2090</v>
          </cell>
          <cell r="L552">
            <v>0</v>
          </cell>
          <cell r="N552">
            <v>0</v>
          </cell>
          <cell r="O552" t="str">
            <v>z</v>
          </cell>
          <cell r="V552" t="str">
            <v>*</v>
          </cell>
          <cell r="X552" t="e">
            <v>#N/A</v>
          </cell>
        </row>
        <row r="553">
          <cell r="G553" t="str">
            <v>SATISH K. PALRECHA</v>
          </cell>
          <cell r="I553">
            <v>0</v>
          </cell>
          <cell r="J553">
            <v>6470</v>
          </cell>
          <cell r="K553">
            <v>6470</v>
          </cell>
          <cell r="L553">
            <v>0</v>
          </cell>
          <cell r="N553">
            <v>0</v>
          </cell>
          <cell r="O553" t="str">
            <v>z</v>
          </cell>
          <cell r="V553" t="str">
            <v>*</v>
          </cell>
          <cell r="X553" t="e">
            <v>#N/A</v>
          </cell>
        </row>
        <row r="554">
          <cell r="G554" t="str">
            <v>AMIT KUMAR SETHI</v>
          </cell>
          <cell r="I554">
            <v>0</v>
          </cell>
          <cell r="J554">
            <v>5898</v>
          </cell>
          <cell r="K554">
            <v>5898</v>
          </cell>
          <cell r="L554">
            <v>0</v>
          </cell>
          <cell r="N554">
            <v>0</v>
          </cell>
          <cell r="O554" t="str">
            <v>z</v>
          </cell>
          <cell r="V554" t="str">
            <v>*</v>
          </cell>
          <cell r="X554" t="e">
            <v>#N/A</v>
          </cell>
        </row>
        <row r="555">
          <cell r="G555" t="str">
            <v>URVASHI SINGH</v>
          </cell>
          <cell r="I555">
            <v>0</v>
          </cell>
          <cell r="J555">
            <v>2030</v>
          </cell>
          <cell r="K555">
            <v>2030</v>
          </cell>
          <cell r="L555">
            <v>0</v>
          </cell>
          <cell r="N555">
            <v>0</v>
          </cell>
          <cell r="O555" t="str">
            <v>z</v>
          </cell>
          <cell r="V555" t="str">
            <v>*</v>
          </cell>
          <cell r="X555" t="e">
            <v>#N/A</v>
          </cell>
        </row>
        <row r="556">
          <cell r="G556" t="str">
            <v>KAUSHIK BHATTACHARYA</v>
          </cell>
          <cell r="I556">
            <v>0</v>
          </cell>
          <cell r="J556">
            <v>5244</v>
          </cell>
          <cell r="K556">
            <v>5244</v>
          </cell>
          <cell r="L556">
            <v>0</v>
          </cell>
          <cell r="N556">
            <v>0</v>
          </cell>
          <cell r="O556" t="str">
            <v>z</v>
          </cell>
          <cell r="V556" t="str">
            <v>*</v>
          </cell>
          <cell r="X556" t="e">
            <v>#N/A</v>
          </cell>
        </row>
        <row r="557">
          <cell r="G557" t="str">
            <v>NIRMAL CHANDRA BANIK</v>
          </cell>
          <cell r="I557">
            <v>0</v>
          </cell>
          <cell r="J557">
            <v>19502</v>
          </cell>
          <cell r="K557">
            <v>19502</v>
          </cell>
          <cell r="L557">
            <v>0</v>
          </cell>
          <cell r="N557">
            <v>0</v>
          </cell>
          <cell r="O557" t="str">
            <v>z</v>
          </cell>
          <cell r="V557" t="str">
            <v>*</v>
          </cell>
          <cell r="X557" t="e">
            <v>#N/A</v>
          </cell>
        </row>
        <row r="558">
          <cell r="G558" t="str">
            <v>ATANU MAJUMDAR</v>
          </cell>
          <cell r="I558">
            <v>0</v>
          </cell>
          <cell r="J558">
            <v>7030</v>
          </cell>
          <cell r="K558">
            <v>7030</v>
          </cell>
          <cell r="L558">
            <v>0</v>
          </cell>
          <cell r="N558">
            <v>0</v>
          </cell>
          <cell r="O558" t="str">
            <v>z</v>
          </cell>
          <cell r="V558" t="str">
            <v>*</v>
          </cell>
          <cell r="X558" t="e">
            <v>#N/A</v>
          </cell>
        </row>
        <row r="559">
          <cell r="G559" t="str">
            <v>KINGSHOOK MALLIK</v>
          </cell>
          <cell r="I559">
            <v>0</v>
          </cell>
          <cell r="J559">
            <v>5212</v>
          </cell>
          <cell r="K559">
            <v>5212</v>
          </cell>
          <cell r="L559">
            <v>0</v>
          </cell>
          <cell r="N559">
            <v>0</v>
          </cell>
          <cell r="O559" t="str">
            <v>z</v>
          </cell>
          <cell r="V559" t="str">
            <v>*</v>
          </cell>
          <cell r="X559" t="e">
            <v>#N/A</v>
          </cell>
        </row>
        <row r="560">
          <cell r="G560" t="str">
            <v>SOMNATH MAJUMDAR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N560">
            <v>0</v>
          </cell>
          <cell r="O560" t="str">
            <v>z</v>
          </cell>
          <cell r="V560" t="str">
            <v>*</v>
          </cell>
          <cell r="X560" t="e">
            <v>#N/A</v>
          </cell>
        </row>
        <row r="561">
          <cell r="G561" t="str">
            <v>ANAND IYER</v>
          </cell>
          <cell r="I561">
            <v>0</v>
          </cell>
          <cell r="J561">
            <v>12489</v>
          </cell>
          <cell r="K561">
            <v>2489</v>
          </cell>
          <cell r="L561">
            <v>10000</v>
          </cell>
          <cell r="N561">
            <v>10000</v>
          </cell>
          <cell r="O561" t="str">
            <v>z</v>
          </cell>
          <cell r="V561" t="str">
            <v>*</v>
          </cell>
          <cell r="X561" t="e">
            <v>#N/A</v>
          </cell>
        </row>
        <row r="562">
          <cell r="G562" t="str">
            <v>MANOJ KUMARAR MISHRA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N562">
            <v>0</v>
          </cell>
          <cell r="O562" t="str">
            <v>z</v>
          </cell>
          <cell r="V562" t="str">
            <v>*</v>
          </cell>
          <cell r="X562" t="e">
            <v>#N/A</v>
          </cell>
        </row>
        <row r="563">
          <cell r="G563" t="str">
            <v>NILESH CHANDAN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N563">
            <v>0</v>
          </cell>
          <cell r="O563" t="str">
            <v>z</v>
          </cell>
          <cell r="V563" t="str">
            <v>*</v>
          </cell>
          <cell r="X563" t="e">
            <v>#N/A</v>
          </cell>
        </row>
        <row r="564">
          <cell r="G564" t="str">
            <v>ANITA TOMAR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N564">
            <v>0</v>
          </cell>
          <cell r="O564" t="str">
            <v>z</v>
          </cell>
          <cell r="V564" t="str">
            <v>*</v>
          </cell>
          <cell r="X564" t="e">
            <v>#N/A</v>
          </cell>
        </row>
        <row r="565">
          <cell r="G565" t="str">
            <v>PRASHANT TRIVEDI</v>
          </cell>
          <cell r="I565">
            <v>0</v>
          </cell>
          <cell r="J565">
            <v>9337</v>
          </cell>
          <cell r="K565">
            <v>9337</v>
          </cell>
          <cell r="L565">
            <v>0</v>
          </cell>
          <cell r="N565">
            <v>0</v>
          </cell>
          <cell r="O565" t="str">
            <v>z</v>
          </cell>
          <cell r="V565" t="str">
            <v>*</v>
          </cell>
          <cell r="X565" t="e">
            <v>#N/A</v>
          </cell>
        </row>
        <row r="566">
          <cell r="G566" t="str">
            <v>ANAND APTE</v>
          </cell>
          <cell r="I566">
            <v>37706</v>
          </cell>
          <cell r="J566">
            <v>0</v>
          </cell>
          <cell r="K566">
            <v>37706</v>
          </cell>
          <cell r="L566">
            <v>0</v>
          </cell>
          <cell r="N566">
            <v>0</v>
          </cell>
          <cell r="O566" t="str">
            <v>z</v>
          </cell>
          <cell r="V566" t="str">
            <v>*</v>
          </cell>
          <cell r="X566" t="e">
            <v>#N/A</v>
          </cell>
        </row>
        <row r="567">
          <cell r="G567" t="str">
            <v>MANOJ KUMAR- PATNA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N567">
            <v>0</v>
          </cell>
          <cell r="O567" t="str">
            <v>z</v>
          </cell>
          <cell r="V567" t="str">
            <v>*</v>
          </cell>
          <cell r="X567" t="e">
            <v>#N/A</v>
          </cell>
        </row>
        <row r="568">
          <cell r="G568" t="str">
            <v>NILIMA PARKAR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N568">
            <v>0</v>
          </cell>
          <cell r="O568" t="str">
            <v>z</v>
          </cell>
          <cell r="V568" t="str">
            <v>*</v>
          </cell>
          <cell r="X568" t="e">
            <v>#N/A</v>
          </cell>
        </row>
        <row r="569">
          <cell r="G569" t="str">
            <v>SANTOSH SAWANT</v>
          </cell>
          <cell r="I569">
            <v>0</v>
          </cell>
          <cell r="J569">
            <v>6972</v>
          </cell>
          <cell r="K569">
            <v>6972</v>
          </cell>
          <cell r="L569">
            <v>0</v>
          </cell>
          <cell r="N569">
            <v>0</v>
          </cell>
          <cell r="O569" t="str">
            <v>z</v>
          </cell>
          <cell r="V569" t="str">
            <v>*</v>
          </cell>
          <cell r="X569" t="e">
            <v>#N/A</v>
          </cell>
        </row>
        <row r="570">
          <cell r="G570" t="str">
            <v>INDRANIL MUKHERJEE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N570">
            <v>0</v>
          </cell>
          <cell r="O570" t="str">
            <v>z</v>
          </cell>
          <cell r="V570" t="str">
            <v>*</v>
          </cell>
          <cell r="X570" t="e">
            <v>#N/A</v>
          </cell>
        </row>
        <row r="571">
          <cell r="G571" t="str">
            <v>JACOB PAYRA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N571">
            <v>0</v>
          </cell>
          <cell r="O571" t="str">
            <v>z</v>
          </cell>
          <cell r="V571" t="str">
            <v>*</v>
          </cell>
          <cell r="X571" t="e">
            <v>#N/A</v>
          </cell>
        </row>
        <row r="572">
          <cell r="G572" t="str">
            <v>AVTAR SINGH MADAN</v>
          </cell>
          <cell r="I572">
            <v>0</v>
          </cell>
          <cell r="J572">
            <v>12394</v>
          </cell>
          <cell r="K572">
            <v>12394</v>
          </cell>
          <cell r="L572">
            <v>0</v>
          </cell>
          <cell r="N572">
            <v>0</v>
          </cell>
          <cell r="O572" t="str">
            <v>z</v>
          </cell>
          <cell r="V572" t="str">
            <v>*</v>
          </cell>
          <cell r="X572" t="e">
            <v>#N/A</v>
          </cell>
        </row>
        <row r="573">
          <cell r="G573" t="str">
            <v>SUNIL GULATI</v>
          </cell>
          <cell r="I573">
            <v>0</v>
          </cell>
          <cell r="J573">
            <v>2672</v>
          </cell>
          <cell r="K573">
            <v>2672</v>
          </cell>
          <cell r="L573">
            <v>0</v>
          </cell>
          <cell r="N573">
            <v>0</v>
          </cell>
          <cell r="O573" t="str">
            <v>z</v>
          </cell>
          <cell r="V573" t="str">
            <v>*</v>
          </cell>
          <cell r="X573" t="e">
            <v>#N/A</v>
          </cell>
        </row>
        <row r="574">
          <cell r="G574" t="str">
            <v>K. RAVI SHANKAR</v>
          </cell>
          <cell r="I574">
            <v>18673</v>
          </cell>
          <cell r="J574">
            <v>0</v>
          </cell>
          <cell r="K574">
            <v>18673</v>
          </cell>
          <cell r="L574">
            <v>0</v>
          </cell>
          <cell r="N574">
            <v>0</v>
          </cell>
          <cell r="O574" t="str">
            <v>z</v>
          </cell>
          <cell r="V574" t="str">
            <v>*</v>
          </cell>
          <cell r="X574" t="e">
            <v>#N/A</v>
          </cell>
        </row>
        <row r="575">
          <cell r="G575" t="str">
            <v>RAVINDRA K. GUPTA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N575">
            <v>0</v>
          </cell>
          <cell r="O575" t="str">
            <v>z</v>
          </cell>
          <cell r="V575" t="str">
            <v>*</v>
          </cell>
          <cell r="X575" t="e">
            <v>#N/A</v>
          </cell>
        </row>
        <row r="576">
          <cell r="G576" t="str">
            <v>SUMAN CHAKRAVARTY</v>
          </cell>
          <cell r="I576">
            <v>0</v>
          </cell>
          <cell r="J576">
            <v>15572</v>
          </cell>
          <cell r="K576">
            <v>15572</v>
          </cell>
          <cell r="L576">
            <v>0</v>
          </cell>
          <cell r="N576">
            <v>0</v>
          </cell>
          <cell r="O576" t="str">
            <v>z</v>
          </cell>
          <cell r="V576" t="str">
            <v>*</v>
          </cell>
          <cell r="X576" t="e">
            <v>#N/A</v>
          </cell>
        </row>
        <row r="577">
          <cell r="G577" t="str">
            <v>CHENTHAMARAKSHAN A. S.</v>
          </cell>
          <cell r="I577">
            <v>0</v>
          </cell>
          <cell r="J577">
            <v>23930</v>
          </cell>
          <cell r="K577">
            <v>23930</v>
          </cell>
          <cell r="L577">
            <v>0</v>
          </cell>
          <cell r="N577">
            <v>0</v>
          </cell>
          <cell r="O577" t="str">
            <v>z</v>
          </cell>
          <cell r="V577" t="str">
            <v>*</v>
          </cell>
          <cell r="X577" t="e">
            <v>#N/A</v>
          </cell>
        </row>
        <row r="578">
          <cell r="G578" t="str">
            <v>SUBRAMANYA K. R.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N578">
            <v>0</v>
          </cell>
          <cell r="O578" t="str">
            <v>z</v>
          </cell>
          <cell r="V578" t="str">
            <v>*</v>
          </cell>
          <cell r="X578" t="e">
            <v>#N/A</v>
          </cell>
        </row>
        <row r="579">
          <cell r="G579" t="str">
            <v>MANOJ KUMAR G. S.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N579">
            <v>0</v>
          </cell>
          <cell r="O579" t="str">
            <v>z</v>
          </cell>
          <cell r="V579" t="str">
            <v>*</v>
          </cell>
          <cell r="X579" t="e">
            <v>#N/A</v>
          </cell>
        </row>
        <row r="580">
          <cell r="G580" t="str">
            <v>AARTI K.SUVARNA</v>
          </cell>
          <cell r="I580">
            <v>0</v>
          </cell>
          <cell r="J580">
            <v>25133</v>
          </cell>
          <cell r="K580">
            <v>0</v>
          </cell>
          <cell r="L580">
            <v>25133</v>
          </cell>
          <cell r="N580">
            <v>25133</v>
          </cell>
          <cell r="O580" t="str">
            <v>z</v>
          </cell>
          <cell r="V580" t="str">
            <v>*</v>
          </cell>
          <cell r="X580" t="e">
            <v>#N/A</v>
          </cell>
        </row>
        <row r="581">
          <cell r="G581" t="str">
            <v>K. R. SESHADRI</v>
          </cell>
          <cell r="I581">
            <v>0</v>
          </cell>
          <cell r="J581">
            <v>3376</v>
          </cell>
          <cell r="K581">
            <v>3376</v>
          </cell>
          <cell r="L581">
            <v>0</v>
          </cell>
          <cell r="N581">
            <v>0</v>
          </cell>
          <cell r="O581" t="str">
            <v>z</v>
          </cell>
          <cell r="V581" t="str">
            <v>*</v>
          </cell>
          <cell r="X581" t="e">
            <v>#N/A</v>
          </cell>
        </row>
        <row r="582">
          <cell r="G582" t="str">
            <v>ARUP KUMAR DAS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N582">
            <v>0</v>
          </cell>
          <cell r="O582" t="str">
            <v>z</v>
          </cell>
          <cell r="V582" t="str">
            <v>*</v>
          </cell>
          <cell r="X582" t="e">
            <v>#N/A</v>
          </cell>
        </row>
        <row r="583">
          <cell r="G583" t="str">
            <v>B. BALAKRISHANAN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N583">
            <v>0</v>
          </cell>
          <cell r="O583" t="str">
            <v>z</v>
          </cell>
          <cell r="V583" t="str">
            <v>*</v>
          </cell>
          <cell r="X583" t="e">
            <v>#N/A</v>
          </cell>
        </row>
        <row r="584">
          <cell r="G584" t="str">
            <v>PAWAN KUMAR PANDEY</v>
          </cell>
          <cell r="I584">
            <v>0</v>
          </cell>
          <cell r="J584">
            <v>13912</v>
          </cell>
          <cell r="K584">
            <v>13912</v>
          </cell>
          <cell r="L584">
            <v>0</v>
          </cell>
          <cell r="N584">
            <v>0</v>
          </cell>
          <cell r="O584" t="str">
            <v>z</v>
          </cell>
          <cell r="V584" t="str">
            <v>*</v>
          </cell>
          <cell r="X584" t="e">
            <v>#N/A</v>
          </cell>
        </row>
        <row r="585">
          <cell r="G585" t="str">
            <v>PRADEEP PANDITA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N585">
            <v>0</v>
          </cell>
          <cell r="O585" t="str">
            <v>z</v>
          </cell>
          <cell r="V585" t="str">
            <v>*</v>
          </cell>
          <cell r="X585" t="e">
            <v>#N/A</v>
          </cell>
        </row>
        <row r="586">
          <cell r="G586" t="str">
            <v>VISHAL KATKAR</v>
          </cell>
          <cell r="I586">
            <v>0</v>
          </cell>
          <cell r="J586">
            <v>13641</v>
          </cell>
          <cell r="K586">
            <v>13641</v>
          </cell>
          <cell r="L586">
            <v>0</v>
          </cell>
          <cell r="N586">
            <v>0</v>
          </cell>
          <cell r="O586" t="str">
            <v>z</v>
          </cell>
          <cell r="V586" t="str">
            <v>*</v>
          </cell>
          <cell r="X586" t="e">
            <v>#N/A</v>
          </cell>
        </row>
        <row r="587">
          <cell r="G587" t="str">
            <v>SAJID KHAN</v>
          </cell>
          <cell r="I587">
            <v>0</v>
          </cell>
          <cell r="J587">
            <v>12556</v>
          </cell>
          <cell r="K587">
            <v>12556</v>
          </cell>
          <cell r="L587">
            <v>0</v>
          </cell>
          <cell r="N587">
            <v>0</v>
          </cell>
          <cell r="O587" t="str">
            <v>z</v>
          </cell>
          <cell r="V587" t="str">
            <v>*</v>
          </cell>
          <cell r="X587" t="e">
            <v>#N/A</v>
          </cell>
        </row>
        <row r="588">
          <cell r="G588" t="str">
            <v>G. V. R. TAGORE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N588">
            <v>0</v>
          </cell>
          <cell r="O588" t="str">
            <v>z</v>
          </cell>
          <cell r="V588" t="str">
            <v>*</v>
          </cell>
          <cell r="X588" t="e">
            <v>#N/A</v>
          </cell>
        </row>
        <row r="589">
          <cell r="G589" t="str">
            <v>MAHESH KUMAR KHISTY</v>
          </cell>
          <cell r="I589">
            <v>5000</v>
          </cell>
          <cell r="J589">
            <v>10093</v>
          </cell>
          <cell r="K589">
            <v>5093</v>
          </cell>
          <cell r="L589">
            <v>10000</v>
          </cell>
          <cell r="N589">
            <v>10000</v>
          </cell>
          <cell r="O589" t="str">
            <v>z</v>
          </cell>
          <cell r="V589" t="str">
            <v>*</v>
          </cell>
          <cell r="X589" t="e">
            <v>#N/A</v>
          </cell>
        </row>
        <row r="590">
          <cell r="G590" t="str">
            <v>DELEEP KACHROO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N590">
            <v>0</v>
          </cell>
          <cell r="O590" t="str">
            <v>z</v>
          </cell>
          <cell r="V590" t="str">
            <v>*</v>
          </cell>
          <cell r="X590" t="e">
            <v>#N/A</v>
          </cell>
        </row>
        <row r="591">
          <cell r="G591" t="str">
            <v>RAKESH BRAHMBHATT</v>
          </cell>
          <cell r="I591">
            <v>0</v>
          </cell>
          <cell r="J591">
            <v>7766</v>
          </cell>
          <cell r="K591">
            <v>7766</v>
          </cell>
          <cell r="L591">
            <v>0</v>
          </cell>
          <cell r="N591">
            <v>0</v>
          </cell>
          <cell r="O591" t="str">
            <v>z</v>
          </cell>
          <cell r="V591" t="str">
            <v>*</v>
          </cell>
          <cell r="X591" t="e">
            <v>#N/A</v>
          </cell>
        </row>
        <row r="592">
          <cell r="G592" t="str">
            <v>PARTHA BARUAH</v>
          </cell>
          <cell r="I592">
            <v>0</v>
          </cell>
          <cell r="J592">
            <v>4467</v>
          </cell>
          <cell r="K592">
            <v>4467</v>
          </cell>
          <cell r="L592">
            <v>0</v>
          </cell>
          <cell r="N592">
            <v>0</v>
          </cell>
          <cell r="O592" t="str">
            <v>z</v>
          </cell>
          <cell r="V592" t="str">
            <v>*</v>
          </cell>
          <cell r="X592" t="e">
            <v>#N/A</v>
          </cell>
        </row>
        <row r="593">
          <cell r="G593" t="str">
            <v>ACHUTHA PRAKASH A. J.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N593">
            <v>0</v>
          </cell>
          <cell r="O593" t="str">
            <v>z</v>
          </cell>
          <cell r="V593" t="str">
            <v>*</v>
          </cell>
          <cell r="X593" t="e">
            <v>#N/A</v>
          </cell>
        </row>
        <row r="594">
          <cell r="G594" t="str">
            <v>DR. KAILASH SHARMA</v>
          </cell>
          <cell r="I594">
            <v>-13538</v>
          </cell>
          <cell r="J594">
            <v>0</v>
          </cell>
          <cell r="K594">
            <v>0</v>
          </cell>
          <cell r="L594">
            <v>-13538</v>
          </cell>
          <cell r="N594">
            <v>-13538</v>
          </cell>
          <cell r="O594" t="str">
            <v>z</v>
          </cell>
          <cell r="V594" t="str">
            <v>*</v>
          </cell>
          <cell r="X594" t="e">
            <v>#N/A</v>
          </cell>
        </row>
        <row r="595">
          <cell r="G595" t="str">
            <v>DIPANKAR DAS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N595">
            <v>0</v>
          </cell>
          <cell r="O595" t="str">
            <v>z</v>
          </cell>
          <cell r="V595" t="str">
            <v>*</v>
          </cell>
          <cell r="X595" t="e">
            <v>#N/A</v>
          </cell>
        </row>
        <row r="596">
          <cell r="G596" t="str">
            <v>RAJINDER SINGH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N596">
            <v>0</v>
          </cell>
          <cell r="O596" t="str">
            <v>z</v>
          </cell>
          <cell r="V596" t="str">
            <v>*</v>
          </cell>
          <cell r="X596" t="e">
            <v>#N/A</v>
          </cell>
        </row>
        <row r="597">
          <cell r="G597" t="str">
            <v>NITIN N. RODE</v>
          </cell>
          <cell r="I597">
            <v>6000</v>
          </cell>
          <cell r="J597">
            <v>12244</v>
          </cell>
          <cell r="K597">
            <v>15244</v>
          </cell>
          <cell r="L597">
            <v>3000</v>
          </cell>
          <cell r="N597">
            <v>3000</v>
          </cell>
          <cell r="O597" t="str">
            <v>z</v>
          </cell>
          <cell r="V597" t="str">
            <v>*</v>
          </cell>
          <cell r="X597" t="e">
            <v>#N/A</v>
          </cell>
        </row>
        <row r="598">
          <cell r="G598" t="str">
            <v>HEMANT MOHITE</v>
          </cell>
          <cell r="I598">
            <v>0</v>
          </cell>
          <cell r="J598">
            <v>7000</v>
          </cell>
          <cell r="K598">
            <v>0</v>
          </cell>
          <cell r="L598">
            <v>7000</v>
          </cell>
          <cell r="N598">
            <v>7000</v>
          </cell>
          <cell r="O598" t="str">
            <v>z</v>
          </cell>
          <cell r="V598" t="str">
            <v>*</v>
          </cell>
          <cell r="X598" t="e">
            <v>#N/A</v>
          </cell>
        </row>
        <row r="599">
          <cell r="G599" t="str">
            <v>RAJESH HUDDAR</v>
          </cell>
          <cell r="I599">
            <v>63145</v>
          </cell>
          <cell r="J599">
            <v>460</v>
          </cell>
          <cell r="K599">
            <v>52212</v>
          </cell>
          <cell r="L599">
            <v>11393</v>
          </cell>
          <cell r="N599">
            <v>11393</v>
          </cell>
          <cell r="O599" t="str">
            <v>z</v>
          </cell>
          <cell r="V599" t="str">
            <v>*</v>
          </cell>
          <cell r="X599" t="e">
            <v>#N/A</v>
          </cell>
        </row>
        <row r="600">
          <cell r="G600" t="str">
            <v>YOGESH LAKHANI</v>
          </cell>
          <cell r="I600">
            <v>10000</v>
          </cell>
          <cell r="J600">
            <v>0</v>
          </cell>
          <cell r="K600">
            <v>10000</v>
          </cell>
          <cell r="L600">
            <v>0</v>
          </cell>
          <cell r="N600">
            <v>0</v>
          </cell>
          <cell r="O600" t="str">
            <v>z</v>
          </cell>
          <cell r="V600" t="str">
            <v>*</v>
          </cell>
          <cell r="X600" t="e">
            <v>#N/A</v>
          </cell>
        </row>
        <row r="601">
          <cell r="G601" t="str">
            <v>RAJU KAUL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N601">
            <v>0</v>
          </cell>
          <cell r="O601" t="str">
            <v>z</v>
          </cell>
          <cell r="V601" t="str">
            <v>*</v>
          </cell>
          <cell r="X601" t="e">
            <v>#N/A</v>
          </cell>
        </row>
        <row r="602">
          <cell r="G602" t="str">
            <v>R. RAMESH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N602">
            <v>0</v>
          </cell>
          <cell r="O602" t="str">
            <v>z</v>
          </cell>
          <cell r="V602" t="str">
            <v>*</v>
          </cell>
          <cell r="X602" t="e">
            <v>#N/A</v>
          </cell>
        </row>
        <row r="603">
          <cell r="G603" t="str">
            <v>BIJAY PHILIP</v>
          </cell>
          <cell r="I603">
            <v>0</v>
          </cell>
          <cell r="J603">
            <v>3104</v>
          </cell>
          <cell r="K603">
            <v>3104</v>
          </cell>
          <cell r="L603">
            <v>0</v>
          </cell>
          <cell r="N603">
            <v>0</v>
          </cell>
          <cell r="O603" t="str">
            <v>z</v>
          </cell>
          <cell r="V603" t="str">
            <v>*</v>
          </cell>
          <cell r="X603" t="e">
            <v>#N/A</v>
          </cell>
        </row>
        <row r="604">
          <cell r="G604" t="str">
            <v>NASER AHMED</v>
          </cell>
          <cell r="I604">
            <v>0</v>
          </cell>
          <cell r="J604">
            <v>6131</v>
          </cell>
          <cell r="K604">
            <v>6131</v>
          </cell>
          <cell r="L604">
            <v>0</v>
          </cell>
          <cell r="N604">
            <v>0</v>
          </cell>
          <cell r="O604" t="str">
            <v>z</v>
          </cell>
          <cell r="V604" t="str">
            <v>*</v>
          </cell>
          <cell r="X604" t="e">
            <v>#N/A</v>
          </cell>
        </row>
        <row r="605">
          <cell r="G605" t="str">
            <v>SANJAY SAXENA</v>
          </cell>
          <cell r="I605">
            <v>0</v>
          </cell>
          <cell r="J605">
            <v>17139</v>
          </cell>
          <cell r="K605">
            <v>17139</v>
          </cell>
          <cell r="L605">
            <v>0</v>
          </cell>
          <cell r="N605">
            <v>0</v>
          </cell>
          <cell r="O605" t="str">
            <v>z</v>
          </cell>
          <cell r="V605" t="str">
            <v>*</v>
          </cell>
          <cell r="X605" t="e">
            <v>#N/A</v>
          </cell>
        </row>
        <row r="606">
          <cell r="G606" t="str">
            <v>MURUGAN G. S.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N606">
            <v>0</v>
          </cell>
          <cell r="O606" t="str">
            <v>z</v>
          </cell>
          <cell r="V606" t="str">
            <v>*</v>
          </cell>
          <cell r="X606" t="e">
            <v>#N/A</v>
          </cell>
        </row>
        <row r="607">
          <cell r="G607" t="str">
            <v>MOHAN PAWAR</v>
          </cell>
          <cell r="I607">
            <v>6400</v>
          </cell>
          <cell r="J607">
            <v>5000</v>
          </cell>
          <cell r="K607">
            <v>14738</v>
          </cell>
          <cell r="L607">
            <v>-3338</v>
          </cell>
          <cell r="N607">
            <v>-3338</v>
          </cell>
          <cell r="O607" t="str">
            <v>z</v>
          </cell>
          <cell r="V607" t="str">
            <v>*</v>
          </cell>
          <cell r="X607" t="e">
            <v>#N/A</v>
          </cell>
        </row>
        <row r="608">
          <cell r="G608" t="str">
            <v>SEEMA SURYA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N608">
            <v>0</v>
          </cell>
          <cell r="O608" t="str">
            <v>z</v>
          </cell>
          <cell r="V608" t="str">
            <v>*</v>
          </cell>
          <cell r="X608" t="e">
            <v>#N/A</v>
          </cell>
        </row>
        <row r="609">
          <cell r="G609" t="str">
            <v>GIRISH CHAUDHARY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N609">
            <v>0</v>
          </cell>
          <cell r="O609" t="str">
            <v>z</v>
          </cell>
          <cell r="V609" t="str">
            <v>*</v>
          </cell>
          <cell r="X609" t="e">
            <v>#N/A</v>
          </cell>
        </row>
        <row r="610">
          <cell r="G610" t="str">
            <v>MANOJIT GUPTA</v>
          </cell>
          <cell r="I610">
            <v>0</v>
          </cell>
          <cell r="J610">
            <v>3675</v>
          </cell>
          <cell r="K610">
            <v>3675</v>
          </cell>
          <cell r="L610">
            <v>0</v>
          </cell>
          <cell r="N610">
            <v>0</v>
          </cell>
          <cell r="O610" t="str">
            <v>z</v>
          </cell>
          <cell r="V610" t="str">
            <v>*</v>
          </cell>
          <cell r="X610" t="e">
            <v>#N/A</v>
          </cell>
        </row>
        <row r="611">
          <cell r="G611" t="str">
            <v>CHETAN ANAND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N611">
            <v>0</v>
          </cell>
          <cell r="O611" t="str">
            <v>z</v>
          </cell>
          <cell r="V611" t="str">
            <v>*</v>
          </cell>
          <cell r="X611" t="e">
            <v>#N/A</v>
          </cell>
        </row>
        <row r="612">
          <cell r="G612" t="str">
            <v>RAMESH MENON</v>
          </cell>
          <cell r="I612">
            <v>12846</v>
          </cell>
          <cell r="J612">
            <v>0</v>
          </cell>
          <cell r="K612">
            <v>12846</v>
          </cell>
          <cell r="L612">
            <v>0</v>
          </cell>
          <cell r="N612">
            <v>0</v>
          </cell>
          <cell r="O612" t="str">
            <v>z</v>
          </cell>
          <cell r="V612" t="str">
            <v>*</v>
          </cell>
          <cell r="X612" t="e">
            <v>#N/A</v>
          </cell>
        </row>
        <row r="613">
          <cell r="G613" t="str">
            <v>SUDEB KALYAN DAS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N613">
            <v>0</v>
          </cell>
          <cell r="O613" t="str">
            <v>z</v>
          </cell>
          <cell r="V613" t="str">
            <v>*</v>
          </cell>
          <cell r="X613" t="e">
            <v>#N/A</v>
          </cell>
        </row>
        <row r="614">
          <cell r="G614" t="str">
            <v>JABY P. ISSAC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N614">
            <v>0</v>
          </cell>
          <cell r="O614" t="str">
            <v>z</v>
          </cell>
          <cell r="V614" t="str">
            <v>*</v>
          </cell>
          <cell r="X614" t="e">
            <v>#N/A</v>
          </cell>
        </row>
        <row r="615">
          <cell r="G615" t="str">
            <v>MANINDAR SINGH</v>
          </cell>
          <cell r="I615">
            <v>10000</v>
          </cell>
          <cell r="J615">
            <v>15847</v>
          </cell>
          <cell r="K615">
            <v>11847</v>
          </cell>
          <cell r="L615">
            <v>14000</v>
          </cell>
          <cell r="N615">
            <v>14000</v>
          </cell>
          <cell r="O615" t="str">
            <v>z</v>
          </cell>
          <cell r="V615" t="str">
            <v>*</v>
          </cell>
          <cell r="X615" t="e">
            <v>#N/A</v>
          </cell>
        </row>
        <row r="616">
          <cell r="G616" t="str">
            <v>JOBY ISSAC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N616">
            <v>0</v>
          </cell>
          <cell r="O616" t="str">
            <v>z</v>
          </cell>
          <cell r="V616" t="str">
            <v>*</v>
          </cell>
          <cell r="X616" t="e">
            <v>#N/A</v>
          </cell>
        </row>
        <row r="617">
          <cell r="G617" t="str">
            <v>V.K. SHRIVASTAVA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N617">
            <v>0</v>
          </cell>
          <cell r="O617" t="str">
            <v>z</v>
          </cell>
          <cell r="V617" t="str">
            <v>*</v>
          </cell>
          <cell r="X617" t="e">
            <v>#N/A</v>
          </cell>
        </row>
        <row r="618">
          <cell r="G618" t="str">
            <v>RONY BANNERJEE</v>
          </cell>
          <cell r="I618">
            <v>39840</v>
          </cell>
          <cell r="J618">
            <v>17877</v>
          </cell>
          <cell r="K618">
            <v>44507</v>
          </cell>
          <cell r="L618">
            <v>13210</v>
          </cell>
          <cell r="N618">
            <v>13210</v>
          </cell>
          <cell r="O618" t="str">
            <v>z</v>
          </cell>
          <cell r="V618" t="str">
            <v>*</v>
          </cell>
          <cell r="X618" t="e">
            <v>#N/A</v>
          </cell>
        </row>
        <row r="619">
          <cell r="G619" t="str">
            <v>R. SUNDAR RAJAN</v>
          </cell>
          <cell r="I619">
            <v>0</v>
          </cell>
          <cell r="J619">
            <v>6351</v>
          </cell>
          <cell r="K619">
            <v>6351</v>
          </cell>
          <cell r="L619">
            <v>0</v>
          </cell>
          <cell r="N619">
            <v>0</v>
          </cell>
          <cell r="O619" t="str">
            <v>z</v>
          </cell>
          <cell r="V619" t="str">
            <v>*</v>
          </cell>
          <cell r="X619" t="e">
            <v>#N/A</v>
          </cell>
        </row>
        <row r="620">
          <cell r="G620" t="str">
            <v>MURLI KRISHNA KUMBURU</v>
          </cell>
          <cell r="I620">
            <v>0</v>
          </cell>
          <cell r="J620">
            <v>5677</v>
          </cell>
          <cell r="K620">
            <v>5677</v>
          </cell>
          <cell r="L620">
            <v>0</v>
          </cell>
          <cell r="N620">
            <v>0</v>
          </cell>
          <cell r="O620" t="str">
            <v>z</v>
          </cell>
          <cell r="V620" t="str">
            <v>*</v>
          </cell>
          <cell r="X620" t="e">
            <v>#N/A</v>
          </cell>
        </row>
        <row r="621">
          <cell r="G621" t="str">
            <v>AVINASH DUBEY</v>
          </cell>
          <cell r="I621">
            <v>0</v>
          </cell>
          <cell r="J621">
            <v>15550</v>
          </cell>
          <cell r="K621">
            <v>15550</v>
          </cell>
          <cell r="L621">
            <v>0</v>
          </cell>
          <cell r="N621">
            <v>0</v>
          </cell>
          <cell r="O621" t="str">
            <v>z</v>
          </cell>
          <cell r="V621" t="str">
            <v>*</v>
          </cell>
          <cell r="X621" t="e">
            <v>#N/A</v>
          </cell>
        </row>
        <row r="622">
          <cell r="G622" t="str">
            <v>SUJEET SHINDE</v>
          </cell>
          <cell r="I622">
            <v>0</v>
          </cell>
          <cell r="J622">
            <v>4434</v>
          </cell>
          <cell r="K622">
            <v>4434</v>
          </cell>
          <cell r="L622">
            <v>0</v>
          </cell>
          <cell r="N622">
            <v>0</v>
          </cell>
          <cell r="O622" t="str">
            <v>z</v>
          </cell>
          <cell r="V622" t="str">
            <v>*</v>
          </cell>
          <cell r="X622" t="e">
            <v>#N/A</v>
          </cell>
        </row>
        <row r="623">
          <cell r="G623" t="str">
            <v>NILESH NABAR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N623">
            <v>0</v>
          </cell>
          <cell r="O623" t="str">
            <v>z</v>
          </cell>
          <cell r="V623" t="str">
            <v>*</v>
          </cell>
          <cell r="X623" t="e">
            <v>#N/A</v>
          </cell>
        </row>
        <row r="624">
          <cell r="G624" t="str">
            <v>HARI OM</v>
          </cell>
          <cell r="I624">
            <v>0</v>
          </cell>
          <cell r="J624">
            <v>3839</v>
          </cell>
          <cell r="K624">
            <v>3839</v>
          </cell>
          <cell r="L624">
            <v>0</v>
          </cell>
          <cell r="N624">
            <v>0</v>
          </cell>
          <cell r="O624" t="str">
            <v>z</v>
          </cell>
          <cell r="V624" t="str">
            <v>*</v>
          </cell>
          <cell r="X624" t="e">
            <v>#N/A</v>
          </cell>
        </row>
        <row r="625">
          <cell r="G625" t="str">
            <v>A. K. SINHA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N625">
            <v>0</v>
          </cell>
          <cell r="O625" t="str">
            <v>z</v>
          </cell>
          <cell r="V625" t="str">
            <v>*</v>
          </cell>
          <cell r="X625" t="e">
            <v>#N/A</v>
          </cell>
        </row>
        <row r="626">
          <cell r="G626" t="str">
            <v>NEVILLE CARVALHO</v>
          </cell>
          <cell r="I626">
            <v>0</v>
          </cell>
          <cell r="J626">
            <v>11408</v>
          </cell>
          <cell r="K626">
            <v>1408</v>
          </cell>
          <cell r="L626">
            <v>10000</v>
          </cell>
          <cell r="N626">
            <v>10000</v>
          </cell>
          <cell r="O626" t="str">
            <v>z</v>
          </cell>
          <cell r="V626" t="str">
            <v>*</v>
          </cell>
          <cell r="X626" t="e">
            <v>#N/A</v>
          </cell>
        </row>
        <row r="627">
          <cell r="G627" t="str">
            <v>ROHIT NARAYANAN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N627">
            <v>0</v>
          </cell>
          <cell r="O627" t="str">
            <v>z</v>
          </cell>
          <cell r="V627" t="str">
            <v>*</v>
          </cell>
          <cell r="X627" t="e">
            <v>#N/A</v>
          </cell>
        </row>
        <row r="628">
          <cell r="G628" t="str">
            <v>ARUN PEER</v>
          </cell>
          <cell r="I628">
            <v>0</v>
          </cell>
          <cell r="J628">
            <v>3190</v>
          </cell>
          <cell r="K628">
            <v>3190</v>
          </cell>
          <cell r="L628">
            <v>0</v>
          </cell>
          <cell r="N628">
            <v>0</v>
          </cell>
          <cell r="O628" t="str">
            <v>z</v>
          </cell>
          <cell r="V628" t="str">
            <v>*</v>
          </cell>
          <cell r="X628" t="e">
            <v>#N/A</v>
          </cell>
        </row>
        <row r="629">
          <cell r="G629" t="str">
            <v>DIPENDRA SINGH</v>
          </cell>
          <cell r="I629">
            <v>0</v>
          </cell>
          <cell r="J629">
            <v>3795</v>
          </cell>
          <cell r="K629">
            <v>3795</v>
          </cell>
          <cell r="L629">
            <v>0</v>
          </cell>
          <cell r="N629">
            <v>0</v>
          </cell>
          <cell r="O629" t="str">
            <v>z</v>
          </cell>
          <cell r="V629" t="str">
            <v>*</v>
          </cell>
          <cell r="X629" t="e">
            <v>#N/A</v>
          </cell>
        </row>
        <row r="630">
          <cell r="G630" t="str">
            <v>ARUNAVA DEB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N630">
            <v>0</v>
          </cell>
          <cell r="O630" t="str">
            <v>z</v>
          </cell>
          <cell r="V630" t="str">
            <v>*</v>
          </cell>
          <cell r="X630" t="e">
            <v>#N/A</v>
          </cell>
        </row>
        <row r="631">
          <cell r="G631" t="str">
            <v>SANTANU GHOSH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N631">
            <v>0</v>
          </cell>
          <cell r="O631" t="str">
            <v>z</v>
          </cell>
          <cell r="V631" t="str">
            <v>*</v>
          </cell>
          <cell r="X631" t="e">
            <v>#N/A</v>
          </cell>
        </row>
        <row r="632">
          <cell r="G632" t="str">
            <v>PATHIK PANDYA</v>
          </cell>
          <cell r="I632">
            <v>0</v>
          </cell>
          <cell r="J632">
            <v>7778</v>
          </cell>
          <cell r="K632">
            <v>7778</v>
          </cell>
          <cell r="L632">
            <v>0</v>
          </cell>
          <cell r="N632">
            <v>0</v>
          </cell>
          <cell r="O632" t="str">
            <v>z</v>
          </cell>
          <cell r="V632" t="str">
            <v>*</v>
          </cell>
          <cell r="X632" t="e">
            <v>#N/A</v>
          </cell>
        </row>
        <row r="633">
          <cell r="G633" t="str">
            <v>SANJAY RAJPAL</v>
          </cell>
          <cell r="I633">
            <v>0</v>
          </cell>
          <cell r="J633">
            <v>13740</v>
          </cell>
          <cell r="K633">
            <v>13740</v>
          </cell>
          <cell r="L633">
            <v>0</v>
          </cell>
          <cell r="N633">
            <v>0</v>
          </cell>
          <cell r="O633" t="str">
            <v>z</v>
          </cell>
          <cell r="V633" t="str">
            <v>*</v>
          </cell>
          <cell r="X633" t="e">
            <v>#N/A</v>
          </cell>
        </row>
        <row r="634">
          <cell r="G634" t="str">
            <v>DESH DEEPAK BHADAURIA</v>
          </cell>
          <cell r="I634">
            <v>0</v>
          </cell>
          <cell r="J634">
            <v>23349</v>
          </cell>
          <cell r="K634">
            <v>23349</v>
          </cell>
          <cell r="L634">
            <v>0</v>
          </cell>
          <cell r="N634">
            <v>0</v>
          </cell>
          <cell r="O634" t="str">
            <v>z</v>
          </cell>
          <cell r="V634" t="str">
            <v>*</v>
          </cell>
          <cell r="X634" t="e">
            <v>#N/A</v>
          </cell>
        </row>
        <row r="635">
          <cell r="G635" t="str">
            <v>PRABHUSHARAN LAMBA</v>
          </cell>
          <cell r="I635">
            <v>-8004</v>
          </cell>
          <cell r="J635">
            <v>0</v>
          </cell>
          <cell r="K635">
            <v>0</v>
          </cell>
          <cell r="L635">
            <v>-8004</v>
          </cell>
          <cell r="N635">
            <v>-8004</v>
          </cell>
          <cell r="O635" t="str">
            <v>z</v>
          </cell>
          <cell r="V635" t="str">
            <v>*</v>
          </cell>
          <cell r="X635" t="e">
            <v>#N/A</v>
          </cell>
        </row>
        <row r="636">
          <cell r="G636" t="str">
            <v>ARNAB BASUMALLIK</v>
          </cell>
          <cell r="I636">
            <v>0</v>
          </cell>
          <cell r="J636">
            <v>7193</v>
          </cell>
          <cell r="K636">
            <v>7193</v>
          </cell>
          <cell r="L636">
            <v>0</v>
          </cell>
          <cell r="N636">
            <v>0</v>
          </cell>
          <cell r="O636" t="str">
            <v>z</v>
          </cell>
          <cell r="V636" t="str">
            <v>*</v>
          </cell>
          <cell r="X636" t="e">
            <v>#N/A</v>
          </cell>
        </row>
        <row r="637">
          <cell r="G637" t="str">
            <v>SUDHIR SHANKAR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N637">
            <v>0</v>
          </cell>
          <cell r="O637" t="str">
            <v>z</v>
          </cell>
          <cell r="V637" t="str">
            <v>*</v>
          </cell>
          <cell r="X637" t="e">
            <v>#N/A</v>
          </cell>
        </row>
        <row r="638">
          <cell r="G638" t="str">
            <v>SUMAN SARKAR</v>
          </cell>
          <cell r="I638">
            <v>0</v>
          </cell>
          <cell r="J638">
            <v>2440</v>
          </cell>
          <cell r="K638">
            <v>2440</v>
          </cell>
          <cell r="L638">
            <v>0</v>
          </cell>
          <cell r="N638">
            <v>0</v>
          </cell>
          <cell r="O638" t="str">
            <v>z</v>
          </cell>
          <cell r="V638" t="str">
            <v>*</v>
          </cell>
          <cell r="X638" t="e">
            <v>#N/A</v>
          </cell>
        </row>
        <row r="639">
          <cell r="G639" t="str">
            <v>SHOBHIT TANDON</v>
          </cell>
          <cell r="I639">
            <v>0</v>
          </cell>
          <cell r="J639">
            <v>15191</v>
          </cell>
          <cell r="K639">
            <v>15191</v>
          </cell>
          <cell r="L639">
            <v>0</v>
          </cell>
          <cell r="N639">
            <v>0</v>
          </cell>
          <cell r="O639" t="str">
            <v>z</v>
          </cell>
          <cell r="V639" t="str">
            <v>*</v>
          </cell>
          <cell r="X639" t="e">
            <v>#N/A</v>
          </cell>
        </row>
        <row r="640">
          <cell r="G640" t="str">
            <v>RAKESH ARORA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N640">
            <v>0</v>
          </cell>
          <cell r="O640" t="str">
            <v>z</v>
          </cell>
          <cell r="V640" t="str">
            <v>*</v>
          </cell>
          <cell r="X640" t="e">
            <v>#N/A</v>
          </cell>
        </row>
        <row r="641">
          <cell r="G641" t="str">
            <v>SUNITA NAIK</v>
          </cell>
          <cell r="I641">
            <v>0</v>
          </cell>
          <cell r="J641">
            <v>2645</v>
          </cell>
          <cell r="K641">
            <v>2645</v>
          </cell>
          <cell r="L641">
            <v>0</v>
          </cell>
          <cell r="N641">
            <v>0</v>
          </cell>
          <cell r="O641" t="str">
            <v>z</v>
          </cell>
          <cell r="V641" t="str">
            <v>*</v>
          </cell>
          <cell r="X641" t="e">
            <v>#N/A</v>
          </cell>
        </row>
        <row r="642">
          <cell r="G642" t="str">
            <v>D. MAHENDER REDDY</v>
          </cell>
          <cell r="I642">
            <v>0</v>
          </cell>
          <cell r="J642">
            <v>2685</v>
          </cell>
          <cell r="K642">
            <v>2685</v>
          </cell>
          <cell r="L642">
            <v>0</v>
          </cell>
          <cell r="N642">
            <v>0</v>
          </cell>
          <cell r="O642" t="str">
            <v>z</v>
          </cell>
          <cell r="V642" t="str">
            <v>*</v>
          </cell>
          <cell r="X642" t="e">
            <v>#N/A</v>
          </cell>
        </row>
        <row r="643">
          <cell r="G643" t="str">
            <v>SARVANAN SWAMI</v>
          </cell>
          <cell r="I643">
            <v>32484</v>
          </cell>
          <cell r="J643">
            <v>12813</v>
          </cell>
          <cell r="K643">
            <v>35297</v>
          </cell>
          <cell r="L643">
            <v>10000</v>
          </cell>
          <cell r="N643">
            <v>10000</v>
          </cell>
          <cell r="O643" t="str">
            <v>z</v>
          </cell>
          <cell r="V643" t="str">
            <v>*</v>
          </cell>
          <cell r="X643" t="e">
            <v>#N/A</v>
          </cell>
        </row>
        <row r="644">
          <cell r="G644" t="str">
            <v>RAJESH BHINGARDE</v>
          </cell>
          <cell r="I644">
            <v>4000</v>
          </cell>
          <cell r="J644">
            <v>0</v>
          </cell>
          <cell r="K644">
            <v>0</v>
          </cell>
          <cell r="L644">
            <v>4000</v>
          </cell>
          <cell r="N644">
            <v>4000</v>
          </cell>
          <cell r="O644" t="str">
            <v>z</v>
          </cell>
          <cell r="V644" t="str">
            <v>*</v>
          </cell>
          <cell r="X644" t="e">
            <v>#N/A</v>
          </cell>
        </row>
        <row r="645">
          <cell r="G645" t="str">
            <v>RAKESH KOUL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N645">
            <v>0</v>
          </cell>
          <cell r="O645" t="str">
            <v>z</v>
          </cell>
          <cell r="V645" t="str">
            <v>*</v>
          </cell>
          <cell r="X645" t="e">
            <v>#N/A</v>
          </cell>
        </row>
        <row r="646">
          <cell r="G646" t="str">
            <v>NAGENDRAN S.</v>
          </cell>
          <cell r="I646">
            <v>0</v>
          </cell>
          <cell r="J646">
            <v>5251</v>
          </cell>
          <cell r="K646">
            <v>5251</v>
          </cell>
          <cell r="L646">
            <v>0</v>
          </cell>
          <cell r="N646">
            <v>0</v>
          </cell>
          <cell r="O646" t="str">
            <v>z</v>
          </cell>
          <cell r="V646" t="str">
            <v>*</v>
          </cell>
          <cell r="X646" t="e">
            <v>#N/A</v>
          </cell>
        </row>
        <row r="647">
          <cell r="G647" t="str">
            <v>GHANSHYAM MITTAL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N647">
            <v>0</v>
          </cell>
          <cell r="O647" t="str">
            <v>z</v>
          </cell>
          <cell r="V647" t="str">
            <v>*</v>
          </cell>
          <cell r="X647" t="e">
            <v>#N/A</v>
          </cell>
        </row>
        <row r="648">
          <cell r="G648" t="str">
            <v>AMIT MADAN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N648">
            <v>0</v>
          </cell>
          <cell r="O648" t="str">
            <v>z</v>
          </cell>
          <cell r="V648" t="str">
            <v>*</v>
          </cell>
          <cell r="X648" t="e">
            <v>#N/A</v>
          </cell>
        </row>
        <row r="649">
          <cell r="G649" t="str">
            <v>GEORGE THOMAS</v>
          </cell>
          <cell r="I649">
            <v>0</v>
          </cell>
          <cell r="J649">
            <v>4662</v>
          </cell>
          <cell r="K649">
            <v>4662</v>
          </cell>
          <cell r="L649">
            <v>0</v>
          </cell>
          <cell r="N649">
            <v>0</v>
          </cell>
          <cell r="O649" t="str">
            <v>z</v>
          </cell>
          <cell r="V649" t="str">
            <v>*</v>
          </cell>
          <cell r="X649" t="e">
            <v>#N/A</v>
          </cell>
        </row>
        <row r="650">
          <cell r="G650" t="str">
            <v>SUBHASH K.</v>
          </cell>
          <cell r="I650">
            <v>0</v>
          </cell>
          <cell r="J650">
            <v>4251</v>
          </cell>
          <cell r="K650">
            <v>4251</v>
          </cell>
          <cell r="L650">
            <v>0</v>
          </cell>
          <cell r="N650">
            <v>0</v>
          </cell>
          <cell r="O650" t="str">
            <v>z</v>
          </cell>
          <cell r="V650" t="str">
            <v>*</v>
          </cell>
          <cell r="X650" t="e">
            <v>#N/A</v>
          </cell>
        </row>
        <row r="651">
          <cell r="G651" t="str">
            <v>UTTAM ROY</v>
          </cell>
          <cell r="I651">
            <v>0</v>
          </cell>
          <cell r="J651">
            <v>11099</v>
          </cell>
          <cell r="K651">
            <v>11099</v>
          </cell>
          <cell r="L651">
            <v>0</v>
          </cell>
          <cell r="N651">
            <v>0</v>
          </cell>
          <cell r="O651" t="str">
            <v>z</v>
          </cell>
          <cell r="V651" t="str">
            <v>*</v>
          </cell>
          <cell r="X651" t="e">
            <v>#N/A</v>
          </cell>
        </row>
        <row r="652">
          <cell r="G652" t="str">
            <v>RAJINDER KAU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N652">
            <v>0</v>
          </cell>
          <cell r="O652" t="str">
            <v>z</v>
          </cell>
          <cell r="V652" t="str">
            <v>*</v>
          </cell>
          <cell r="X652" t="e">
            <v>#N/A</v>
          </cell>
        </row>
        <row r="653">
          <cell r="G653" t="str">
            <v>ALAK K. GUHA</v>
          </cell>
          <cell r="I653">
            <v>0</v>
          </cell>
          <cell r="J653">
            <v>29116</v>
          </cell>
          <cell r="K653">
            <v>29116</v>
          </cell>
          <cell r="L653">
            <v>0</v>
          </cell>
          <cell r="N653">
            <v>0</v>
          </cell>
          <cell r="O653" t="str">
            <v>z</v>
          </cell>
          <cell r="V653" t="str">
            <v>*</v>
          </cell>
          <cell r="X653" t="e">
            <v>#N/A</v>
          </cell>
        </row>
        <row r="654">
          <cell r="G654" t="str">
            <v>KRISHNA CHELLAPPA</v>
          </cell>
          <cell r="I654">
            <v>0</v>
          </cell>
          <cell r="J654">
            <v>20727</v>
          </cell>
          <cell r="K654">
            <v>20727</v>
          </cell>
          <cell r="L654">
            <v>0</v>
          </cell>
          <cell r="N654">
            <v>0</v>
          </cell>
          <cell r="O654" t="str">
            <v>z</v>
          </cell>
          <cell r="V654" t="str">
            <v>*</v>
          </cell>
          <cell r="X654" t="e">
            <v>#N/A</v>
          </cell>
        </row>
        <row r="655">
          <cell r="G655" t="str">
            <v>SUNIL K. SINGH</v>
          </cell>
          <cell r="I655">
            <v>0</v>
          </cell>
          <cell r="J655">
            <v>8153</v>
          </cell>
          <cell r="K655">
            <v>8153</v>
          </cell>
          <cell r="L655">
            <v>0</v>
          </cell>
          <cell r="N655">
            <v>0</v>
          </cell>
          <cell r="O655" t="str">
            <v>z</v>
          </cell>
          <cell r="V655" t="str">
            <v>*</v>
          </cell>
          <cell r="X655" t="e">
            <v>#N/A</v>
          </cell>
        </row>
        <row r="656">
          <cell r="G656" t="str">
            <v>ARUN VARGHESE</v>
          </cell>
          <cell r="I656">
            <v>0</v>
          </cell>
          <cell r="J656">
            <v>7054</v>
          </cell>
          <cell r="K656">
            <v>7054</v>
          </cell>
          <cell r="L656">
            <v>0</v>
          </cell>
          <cell r="N656">
            <v>0</v>
          </cell>
          <cell r="O656" t="str">
            <v>z</v>
          </cell>
          <cell r="V656" t="str">
            <v>*</v>
          </cell>
          <cell r="X656" t="e">
            <v>#N/A</v>
          </cell>
        </row>
        <row r="657">
          <cell r="G657" t="str">
            <v>GURUPRASAD RAO</v>
          </cell>
          <cell r="I657">
            <v>0</v>
          </cell>
          <cell r="J657">
            <v>3857</v>
          </cell>
          <cell r="K657">
            <v>3857</v>
          </cell>
          <cell r="L657">
            <v>0</v>
          </cell>
          <cell r="N657">
            <v>0</v>
          </cell>
          <cell r="O657" t="str">
            <v>z</v>
          </cell>
          <cell r="V657" t="str">
            <v>*</v>
          </cell>
          <cell r="X657" t="e">
            <v>#N/A</v>
          </cell>
        </row>
        <row r="658">
          <cell r="G658" t="str">
            <v>ANAD SUBRAMANIAN</v>
          </cell>
          <cell r="I658">
            <v>-10538</v>
          </cell>
          <cell r="J658">
            <v>14487</v>
          </cell>
          <cell r="K658">
            <v>3949</v>
          </cell>
          <cell r="L658">
            <v>0</v>
          </cell>
          <cell r="N658">
            <v>0</v>
          </cell>
          <cell r="O658" t="str">
            <v>z</v>
          </cell>
          <cell r="V658" t="str">
            <v>*</v>
          </cell>
          <cell r="X658" t="e">
            <v>#N/A</v>
          </cell>
        </row>
        <row r="659">
          <cell r="G659" t="str">
            <v>AMIT ADHIKARY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N659">
            <v>0</v>
          </cell>
          <cell r="O659" t="str">
            <v>z</v>
          </cell>
          <cell r="V659" t="str">
            <v>*</v>
          </cell>
          <cell r="X659" t="e">
            <v>#N/A</v>
          </cell>
        </row>
        <row r="660">
          <cell r="G660" t="str">
            <v>LAKSHMANA MURTHYKOTA</v>
          </cell>
          <cell r="I660">
            <v>0</v>
          </cell>
          <cell r="J660">
            <v>8666</v>
          </cell>
          <cell r="K660">
            <v>8666</v>
          </cell>
          <cell r="L660">
            <v>0</v>
          </cell>
          <cell r="N660">
            <v>0</v>
          </cell>
          <cell r="O660" t="str">
            <v>z</v>
          </cell>
          <cell r="V660" t="str">
            <v>*</v>
          </cell>
          <cell r="X660" t="e">
            <v>#N/A</v>
          </cell>
        </row>
        <row r="661">
          <cell r="G661" t="str">
            <v>DATTATRAY HEGDE</v>
          </cell>
          <cell r="I661">
            <v>5000</v>
          </cell>
          <cell r="J661">
            <v>0</v>
          </cell>
          <cell r="K661">
            <v>0</v>
          </cell>
          <cell r="L661">
            <v>5000</v>
          </cell>
          <cell r="N661">
            <v>5000</v>
          </cell>
          <cell r="O661" t="str">
            <v>z</v>
          </cell>
          <cell r="V661" t="str">
            <v>*</v>
          </cell>
          <cell r="X661" t="e">
            <v>#N/A</v>
          </cell>
        </row>
        <row r="662">
          <cell r="G662" t="str">
            <v>KRISHNA PRASAD RAVULA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N662">
            <v>0</v>
          </cell>
          <cell r="O662" t="str">
            <v>z</v>
          </cell>
          <cell r="V662" t="str">
            <v>*</v>
          </cell>
          <cell r="X662" t="e">
            <v>#N/A</v>
          </cell>
        </row>
        <row r="663">
          <cell r="G663" t="str">
            <v>J. NOBLE ANBUNESAN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N663">
            <v>0</v>
          </cell>
          <cell r="O663" t="str">
            <v>z</v>
          </cell>
          <cell r="V663" t="str">
            <v>*</v>
          </cell>
          <cell r="X663" t="e">
            <v>#N/A</v>
          </cell>
        </row>
        <row r="664">
          <cell r="G664" t="str">
            <v>E. PREMKUMAR</v>
          </cell>
          <cell r="I664">
            <v>0</v>
          </cell>
          <cell r="J664">
            <v>7842</v>
          </cell>
          <cell r="K664">
            <v>7842</v>
          </cell>
          <cell r="L664">
            <v>0</v>
          </cell>
          <cell r="N664">
            <v>0</v>
          </cell>
          <cell r="O664" t="str">
            <v>z</v>
          </cell>
          <cell r="V664" t="str">
            <v>*</v>
          </cell>
          <cell r="X664" t="e">
            <v>#N/A</v>
          </cell>
        </row>
        <row r="665">
          <cell r="G665" t="str">
            <v>MAINAK CHAKRABORTY</v>
          </cell>
          <cell r="I665">
            <v>0</v>
          </cell>
          <cell r="J665">
            <v>2328</v>
          </cell>
          <cell r="K665">
            <v>2328</v>
          </cell>
          <cell r="L665">
            <v>0</v>
          </cell>
          <cell r="N665">
            <v>0</v>
          </cell>
          <cell r="O665" t="str">
            <v>z</v>
          </cell>
          <cell r="V665" t="str">
            <v>*</v>
          </cell>
          <cell r="X665" t="e">
            <v>#N/A</v>
          </cell>
        </row>
        <row r="666">
          <cell r="G666" t="str">
            <v>ASHIM SIKDER</v>
          </cell>
          <cell r="I666">
            <v>0</v>
          </cell>
          <cell r="J666">
            <v>3080</v>
          </cell>
          <cell r="K666">
            <v>3080</v>
          </cell>
          <cell r="L666">
            <v>0</v>
          </cell>
          <cell r="N666">
            <v>0</v>
          </cell>
          <cell r="O666" t="str">
            <v>z</v>
          </cell>
          <cell r="V666" t="str">
            <v>*</v>
          </cell>
          <cell r="X666" t="e">
            <v>#N/A</v>
          </cell>
        </row>
        <row r="667">
          <cell r="G667" t="str">
            <v>SUDDHASHIL CHATTERJEE</v>
          </cell>
          <cell r="I667">
            <v>0</v>
          </cell>
          <cell r="J667">
            <v>4636</v>
          </cell>
          <cell r="K667">
            <v>4636</v>
          </cell>
          <cell r="L667">
            <v>0</v>
          </cell>
          <cell r="N667">
            <v>0</v>
          </cell>
          <cell r="O667" t="str">
            <v>z</v>
          </cell>
          <cell r="V667" t="str">
            <v>*</v>
          </cell>
          <cell r="X667" t="e">
            <v>#N/A</v>
          </cell>
        </row>
        <row r="668">
          <cell r="G668" t="str">
            <v>SAMUEL WANKHEDE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N668">
            <v>0</v>
          </cell>
          <cell r="O668" t="str">
            <v>z</v>
          </cell>
          <cell r="V668" t="str">
            <v>*</v>
          </cell>
          <cell r="X668" t="e">
            <v>#N/A</v>
          </cell>
        </row>
        <row r="669">
          <cell r="G669" t="str">
            <v>B. RAVICHANDRAN</v>
          </cell>
          <cell r="I669">
            <v>0</v>
          </cell>
          <cell r="J669">
            <v>5000</v>
          </cell>
          <cell r="K669">
            <v>0</v>
          </cell>
          <cell r="L669">
            <v>5000</v>
          </cell>
          <cell r="N669">
            <v>5000</v>
          </cell>
          <cell r="O669" t="str">
            <v>z</v>
          </cell>
          <cell r="V669" t="str">
            <v>*</v>
          </cell>
          <cell r="X669" t="e">
            <v>#N/A</v>
          </cell>
        </row>
        <row r="670">
          <cell r="G670" t="str">
            <v>LALIT KUMAR SETH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N670">
            <v>0</v>
          </cell>
          <cell r="O670" t="str">
            <v>z</v>
          </cell>
          <cell r="U670">
            <v>68246</v>
          </cell>
          <cell r="V670" t="str">
            <v>*</v>
          </cell>
          <cell r="X670" t="e">
            <v>#N/A</v>
          </cell>
        </row>
        <row r="671">
          <cell r="G671" t="str">
            <v>PRAKASH CHANDRA MISHRA</v>
          </cell>
          <cell r="I671">
            <v>2000</v>
          </cell>
          <cell r="J671">
            <v>0</v>
          </cell>
          <cell r="K671">
            <v>0</v>
          </cell>
          <cell r="L671">
            <v>2000</v>
          </cell>
          <cell r="N671">
            <v>2000</v>
          </cell>
          <cell r="O671" t="str">
            <v>z</v>
          </cell>
          <cell r="V671" t="str">
            <v>*</v>
          </cell>
          <cell r="X671" t="e">
            <v>#N/A</v>
          </cell>
        </row>
        <row r="672">
          <cell r="G672" t="str">
            <v>SATISH K. PALRECHA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N672">
            <v>0</v>
          </cell>
          <cell r="O672" t="str">
            <v>z</v>
          </cell>
          <cell r="V672" t="str">
            <v>*</v>
          </cell>
          <cell r="X672" t="e">
            <v>#N/A</v>
          </cell>
        </row>
        <row r="673">
          <cell r="G673" t="str">
            <v>ANAND IYER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N673">
            <v>0</v>
          </cell>
          <cell r="O673" t="str">
            <v>z</v>
          </cell>
          <cell r="V673" t="str">
            <v>*</v>
          </cell>
          <cell r="X673" t="e">
            <v>#N/A</v>
          </cell>
        </row>
        <row r="674">
          <cell r="G674" t="str">
            <v>DEEPALI  CHAUBAL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N674">
            <v>0</v>
          </cell>
          <cell r="O674" t="str">
            <v>z</v>
          </cell>
          <cell r="V674" t="str">
            <v>*</v>
          </cell>
          <cell r="X674" t="e">
            <v>#N/A</v>
          </cell>
        </row>
        <row r="675">
          <cell r="G675" t="str">
            <v>INDRANIL MUKHERJEE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N675">
            <v>0</v>
          </cell>
          <cell r="O675" t="str">
            <v>z</v>
          </cell>
          <cell r="V675" t="str">
            <v>*</v>
          </cell>
          <cell r="X675" t="e">
            <v>#N/A</v>
          </cell>
        </row>
        <row r="676">
          <cell r="G676" t="str">
            <v>ANAND TAUKARI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N676">
            <v>0</v>
          </cell>
          <cell r="O676" t="str">
            <v>z</v>
          </cell>
          <cell r="V676" t="str">
            <v>*</v>
          </cell>
          <cell r="X676" t="e">
            <v>#N/A</v>
          </cell>
        </row>
        <row r="677">
          <cell r="G677" t="str">
            <v>ARUP KUMAR DAS</v>
          </cell>
          <cell r="I677">
            <v>0</v>
          </cell>
          <cell r="J677">
            <v>15000</v>
          </cell>
          <cell r="K677">
            <v>0</v>
          </cell>
          <cell r="L677">
            <v>15000</v>
          </cell>
          <cell r="N677">
            <v>15000</v>
          </cell>
          <cell r="O677" t="str">
            <v>z</v>
          </cell>
          <cell r="V677" t="str">
            <v>*</v>
          </cell>
          <cell r="X677" t="e">
            <v>#N/A</v>
          </cell>
        </row>
        <row r="678">
          <cell r="G678" t="str">
            <v>B. BALAKRISHANAN</v>
          </cell>
          <cell r="I678">
            <v>-7754</v>
          </cell>
          <cell r="J678">
            <v>0</v>
          </cell>
          <cell r="K678">
            <v>0</v>
          </cell>
          <cell r="L678">
            <v>-7754</v>
          </cell>
          <cell r="N678">
            <v>-7754</v>
          </cell>
          <cell r="O678" t="str">
            <v>z</v>
          </cell>
          <cell r="V678" t="str">
            <v>*</v>
          </cell>
          <cell r="X678" t="e">
            <v>#N/A</v>
          </cell>
        </row>
        <row r="679">
          <cell r="G679" t="str">
            <v>M. SUDHAKAR MADDIRALA</v>
          </cell>
          <cell r="I679">
            <v>2000</v>
          </cell>
          <cell r="J679">
            <v>0</v>
          </cell>
          <cell r="K679">
            <v>0</v>
          </cell>
          <cell r="L679">
            <v>2000</v>
          </cell>
          <cell r="N679">
            <v>2000</v>
          </cell>
          <cell r="O679" t="str">
            <v>z</v>
          </cell>
          <cell r="V679" t="str">
            <v>*</v>
          </cell>
          <cell r="X679" t="e">
            <v>#N/A</v>
          </cell>
        </row>
        <row r="680">
          <cell r="G680" t="str">
            <v>G. V. R. TAGORE</v>
          </cell>
          <cell r="I680">
            <v>0</v>
          </cell>
          <cell r="J680">
            <v>2000</v>
          </cell>
          <cell r="K680">
            <v>0</v>
          </cell>
          <cell r="L680">
            <v>2000</v>
          </cell>
          <cell r="N680">
            <v>2000</v>
          </cell>
          <cell r="O680" t="str">
            <v>z</v>
          </cell>
          <cell r="V680" t="str">
            <v>*</v>
          </cell>
          <cell r="X680" t="e">
            <v>#N/A</v>
          </cell>
        </row>
        <row r="681">
          <cell r="G681" t="str">
            <v>DR. KAILASH SHARMA</v>
          </cell>
          <cell r="I681">
            <v>0</v>
          </cell>
          <cell r="J681">
            <v>5000</v>
          </cell>
          <cell r="K681">
            <v>0</v>
          </cell>
          <cell r="L681">
            <v>5000</v>
          </cell>
          <cell r="N681">
            <v>5000</v>
          </cell>
          <cell r="O681" t="str">
            <v>z</v>
          </cell>
          <cell r="V681" t="str">
            <v>*</v>
          </cell>
          <cell r="X681" t="e">
            <v>#N/A</v>
          </cell>
        </row>
        <row r="682">
          <cell r="G682" t="str">
            <v>N. HARITHEERTHAM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N682">
            <v>0</v>
          </cell>
          <cell r="O682" t="str">
            <v>z</v>
          </cell>
          <cell r="V682" t="str">
            <v>*</v>
          </cell>
          <cell r="X682" t="e">
            <v>#N/A</v>
          </cell>
        </row>
        <row r="683">
          <cell r="G683" t="str">
            <v>RAJINDER SINGH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N683">
            <v>0</v>
          </cell>
          <cell r="O683" t="str">
            <v>z</v>
          </cell>
          <cell r="V683" t="str">
            <v>*</v>
          </cell>
          <cell r="X683" t="e">
            <v>#N/A</v>
          </cell>
        </row>
        <row r="684">
          <cell r="G684" t="str">
            <v>P.K. CHANDA</v>
          </cell>
          <cell r="I684">
            <v>-2080</v>
          </cell>
          <cell r="J684">
            <v>2080</v>
          </cell>
          <cell r="K684">
            <v>0</v>
          </cell>
          <cell r="L684">
            <v>0</v>
          </cell>
          <cell r="N684">
            <v>0</v>
          </cell>
          <cell r="O684" t="str">
            <v>z</v>
          </cell>
          <cell r="V684" t="str">
            <v>*</v>
          </cell>
          <cell r="X684" t="e">
            <v>#N/A</v>
          </cell>
        </row>
        <row r="685">
          <cell r="G685" t="str">
            <v>RAJESH HUDDAR</v>
          </cell>
          <cell r="I685">
            <v>30000</v>
          </cell>
          <cell r="J685">
            <v>0</v>
          </cell>
          <cell r="K685">
            <v>30000</v>
          </cell>
          <cell r="L685">
            <v>0</v>
          </cell>
          <cell r="N685">
            <v>0</v>
          </cell>
          <cell r="O685" t="str">
            <v>z</v>
          </cell>
          <cell r="V685" t="str">
            <v>*</v>
          </cell>
          <cell r="X685" t="e">
            <v>#N/A</v>
          </cell>
        </row>
        <row r="686">
          <cell r="G686" t="str">
            <v>RAMESH MENON</v>
          </cell>
          <cell r="I686">
            <v>1500</v>
          </cell>
          <cell r="J686">
            <v>0</v>
          </cell>
          <cell r="K686">
            <v>1500</v>
          </cell>
          <cell r="L686">
            <v>0</v>
          </cell>
          <cell r="N686">
            <v>0</v>
          </cell>
          <cell r="O686" t="str">
            <v>z</v>
          </cell>
          <cell r="V686" t="str">
            <v>*</v>
          </cell>
          <cell r="X686" t="e">
            <v>#N/A</v>
          </cell>
        </row>
        <row r="687">
          <cell r="G687" t="str">
            <v>NEVILLE CARVALHO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N687">
            <v>0</v>
          </cell>
          <cell r="O687" t="str">
            <v>z</v>
          </cell>
          <cell r="V687" t="str">
            <v>*</v>
          </cell>
          <cell r="X687" t="e">
            <v>#N/A</v>
          </cell>
        </row>
        <row r="688">
          <cell r="G688" t="str">
            <v>ROHIT NARAYANAN</v>
          </cell>
          <cell r="I688">
            <v>0</v>
          </cell>
          <cell r="J688">
            <v>2000</v>
          </cell>
          <cell r="K688">
            <v>0</v>
          </cell>
          <cell r="L688">
            <v>2000</v>
          </cell>
          <cell r="N688">
            <v>2000</v>
          </cell>
          <cell r="O688" t="str">
            <v>z</v>
          </cell>
          <cell r="V688" t="str">
            <v>*</v>
          </cell>
          <cell r="X688" t="e">
            <v>#N/A</v>
          </cell>
        </row>
        <row r="689">
          <cell r="G689" t="str">
            <v>SANTANU GHOSH</v>
          </cell>
          <cell r="I689">
            <v>0</v>
          </cell>
          <cell r="J689">
            <v>10000</v>
          </cell>
          <cell r="K689">
            <v>0</v>
          </cell>
          <cell r="L689">
            <v>10000</v>
          </cell>
          <cell r="N689">
            <v>10000</v>
          </cell>
          <cell r="O689" t="str">
            <v>z</v>
          </cell>
          <cell r="V689" t="str">
            <v>*</v>
          </cell>
          <cell r="X689" t="e">
            <v>#N/A</v>
          </cell>
        </row>
        <row r="690">
          <cell r="G690" t="str">
            <v>PRABHUSHARAN LAMBA</v>
          </cell>
          <cell r="I690">
            <v>0</v>
          </cell>
          <cell r="J690">
            <v>10000</v>
          </cell>
          <cell r="K690">
            <v>0</v>
          </cell>
          <cell r="L690">
            <v>10000</v>
          </cell>
          <cell r="N690">
            <v>10000</v>
          </cell>
          <cell r="O690" t="str">
            <v>z</v>
          </cell>
          <cell r="V690" t="str">
            <v>*</v>
          </cell>
          <cell r="X690" t="e">
            <v>#N/A</v>
          </cell>
        </row>
        <row r="691">
          <cell r="G691" t="str">
            <v>RAKESH ARORA</v>
          </cell>
          <cell r="I691">
            <v>0</v>
          </cell>
          <cell r="J691">
            <v>2000</v>
          </cell>
          <cell r="K691">
            <v>0</v>
          </cell>
          <cell r="L691">
            <v>2000</v>
          </cell>
          <cell r="N691">
            <v>2000</v>
          </cell>
          <cell r="O691" t="str">
            <v>z</v>
          </cell>
          <cell r="V691" t="str">
            <v>*</v>
          </cell>
          <cell r="X691" t="e">
            <v>#N/A</v>
          </cell>
        </row>
        <row r="692">
          <cell r="G692" t="str">
            <v>SUNITA NAIK</v>
          </cell>
          <cell r="I692">
            <v>0</v>
          </cell>
          <cell r="J692">
            <v>2000</v>
          </cell>
          <cell r="K692">
            <v>0</v>
          </cell>
          <cell r="L692">
            <v>2000</v>
          </cell>
          <cell r="N692">
            <v>2000</v>
          </cell>
          <cell r="O692" t="str">
            <v>z</v>
          </cell>
          <cell r="V692" t="str">
            <v>*</v>
          </cell>
          <cell r="X692" t="e">
            <v>#N/A</v>
          </cell>
        </row>
        <row r="693">
          <cell r="G693" t="str">
            <v>RAJESH BHINGARDE</v>
          </cell>
          <cell r="I693">
            <v>0</v>
          </cell>
          <cell r="J693">
            <v>2000</v>
          </cell>
          <cell r="K693">
            <v>0</v>
          </cell>
          <cell r="L693">
            <v>2000</v>
          </cell>
          <cell r="N693">
            <v>2000</v>
          </cell>
          <cell r="O693" t="str">
            <v>z</v>
          </cell>
          <cell r="V693" t="str">
            <v>*</v>
          </cell>
          <cell r="X693" t="e">
            <v>#N/A</v>
          </cell>
        </row>
        <row r="694">
          <cell r="G694" t="str">
            <v>RAJIV R. SINGH</v>
          </cell>
          <cell r="I694">
            <v>0</v>
          </cell>
          <cell r="J694">
            <v>2000</v>
          </cell>
          <cell r="K694">
            <v>0</v>
          </cell>
          <cell r="L694">
            <v>2000</v>
          </cell>
          <cell r="N694">
            <v>2000</v>
          </cell>
          <cell r="O694" t="str">
            <v>z</v>
          </cell>
          <cell r="V694" t="str">
            <v>*</v>
          </cell>
          <cell r="X694" t="e">
            <v>#N/A</v>
          </cell>
        </row>
        <row r="695">
          <cell r="G695" t="str">
            <v>RAJINDER KAU</v>
          </cell>
          <cell r="I695">
            <v>0</v>
          </cell>
          <cell r="J695">
            <v>2000</v>
          </cell>
          <cell r="K695">
            <v>0</v>
          </cell>
          <cell r="L695">
            <v>2000</v>
          </cell>
          <cell r="N695">
            <v>2000</v>
          </cell>
          <cell r="O695" t="str">
            <v>z</v>
          </cell>
          <cell r="V695" t="str">
            <v>*</v>
          </cell>
          <cell r="X695" t="e">
            <v>#N/A</v>
          </cell>
        </row>
        <row r="696">
          <cell r="G696" t="str">
            <v>SAMUEL WANKHEDE</v>
          </cell>
          <cell r="I696">
            <v>0</v>
          </cell>
          <cell r="J696">
            <v>4000</v>
          </cell>
          <cell r="K696">
            <v>0</v>
          </cell>
          <cell r="L696">
            <v>4000</v>
          </cell>
          <cell r="N696">
            <v>4000</v>
          </cell>
          <cell r="O696" t="str">
            <v>z</v>
          </cell>
          <cell r="V696" t="str">
            <v>*</v>
          </cell>
          <cell r="X696" t="e">
            <v>#N/A</v>
          </cell>
        </row>
        <row r="697">
          <cell r="G697" t="str">
            <v>OTHER ADVANCES TO EMPLOYEES</v>
          </cell>
          <cell r="I697">
            <v>6500</v>
          </cell>
          <cell r="J697">
            <v>12000</v>
          </cell>
          <cell r="K697">
            <v>4500</v>
          </cell>
          <cell r="L697">
            <v>14000</v>
          </cell>
          <cell r="N697">
            <v>14000</v>
          </cell>
          <cell r="O697" t="str">
            <v>z</v>
          </cell>
          <cell r="V697" t="str">
            <v>*</v>
          </cell>
          <cell r="X697" t="e">
            <v>#N/A</v>
          </cell>
        </row>
        <row r="698">
          <cell r="G698" t="str">
            <v>INSURANCE BENEFITS &amp; DAMAGE CLAIMS</v>
          </cell>
          <cell r="H698" t="str">
            <v>Insurance Benefit Damage &amp; Claim</v>
          </cell>
          <cell r="I698">
            <v>278060</v>
          </cell>
          <cell r="J698">
            <v>18135.05</v>
          </cell>
          <cell r="K698">
            <v>282520</v>
          </cell>
          <cell r="L698">
            <v>13675.05</v>
          </cell>
          <cell r="N698">
            <v>13675.05</v>
          </cell>
          <cell r="O698" t="str">
            <v>z</v>
          </cell>
          <cell r="U698">
            <v>13675.05</v>
          </cell>
          <cell r="V698" t="str">
            <v>*</v>
          </cell>
          <cell r="X698" t="e">
            <v>#N/A</v>
          </cell>
        </row>
        <row r="699">
          <cell r="G699" t="str">
            <v>DEPOSITS AND OTHER SECURITY PAYMENTS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N699">
            <v>0</v>
          </cell>
          <cell r="O699">
            <v>0</v>
          </cell>
          <cell r="U699">
            <v>4116385.7399999998</v>
          </cell>
          <cell r="V699" t="str">
            <v>*</v>
          </cell>
          <cell r="X699" t="e">
            <v>#N/A</v>
          </cell>
        </row>
        <row r="700">
          <cell r="G700" t="str">
            <v>TENDER DEPOSITS</v>
          </cell>
          <cell r="H700" t="str">
            <v>Tender Deposits</v>
          </cell>
          <cell r="I700">
            <v>1196518.1299999999</v>
          </cell>
          <cell r="J700">
            <v>10000</v>
          </cell>
          <cell r="K700">
            <v>0</v>
          </cell>
          <cell r="L700">
            <v>1206518.1299999999</v>
          </cell>
          <cell r="N700">
            <v>1206518.1299999999</v>
          </cell>
          <cell r="O700" t="str">
            <v>z</v>
          </cell>
          <cell r="V700" t="str">
            <v>*</v>
          </cell>
          <cell r="X700" t="e">
            <v>#N/A</v>
          </cell>
        </row>
        <row r="701">
          <cell r="G701" t="str">
            <v>DEPOSIT WITH M T N L</v>
          </cell>
          <cell r="H701" t="str">
            <v>Deposits wih MTNL</v>
          </cell>
          <cell r="I701">
            <v>129000</v>
          </cell>
          <cell r="J701">
            <v>0</v>
          </cell>
          <cell r="K701">
            <v>0</v>
          </cell>
          <cell r="L701">
            <v>129000</v>
          </cell>
          <cell r="N701">
            <v>129000</v>
          </cell>
          <cell r="O701" t="str">
            <v>z</v>
          </cell>
          <cell r="V701" t="str">
            <v>*</v>
          </cell>
          <cell r="X701" t="e">
            <v>#N/A</v>
          </cell>
        </row>
        <row r="702">
          <cell r="G702" t="str">
            <v>DEPOSIT OTHERS</v>
          </cell>
          <cell r="H702" t="str">
            <v>Deposits others</v>
          </cell>
          <cell r="I702">
            <v>2430822</v>
          </cell>
          <cell r="J702">
            <v>100000</v>
          </cell>
          <cell r="K702">
            <v>0</v>
          </cell>
          <cell r="L702">
            <v>2530822</v>
          </cell>
          <cell r="N702">
            <v>2530822</v>
          </cell>
          <cell r="O702" t="str">
            <v>z</v>
          </cell>
          <cell r="V702" t="str">
            <v>*</v>
          </cell>
          <cell r="X702" t="e">
            <v>#N/A</v>
          </cell>
        </row>
        <row r="703">
          <cell r="G703" t="str">
            <v>ADVANCE CUSTOM DUTY - DEBP</v>
          </cell>
          <cell r="H703" t="str">
            <v>Advance Custom Duty (DEBP)</v>
          </cell>
          <cell r="I703">
            <v>2706973</v>
          </cell>
          <cell r="J703">
            <v>522839</v>
          </cell>
          <cell r="K703">
            <v>2994426</v>
          </cell>
          <cell r="L703">
            <v>235386</v>
          </cell>
          <cell r="N703">
            <v>235386</v>
          </cell>
          <cell r="O703" t="str">
            <v>z</v>
          </cell>
          <cell r="V703" t="str">
            <v>*</v>
          </cell>
          <cell r="X703" t="e">
            <v>#N/A</v>
          </cell>
        </row>
        <row r="704">
          <cell r="G704" t="str">
            <v>OTHER REMAINING CURRENT ASSETS</v>
          </cell>
          <cell r="H704" t="str">
            <v>Other Remaining Receivable Interest</v>
          </cell>
          <cell r="I704">
            <v>14659.61</v>
          </cell>
          <cell r="J704">
            <v>0</v>
          </cell>
          <cell r="K704">
            <v>0</v>
          </cell>
          <cell r="L704">
            <v>14659.61</v>
          </cell>
          <cell r="N704">
            <v>14659.61</v>
          </cell>
          <cell r="O704" t="str">
            <v>z</v>
          </cell>
          <cell r="V704" t="str">
            <v>*</v>
          </cell>
          <cell r="X704" t="e">
            <v>#N/A</v>
          </cell>
        </row>
        <row r="705">
          <cell r="G705" t="str">
            <v>DEUTSCHE BANK (INR)</v>
          </cell>
          <cell r="H705" t="str">
            <v>Deutsche Bank - INR A/C</v>
          </cell>
          <cell r="I705">
            <v>10993705.060000001</v>
          </cell>
          <cell r="J705">
            <v>51892193.060000002</v>
          </cell>
          <cell r="K705">
            <v>51208877.840000004</v>
          </cell>
          <cell r="L705">
            <v>11677020.279999999</v>
          </cell>
          <cell r="N705">
            <v>11677020.279999999</v>
          </cell>
          <cell r="O705" t="str">
            <v>z</v>
          </cell>
          <cell r="U705">
            <v>15889569.729999999</v>
          </cell>
          <cell r="V705" t="str">
            <v>*</v>
          </cell>
          <cell r="X705" t="e">
            <v>#N/A</v>
          </cell>
        </row>
        <row r="706">
          <cell r="G706" t="str">
            <v>DEUTSCHE BANK (62620050) USD</v>
          </cell>
          <cell r="H706" t="str">
            <v>Deutsche Bank - USD A/C</v>
          </cell>
          <cell r="I706">
            <v>84823.34</v>
          </cell>
          <cell r="J706">
            <v>101064.7</v>
          </cell>
          <cell r="K706">
            <v>127459</v>
          </cell>
          <cell r="L706">
            <v>51980.04</v>
          </cell>
          <cell r="N706">
            <v>51980.04</v>
          </cell>
          <cell r="O706" t="str">
            <v>z</v>
          </cell>
          <cell r="V706" t="str">
            <v>*</v>
          </cell>
          <cell r="X706" t="e">
            <v>#N/A</v>
          </cell>
        </row>
        <row r="707">
          <cell r="G707" t="str">
            <v>DEUTSCHE BANK (62620040)DEM</v>
          </cell>
          <cell r="H707" t="str">
            <v>Deutsche Bank - DEM A/C</v>
          </cell>
          <cell r="I707">
            <v>2566.7399999999998</v>
          </cell>
          <cell r="J707">
            <v>588004.68999999994</v>
          </cell>
          <cell r="K707">
            <v>590571.43000000005</v>
          </cell>
          <cell r="L707">
            <v>0</v>
          </cell>
          <cell r="N707">
            <v>0</v>
          </cell>
          <cell r="O707" t="str">
            <v>z</v>
          </cell>
          <cell r="V707" t="str">
            <v>*</v>
          </cell>
          <cell r="X707" t="e">
            <v>#N/A</v>
          </cell>
        </row>
        <row r="708">
          <cell r="G708" t="str">
            <v>DENA BANK</v>
          </cell>
          <cell r="H708" t="str">
            <v>Dena Bank Mumbai</v>
          </cell>
          <cell r="I708">
            <v>74063.97</v>
          </cell>
          <cell r="J708">
            <v>3892227</v>
          </cell>
          <cell r="K708">
            <v>3243513.38</v>
          </cell>
          <cell r="L708">
            <v>722777.59</v>
          </cell>
          <cell r="N708">
            <v>722777.59</v>
          </cell>
          <cell r="O708" t="str">
            <v>z</v>
          </cell>
          <cell r="V708" t="str">
            <v>*</v>
          </cell>
          <cell r="X708" t="e">
            <v>#N/A</v>
          </cell>
        </row>
        <row r="709">
          <cell r="G709" t="str">
            <v>BANK OF INDIA - PANJIM CURRENT ACCOUNT (1)</v>
          </cell>
          <cell r="H709" t="str">
            <v>Bank of India Panjim Curr. A/c(1)</v>
          </cell>
          <cell r="I709">
            <v>475</v>
          </cell>
          <cell r="J709">
            <v>0</v>
          </cell>
          <cell r="K709">
            <v>0</v>
          </cell>
          <cell r="L709">
            <v>475</v>
          </cell>
          <cell r="N709">
            <v>475</v>
          </cell>
          <cell r="O709" t="str">
            <v>z</v>
          </cell>
          <cell r="V709" t="str">
            <v>*</v>
          </cell>
          <cell r="X709" t="e">
            <v>#N/A</v>
          </cell>
        </row>
        <row r="710">
          <cell r="G710" t="str">
            <v>BANK OF INDIA - PONDA</v>
          </cell>
          <cell r="H710" t="str">
            <v>Bank of India Ponda Curr. A/c(1)</v>
          </cell>
          <cell r="I710">
            <v>46685.94</v>
          </cell>
          <cell r="J710">
            <v>2084149</v>
          </cell>
          <cell r="K710">
            <v>2190759.5</v>
          </cell>
          <cell r="L710">
            <v>-59924.56</v>
          </cell>
          <cell r="N710">
            <v>-59924.56</v>
          </cell>
          <cell r="O710" t="str">
            <v>z</v>
          </cell>
          <cell r="V710" t="str">
            <v>*</v>
          </cell>
          <cell r="X710" t="e">
            <v>#N/A</v>
          </cell>
        </row>
        <row r="711">
          <cell r="G711" t="str">
            <v>BANK OF INDIA PANJIM CURR.A/C (2)</v>
          </cell>
          <cell r="H711" t="str">
            <v>Bank of India Panjim Curr. A/c(2)</v>
          </cell>
          <cell r="I711">
            <v>85527.05</v>
          </cell>
          <cell r="J711">
            <v>800000</v>
          </cell>
          <cell r="K711">
            <v>817030</v>
          </cell>
          <cell r="L711">
            <v>68497.05</v>
          </cell>
          <cell r="N711">
            <v>68497.05</v>
          </cell>
          <cell r="O711" t="str">
            <v>z</v>
          </cell>
          <cell r="V711" t="str">
            <v>*</v>
          </cell>
          <cell r="X711" t="e">
            <v>#N/A</v>
          </cell>
        </row>
        <row r="712">
          <cell r="G712" t="str">
            <v>BANK OF INDIA CURR.A/C- IDBI SCHEME</v>
          </cell>
          <cell r="H712" t="str">
            <v>Bank of India Curr. A/c IDBI Scheme</v>
          </cell>
          <cell r="I712">
            <v>500</v>
          </cell>
          <cell r="J712">
            <v>0</v>
          </cell>
          <cell r="K712">
            <v>0</v>
          </cell>
          <cell r="L712">
            <v>500</v>
          </cell>
          <cell r="N712">
            <v>500</v>
          </cell>
          <cell r="O712" t="str">
            <v>z</v>
          </cell>
          <cell r="V712" t="str">
            <v>*</v>
          </cell>
          <cell r="X712" t="e">
            <v>#N/A</v>
          </cell>
        </row>
        <row r="713">
          <cell r="G713" t="str">
            <v>STATE BANK OF INDIA PANJIM</v>
          </cell>
          <cell r="H713" t="str">
            <v>State Bank of India Panjim</v>
          </cell>
          <cell r="I713">
            <v>191</v>
          </cell>
          <cell r="J713">
            <v>0</v>
          </cell>
          <cell r="K713">
            <v>0</v>
          </cell>
          <cell r="L713">
            <v>191</v>
          </cell>
          <cell r="N713">
            <v>191</v>
          </cell>
          <cell r="O713" t="str">
            <v>z</v>
          </cell>
          <cell r="V713" t="str">
            <v>*</v>
          </cell>
          <cell r="X713" t="e">
            <v>#N/A</v>
          </cell>
        </row>
        <row r="714">
          <cell r="G714" t="str">
            <v>GOA URBAN CO-OP.BANK LIMITED</v>
          </cell>
          <cell r="H714" t="str">
            <v>Goa Urban Co-Op. Bank</v>
          </cell>
          <cell r="I714">
            <v>3827.13</v>
          </cell>
          <cell r="J714">
            <v>0</v>
          </cell>
          <cell r="K714">
            <v>0</v>
          </cell>
          <cell r="L714">
            <v>3827.13</v>
          </cell>
          <cell r="N714">
            <v>3827.13</v>
          </cell>
          <cell r="O714" t="str">
            <v>z</v>
          </cell>
          <cell r="V714" t="str">
            <v>*</v>
          </cell>
          <cell r="X714" t="e">
            <v>#N/A</v>
          </cell>
        </row>
        <row r="715">
          <cell r="G715" t="str">
            <v>CANARA BANK O/D ACCOUNT</v>
          </cell>
          <cell r="H715" t="str">
            <v>Canara Bank O/D</v>
          </cell>
          <cell r="I715">
            <v>1136.19</v>
          </cell>
          <cell r="J715">
            <v>0</v>
          </cell>
          <cell r="K715">
            <v>0</v>
          </cell>
          <cell r="L715">
            <v>1136.19</v>
          </cell>
          <cell r="N715">
            <v>1136.19</v>
          </cell>
          <cell r="O715" t="str">
            <v>z</v>
          </cell>
          <cell r="V715" t="str">
            <v>*</v>
          </cell>
          <cell r="X715" t="e">
            <v>#N/A</v>
          </cell>
        </row>
        <row r="716">
          <cell r="G716" t="str">
            <v>BANK OF INDIA - TRUSTEE GRATUITY BANK A/C</v>
          </cell>
          <cell r="H716" t="str">
            <v>Trustee Bank Account (Gratuity)</v>
          </cell>
          <cell r="I716">
            <v>3292</v>
          </cell>
          <cell r="J716">
            <v>0</v>
          </cell>
          <cell r="K716">
            <v>0</v>
          </cell>
          <cell r="L716">
            <v>3292</v>
          </cell>
          <cell r="N716">
            <v>8232</v>
          </cell>
          <cell r="O716">
            <v>14</v>
          </cell>
          <cell r="V716" t="str">
            <v>*</v>
          </cell>
          <cell r="X716" t="e">
            <v>#N/A</v>
          </cell>
        </row>
        <row r="717">
          <cell r="G717" t="str">
            <v>BANK OF INDIA - SUPERANNUATION TRUST ACCOUNT</v>
          </cell>
          <cell r="I717">
            <v>4940</v>
          </cell>
          <cell r="J717">
            <v>0</v>
          </cell>
          <cell r="K717">
            <v>0</v>
          </cell>
          <cell r="L717">
            <v>4940</v>
          </cell>
          <cell r="O717">
            <v>14</v>
          </cell>
          <cell r="X717" t="e">
            <v>#N/A</v>
          </cell>
        </row>
        <row r="718">
          <cell r="G718" t="str">
            <v>CHEQUES IN HAND</v>
          </cell>
          <cell r="H718" t="str">
            <v>Cheques in Hand</v>
          </cell>
          <cell r="I718">
            <v>0</v>
          </cell>
          <cell r="J718">
            <v>2792459.7</v>
          </cell>
          <cell r="K718">
            <v>0</v>
          </cell>
          <cell r="L718">
            <v>2792459.7</v>
          </cell>
          <cell r="N718">
            <v>2792459.7</v>
          </cell>
          <cell r="O718" t="str">
            <v>z</v>
          </cell>
          <cell r="V718" t="str">
            <v>*</v>
          </cell>
          <cell r="X718" t="e">
            <v>#N/A</v>
          </cell>
        </row>
        <row r="719">
          <cell r="G719" t="str">
            <v>FIXED DEPOSITS</v>
          </cell>
          <cell r="H719" t="str">
            <v>Fixed Deposits</v>
          </cell>
          <cell r="I719">
            <v>3000</v>
          </cell>
          <cell r="J719">
            <v>0</v>
          </cell>
          <cell r="K719">
            <v>0</v>
          </cell>
          <cell r="L719">
            <v>3000</v>
          </cell>
          <cell r="N719">
            <v>3000</v>
          </cell>
          <cell r="O719" t="str">
            <v>z</v>
          </cell>
          <cell r="V719" t="str">
            <v>*</v>
          </cell>
          <cell r="X719" t="e">
            <v>#N/A</v>
          </cell>
        </row>
        <row r="720">
          <cell r="G720" t="str">
            <v>MARGIN MONEY DEPOSITS</v>
          </cell>
          <cell r="H720" t="str">
            <v>Margin Money Deposit</v>
          </cell>
          <cell r="I720">
            <v>125098.8</v>
          </cell>
          <cell r="J720">
            <v>0</v>
          </cell>
          <cell r="K720">
            <v>0</v>
          </cell>
          <cell r="L720">
            <v>125098.8</v>
          </cell>
          <cell r="N720">
            <v>125098.8</v>
          </cell>
          <cell r="O720" t="str">
            <v>z</v>
          </cell>
          <cell r="V720" t="str">
            <v>*</v>
          </cell>
          <cell r="X720" t="e">
            <v>#N/A</v>
          </cell>
        </row>
        <row r="721">
          <cell r="G721" t="str">
            <v>SHORT TERM DEPOSITS</v>
          </cell>
          <cell r="H721" t="str">
            <v>Short Term Deposits</v>
          </cell>
          <cell r="I721">
            <v>5000</v>
          </cell>
          <cell r="J721">
            <v>0</v>
          </cell>
          <cell r="K721">
            <v>0</v>
          </cell>
          <cell r="L721">
            <v>5000</v>
          </cell>
          <cell r="N721">
            <v>5000</v>
          </cell>
          <cell r="O721" t="str">
            <v>z</v>
          </cell>
          <cell r="V721" t="str">
            <v>*</v>
          </cell>
          <cell r="X721" t="e">
            <v>#N/A</v>
          </cell>
        </row>
        <row r="722">
          <cell r="G722" t="str">
            <v>IMPREST CASH</v>
          </cell>
          <cell r="H722" t="str">
            <v>Imprest Cash</v>
          </cell>
          <cell r="I722">
            <v>521000</v>
          </cell>
          <cell r="J722">
            <v>4000</v>
          </cell>
          <cell r="K722">
            <v>78000</v>
          </cell>
          <cell r="L722">
            <v>447000</v>
          </cell>
          <cell r="N722">
            <v>447000</v>
          </cell>
          <cell r="O722" t="str">
            <v>z</v>
          </cell>
          <cell r="V722" t="str">
            <v>*</v>
          </cell>
          <cell r="X722" t="e">
            <v>#N/A</v>
          </cell>
        </row>
        <row r="723">
          <cell r="G723" t="str">
            <v>PETTY CASH (MUMBAI)</v>
          </cell>
          <cell r="H723" t="str">
            <v>Petty Cash-Mumbai</v>
          </cell>
          <cell r="I723">
            <v>100280</v>
          </cell>
          <cell r="J723">
            <v>180000</v>
          </cell>
          <cell r="K723">
            <v>248950</v>
          </cell>
          <cell r="L723">
            <v>31330</v>
          </cell>
          <cell r="N723">
            <v>31330</v>
          </cell>
          <cell r="O723" t="str">
            <v>z</v>
          </cell>
          <cell r="V723" t="str">
            <v>*</v>
          </cell>
          <cell r="X723" t="e">
            <v>#N/A</v>
          </cell>
        </row>
        <row r="724">
          <cell r="G724" t="str">
            <v>PETTY CASH (GOA)</v>
          </cell>
          <cell r="H724" t="str">
            <v>Petty Cash - Goa</v>
          </cell>
          <cell r="I724">
            <v>16452.009999999998</v>
          </cell>
          <cell r="J724">
            <v>80000</v>
          </cell>
          <cell r="K724">
            <v>85482.5</v>
          </cell>
          <cell r="L724">
            <v>10969.51</v>
          </cell>
          <cell r="N724">
            <v>10969.51</v>
          </cell>
          <cell r="O724" t="str">
            <v>z</v>
          </cell>
          <cell r="V724" t="str">
            <v>*</v>
          </cell>
          <cell r="X724" t="e">
            <v>#N/A</v>
          </cell>
        </row>
        <row r="725">
          <cell r="G725" t="str">
            <v>OTHER PREPAID EXPENSES</v>
          </cell>
          <cell r="H725" t="str">
            <v>Prepaid Expenses</v>
          </cell>
          <cell r="I725">
            <v>830284</v>
          </cell>
          <cell r="J725">
            <v>11275</v>
          </cell>
          <cell r="K725">
            <v>45593</v>
          </cell>
          <cell r="L725">
            <v>795966</v>
          </cell>
          <cell r="N725">
            <v>795966</v>
          </cell>
          <cell r="O725" t="str">
            <v>z</v>
          </cell>
          <cell r="U725">
            <v>1677413</v>
          </cell>
          <cell r="V725" t="str">
            <v>*</v>
          </cell>
          <cell r="X725" t="e">
            <v>#N/A</v>
          </cell>
        </row>
        <row r="726">
          <cell r="G726" t="str">
            <v>PREPAID INSURANCE</v>
          </cell>
          <cell r="H726" t="str">
            <v>Prepaid Insurance</v>
          </cell>
          <cell r="I726">
            <v>550882</v>
          </cell>
          <cell r="J726">
            <v>2427</v>
          </cell>
          <cell r="K726">
            <v>52296</v>
          </cell>
          <cell r="L726">
            <v>501013</v>
          </cell>
          <cell r="N726">
            <v>501013</v>
          </cell>
          <cell r="O726" t="str">
            <v>z</v>
          </cell>
          <cell r="V726" t="str">
            <v>*</v>
          </cell>
          <cell r="X726" t="e">
            <v>#N/A</v>
          </cell>
        </row>
        <row r="727">
          <cell r="G727" t="str">
            <v>DEFF.REV. EXPENSES BUILDING</v>
          </cell>
          <cell r="H727" t="str">
            <v>Deff. Rev. Exp.- Misc. Assets</v>
          </cell>
          <cell r="I727">
            <v>0</v>
          </cell>
          <cell r="J727">
            <v>181560</v>
          </cell>
          <cell r="K727">
            <v>0</v>
          </cell>
          <cell r="L727">
            <v>181560</v>
          </cell>
          <cell r="N727">
            <v>380434</v>
          </cell>
          <cell r="O727">
            <v>15</v>
          </cell>
          <cell r="V727" t="str">
            <v>*</v>
          </cell>
          <cell r="X727" t="e">
            <v>#N/A</v>
          </cell>
        </row>
        <row r="728">
          <cell r="G728" t="str">
            <v>DEFF.REV. EXPENSES KALINA OFFICE &amp; GODOWN</v>
          </cell>
          <cell r="I728">
            <v>255514</v>
          </cell>
          <cell r="J728">
            <v>0</v>
          </cell>
          <cell r="K728">
            <v>56640</v>
          </cell>
          <cell r="L728">
            <v>198874</v>
          </cell>
          <cell r="O728">
            <v>15</v>
          </cell>
          <cell r="V728" t="str">
            <v>*</v>
          </cell>
          <cell r="X728" t="e">
            <v>#N/A</v>
          </cell>
        </row>
        <row r="729">
          <cell r="G729" t="str">
            <v>ADVANCE TAX A.Y. 1999-2000</v>
          </cell>
          <cell r="H729" t="str">
            <v>Advance I.Tax (A.Y. 1999-2000)</v>
          </cell>
          <cell r="I729">
            <v>7959070</v>
          </cell>
          <cell r="J729">
            <v>0</v>
          </cell>
          <cell r="K729">
            <v>0</v>
          </cell>
          <cell r="L729">
            <v>7959070</v>
          </cell>
          <cell r="N729">
            <v>7959070</v>
          </cell>
          <cell r="O729" t="str">
            <v>z</v>
          </cell>
          <cell r="U729">
            <v>12220027</v>
          </cell>
          <cell r="V729" t="str">
            <v>*</v>
          </cell>
          <cell r="X729" t="e">
            <v>#N/A</v>
          </cell>
        </row>
        <row r="730">
          <cell r="G730" t="str">
            <v>T.D.S.</v>
          </cell>
          <cell r="H730" t="str">
            <v>T.D.S. A/C</v>
          </cell>
          <cell r="I730">
            <v>110957</v>
          </cell>
          <cell r="J730">
            <v>0</v>
          </cell>
          <cell r="K730">
            <v>0</v>
          </cell>
          <cell r="L730">
            <v>110957</v>
          </cell>
          <cell r="N730">
            <v>110957</v>
          </cell>
          <cell r="O730" t="str">
            <v>z</v>
          </cell>
          <cell r="V730" t="str">
            <v>*</v>
          </cell>
          <cell r="X730" t="e">
            <v>#N/A</v>
          </cell>
        </row>
        <row r="731">
          <cell r="G731" t="str">
            <v>ADVANCE TAX A.Y.2000-2001</v>
          </cell>
          <cell r="H731" t="str">
            <v>Advance I.Tax (A.Y. 2000-2001)</v>
          </cell>
          <cell r="I731">
            <v>3350000</v>
          </cell>
          <cell r="J731">
            <v>0</v>
          </cell>
          <cell r="K731">
            <v>0</v>
          </cell>
          <cell r="L731">
            <v>3350000</v>
          </cell>
          <cell r="N731">
            <v>3350000</v>
          </cell>
          <cell r="O731" t="str">
            <v>z</v>
          </cell>
          <cell r="V731" t="str">
            <v>*</v>
          </cell>
          <cell r="X731" t="e">
            <v>#N/A</v>
          </cell>
        </row>
        <row r="732">
          <cell r="G732" t="str">
            <v>ADVANCE TAX - A.Y.2001-02</v>
          </cell>
          <cell r="H732" t="str">
            <v>Advance I.Tax (A.Y. 2001-2002)</v>
          </cell>
          <cell r="I732">
            <v>0</v>
          </cell>
          <cell r="J732">
            <v>800000</v>
          </cell>
          <cell r="K732">
            <v>0</v>
          </cell>
          <cell r="L732">
            <v>800000</v>
          </cell>
          <cell r="N732">
            <v>800000</v>
          </cell>
          <cell r="O732" t="str">
            <v>z</v>
          </cell>
          <cell r="V732" t="str">
            <v>*</v>
          </cell>
          <cell r="X732" t="e">
            <v>#N/A</v>
          </cell>
        </row>
        <row r="733">
          <cell r="G733" t="str">
            <v>SUBSCRIBED SHARE CAPITAL</v>
          </cell>
          <cell r="H733" t="str">
            <v>Issued, Subscribed and Paid-up:</v>
          </cell>
          <cell r="I733">
            <v>-52488100</v>
          </cell>
          <cell r="J733">
            <v>0</v>
          </cell>
          <cell r="K733">
            <v>0</v>
          </cell>
          <cell r="L733">
            <v>-52488100</v>
          </cell>
          <cell r="N733">
            <v>-52488100</v>
          </cell>
          <cell r="O733" t="str">
            <v>Z</v>
          </cell>
          <cell r="Q733">
            <v>-52488100</v>
          </cell>
          <cell r="U733">
            <v>-52488100</v>
          </cell>
          <cell r="V733" t="str">
            <v>*</v>
          </cell>
          <cell r="X733" t="e">
            <v>#N/A</v>
          </cell>
        </row>
        <row r="734">
          <cell r="G734" t="str">
            <v>PREMIUM FROM THE ISSUE OF SHARES</v>
          </cell>
          <cell r="H734" t="str">
            <v>Share Premium</v>
          </cell>
          <cell r="I734">
            <v>-953400</v>
          </cell>
          <cell r="J734">
            <v>0</v>
          </cell>
          <cell r="K734">
            <v>0</v>
          </cell>
          <cell r="L734">
            <v>-953400</v>
          </cell>
          <cell r="N734">
            <v>-953400</v>
          </cell>
          <cell r="O734" t="str">
            <v>Z</v>
          </cell>
          <cell r="Q734" t="str">
            <v/>
          </cell>
          <cell r="U734">
            <v>-35549908.230000004</v>
          </cell>
          <cell r="V734" t="str">
            <v>*</v>
          </cell>
          <cell r="X734" t="e">
            <v>#N/A</v>
          </cell>
        </row>
        <row r="735">
          <cell r="G735" t="str">
            <v>RESERVE FOR TREASURY STOCK (OWN SHARES)</v>
          </cell>
          <cell r="H735" t="str">
            <v>General Reserve</v>
          </cell>
          <cell r="I735">
            <v>-7684450</v>
          </cell>
          <cell r="J735">
            <v>0</v>
          </cell>
          <cell r="K735">
            <v>0</v>
          </cell>
          <cell r="L735">
            <v>-7684450</v>
          </cell>
          <cell r="N735">
            <v>-7684450</v>
          </cell>
          <cell r="O735" t="str">
            <v>Z</v>
          </cell>
          <cell r="Q735">
            <v>-7684450</v>
          </cell>
          <cell r="V735" t="str">
            <v>*</v>
          </cell>
          <cell r="X735" t="e">
            <v>#N/A</v>
          </cell>
        </row>
        <row r="736">
          <cell r="G736" t="str">
            <v>RESULTS BROUGHT FORWARD FROM PRIOR YEAR</v>
          </cell>
          <cell r="H736" t="str">
            <v>Profit and Loss Account</v>
          </cell>
          <cell r="I736">
            <v>-26912058.23</v>
          </cell>
          <cell r="J736">
            <v>0</v>
          </cell>
          <cell r="K736">
            <v>0</v>
          </cell>
          <cell r="L736">
            <v>-26912058.23</v>
          </cell>
          <cell r="N736">
            <v>-26912058.23</v>
          </cell>
          <cell r="O736" t="str">
            <v>Z</v>
          </cell>
          <cell r="Q736">
            <v>-26912058.23</v>
          </cell>
          <cell r="V736" t="str">
            <v>*</v>
          </cell>
          <cell r="X736" t="e">
            <v>#N/A</v>
          </cell>
        </row>
        <row r="737">
          <cell r="G737" t="str">
            <v>EMPLOYEES PROVIDEND FUND</v>
          </cell>
          <cell r="H737" t="str">
            <v>Employees Provident Fund</v>
          </cell>
          <cell r="I737">
            <v>-82822</v>
          </cell>
          <cell r="J737">
            <v>82835</v>
          </cell>
          <cell r="K737">
            <v>85957</v>
          </cell>
          <cell r="L737">
            <v>-85944</v>
          </cell>
          <cell r="N737">
            <v>-85944</v>
          </cell>
          <cell r="O737" t="str">
            <v>Z</v>
          </cell>
          <cell r="Q737" t="str">
            <v/>
          </cell>
          <cell r="U737">
            <v>-93719.86</v>
          </cell>
          <cell r="X737" t="e">
            <v>#N/A</v>
          </cell>
        </row>
        <row r="738">
          <cell r="G738" t="str">
            <v>EMPLOYEES STATE INSURANCE FUND</v>
          </cell>
          <cell r="H738" t="str">
            <v>Employees State Insurance</v>
          </cell>
          <cell r="I738">
            <v>-4614.1000000000004</v>
          </cell>
          <cell r="J738">
            <v>4622.8999999999996</v>
          </cell>
          <cell r="K738">
            <v>4402.3</v>
          </cell>
          <cell r="L738">
            <v>-4393.5</v>
          </cell>
          <cell r="N738">
            <v>-4393.5</v>
          </cell>
          <cell r="O738" t="str">
            <v>Z</v>
          </cell>
          <cell r="Q738" t="str">
            <v/>
          </cell>
          <cell r="X738" t="e">
            <v>#N/A</v>
          </cell>
        </row>
        <row r="739">
          <cell r="G739" t="str">
            <v>EMPLOYEES DEATH BENE.FUND</v>
          </cell>
          <cell r="I739">
            <v>0</v>
          </cell>
          <cell r="J739">
            <v>360</v>
          </cell>
          <cell r="K739">
            <v>360</v>
          </cell>
          <cell r="L739">
            <v>0</v>
          </cell>
          <cell r="N739">
            <v>0</v>
          </cell>
          <cell r="O739" t="str">
            <v>Z</v>
          </cell>
          <cell r="Q739" t="str">
            <v/>
          </cell>
          <cell r="X739" t="e">
            <v>#N/A</v>
          </cell>
        </row>
        <row r="740">
          <cell r="G740" t="str">
            <v>MAHARASHRA PROFESSION TAX</v>
          </cell>
          <cell r="H740" t="str">
            <v>Maharashtra Profession Tax</v>
          </cell>
          <cell r="I740">
            <v>-5755</v>
          </cell>
          <cell r="J740">
            <v>5755</v>
          </cell>
          <cell r="K740">
            <v>5600</v>
          </cell>
          <cell r="L740">
            <v>-5600</v>
          </cell>
          <cell r="N740">
            <v>-5600</v>
          </cell>
          <cell r="O740" t="str">
            <v>Z</v>
          </cell>
          <cell r="Q740" t="str">
            <v/>
          </cell>
          <cell r="X740" t="e">
            <v>#N/A</v>
          </cell>
        </row>
        <row r="741">
          <cell r="G741" t="str">
            <v>LABOUR WELFARE FUND</v>
          </cell>
          <cell r="H741" t="str">
            <v>Labour Welfare Fund</v>
          </cell>
          <cell r="I741">
            <v>1175.3499999999999</v>
          </cell>
          <cell r="J741">
            <v>0</v>
          </cell>
          <cell r="K741">
            <v>39</v>
          </cell>
          <cell r="L741">
            <v>1136.3499999999999</v>
          </cell>
          <cell r="N741">
            <v>1136.3499999999999</v>
          </cell>
          <cell r="O741" t="str">
            <v>Z</v>
          </cell>
          <cell r="Q741" t="str">
            <v/>
          </cell>
          <cell r="X741" t="e">
            <v>#N/A</v>
          </cell>
        </row>
        <row r="742">
          <cell r="G742" t="str">
            <v>GOA URBAN CO-OP. BANK LOAN</v>
          </cell>
          <cell r="I742">
            <v>0</v>
          </cell>
          <cell r="J742">
            <v>5910</v>
          </cell>
          <cell r="K742">
            <v>5910</v>
          </cell>
          <cell r="L742">
            <v>0</v>
          </cell>
          <cell r="O742">
            <v>0</v>
          </cell>
          <cell r="Q742" t="str">
            <v/>
          </cell>
          <cell r="X742" t="e">
            <v>#N/A</v>
          </cell>
        </row>
        <row r="743">
          <cell r="G743" t="str">
            <v>MENEZES ENT. EMP. CO. OP. SOCIETY LOAN</v>
          </cell>
          <cell r="H743" t="str">
            <v>MENEZES ENT. EMP. CO. OP. SOCIETY LOAN</v>
          </cell>
          <cell r="I743">
            <v>-34444</v>
          </cell>
          <cell r="J743">
            <v>72026</v>
          </cell>
          <cell r="K743">
            <v>37182</v>
          </cell>
          <cell r="L743">
            <v>400</v>
          </cell>
          <cell r="N743">
            <v>400</v>
          </cell>
          <cell r="O743" t="str">
            <v>Z</v>
          </cell>
          <cell r="Q743" t="str">
            <v/>
          </cell>
          <cell r="X743" t="e">
            <v>#N/A</v>
          </cell>
        </row>
        <row r="744">
          <cell r="G744" t="str">
            <v>THE BICHOLIN URBAN CO- OP BANK LOAN</v>
          </cell>
          <cell r="I744">
            <v>0</v>
          </cell>
          <cell r="J744">
            <v>0</v>
          </cell>
          <cell r="K744">
            <v>0</v>
          </cell>
          <cell r="L744">
            <v>0</v>
          </cell>
          <cell r="O744">
            <v>0</v>
          </cell>
          <cell r="Q744" t="str">
            <v/>
          </cell>
          <cell r="X744" t="e">
            <v>#N/A</v>
          </cell>
        </row>
        <row r="745">
          <cell r="G745" t="str">
            <v>EMPLOYEES L.I.C.</v>
          </cell>
          <cell r="H745" t="str">
            <v>LIC</v>
          </cell>
          <cell r="I745">
            <v>-7861.71</v>
          </cell>
          <cell r="J745">
            <v>18621</v>
          </cell>
          <cell r="K745">
            <v>10078</v>
          </cell>
          <cell r="L745">
            <v>681.29</v>
          </cell>
          <cell r="N745">
            <v>681.29</v>
          </cell>
          <cell r="O745" t="str">
            <v>Z</v>
          </cell>
          <cell r="Q745" t="str">
            <v/>
          </cell>
          <cell r="V745" t="str">
            <v>*</v>
          </cell>
          <cell r="X745" t="e">
            <v>#N/A</v>
          </cell>
        </row>
        <row r="746">
          <cell r="G746" t="str">
            <v>GRATUITY / SUPERANNUATION PAYABLE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O746">
            <v>0</v>
          </cell>
          <cell r="Q746" t="str">
            <v/>
          </cell>
          <cell r="X746" t="e">
            <v>#N/A</v>
          </cell>
        </row>
        <row r="747">
          <cell r="G747" t="str">
            <v>PROVISION FOR INCOME TAX- A.Y. 1998-99</v>
          </cell>
          <cell r="H747" t="str">
            <v>Provision For I.Tax (A.Y. 98/99)</v>
          </cell>
          <cell r="I747">
            <v>-6900000</v>
          </cell>
          <cell r="J747">
            <v>0</v>
          </cell>
          <cell r="K747">
            <v>0</v>
          </cell>
          <cell r="L747">
            <v>-6900000</v>
          </cell>
          <cell r="N747">
            <v>-6900000</v>
          </cell>
          <cell r="O747" t="str">
            <v>Z</v>
          </cell>
          <cell r="Q747">
            <v>-6900000</v>
          </cell>
          <cell r="U747">
            <v>-13723143</v>
          </cell>
          <cell r="X747" t="e">
            <v>#N/A</v>
          </cell>
        </row>
        <row r="748">
          <cell r="G748" t="str">
            <v>ADVANCE TAX REFUND</v>
          </cell>
          <cell r="H748" t="str">
            <v>Advance Tax Refund</v>
          </cell>
          <cell r="I748">
            <v>-23143</v>
          </cell>
          <cell r="J748">
            <v>0</v>
          </cell>
          <cell r="K748">
            <v>0</v>
          </cell>
          <cell r="L748">
            <v>-23143</v>
          </cell>
          <cell r="N748">
            <v>-23143</v>
          </cell>
          <cell r="O748" t="str">
            <v>Z</v>
          </cell>
          <cell r="Q748" t="str">
            <v/>
          </cell>
          <cell r="X748" t="e">
            <v>#N/A</v>
          </cell>
        </row>
        <row r="749">
          <cell r="G749" t="str">
            <v>PROVISION FOR INCOME TAX- A.Y. 1999-2000</v>
          </cell>
          <cell r="H749" t="str">
            <v>Provision For I.Tax (A.Y. 99/00)</v>
          </cell>
          <cell r="I749">
            <v>-6800000</v>
          </cell>
          <cell r="J749">
            <v>0</v>
          </cell>
          <cell r="K749">
            <v>0</v>
          </cell>
          <cell r="L749">
            <v>-6800000</v>
          </cell>
          <cell r="N749">
            <v>-6800000</v>
          </cell>
          <cell r="O749" t="str">
            <v>Z</v>
          </cell>
          <cell r="Q749">
            <v>-6800000</v>
          </cell>
          <cell r="X749" t="e">
            <v>#N/A</v>
          </cell>
        </row>
        <row r="750">
          <cell r="G750" t="str">
            <v>PROVISION FOR BONUS</v>
          </cell>
          <cell r="H750" t="str">
            <v>Provision for Bonus</v>
          </cell>
          <cell r="I750">
            <v>-502913</v>
          </cell>
          <cell r="J750">
            <v>0</v>
          </cell>
          <cell r="K750">
            <v>245424</v>
          </cell>
          <cell r="L750">
            <v>-463654</v>
          </cell>
          <cell r="N750">
            <v>-463654</v>
          </cell>
          <cell r="O750" t="str">
            <v>z</v>
          </cell>
          <cell r="Q750" t="str">
            <v/>
          </cell>
          <cell r="U750">
            <v>-894443</v>
          </cell>
          <cell r="X750" t="e">
            <v>#N/A</v>
          </cell>
        </row>
        <row r="751">
          <cell r="G751" t="str">
            <v>LIABILITIES TO MANAGING DIRECTOR</v>
          </cell>
          <cell r="I751">
            <v>0</v>
          </cell>
          <cell r="J751">
            <v>0</v>
          </cell>
          <cell r="K751">
            <v>0</v>
          </cell>
          <cell r="L751">
            <v>0</v>
          </cell>
          <cell r="N751">
            <v>0</v>
          </cell>
          <cell r="O751" t="str">
            <v>z</v>
          </cell>
          <cell r="Q751" t="str">
            <v/>
          </cell>
          <cell r="X751" t="e">
            <v>#N/A</v>
          </cell>
        </row>
        <row r="752">
          <cell r="G752" t="str">
            <v>PROVISION FOR LEAVE ENCASHMENT</v>
          </cell>
          <cell r="H752" t="str">
            <v>PROVISION FOR LEAVE ENCASHMENT</v>
          </cell>
          <cell r="I752">
            <v>0</v>
          </cell>
          <cell r="J752">
            <v>0</v>
          </cell>
          <cell r="K752">
            <v>430789</v>
          </cell>
          <cell r="L752">
            <v>-430789</v>
          </cell>
          <cell r="N752">
            <v>-430789</v>
          </cell>
          <cell r="O752" t="str">
            <v>z</v>
          </cell>
          <cell r="Q752" t="str">
            <v/>
          </cell>
          <cell r="X752" t="e">
            <v>#N/A</v>
          </cell>
        </row>
        <row r="753">
          <cell r="G753" t="str">
            <v>PROVISION FOR AUDIT FEES</v>
          </cell>
          <cell r="H753" t="str">
            <v>Provision for Audit Fees</v>
          </cell>
          <cell r="I753">
            <v>-337700</v>
          </cell>
          <cell r="J753">
            <v>0</v>
          </cell>
          <cell r="K753">
            <v>37000</v>
          </cell>
          <cell r="L753">
            <v>-374700</v>
          </cell>
          <cell r="N753">
            <v>-374700</v>
          </cell>
          <cell r="O753" t="str">
            <v>z</v>
          </cell>
          <cell r="Q753" t="str">
            <v/>
          </cell>
          <cell r="U753">
            <v>-5719034.8399999999</v>
          </cell>
          <cell r="X753" t="e">
            <v>#N/A</v>
          </cell>
        </row>
        <row r="754">
          <cell r="G754" t="str">
            <v>PROVISION FOR TAX AUDIT FEES</v>
          </cell>
          <cell r="H754" t="str">
            <v>Provision for Tax Audit Fees</v>
          </cell>
          <cell r="I754">
            <v>-28875</v>
          </cell>
          <cell r="J754">
            <v>0</v>
          </cell>
          <cell r="K754">
            <v>3000</v>
          </cell>
          <cell r="L754">
            <v>-31875</v>
          </cell>
          <cell r="N754">
            <v>-31875</v>
          </cell>
          <cell r="O754" t="str">
            <v>z</v>
          </cell>
          <cell r="Q754" t="str">
            <v/>
          </cell>
          <cell r="X754" t="e">
            <v>#N/A</v>
          </cell>
        </row>
        <row r="755">
          <cell r="G755" t="str">
            <v>OUTSTANDING EXPENSES</v>
          </cell>
          <cell r="H755" t="str">
            <v>Outstanding Expenses</v>
          </cell>
          <cell r="I755">
            <v>-1118000</v>
          </cell>
          <cell r="J755">
            <v>1094000</v>
          </cell>
          <cell r="K755">
            <v>3751348</v>
          </cell>
          <cell r="L755">
            <v>-5312459.84</v>
          </cell>
          <cell r="N755">
            <v>-5312459.84</v>
          </cell>
          <cell r="O755">
            <v>100</v>
          </cell>
          <cell r="Q755">
            <v>-5312459.84</v>
          </cell>
          <cell r="X755" t="e">
            <v>#N/A</v>
          </cell>
        </row>
        <row r="756">
          <cell r="G756" t="str">
            <v>BHARAT CHEMICALS</v>
          </cell>
          <cell r="I756">
            <v>0</v>
          </cell>
          <cell r="J756">
            <v>0</v>
          </cell>
          <cell r="K756">
            <v>0</v>
          </cell>
          <cell r="L756">
            <v>0</v>
          </cell>
          <cell r="N756">
            <v>0</v>
          </cell>
          <cell r="O756" t="str">
            <v>z</v>
          </cell>
          <cell r="Q756" t="str">
            <v/>
          </cell>
          <cell r="U756">
            <v>-55224.11</v>
          </cell>
          <cell r="X756" t="e">
            <v>#N/A</v>
          </cell>
        </row>
        <row r="757">
          <cell r="G757" t="str">
            <v>EXPO ENGINNEERS</v>
          </cell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N757">
            <v>0</v>
          </cell>
          <cell r="O757" t="str">
            <v>z</v>
          </cell>
          <cell r="Q757" t="str">
            <v/>
          </cell>
          <cell r="X757" t="e">
            <v>#N/A</v>
          </cell>
        </row>
        <row r="758">
          <cell r="G758" t="str">
            <v>HOSPITAL SUPPLY CORPORATION (INDIA)</v>
          </cell>
          <cell r="I758">
            <v>0</v>
          </cell>
          <cell r="J758">
            <v>0</v>
          </cell>
          <cell r="K758">
            <v>2125</v>
          </cell>
          <cell r="L758">
            <v>-2125</v>
          </cell>
          <cell r="N758">
            <v>-2125</v>
          </cell>
          <cell r="O758" t="str">
            <v>z</v>
          </cell>
          <cell r="Q758" t="str">
            <v/>
          </cell>
          <cell r="X758" t="e">
            <v>#N/A</v>
          </cell>
        </row>
        <row r="759">
          <cell r="G759" t="str">
            <v>INKS INDIA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N759">
            <v>0</v>
          </cell>
          <cell r="O759" t="str">
            <v>z</v>
          </cell>
          <cell r="Q759" t="str">
            <v/>
          </cell>
          <cell r="X759" t="e">
            <v>#N/A</v>
          </cell>
        </row>
        <row r="760">
          <cell r="G760" t="str">
            <v>MONGA ELECTRONICS PVT. LTD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N760">
            <v>0</v>
          </cell>
          <cell r="O760" t="str">
            <v>z</v>
          </cell>
          <cell r="Q760" t="str">
            <v/>
          </cell>
          <cell r="X760" t="e">
            <v>#N/A</v>
          </cell>
        </row>
        <row r="761">
          <cell r="G761" t="str">
            <v>MANGIRISH PRINTERS</v>
          </cell>
          <cell r="I761">
            <v>-2855</v>
          </cell>
          <cell r="J761">
            <v>0</v>
          </cell>
          <cell r="K761">
            <v>0</v>
          </cell>
          <cell r="L761">
            <v>-2855</v>
          </cell>
          <cell r="N761">
            <v>-2855</v>
          </cell>
          <cell r="O761" t="str">
            <v>z</v>
          </cell>
          <cell r="Q761" t="str">
            <v/>
          </cell>
          <cell r="X761" t="e">
            <v>#N/A</v>
          </cell>
        </row>
        <row r="762">
          <cell r="G762" t="str">
            <v>OMEGA SYSTEMS</v>
          </cell>
          <cell r="I762">
            <v>0</v>
          </cell>
          <cell r="J762">
            <v>0</v>
          </cell>
          <cell r="K762">
            <v>0</v>
          </cell>
          <cell r="L762">
            <v>0</v>
          </cell>
          <cell r="N762">
            <v>0</v>
          </cell>
          <cell r="O762" t="str">
            <v>z</v>
          </cell>
          <cell r="Q762" t="str">
            <v/>
          </cell>
          <cell r="X762" t="e">
            <v>#N/A</v>
          </cell>
        </row>
        <row r="763">
          <cell r="G763" t="str">
            <v>PACKWELL</v>
          </cell>
          <cell r="I763">
            <v>23768.85</v>
          </cell>
          <cell r="J763">
            <v>0</v>
          </cell>
          <cell r="K763">
            <v>0</v>
          </cell>
          <cell r="L763">
            <v>23768.85</v>
          </cell>
          <cell r="N763">
            <v>23768.85</v>
          </cell>
          <cell r="O763" t="str">
            <v>z</v>
          </cell>
          <cell r="Q763" t="str">
            <v/>
          </cell>
          <cell r="X763" t="e">
            <v>#N/A</v>
          </cell>
        </row>
        <row r="764">
          <cell r="G764" t="str">
            <v>PERITO ASSOCIATES</v>
          </cell>
          <cell r="I764">
            <v>4050.04</v>
          </cell>
          <cell r="J764">
            <v>2592</v>
          </cell>
          <cell r="K764">
            <v>0</v>
          </cell>
          <cell r="L764">
            <v>6642.04</v>
          </cell>
          <cell r="N764">
            <v>6642.04</v>
          </cell>
          <cell r="O764" t="str">
            <v>z</v>
          </cell>
          <cell r="Q764" t="str">
            <v/>
          </cell>
          <cell r="X764" t="e">
            <v>#N/A</v>
          </cell>
        </row>
        <row r="765">
          <cell r="G765" t="str">
            <v>PEST CONTROL (INDIA) LTD.</v>
          </cell>
          <cell r="I765">
            <v>-29515</v>
          </cell>
          <cell r="J765">
            <v>29515</v>
          </cell>
          <cell r="K765">
            <v>16876</v>
          </cell>
          <cell r="L765">
            <v>-16876</v>
          </cell>
          <cell r="N765">
            <v>-16876</v>
          </cell>
          <cell r="O765" t="str">
            <v>z</v>
          </cell>
          <cell r="Q765" t="str">
            <v/>
          </cell>
          <cell r="X765" t="e">
            <v>#N/A</v>
          </cell>
        </row>
        <row r="766">
          <cell r="G766" t="str">
            <v>PRO -PACK INDUSTRIES</v>
          </cell>
          <cell r="I766">
            <v>-142878</v>
          </cell>
          <cell r="J766">
            <v>89273</v>
          </cell>
          <cell r="K766">
            <v>0</v>
          </cell>
          <cell r="L766">
            <v>-53605</v>
          </cell>
          <cell r="N766">
            <v>-53605</v>
          </cell>
          <cell r="O766" t="str">
            <v>z</v>
          </cell>
          <cell r="Q766" t="str">
            <v/>
          </cell>
          <cell r="X766" t="e">
            <v>#N/A</v>
          </cell>
        </row>
        <row r="767">
          <cell r="G767" t="str">
            <v>R.K. PACKAGING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N767">
            <v>0</v>
          </cell>
          <cell r="O767" t="str">
            <v>z</v>
          </cell>
          <cell r="Q767" t="str">
            <v/>
          </cell>
          <cell r="X767" t="e">
            <v>#N/A</v>
          </cell>
        </row>
        <row r="768">
          <cell r="G768" t="str">
            <v>ROBOT SOAP PRODUCTS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N768">
            <v>0</v>
          </cell>
          <cell r="O768" t="str">
            <v>z</v>
          </cell>
          <cell r="Q768" t="str">
            <v/>
          </cell>
          <cell r="X768" t="e">
            <v>#N/A</v>
          </cell>
        </row>
        <row r="769">
          <cell r="G769" t="str">
            <v>SADHALE ENTERPRISES</v>
          </cell>
          <cell r="I769">
            <v>0</v>
          </cell>
          <cell r="J769">
            <v>12096</v>
          </cell>
          <cell r="K769">
            <v>14877</v>
          </cell>
          <cell r="L769">
            <v>-2781</v>
          </cell>
          <cell r="N769">
            <v>-2781</v>
          </cell>
          <cell r="O769" t="str">
            <v>z</v>
          </cell>
          <cell r="Q769" t="str">
            <v/>
          </cell>
          <cell r="X769" t="e">
            <v>#N/A</v>
          </cell>
        </row>
        <row r="770">
          <cell r="G770" t="str">
            <v>SANJAY PLASTICS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N770">
            <v>0</v>
          </cell>
          <cell r="O770" t="str">
            <v>z</v>
          </cell>
          <cell r="Q770" t="str">
            <v/>
          </cell>
          <cell r="X770" t="e">
            <v>#N/A</v>
          </cell>
        </row>
        <row r="771">
          <cell r="G771" t="str">
            <v>SHERVANI PLASTIC INDUSTRY</v>
          </cell>
          <cell r="I771">
            <v>-28595</v>
          </cell>
          <cell r="J771">
            <v>28585</v>
          </cell>
          <cell r="K771">
            <v>7383</v>
          </cell>
          <cell r="L771">
            <v>-7393</v>
          </cell>
          <cell r="N771">
            <v>-7393</v>
          </cell>
          <cell r="O771" t="str">
            <v>z</v>
          </cell>
          <cell r="Q771" t="str">
            <v/>
          </cell>
          <cell r="X771" t="e">
            <v>#N/A</v>
          </cell>
        </row>
        <row r="772">
          <cell r="G772" t="str">
            <v>S.R.ENTERPRISE</v>
          </cell>
          <cell r="I772">
            <v>0</v>
          </cell>
          <cell r="J772">
            <v>0</v>
          </cell>
          <cell r="K772">
            <v>0</v>
          </cell>
          <cell r="L772">
            <v>0</v>
          </cell>
          <cell r="N772">
            <v>0</v>
          </cell>
          <cell r="O772" t="str">
            <v>z</v>
          </cell>
          <cell r="Q772" t="str">
            <v/>
          </cell>
          <cell r="X772" t="e">
            <v>#N/A</v>
          </cell>
        </row>
        <row r="773">
          <cell r="G773" t="str">
            <v>YASH AGENCIES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N773">
            <v>0</v>
          </cell>
          <cell r="O773" t="str">
            <v>z</v>
          </cell>
          <cell r="Q773" t="str">
            <v/>
          </cell>
          <cell r="X773" t="e">
            <v>#N/A</v>
          </cell>
        </row>
        <row r="774">
          <cell r="G774" t="str">
            <v>EDIFICE MEDICAL SYSTEMS, MUMBAI</v>
          </cell>
          <cell r="I774">
            <v>-27832</v>
          </cell>
          <cell r="J774">
            <v>19000</v>
          </cell>
          <cell r="K774">
            <v>0</v>
          </cell>
          <cell r="L774">
            <v>-8832</v>
          </cell>
          <cell r="N774">
            <v>-8832</v>
          </cell>
          <cell r="O774" t="str">
            <v>z</v>
          </cell>
          <cell r="Q774" t="str">
            <v/>
          </cell>
          <cell r="X774" t="e">
            <v>#N/A</v>
          </cell>
        </row>
        <row r="775">
          <cell r="G775" t="str">
            <v>G.D.ENTERPRISES</v>
          </cell>
          <cell r="I775">
            <v>-183910</v>
          </cell>
          <cell r="J775">
            <v>0</v>
          </cell>
          <cell r="K775">
            <v>0</v>
          </cell>
          <cell r="L775">
            <v>-183910</v>
          </cell>
          <cell r="N775">
            <v>-183910</v>
          </cell>
          <cell r="O775" t="str">
            <v>z</v>
          </cell>
          <cell r="Q775" t="str">
            <v/>
          </cell>
          <cell r="X775" t="e">
            <v>#N/A</v>
          </cell>
        </row>
        <row r="776">
          <cell r="G776" t="str">
            <v>K. K. SURGICALS</v>
          </cell>
          <cell r="I776">
            <v>-24537</v>
          </cell>
          <cell r="J776">
            <v>0</v>
          </cell>
          <cell r="K776">
            <v>0</v>
          </cell>
          <cell r="L776">
            <v>-24537</v>
          </cell>
          <cell r="N776">
            <v>-24537</v>
          </cell>
          <cell r="O776" t="str">
            <v>z</v>
          </cell>
          <cell r="Q776" t="str">
            <v/>
          </cell>
          <cell r="X776" t="e">
            <v>#N/A</v>
          </cell>
        </row>
        <row r="777">
          <cell r="G777" t="str">
            <v>KONSUMEX SERVICES</v>
          </cell>
          <cell r="I777">
            <v>-96801</v>
          </cell>
          <cell r="J777">
            <v>0</v>
          </cell>
          <cell r="K777">
            <v>0</v>
          </cell>
          <cell r="L777">
            <v>-96801</v>
          </cell>
          <cell r="N777">
            <v>-96801</v>
          </cell>
          <cell r="O777" t="str">
            <v>z</v>
          </cell>
          <cell r="Q777" t="str">
            <v/>
          </cell>
          <cell r="X777" t="e">
            <v>#N/A</v>
          </cell>
        </row>
        <row r="778">
          <cell r="G778" t="str">
            <v>PRADEEP KALE &amp; CO.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N778">
            <v>0</v>
          </cell>
          <cell r="O778" t="str">
            <v>z</v>
          </cell>
          <cell r="Q778" t="str">
            <v/>
          </cell>
          <cell r="X778" t="e">
            <v>#N/A</v>
          </cell>
        </row>
        <row r="779">
          <cell r="G779" t="str">
            <v>P. MAHAJAN</v>
          </cell>
          <cell r="I779">
            <v>-25000</v>
          </cell>
          <cell r="J779">
            <v>0</v>
          </cell>
          <cell r="K779">
            <v>0</v>
          </cell>
          <cell r="L779">
            <v>-25000</v>
          </cell>
          <cell r="N779">
            <v>-25000</v>
          </cell>
          <cell r="O779" t="str">
            <v>z</v>
          </cell>
          <cell r="Q779" t="str">
            <v/>
          </cell>
          <cell r="X779" t="e">
            <v>#N/A</v>
          </cell>
        </row>
        <row r="780">
          <cell r="G780" t="str">
            <v>P. RAVEENDRAN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N780">
            <v>0</v>
          </cell>
          <cell r="O780" t="str">
            <v>z</v>
          </cell>
          <cell r="Q780" t="str">
            <v/>
          </cell>
          <cell r="X780" t="e">
            <v>#N/A</v>
          </cell>
        </row>
        <row r="781">
          <cell r="G781" t="str">
            <v>PRABHA SURGICALS</v>
          </cell>
          <cell r="I781">
            <v>-66290</v>
          </cell>
          <cell r="J781">
            <v>16800</v>
          </cell>
          <cell r="K781">
            <v>6000</v>
          </cell>
          <cell r="L781">
            <v>-55490</v>
          </cell>
          <cell r="N781">
            <v>-55490</v>
          </cell>
          <cell r="O781" t="str">
            <v>z</v>
          </cell>
          <cell r="Q781" t="str">
            <v/>
          </cell>
          <cell r="X781" t="e">
            <v>#N/A</v>
          </cell>
        </row>
        <row r="782">
          <cell r="G782" t="str">
            <v>RENHART HEALTH PRODUCTS LIMITED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N782">
            <v>0</v>
          </cell>
          <cell r="O782" t="str">
            <v>z</v>
          </cell>
          <cell r="Q782" t="str">
            <v/>
          </cell>
          <cell r="X782" t="e">
            <v>#N/A</v>
          </cell>
        </row>
        <row r="783">
          <cell r="G783" t="str">
            <v>STERICAT GUSTRINGS NEW DELHI</v>
          </cell>
          <cell r="I783">
            <v>5351</v>
          </cell>
          <cell r="J783">
            <v>0</v>
          </cell>
          <cell r="K783">
            <v>0</v>
          </cell>
          <cell r="L783">
            <v>5351</v>
          </cell>
          <cell r="N783">
            <v>5351</v>
          </cell>
          <cell r="O783" t="str">
            <v>z</v>
          </cell>
          <cell r="Q783" t="str">
            <v/>
          </cell>
          <cell r="X783" t="e">
            <v>#N/A</v>
          </cell>
        </row>
        <row r="784">
          <cell r="G784" t="str">
            <v>SCIEMED OVERSEAS</v>
          </cell>
          <cell r="I784">
            <v>-356669</v>
          </cell>
          <cell r="J784">
            <v>90263</v>
          </cell>
          <cell r="K784">
            <v>0</v>
          </cell>
          <cell r="L784">
            <v>-266406</v>
          </cell>
          <cell r="N784">
            <v>-266406</v>
          </cell>
          <cell r="O784" t="str">
            <v>z</v>
          </cell>
          <cell r="Q784" t="str">
            <v/>
          </cell>
          <cell r="X784" t="e">
            <v>#N/A</v>
          </cell>
        </row>
        <row r="785">
          <cell r="G785" t="str">
            <v>S.R.ENTERPRISES.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N785">
            <v>0</v>
          </cell>
          <cell r="O785" t="str">
            <v>z</v>
          </cell>
          <cell r="Q785" t="str">
            <v/>
          </cell>
          <cell r="X785" t="e">
            <v>#N/A</v>
          </cell>
        </row>
        <row r="786">
          <cell r="G786" t="str">
            <v>UNITED SURGICALS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N786">
            <v>0</v>
          </cell>
          <cell r="O786" t="str">
            <v>z</v>
          </cell>
          <cell r="Q786" t="str">
            <v/>
          </cell>
          <cell r="X786" t="e">
            <v>#N/A</v>
          </cell>
        </row>
        <row r="787">
          <cell r="G787" t="str">
            <v>VIJAY PANCHAL</v>
          </cell>
          <cell r="I787">
            <v>-32062</v>
          </cell>
          <cell r="J787">
            <v>32062</v>
          </cell>
          <cell r="K787">
            <v>0</v>
          </cell>
          <cell r="L787">
            <v>0</v>
          </cell>
          <cell r="N787">
            <v>0</v>
          </cell>
          <cell r="O787" t="str">
            <v>z</v>
          </cell>
          <cell r="Q787" t="str">
            <v/>
          </cell>
          <cell r="X787" t="e">
            <v>#N/A</v>
          </cell>
        </row>
        <row r="788">
          <cell r="G788" t="str">
            <v>USHA BUSINESS DEVELOPMENT PVT. LTD.</v>
          </cell>
          <cell r="I788">
            <v>-181285</v>
          </cell>
          <cell r="J788">
            <v>0</v>
          </cell>
          <cell r="K788">
            <v>174204</v>
          </cell>
          <cell r="L788">
            <v>-355489</v>
          </cell>
          <cell r="N788">
            <v>-355489</v>
          </cell>
          <cell r="O788" t="str">
            <v>z</v>
          </cell>
          <cell r="Q788" t="str">
            <v/>
          </cell>
          <cell r="X788" t="e">
            <v>#N/A</v>
          </cell>
        </row>
        <row r="789">
          <cell r="G789" t="str">
            <v>INDRA GANDHI INSTITUTE, PATNA</v>
          </cell>
          <cell r="I789">
            <v>185407</v>
          </cell>
          <cell r="J789">
            <v>0</v>
          </cell>
          <cell r="K789">
            <v>0</v>
          </cell>
          <cell r="L789">
            <v>185407</v>
          </cell>
          <cell r="N789">
            <v>185407</v>
          </cell>
          <cell r="O789" t="str">
            <v>z</v>
          </cell>
          <cell r="Q789" t="str">
            <v/>
          </cell>
          <cell r="X789" t="e">
            <v>#N/A</v>
          </cell>
        </row>
        <row r="790">
          <cell r="G790" t="str">
            <v>MULTICARE MEDICAL EQIPMENT LTD.</v>
          </cell>
          <cell r="I790">
            <v>-790608</v>
          </cell>
          <cell r="J790">
            <v>0</v>
          </cell>
          <cell r="K790">
            <v>43273</v>
          </cell>
          <cell r="L790">
            <v>-833881</v>
          </cell>
          <cell r="N790">
            <v>-833881</v>
          </cell>
          <cell r="O790" t="str">
            <v>z</v>
          </cell>
          <cell r="Q790" t="str">
            <v/>
          </cell>
          <cell r="X790" t="e">
            <v>#N/A</v>
          </cell>
        </row>
        <row r="791">
          <cell r="G791" t="str">
            <v>CHEMIPLAST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N791">
            <v>0</v>
          </cell>
          <cell r="O791" t="str">
            <v>z</v>
          </cell>
          <cell r="Q791" t="str">
            <v/>
          </cell>
          <cell r="X791" t="e">
            <v>#N/A</v>
          </cell>
        </row>
        <row r="792">
          <cell r="G792" t="str">
            <v>OVERSEAS ASSOCIATES</v>
          </cell>
          <cell r="I792">
            <v>-573563.49</v>
          </cell>
          <cell r="J792">
            <v>100279</v>
          </cell>
          <cell r="K792">
            <v>63388</v>
          </cell>
          <cell r="L792">
            <v>-536672.49</v>
          </cell>
          <cell r="N792">
            <v>-536672.49</v>
          </cell>
          <cell r="O792" t="str">
            <v>z</v>
          </cell>
          <cell r="Q792" t="str">
            <v/>
          </cell>
          <cell r="X792" t="e">
            <v>#N/A</v>
          </cell>
        </row>
        <row r="793">
          <cell r="G793" t="str">
            <v>WIPRO BIOMED</v>
          </cell>
          <cell r="I793">
            <v>-502808</v>
          </cell>
          <cell r="J793">
            <v>0</v>
          </cell>
          <cell r="K793">
            <v>20634</v>
          </cell>
          <cell r="L793">
            <v>-523442</v>
          </cell>
          <cell r="N793">
            <v>-523442</v>
          </cell>
          <cell r="O793" t="str">
            <v>z</v>
          </cell>
          <cell r="Q793" t="str">
            <v/>
          </cell>
          <cell r="X793" t="e">
            <v>#N/A</v>
          </cell>
        </row>
        <row r="794">
          <cell r="G794" t="str">
            <v>TRITON MEDICAL SERVICES PVT LTD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N794">
            <v>0</v>
          </cell>
          <cell r="O794" t="str">
            <v>z</v>
          </cell>
          <cell r="Q794" t="str">
            <v/>
          </cell>
          <cell r="X794" t="e">
            <v>#N/A</v>
          </cell>
        </row>
        <row r="795">
          <cell r="G795" t="str">
            <v>HI TECH PHARMA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N795">
            <v>0</v>
          </cell>
          <cell r="O795" t="str">
            <v>z</v>
          </cell>
          <cell r="Q795" t="str">
            <v/>
          </cell>
          <cell r="X795" t="e">
            <v>#N/A</v>
          </cell>
        </row>
        <row r="796">
          <cell r="G796" t="str">
            <v>JAGJIT SINGH</v>
          </cell>
          <cell r="I796">
            <v>-75000</v>
          </cell>
          <cell r="J796">
            <v>0</v>
          </cell>
          <cell r="K796">
            <v>0</v>
          </cell>
          <cell r="L796">
            <v>-75000</v>
          </cell>
          <cell r="N796">
            <v>-75000</v>
          </cell>
          <cell r="O796" t="str">
            <v>z</v>
          </cell>
          <cell r="Q796" t="str">
            <v/>
          </cell>
          <cell r="X796" t="e">
            <v>#N/A</v>
          </cell>
        </row>
        <row r="797">
          <cell r="G797" t="str">
            <v>ESQUIRE SURGICALS</v>
          </cell>
          <cell r="I797">
            <v>-9678.7000000000007</v>
          </cell>
          <cell r="J797">
            <v>0</v>
          </cell>
          <cell r="K797">
            <v>0</v>
          </cell>
          <cell r="L797">
            <v>-9678.7000000000007</v>
          </cell>
          <cell r="N797">
            <v>-9678.7000000000007</v>
          </cell>
          <cell r="O797" t="str">
            <v>z</v>
          </cell>
          <cell r="Q797" t="str">
            <v/>
          </cell>
          <cell r="X797" t="e">
            <v>#N/A</v>
          </cell>
        </row>
        <row r="798">
          <cell r="G798" t="str">
            <v>THE SOUTH INDIA SURGICAL CO. LTD.</v>
          </cell>
          <cell r="I798">
            <v>-114074</v>
          </cell>
          <cell r="J798">
            <v>114074</v>
          </cell>
          <cell r="K798">
            <v>121327</v>
          </cell>
          <cell r="L798">
            <v>-121327</v>
          </cell>
          <cell r="N798">
            <v>-121327</v>
          </cell>
          <cell r="O798" t="str">
            <v>z</v>
          </cell>
          <cell r="Q798" t="str">
            <v/>
          </cell>
          <cell r="X798" t="e">
            <v>#N/A</v>
          </cell>
        </row>
        <row r="799">
          <cell r="G799" t="str">
            <v>DESAI AGENCIES</v>
          </cell>
          <cell r="I799">
            <v>0</v>
          </cell>
          <cell r="J799">
            <v>0</v>
          </cell>
          <cell r="K799">
            <v>0</v>
          </cell>
          <cell r="L799">
            <v>0</v>
          </cell>
          <cell r="N799">
            <v>0</v>
          </cell>
          <cell r="O799" t="str">
            <v>z</v>
          </cell>
          <cell r="Q799" t="str">
            <v/>
          </cell>
          <cell r="X799" t="e">
            <v>#N/A</v>
          </cell>
        </row>
        <row r="800">
          <cell r="G800" t="str">
            <v>S.K.SHARMA &amp; COMPANY</v>
          </cell>
          <cell r="I800">
            <v>-91520</v>
          </cell>
          <cell r="J800">
            <v>91520</v>
          </cell>
          <cell r="K800">
            <v>40999</v>
          </cell>
          <cell r="L800">
            <v>-40999</v>
          </cell>
          <cell r="N800">
            <v>-40999</v>
          </cell>
          <cell r="O800" t="str">
            <v>z</v>
          </cell>
          <cell r="Q800" t="str">
            <v/>
          </cell>
          <cell r="X800" t="e">
            <v>#N/A</v>
          </cell>
        </row>
        <row r="801">
          <cell r="G801" t="str">
            <v>EDIFICE CORPORATION</v>
          </cell>
          <cell r="I801">
            <v>0</v>
          </cell>
          <cell r="J801">
            <v>0</v>
          </cell>
          <cell r="K801">
            <v>0</v>
          </cell>
          <cell r="L801">
            <v>0</v>
          </cell>
          <cell r="N801">
            <v>0</v>
          </cell>
          <cell r="O801" t="str">
            <v>z</v>
          </cell>
          <cell r="Q801" t="str">
            <v/>
          </cell>
          <cell r="X801" t="e">
            <v>#N/A</v>
          </cell>
        </row>
        <row r="802">
          <cell r="G802" t="str">
            <v>SHANBAG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N802">
            <v>0</v>
          </cell>
          <cell r="O802" t="str">
            <v>z</v>
          </cell>
          <cell r="Q802" t="str">
            <v/>
          </cell>
          <cell r="X802" t="e">
            <v>#N/A</v>
          </cell>
        </row>
        <row r="803">
          <cell r="G803" t="str">
            <v>RETAINTION MONEY - BHARAT ENG.</v>
          </cell>
          <cell r="H803" t="str">
            <v>Retaintion Money - Bharat Eng.</v>
          </cell>
          <cell r="I803">
            <v>-827501</v>
          </cell>
          <cell r="J803">
            <v>0</v>
          </cell>
          <cell r="K803">
            <v>0</v>
          </cell>
          <cell r="L803">
            <v>-827501</v>
          </cell>
          <cell r="N803">
            <v>-827501</v>
          </cell>
          <cell r="O803" t="str">
            <v>z</v>
          </cell>
          <cell r="Q803" t="str">
            <v/>
          </cell>
          <cell r="U803">
            <v>-2433730.81</v>
          </cell>
          <cell r="X803" t="e">
            <v>#N/A</v>
          </cell>
        </row>
        <row r="804">
          <cell r="G804" t="str">
            <v>TRINITY</v>
          </cell>
          <cell r="I804">
            <v>-51992</v>
          </cell>
          <cell r="J804">
            <v>0</v>
          </cell>
          <cell r="K804">
            <v>0</v>
          </cell>
          <cell r="L804">
            <v>-51992</v>
          </cell>
          <cell r="N804">
            <v>-51992</v>
          </cell>
          <cell r="O804" t="str">
            <v>z</v>
          </cell>
          <cell r="Q804" t="str">
            <v/>
          </cell>
          <cell r="X804" t="e">
            <v>#N/A</v>
          </cell>
        </row>
        <row r="805">
          <cell r="G805" t="str">
            <v>ACME AIRFROST IND PVT. LTD.</v>
          </cell>
          <cell r="I805">
            <v>-4875</v>
          </cell>
          <cell r="J805">
            <v>0</v>
          </cell>
          <cell r="K805">
            <v>0</v>
          </cell>
          <cell r="L805">
            <v>-4875</v>
          </cell>
          <cell r="N805">
            <v>-4875</v>
          </cell>
          <cell r="O805" t="str">
            <v>z</v>
          </cell>
          <cell r="Q805" t="str">
            <v/>
          </cell>
          <cell r="X805" t="e">
            <v>#N/A</v>
          </cell>
        </row>
        <row r="806">
          <cell r="G806" t="str">
            <v>ADMARK GIFTS</v>
          </cell>
          <cell r="I806">
            <v>48922</v>
          </cell>
          <cell r="J806">
            <v>48922</v>
          </cell>
          <cell r="K806">
            <v>97844</v>
          </cell>
          <cell r="L806">
            <v>0</v>
          </cell>
          <cell r="N806">
            <v>0</v>
          </cell>
          <cell r="O806" t="str">
            <v>z</v>
          </cell>
          <cell r="Q806" t="str">
            <v/>
          </cell>
          <cell r="X806" t="e">
            <v>#N/A</v>
          </cell>
        </row>
        <row r="807">
          <cell r="G807" t="str">
            <v>ALEENA FURNISHERS</v>
          </cell>
          <cell r="I807">
            <v>15000</v>
          </cell>
          <cell r="J807">
            <v>0</v>
          </cell>
          <cell r="K807">
            <v>15000</v>
          </cell>
          <cell r="L807">
            <v>0</v>
          </cell>
          <cell r="N807">
            <v>0</v>
          </cell>
          <cell r="O807" t="str">
            <v>z</v>
          </cell>
          <cell r="Q807" t="str">
            <v/>
          </cell>
          <cell r="X807" t="e">
            <v>#N/A</v>
          </cell>
        </row>
        <row r="808">
          <cell r="G808" t="str">
            <v>AJAY ENTERPRISES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N808">
            <v>0</v>
          </cell>
          <cell r="O808" t="str">
            <v>z</v>
          </cell>
          <cell r="Q808" t="str">
            <v/>
          </cell>
          <cell r="X808" t="e">
            <v>#N/A</v>
          </cell>
        </row>
        <row r="809">
          <cell r="G809" t="str">
            <v>AIR PACK LAMINAIR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N809">
            <v>0</v>
          </cell>
          <cell r="O809" t="str">
            <v>z</v>
          </cell>
          <cell r="Q809" t="str">
            <v/>
          </cell>
          <cell r="X809" t="e">
            <v>#N/A</v>
          </cell>
        </row>
        <row r="810">
          <cell r="G810" t="str">
            <v>ASHWINI RENAL CARE</v>
          </cell>
          <cell r="I810">
            <v>11177</v>
          </cell>
          <cell r="J810">
            <v>0</v>
          </cell>
          <cell r="K810">
            <v>0</v>
          </cell>
          <cell r="L810">
            <v>11177</v>
          </cell>
          <cell r="N810">
            <v>11177</v>
          </cell>
          <cell r="O810" t="str">
            <v>z</v>
          </cell>
          <cell r="Q810" t="str">
            <v/>
          </cell>
          <cell r="X810" t="e">
            <v>#N/A</v>
          </cell>
        </row>
        <row r="811">
          <cell r="G811" t="str">
            <v>ASSOCIATED  ROAD CARRIERS LIMITED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N811">
            <v>0</v>
          </cell>
          <cell r="O811" t="str">
            <v>z</v>
          </cell>
          <cell r="Q811" t="str">
            <v/>
          </cell>
          <cell r="X811" t="e">
            <v>#N/A</v>
          </cell>
        </row>
        <row r="812">
          <cell r="G812" t="str">
            <v>A.R.ENTERPRISES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N812">
            <v>0</v>
          </cell>
          <cell r="O812" t="str">
            <v>z</v>
          </cell>
          <cell r="Q812" t="str">
            <v/>
          </cell>
          <cell r="X812" t="e">
            <v>#N/A</v>
          </cell>
        </row>
        <row r="813">
          <cell r="G813" t="str">
            <v>BASANT BETONS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N813">
            <v>0</v>
          </cell>
          <cell r="O813" t="str">
            <v>z</v>
          </cell>
          <cell r="Q813" t="str">
            <v/>
          </cell>
          <cell r="X813" t="e">
            <v>#N/A</v>
          </cell>
        </row>
        <row r="814">
          <cell r="G814" t="str">
            <v>BLUE DART EXPRESS LIMITED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N814">
            <v>0</v>
          </cell>
          <cell r="O814" t="str">
            <v>z</v>
          </cell>
          <cell r="Q814" t="str">
            <v/>
          </cell>
          <cell r="X814" t="e">
            <v>#N/A</v>
          </cell>
        </row>
        <row r="815">
          <cell r="G815" t="str">
            <v>BHARAT ENGINEERS</v>
          </cell>
          <cell r="I815">
            <v>38212</v>
          </cell>
          <cell r="J815">
            <v>0</v>
          </cell>
          <cell r="K815">
            <v>0</v>
          </cell>
          <cell r="L815">
            <v>38212</v>
          </cell>
          <cell r="N815">
            <v>38212</v>
          </cell>
          <cell r="O815" t="str">
            <v>z</v>
          </cell>
          <cell r="Q815" t="str">
            <v/>
          </cell>
          <cell r="X815" t="e">
            <v>#N/A</v>
          </cell>
        </row>
        <row r="816">
          <cell r="G816" t="str">
            <v>BHAVANI FURNITURE WORKS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N816">
            <v>0</v>
          </cell>
          <cell r="O816" t="str">
            <v>z</v>
          </cell>
          <cell r="Q816" t="str">
            <v/>
          </cell>
          <cell r="X816" t="e">
            <v>#N/A</v>
          </cell>
        </row>
        <row r="817">
          <cell r="G817" t="str">
            <v>BLUE SKY LIMITED</v>
          </cell>
          <cell r="I817">
            <v>-5241</v>
          </cell>
          <cell r="J817">
            <v>0</v>
          </cell>
          <cell r="K817">
            <v>0</v>
          </cell>
          <cell r="L817">
            <v>-5241</v>
          </cell>
          <cell r="N817">
            <v>-5241</v>
          </cell>
          <cell r="O817" t="str">
            <v>z</v>
          </cell>
          <cell r="Q817" t="str">
            <v/>
          </cell>
          <cell r="X817" t="e">
            <v>#N/A</v>
          </cell>
        </row>
        <row r="818">
          <cell r="G818" t="str">
            <v>M/S BLUE STAR LTD.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N818">
            <v>0</v>
          </cell>
          <cell r="O818" t="str">
            <v>z</v>
          </cell>
          <cell r="Q818" t="str">
            <v/>
          </cell>
          <cell r="X818" t="e">
            <v>#N/A</v>
          </cell>
        </row>
        <row r="819">
          <cell r="G819" t="str">
            <v>BASANT TILES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N819">
            <v>0</v>
          </cell>
          <cell r="O819" t="str">
            <v>z</v>
          </cell>
          <cell r="Q819" t="str">
            <v/>
          </cell>
          <cell r="X819" t="e">
            <v>#N/A</v>
          </cell>
        </row>
        <row r="820">
          <cell r="G820" t="str">
            <v>CONCORDE</v>
          </cell>
          <cell r="I820">
            <v>-17921</v>
          </cell>
          <cell r="J820">
            <v>0</v>
          </cell>
          <cell r="K820">
            <v>0</v>
          </cell>
          <cell r="L820">
            <v>-17921</v>
          </cell>
          <cell r="N820">
            <v>-17921</v>
          </cell>
          <cell r="O820" t="str">
            <v>z</v>
          </cell>
          <cell r="Q820" t="str">
            <v/>
          </cell>
          <cell r="X820" t="e">
            <v>#N/A</v>
          </cell>
        </row>
        <row r="821">
          <cell r="G821" t="str">
            <v>COMPACT BUSINESS MACHINE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N821">
            <v>0</v>
          </cell>
          <cell r="O821" t="str">
            <v>z</v>
          </cell>
          <cell r="Q821" t="str">
            <v/>
          </cell>
          <cell r="X821" t="e">
            <v>#N/A</v>
          </cell>
        </row>
        <row r="822">
          <cell r="G822" t="str">
            <v>C G FARMS</v>
          </cell>
          <cell r="I822">
            <v>0</v>
          </cell>
          <cell r="J822">
            <v>28093</v>
          </cell>
          <cell r="K822">
            <v>39330</v>
          </cell>
          <cell r="L822">
            <v>-11237</v>
          </cell>
          <cell r="N822">
            <v>-11237</v>
          </cell>
          <cell r="O822" t="str">
            <v>z</v>
          </cell>
          <cell r="Q822" t="str">
            <v/>
          </cell>
          <cell r="X822" t="e">
            <v>#N/A</v>
          </cell>
        </row>
        <row r="823">
          <cell r="G823" t="str">
            <v>COSMED MATHIAS MENEZES LIMITED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N823">
            <v>0</v>
          </cell>
          <cell r="O823" t="str">
            <v>z</v>
          </cell>
          <cell r="Q823" t="str">
            <v/>
          </cell>
          <cell r="X823" t="e">
            <v>#N/A</v>
          </cell>
        </row>
        <row r="824">
          <cell r="G824" t="str">
            <v>C. N. GANDHEVIA CLEAING &amp; FORWARDING AGENTS P. LTD</v>
          </cell>
          <cell r="I824">
            <v>0</v>
          </cell>
          <cell r="J824">
            <v>14163</v>
          </cell>
          <cell r="K824">
            <v>14163</v>
          </cell>
          <cell r="L824">
            <v>0</v>
          </cell>
          <cell r="N824">
            <v>0</v>
          </cell>
          <cell r="O824" t="str">
            <v>z</v>
          </cell>
          <cell r="Q824" t="str">
            <v/>
          </cell>
          <cell r="X824" t="e">
            <v>#N/A</v>
          </cell>
        </row>
        <row r="825">
          <cell r="G825" t="str">
            <v>COMPU-TECH</v>
          </cell>
          <cell r="I825">
            <v>33000</v>
          </cell>
          <cell r="J825">
            <v>32965</v>
          </cell>
          <cell r="K825">
            <v>65965</v>
          </cell>
          <cell r="L825">
            <v>0</v>
          </cell>
          <cell r="N825">
            <v>0</v>
          </cell>
          <cell r="O825" t="str">
            <v>z</v>
          </cell>
          <cell r="Q825" t="str">
            <v/>
          </cell>
          <cell r="X825" t="e">
            <v>#N/A</v>
          </cell>
        </row>
        <row r="826">
          <cell r="G826" t="str">
            <v>EAGLE FREIGHT FORWARDERS LTD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N826">
            <v>0</v>
          </cell>
          <cell r="O826" t="str">
            <v>z</v>
          </cell>
          <cell r="Q826" t="str">
            <v/>
          </cell>
          <cell r="X826" t="e">
            <v>#N/A</v>
          </cell>
        </row>
        <row r="827">
          <cell r="G827" t="str">
            <v>EUREKA FORBES LIMITED</v>
          </cell>
          <cell r="I827">
            <v>7250</v>
          </cell>
          <cell r="J827">
            <v>0</v>
          </cell>
          <cell r="K827">
            <v>0</v>
          </cell>
          <cell r="L827">
            <v>7250</v>
          </cell>
          <cell r="N827">
            <v>7250</v>
          </cell>
          <cell r="O827" t="str">
            <v>z</v>
          </cell>
          <cell r="Q827" t="str">
            <v/>
          </cell>
          <cell r="X827" t="e">
            <v>#N/A</v>
          </cell>
        </row>
        <row r="828">
          <cell r="G828" t="str">
            <v>ELJAY IMPEX</v>
          </cell>
          <cell r="I828">
            <v>0</v>
          </cell>
          <cell r="J828">
            <v>56212</v>
          </cell>
          <cell r="K828">
            <v>56212</v>
          </cell>
          <cell r="L828">
            <v>0</v>
          </cell>
          <cell r="N828">
            <v>0</v>
          </cell>
          <cell r="O828" t="str">
            <v>z</v>
          </cell>
          <cell r="Q828" t="str">
            <v/>
          </cell>
          <cell r="X828" t="e">
            <v>#N/A</v>
          </cell>
        </row>
        <row r="829">
          <cell r="G829" t="str">
            <v>EXCEL LOGISTICS PVT. LTD.</v>
          </cell>
          <cell r="I829">
            <v>0</v>
          </cell>
          <cell r="J829">
            <v>0</v>
          </cell>
          <cell r="K829">
            <v>0</v>
          </cell>
          <cell r="L829">
            <v>0</v>
          </cell>
          <cell r="N829">
            <v>0</v>
          </cell>
          <cell r="O829" t="str">
            <v>z</v>
          </cell>
          <cell r="Q829" t="str">
            <v/>
          </cell>
          <cell r="X829" t="e">
            <v>#N/A</v>
          </cell>
        </row>
        <row r="830">
          <cell r="G830" t="str">
            <v>ENTIRE SERVICES</v>
          </cell>
          <cell r="I830">
            <v>0</v>
          </cell>
          <cell r="J830">
            <v>12250</v>
          </cell>
          <cell r="K830">
            <v>12250</v>
          </cell>
          <cell r="L830">
            <v>0</v>
          </cell>
          <cell r="N830">
            <v>0</v>
          </cell>
          <cell r="O830" t="str">
            <v>z</v>
          </cell>
          <cell r="Q830" t="str">
            <v/>
          </cell>
          <cell r="X830" t="e">
            <v>#N/A</v>
          </cell>
        </row>
        <row r="831">
          <cell r="G831" t="str">
            <v>FURTADO &amp; CO.</v>
          </cell>
          <cell r="I831">
            <v>20000</v>
          </cell>
          <cell r="J831">
            <v>65230</v>
          </cell>
          <cell r="K831">
            <v>65230</v>
          </cell>
          <cell r="L831">
            <v>20000</v>
          </cell>
          <cell r="N831">
            <v>20000</v>
          </cell>
          <cell r="O831" t="str">
            <v>z</v>
          </cell>
          <cell r="Q831" t="str">
            <v/>
          </cell>
          <cell r="X831" t="e">
            <v>#N/A</v>
          </cell>
        </row>
        <row r="832">
          <cell r="G832" t="str">
            <v>FUSEN ENGINEERING</v>
          </cell>
          <cell r="I832">
            <v>0</v>
          </cell>
          <cell r="J832">
            <v>0</v>
          </cell>
          <cell r="K832">
            <v>0</v>
          </cell>
          <cell r="L832">
            <v>0</v>
          </cell>
          <cell r="N832">
            <v>0</v>
          </cell>
          <cell r="O832" t="str">
            <v>z</v>
          </cell>
          <cell r="Q832" t="str">
            <v/>
          </cell>
          <cell r="X832" t="e">
            <v>#N/A</v>
          </cell>
        </row>
        <row r="833">
          <cell r="G833" t="str">
            <v>FIRST FLIGHT COURIER PVT.LTD</v>
          </cell>
          <cell r="I833">
            <v>0</v>
          </cell>
          <cell r="J833">
            <v>3496</v>
          </cell>
          <cell r="K833">
            <v>3496</v>
          </cell>
          <cell r="L833">
            <v>0</v>
          </cell>
          <cell r="N833">
            <v>0</v>
          </cell>
          <cell r="O833" t="str">
            <v>z</v>
          </cell>
          <cell r="Q833" t="str">
            <v/>
          </cell>
          <cell r="X833" t="e">
            <v>#N/A</v>
          </cell>
        </row>
        <row r="834">
          <cell r="G834" t="str">
            <v>F. G. ELECTRIC WORKS</v>
          </cell>
          <cell r="I834">
            <v>0</v>
          </cell>
          <cell r="J834">
            <v>0</v>
          </cell>
          <cell r="K834">
            <v>0</v>
          </cell>
          <cell r="L834">
            <v>0</v>
          </cell>
          <cell r="N834">
            <v>0</v>
          </cell>
          <cell r="O834" t="str">
            <v>z</v>
          </cell>
          <cell r="Q834" t="str">
            <v/>
          </cell>
          <cell r="X834" t="e">
            <v>#N/A</v>
          </cell>
        </row>
        <row r="835">
          <cell r="G835" t="str">
            <v>GOA CONTAINER &amp; ALLIED SERVICES</v>
          </cell>
          <cell r="I835">
            <v>0</v>
          </cell>
          <cell r="J835">
            <v>11200</v>
          </cell>
          <cell r="K835">
            <v>11200</v>
          </cell>
          <cell r="L835">
            <v>0</v>
          </cell>
          <cell r="N835">
            <v>0</v>
          </cell>
          <cell r="O835" t="str">
            <v>z</v>
          </cell>
          <cell r="Q835" t="str">
            <v/>
          </cell>
          <cell r="X835" t="e">
            <v>#N/A</v>
          </cell>
        </row>
        <row r="836">
          <cell r="G836" t="str">
            <v>GATI CORPORATION LTD ( MUMBAI)</v>
          </cell>
          <cell r="I836">
            <v>0</v>
          </cell>
          <cell r="J836">
            <v>3343</v>
          </cell>
          <cell r="K836">
            <v>3343</v>
          </cell>
          <cell r="L836">
            <v>0</v>
          </cell>
          <cell r="N836">
            <v>0</v>
          </cell>
          <cell r="O836" t="str">
            <v>z</v>
          </cell>
          <cell r="Q836" t="str">
            <v/>
          </cell>
          <cell r="X836" t="e">
            <v>#N/A</v>
          </cell>
        </row>
        <row r="837">
          <cell r="G837" t="str">
            <v>G.D.ENTERPRISES</v>
          </cell>
          <cell r="I837">
            <v>-346478</v>
          </cell>
          <cell r="J837">
            <v>192733</v>
          </cell>
          <cell r="K837">
            <v>359525</v>
          </cell>
          <cell r="L837">
            <v>-513270</v>
          </cell>
          <cell r="N837">
            <v>-513270</v>
          </cell>
          <cell r="O837" t="str">
            <v>z</v>
          </cell>
          <cell r="Q837" t="str">
            <v/>
          </cell>
          <cell r="X837" t="e">
            <v>#N/A</v>
          </cell>
        </row>
        <row r="838">
          <cell r="G838" t="str">
            <v>GATI- DESK- TO -DESK CARGO</v>
          </cell>
          <cell r="I838">
            <v>-100688</v>
          </cell>
          <cell r="J838">
            <v>209294</v>
          </cell>
          <cell r="K838">
            <v>430573</v>
          </cell>
          <cell r="L838">
            <v>-321967</v>
          </cell>
          <cell r="N838">
            <v>-321967</v>
          </cell>
          <cell r="O838" t="str">
            <v>z</v>
          </cell>
          <cell r="Q838" t="str">
            <v/>
          </cell>
          <cell r="X838" t="e">
            <v>#N/A</v>
          </cell>
        </row>
        <row r="839">
          <cell r="G839" t="str">
            <v>GANESH FURNITURE WORKS</v>
          </cell>
          <cell r="I839">
            <v>0</v>
          </cell>
          <cell r="J839">
            <v>0</v>
          </cell>
          <cell r="K839">
            <v>0</v>
          </cell>
          <cell r="L839">
            <v>0</v>
          </cell>
          <cell r="N839">
            <v>0</v>
          </cell>
          <cell r="O839" t="str">
            <v>z</v>
          </cell>
          <cell r="Q839" t="str">
            <v/>
          </cell>
          <cell r="X839" t="e">
            <v>#N/A</v>
          </cell>
        </row>
        <row r="840">
          <cell r="G840" t="str">
            <v>GLOBAL PAPER PRODUCT</v>
          </cell>
          <cell r="I840">
            <v>33051</v>
          </cell>
          <cell r="J840">
            <v>0</v>
          </cell>
          <cell r="K840">
            <v>0</v>
          </cell>
          <cell r="L840">
            <v>33051</v>
          </cell>
          <cell r="N840">
            <v>33051</v>
          </cell>
          <cell r="O840" t="str">
            <v>z</v>
          </cell>
          <cell r="Q840" t="str">
            <v/>
          </cell>
          <cell r="X840" t="e">
            <v>#N/A</v>
          </cell>
        </row>
        <row r="841">
          <cell r="G841" t="str">
            <v>G.M.BHANDARE CARGO MOVERS.</v>
          </cell>
          <cell r="I841">
            <v>0</v>
          </cell>
          <cell r="J841">
            <v>15500</v>
          </cell>
          <cell r="K841">
            <v>15500</v>
          </cell>
          <cell r="L841">
            <v>0</v>
          </cell>
          <cell r="N841">
            <v>0</v>
          </cell>
          <cell r="O841" t="str">
            <v>z</v>
          </cell>
          <cell r="Q841" t="str">
            <v/>
          </cell>
          <cell r="X841" t="e">
            <v>#N/A</v>
          </cell>
        </row>
        <row r="842">
          <cell r="G842" t="str">
            <v>GOKUL AGENCIES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N842">
            <v>0</v>
          </cell>
          <cell r="O842" t="str">
            <v>z</v>
          </cell>
          <cell r="Q842" t="str">
            <v/>
          </cell>
          <cell r="X842" t="e">
            <v>#N/A</v>
          </cell>
        </row>
        <row r="843">
          <cell r="G843" t="str">
            <v>GREEN ROADLINES CHANDIGARH</v>
          </cell>
          <cell r="I843">
            <v>80000</v>
          </cell>
          <cell r="J843">
            <v>83905</v>
          </cell>
          <cell r="K843">
            <v>100747</v>
          </cell>
          <cell r="L843">
            <v>63158</v>
          </cell>
          <cell r="N843">
            <v>63158</v>
          </cell>
          <cell r="O843" t="str">
            <v>z</v>
          </cell>
          <cell r="Q843" t="str">
            <v/>
          </cell>
          <cell r="X843" t="e">
            <v>#N/A</v>
          </cell>
        </row>
        <row r="844">
          <cell r="G844" t="str">
            <v>HINDUSTAN ADHESIVES LTD.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N844">
            <v>0</v>
          </cell>
          <cell r="O844" t="str">
            <v>z</v>
          </cell>
          <cell r="Q844" t="str">
            <v/>
          </cell>
          <cell r="X844" t="e">
            <v>#N/A</v>
          </cell>
        </row>
        <row r="845">
          <cell r="G845" t="str">
            <v>HYDROLOG ENGINEERS</v>
          </cell>
          <cell r="I845">
            <v>-50000</v>
          </cell>
          <cell r="J845">
            <v>0</v>
          </cell>
          <cell r="K845">
            <v>0</v>
          </cell>
          <cell r="L845">
            <v>-50000</v>
          </cell>
          <cell r="N845">
            <v>-50000</v>
          </cell>
          <cell r="O845" t="str">
            <v>z</v>
          </cell>
          <cell r="Q845" t="str">
            <v/>
          </cell>
          <cell r="X845" t="e">
            <v>#N/A</v>
          </cell>
        </row>
        <row r="846">
          <cell r="G846" t="str">
            <v>HINDUSTAN TRADERS CO.</v>
          </cell>
          <cell r="I846">
            <v>9800</v>
          </cell>
          <cell r="J846">
            <v>0</v>
          </cell>
          <cell r="K846">
            <v>0</v>
          </cell>
          <cell r="L846">
            <v>9800</v>
          </cell>
          <cell r="N846">
            <v>9800</v>
          </cell>
          <cell r="O846" t="str">
            <v>z</v>
          </cell>
          <cell r="Q846" t="str">
            <v/>
          </cell>
          <cell r="X846" t="e">
            <v>#N/A</v>
          </cell>
        </row>
        <row r="847">
          <cell r="G847" t="str">
            <v>INSYST BUSINESS SOLUTIONS PVT. LTD</v>
          </cell>
          <cell r="I847">
            <v>45000</v>
          </cell>
          <cell r="J847">
            <v>29346</v>
          </cell>
          <cell r="K847">
            <v>0</v>
          </cell>
          <cell r="L847">
            <v>74346</v>
          </cell>
          <cell r="N847">
            <v>74346</v>
          </cell>
          <cell r="O847" t="str">
            <v>z</v>
          </cell>
          <cell r="Q847" t="str">
            <v/>
          </cell>
          <cell r="X847" t="e">
            <v>#N/A</v>
          </cell>
        </row>
        <row r="848">
          <cell r="G848" t="str">
            <v>INTERNATIONAL FLEXIBLE CONVERTERS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N848">
            <v>0</v>
          </cell>
          <cell r="O848" t="str">
            <v>z</v>
          </cell>
          <cell r="Q848" t="str">
            <v/>
          </cell>
          <cell r="X848" t="e">
            <v>#N/A</v>
          </cell>
        </row>
        <row r="849">
          <cell r="G849" t="str">
            <v>INDUSTRIAL FILTRATION SERVICES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N849">
            <v>0</v>
          </cell>
          <cell r="O849" t="str">
            <v>z</v>
          </cell>
          <cell r="Q849" t="str">
            <v/>
          </cell>
          <cell r="X849" t="e">
            <v>#N/A</v>
          </cell>
        </row>
        <row r="850">
          <cell r="G850" t="str">
            <v>INDUSTRIAL FILTRATION SERVICES (RETENTION MONEY)</v>
          </cell>
          <cell r="I850">
            <v>0</v>
          </cell>
          <cell r="J850">
            <v>0</v>
          </cell>
          <cell r="K850">
            <v>0</v>
          </cell>
          <cell r="L850">
            <v>0</v>
          </cell>
          <cell r="N850">
            <v>0</v>
          </cell>
          <cell r="O850" t="str">
            <v>z</v>
          </cell>
          <cell r="Q850" t="str">
            <v/>
          </cell>
          <cell r="X850" t="e">
            <v>#N/A</v>
          </cell>
        </row>
        <row r="851">
          <cell r="G851" t="str">
            <v>INGERSOLL RAND PATEL ENGG. CO.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  <cell r="N851">
            <v>0</v>
          </cell>
          <cell r="O851" t="str">
            <v>z</v>
          </cell>
          <cell r="Q851" t="str">
            <v/>
          </cell>
          <cell r="X851" t="e">
            <v>#N/A</v>
          </cell>
        </row>
        <row r="852">
          <cell r="G852" t="str">
            <v>IRA TRADING CO.</v>
          </cell>
          <cell r="I852">
            <v>0</v>
          </cell>
          <cell r="J852">
            <v>0</v>
          </cell>
          <cell r="K852">
            <v>0</v>
          </cell>
          <cell r="L852">
            <v>0</v>
          </cell>
          <cell r="N852">
            <v>0</v>
          </cell>
          <cell r="O852" t="str">
            <v>z</v>
          </cell>
          <cell r="Q852" t="str">
            <v/>
          </cell>
          <cell r="X852" t="e">
            <v>#N/A</v>
          </cell>
        </row>
        <row r="853">
          <cell r="G853" t="str">
            <v>JK SERVICE AGENCIES</v>
          </cell>
          <cell r="I853">
            <v>416210</v>
          </cell>
          <cell r="J853">
            <v>0</v>
          </cell>
          <cell r="K853">
            <v>381876</v>
          </cell>
          <cell r="L853">
            <v>34334</v>
          </cell>
          <cell r="N853">
            <v>34334</v>
          </cell>
          <cell r="O853" t="str">
            <v>z</v>
          </cell>
          <cell r="Q853" t="str">
            <v/>
          </cell>
          <cell r="X853" t="e">
            <v>#N/A</v>
          </cell>
        </row>
        <row r="854">
          <cell r="G854" t="str">
            <v>J.M.MEHTA &amp; CO.</v>
          </cell>
          <cell r="I854">
            <v>0</v>
          </cell>
          <cell r="J854">
            <v>331532</v>
          </cell>
          <cell r="K854">
            <v>493551</v>
          </cell>
          <cell r="L854">
            <v>-162019</v>
          </cell>
          <cell r="N854">
            <v>-162019</v>
          </cell>
          <cell r="O854" t="str">
            <v>z</v>
          </cell>
          <cell r="Q854" t="str">
            <v/>
          </cell>
          <cell r="X854" t="e">
            <v>#N/A</v>
          </cell>
        </row>
        <row r="855">
          <cell r="G855" t="str">
            <v>KORDE ELECTRIC CONTROLS</v>
          </cell>
          <cell r="I855">
            <v>0</v>
          </cell>
          <cell r="J855">
            <v>1900</v>
          </cell>
          <cell r="K855">
            <v>1900</v>
          </cell>
          <cell r="L855">
            <v>0</v>
          </cell>
          <cell r="N855">
            <v>0</v>
          </cell>
          <cell r="O855" t="str">
            <v>z</v>
          </cell>
          <cell r="Q855" t="str">
            <v/>
          </cell>
          <cell r="X855" t="e">
            <v>#N/A</v>
          </cell>
        </row>
        <row r="856">
          <cell r="G856" t="str">
            <v>KIRAN FIRE SERVICES</v>
          </cell>
          <cell r="I856">
            <v>-25650</v>
          </cell>
          <cell r="J856">
            <v>0</v>
          </cell>
          <cell r="K856">
            <v>0</v>
          </cell>
          <cell r="L856">
            <v>-25650</v>
          </cell>
          <cell r="N856">
            <v>-25650</v>
          </cell>
          <cell r="O856" t="str">
            <v>z</v>
          </cell>
          <cell r="Q856" t="str">
            <v/>
          </cell>
          <cell r="X856" t="e">
            <v>#N/A</v>
          </cell>
        </row>
        <row r="857">
          <cell r="G857" t="str">
            <v>KIRAN FIRE SERVICES (RETENTIOIN MONEY0</v>
          </cell>
          <cell r="I857">
            <v>-9900</v>
          </cell>
          <cell r="J857">
            <v>0</v>
          </cell>
          <cell r="K857">
            <v>0</v>
          </cell>
          <cell r="L857">
            <v>-9900</v>
          </cell>
          <cell r="N857">
            <v>-9900</v>
          </cell>
          <cell r="O857" t="str">
            <v>z</v>
          </cell>
          <cell r="Q857" t="str">
            <v/>
          </cell>
          <cell r="X857" t="e">
            <v>#N/A</v>
          </cell>
        </row>
        <row r="858">
          <cell r="G858" t="str">
            <v>KALPAKA TRANSPORT CO. LTD.</v>
          </cell>
          <cell r="I858">
            <v>0</v>
          </cell>
          <cell r="J858">
            <v>0</v>
          </cell>
          <cell r="K858">
            <v>0</v>
          </cell>
          <cell r="L858">
            <v>0</v>
          </cell>
          <cell r="N858">
            <v>0</v>
          </cell>
          <cell r="O858" t="str">
            <v>z</v>
          </cell>
          <cell r="Q858" t="str">
            <v/>
          </cell>
          <cell r="X858" t="e">
            <v>#N/A</v>
          </cell>
        </row>
        <row r="859">
          <cell r="G859" t="str">
            <v>K.T. LAU CONSULTANTS</v>
          </cell>
          <cell r="I859">
            <v>-60566</v>
          </cell>
          <cell r="J859">
            <v>60566</v>
          </cell>
          <cell r="K859">
            <v>0</v>
          </cell>
          <cell r="L859">
            <v>0</v>
          </cell>
          <cell r="N859">
            <v>0</v>
          </cell>
          <cell r="O859" t="str">
            <v>z</v>
          </cell>
          <cell r="Q859" t="str">
            <v/>
          </cell>
          <cell r="X859" t="e">
            <v>#N/A</v>
          </cell>
        </row>
        <row r="860">
          <cell r="G860" t="str">
            <v>KUSTA V. NAIK</v>
          </cell>
          <cell r="I860">
            <v>0</v>
          </cell>
          <cell r="J860">
            <v>0</v>
          </cell>
          <cell r="K860">
            <v>0</v>
          </cell>
          <cell r="L860">
            <v>0</v>
          </cell>
          <cell r="N860">
            <v>0</v>
          </cell>
          <cell r="O860" t="str">
            <v>z</v>
          </cell>
          <cell r="Q860" t="str">
            <v/>
          </cell>
          <cell r="X860" t="e">
            <v>#N/A</v>
          </cell>
        </row>
        <row r="861">
          <cell r="G861" t="str">
            <v>LUDWIG FLOW EQUIPMENTS PVT. LTD.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N861">
            <v>0</v>
          </cell>
          <cell r="O861" t="str">
            <v>z</v>
          </cell>
          <cell r="Q861" t="str">
            <v/>
          </cell>
          <cell r="X861" t="e">
            <v>#N/A</v>
          </cell>
        </row>
        <row r="862">
          <cell r="G862" t="str">
            <v>LIMA LEITAO TRANSPORT</v>
          </cell>
          <cell r="I862">
            <v>0</v>
          </cell>
          <cell r="J862">
            <v>0</v>
          </cell>
          <cell r="K862">
            <v>0</v>
          </cell>
          <cell r="L862">
            <v>0</v>
          </cell>
          <cell r="N862">
            <v>0</v>
          </cell>
          <cell r="O862" t="str">
            <v>z</v>
          </cell>
          <cell r="Q862" t="str">
            <v/>
          </cell>
          <cell r="X862" t="e">
            <v>#N/A</v>
          </cell>
        </row>
        <row r="863">
          <cell r="G863" t="str">
            <v>LAUREN SOFTWARE PVT. LTD</v>
          </cell>
          <cell r="I863">
            <v>-35850</v>
          </cell>
          <cell r="J863">
            <v>0</v>
          </cell>
          <cell r="K863">
            <v>0</v>
          </cell>
          <cell r="L863">
            <v>-35850</v>
          </cell>
          <cell r="N863">
            <v>-35850</v>
          </cell>
          <cell r="O863" t="str">
            <v>z</v>
          </cell>
          <cell r="Q863" t="str">
            <v/>
          </cell>
          <cell r="X863" t="e">
            <v>#N/A</v>
          </cell>
        </row>
        <row r="864">
          <cell r="G864" t="str">
            <v>MEGHASHYAM ANAND SWAR &amp; CO.</v>
          </cell>
          <cell r="I864">
            <v>0</v>
          </cell>
          <cell r="J864">
            <v>12100</v>
          </cell>
          <cell r="K864">
            <v>12100</v>
          </cell>
          <cell r="L864">
            <v>0</v>
          </cell>
          <cell r="N864">
            <v>0</v>
          </cell>
          <cell r="O864" t="str">
            <v>z</v>
          </cell>
          <cell r="Q864" t="str">
            <v/>
          </cell>
          <cell r="X864" t="e">
            <v>#N/A</v>
          </cell>
        </row>
        <row r="865">
          <cell r="G865" t="str">
            <v>MENEZES AIR TRAVEL</v>
          </cell>
          <cell r="I865">
            <v>-89198.13</v>
          </cell>
          <cell r="J865">
            <v>0</v>
          </cell>
          <cell r="K865">
            <v>0</v>
          </cell>
          <cell r="L865">
            <v>-89198.13</v>
          </cell>
          <cell r="N865">
            <v>-89198.13</v>
          </cell>
          <cell r="O865" t="str">
            <v>z</v>
          </cell>
          <cell r="Q865" t="str">
            <v/>
          </cell>
          <cell r="X865" t="e">
            <v>#N/A</v>
          </cell>
        </row>
        <row r="866">
          <cell r="G866" t="str">
            <v>MICROCITY INDIA LTD.</v>
          </cell>
          <cell r="I866">
            <v>0</v>
          </cell>
          <cell r="J866">
            <v>0</v>
          </cell>
          <cell r="K866">
            <v>0</v>
          </cell>
          <cell r="L866">
            <v>0</v>
          </cell>
          <cell r="N866">
            <v>0</v>
          </cell>
          <cell r="O866" t="str">
            <v>z</v>
          </cell>
          <cell r="Q866" t="str">
            <v/>
          </cell>
          <cell r="X866" t="e">
            <v>#N/A</v>
          </cell>
        </row>
        <row r="867">
          <cell r="G867" t="str">
            <v>MONGA ELECTRONICS</v>
          </cell>
          <cell r="I867">
            <v>0</v>
          </cell>
          <cell r="J867">
            <v>0</v>
          </cell>
          <cell r="K867">
            <v>0</v>
          </cell>
          <cell r="L867">
            <v>0</v>
          </cell>
          <cell r="N867">
            <v>0</v>
          </cell>
          <cell r="O867" t="str">
            <v>z</v>
          </cell>
          <cell r="Q867" t="str">
            <v/>
          </cell>
          <cell r="X867" t="e">
            <v>#N/A</v>
          </cell>
        </row>
        <row r="868">
          <cell r="G868" t="str">
            <v>MONARCH ENTERPRISES</v>
          </cell>
          <cell r="I868">
            <v>0</v>
          </cell>
          <cell r="J868">
            <v>30923</v>
          </cell>
          <cell r="K868">
            <v>0</v>
          </cell>
          <cell r="L868">
            <v>30923</v>
          </cell>
          <cell r="N868">
            <v>30923</v>
          </cell>
          <cell r="O868" t="str">
            <v>z</v>
          </cell>
          <cell r="Q868" t="str">
            <v/>
          </cell>
          <cell r="X868" t="e">
            <v>#N/A</v>
          </cell>
        </row>
        <row r="869">
          <cell r="G869" t="str">
            <v>METAFORM INDUSTRIES</v>
          </cell>
          <cell r="I869">
            <v>0</v>
          </cell>
          <cell r="J869">
            <v>0</v>
          </cell>
          <cell r="K869">
            <v>0</v>
          </cell>
          <cell r="L869">
            <v>0</v>
          </cell>
          <cell r="N869">
            <v>0</v>
          </cell>
          <cell r="O869" t="str">
            <v>z</v>
          </cell>
          <cell r="Q869" t="str">
            <v/>
          </cell>
          <cell r="X869" t="e">
            <v>#N/A</v>
          </cell>
        </row>
        <row r="870">
          <cell r="G870" t="str">
            <v>MAC INPHASYST PVT. LTD.</v>
          </cell>
          <cell r="I870">
            <v>0</v>
          </cell>
          <cell r="J870">
            <v>0</v>
          </cell>
          <cell r="K870">
            <v>0</v>
          </cell>
          <cell r="L870">
            <v>0</v>
          </cell>
          <cell r="N870">
            <v>0</v>
          </cell>
          <cell r="O870" t="str">
            <v>z</v>
          </cell>
          <cell r="Q870" t="str">
            <v/>
          </cell>
          <cell r="X870" t="e">
            <v>#N/A</v>
          </cell>
        </row>
        <row r="871">
          <cell r="G871" t="str">
            <v>MITTALS INTERNATIONAL RELOCATIONS PVT. LTD.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N871">
            <v>0</v>
          </cell>
          <cell r="O871" t="str">
            <v>z</v>
          </cell>
          <cell r="Q871" t="str">
            <v/>
          </cell>
          <cell r="X871" t="e">
            <v>#N/A</v>
          </cell>
        </row>
        <row r="872">
          <cell r="G872" t="str">
            <v>NIHAL APPARELS</v>
          </cell>
          <cell r="I872">
            <v>0</v>
          </cell>
          <cell r="J872">
            <v>6480</v>
          </cell>
          <cell r="K872">
            <v>6480</v>
          </cell>
          <cell r="L872">
            <v>0</v>
          </cell>
          <cell r="N872">
            <v>0</v>
          </cell>
          <cell r="O872" t="str">
            <v>z</v>
          </cell>
          <cell r="Q872" t="str">
            <v/>
          </cell>
          <cell r="X872" t="e">
            <v>#N/A</v>
          </cell>
        </row>
        <row r="873">
          <cell r="G873" t="str">
            <v>NIKEDA ART PRINTERS PVT. LTD.</v>
          </cell>
          <cell r="I873">
            <v>77522</v>
          </cell>
          <cell r="J873">
            <v>0</v>
          </cell>
          <cell r="K873">
            <v>0</v>
          </cell>
          <cell r="L873">
            <v>77522</v>
          </cell>
          <cell r="N873">
            <v>77522</v>
          </cell>
          <cell r="O873" t="str">
            <v>z</v>
          </cell>
          <cell r="Q873" t="str">
            <v/>
          </cell>
          <cell r="X873" t="e">
            <v>#N/A</v>
          </cell>
        </row>
        <row r="874">
          <cell r="G874" t="str">
            <v>NAIR BUSSINESS MACHINES PVT. LTD.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N874">
            <v>0</v>
          </cell>
          <cell r="O874" t="str">
            <v>z</v>
          </cell>
          <cell r="Q874" t="str">
            <v/>
          </cell>
          <cell r="X874" t="e">
            <v>#N/A</v>
          </cell>
        </row>
        <row r="875">
          <cell r="G875" t="str">
            <v>NAGARKOT CLEARING AGENCY</v>
          </cell>
          <cell r="I875">
            <v>325000</v>
          </cell>
          <cell r="J875">
            <v>100000</v>
          </cell>
          <cell r="K875">
            <v>314302</v>
          </cell>
          <cell r="L875">
            <v>110698</v>
          </cell>
          <cell r="N875">
            <v>110698</v>
          </cell>
          <cell r="O875" t="str">
            <v>z</v>
          </cell>
          <cell r="Q875" t="str">
            <v/>
          </cell>
          <cell r="X875" t="e">
            <v>#N/A</v>
          </cell>
        </row>
        <row r="876">
          <cell r="G876" t="str">
            <v>NILKAMAL CRATES &amp; BINS</v>
          </cell>
          <cell r="I876">
            <v>0</v>
          </cell>
          <cell r="J876">
            <v>0</v>
          </cell>
          <cell r="K876">
            <v>0</v>
          </cell>
          <cell r="L876">
            <v>0</v>
          </cell>
          <cell r="N876">
            <v>0</v>
          </cell>
          <cell r="O876" t="str">
            <v>z</v>
          </cell>
          <cell r="Q876" t="str">
            <v/>
          </cell>
          <cell r="X876" t="e">
            <v>#N/A</v>
          </cell>
        </row>
        <row r="877">
          <cell r="G877" t="str">
            <v>NEW COLOURFUL PACKAGING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N877">
            <v>0</v>
          </cell>
          <cell r="O877" t="str">
            <v>z</v>
          </cell>
          <cell r="Q877" t="str">
            <v/>
          </cell>
          <cell r="X877" t="e">
            <v>#N/A</v>
          </cell>
        </row>
        <row r="878">
          <cell r="G878" t="str">
            <v>NORTH EASTERN CARRYING CORPN.</v>
          </cell>
          <cell r="I878">
            <v>-15232</v>
          </cell>
          <cell r="J878">
            <v>176822</v>
          </cell>
          <cell r="K878">
            <v>370222</v>
          </cell>
          <cell r="L878">
            <v>-208632</v>
          </cell>
          <cell r="N878">
            <v>-208632</v>
          </cell>
          <cell r="O878" t="str">
            <v>z</v>
          </cell>
          <cell r="Q878" t="str">
            <v/>
          </cell>
          <cell r="X878" t="e">
            <v>#N/A</v>
          </cell>
        </row>
        <row r="879">
          <cell r="G879" t="str">
            <v>NEW NATIONAL ELECTRICAL</v>
          </cell>
          <cell r="I879">
            <v>0</v>
          </cell>
          <cell r="J879">
            <v>0</v>
          </cell>
          <cell r="K879">
            <v>0</v>
          </cell>
          <cell r="L879">
            <v>0</v>
          </cell>
          <cell r="N879">
            <v>0</v>
          </cell>
          <cell r="O879" t="str">
            <v>z</v>
          </cell>
          <cell r="Q879" t="str">
            <v/>
          </cell>
          <cell r="X879" t="e">
            <v>#N/A</v>
          </cell>
        </row>
        <row r="880">
          <cell r="G880" t="str">
            <v>PEST CONTROL (INDIA) LTD.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N880">
            <v>0</v>
          </cell>
          <cell r="O880" t="str">
            <v>z</v>
          </cell>
          <cell r="Q880" t="str">
            <v/>
          </cell>
          <cell r="X880" t="e">
            <v>#N/A</v>
          </cell>
        </row>
        <row r="881">
          <cell r="G881" t="str">
            <v>PIPE DREAMS</v>
          </cell>
          <cell r="I881">
            <v>0</v>
          </cell>
          <cell r="J881">
            <v>0</v>
          </cell>
          <cell r="K881">
            <v>0</v>
          </cell>
          <cell r="L881">
            <v>0</v>
          </cell>
          <cell r="N881">
            <v>0</v>
          </cell>
          <cell r="O881" t="str">
            <v>z</v>
          </cell>
          <cell r="Q881" t="str">
            <v/>
          </cell>
          <cell r="X881" t="e">
            <v>#N/A</v>
          </cell>
        </row>
        <row r="882">
          <cell r="G882" t="str">
            <v>PIPE DREAMS ( RETENTION MONEY )</v>
          </cell>
          <cell r="I882">
            <v>-50316</v>
          </cell>
          <cell r="J882">
            <v>0</v>
          </cell>
          <cell r="K882">
            <v>0</v>
          </cell>
          <cell r="L882">
            <v>-50316</v>
          </cell>
          <cell r="N882">
            <v>-50316</v>
          </cell>
          <cell r="O882" t="str">
            <v>z</v>
          </cell>
          <cell r="Q882" t="str">
            <v/>
          </cell>
          <cell r="X882" t="e">
            <v>#N/A</v>
          </cell>
        </row>
        <row r="883">
          <cell r="G883" t="str">
            <v>PADMAVI ENGINEERS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N883">
            <v>0</v>
          </cell>
          <cell r="O883" t="str">
            <v>z</v>
          </cell>
          <cell r="Q883" t="str">
            <v/>
          </cell>
          <cell r="X883" t="e">
            <v>#N/A</v>
          </cell>
        </row>
        <row r="884">
          <cell r="G884" t="str">
            <v>P.L.AGENCIES</v>
          </cell>
          <cell r="I884">
            <v>-60962</v>
          </cell>
          <cell r="J884">
            <v>0</v>
          </cell>
          <cell r="K884">
            <v>0</v>
          </cell>
          <cell r="L884">
            <v>-60962</v>
          </cell>
          <cell r="N884">
            <v>-60962</v>
          </cell>
          <cell r="O884" t="str">
            <v>z</v>
          </cell>
          <cell r="Q884" t="str">
            <v/>
          </cell>
          <cell r="X884" t="e">
            <v>#N/A</v>
          </cell>
        </row>
        <row r="885">
          <cell r="G885" t="str">
            <v>PACK POINT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N885">
            <v>0</v>
          </cell>
          <cell r="O885" t="str">
            <v>z</v>
          </cell>
          <cell r="Q885" t="str">
            <v/>
          </cell>
          <cell r="X885" t="e">
            <v>#N/A</v>
          </cell>
        </row>
        <row r="886">
          <cell r="G886" t="str">
            <v>PATEL ROADWAYS LTD.</v>
          </cell>
          <cell r="I886">
            <v>0</v>
          </cell>
          <cell r="J886">
            <v>0</v>
          </cell>
          <cell r="K886">
            <v>0</v>
          </cell>
          <cell r="L886">
            <v>0</v>
          </cell>
          <cell r="N886">
            <v>0</v>
          </cell>
          <cell r="O886" t="str">
            <v>z</v>
          </cell>
          <cell r="Q886" t="str">
            <v/>
          </cell>
          <cell r="X886" t="e">
            <v>#N/A</v>
          </cell>
        </row>
        <row r="887">
          <cell r="G887" t="str">
            <v>POWER WELD INDUSTRIES</v>
          </cell>
          <cell r="I887">
            <v>0</v>
          </cell>
          <cell r="J887">
            <v>0</v>
          </cell>
          <cell r="K887">
            <v>0</v>
          </cell>
          <cell r="L887">
            <v>0</v>
          </cell>
          <cell r="N887">
            <v>0</v>
          </cell>
          <cell r="O887" t="str">
            <v>z</v>
          </cell>
          <cell r="Q887" t="str">
            <v/>
          </cell>
          <cell r="X887" t="e">
            <v>#N/A</v>
          </cell>
        </row>
        <row r="888">
          <cell r="G888" t="str">
            <v>RAVIRAJ DISTRIBUTORS</v>
          </cell>
          <cell r="I888">
            <v>0</v>
          </cell>
          <cell r="J888">
            <v>0</v>
          </cell>
          <cell r="K888">
            <v>0</v>
          </cell>
          <cell r="L888">
            <v>0</v>
          </cell>
          <cell r="N888">
            <v>0</v>
          </cell>
          <cell r="O888" t="str">
            <v>z</v>
          </cell>
          <cell r="Q888" t="str">
            <v/>
          </cell>
          <cell r="X888" t="e">
            <v>#N/A</v>
          </cell>
        </row>
        <row r="889">
          <cell r="G889" t="str">
            <v>RIMA ENTERPRISES</v>
          </cell>
          <cell r="I889">
            <v>0</v>
          </cell>
          <cell r="J889">
            <v>0</v>
          </cell>
          <cell r="K889">
            <v>0</v>
          </cell>
          <cell r="L889">
            <v>0</v>
          </cell>
          <cell r="N889">
            <v>0</v>
          </cell>
          <cell r="O889" t="str">
            <v>z</v>
          </cell>
          <cell r="Q889" t="str">
            <v/>
          </cell>
          <cell r="X889" t="e">
            <v>#N/A</v>
          </cell>
        </row>
        <row r="890">
          <cell r="G890" t="str">
            <v>REGENCY HOTEL</v>
          </cell>
          <cell r="I890">
            <v>0</v>
          </cell>
          <cell r="J890">
            <v>0</v>
          </cell>
          <cell r="K890">
            <v>0</v>
          </cell>
          <cell r="L890">
            <v>0</v>
          </cell>
          <cell r="N890">
            <v>0</v>
          </cell>
          <cell r="O890" t="str">
            <v>z</v>
          </cell>
          <cell r="Q890" t="str">
            <v/>
          </cell>
          <cell r="X890" t="e">
            <v>#N/A</v>
          </cell>
        </row>
        <row r="891">
          <cell r="G891" t="str">
            <v>ROHINI INDUSTRIAL ELECTRICAL LTD.</v>
          </cell>
          <cell r="I891">
            <v>0</v>
          </cell>
          <cell r="J891">
            <v>0</v>
          </cell>
          <cell r="K891">
            <v>0</v>
          </cell>
          <cell r="L891">
            <v>0</v>
          </cell>
          <cell r="N891">
            <v>0</v>
          </cell>
          <cell r="O891" t="str">
            <v>z</v>
          </cell>
          <cell r="Q891" t="str">
            <v/>
          </cell>
          <cell r="X891" t="e">
            <v>#N/A</v>
          </cell>
        </row>
        <row r="892">
          <cell r="G892" t="str">
            <v>ROHINI ELECTICAL (RETENTION MONEY)</v>
          </cell>
          <cell r="I892">
            <v>0</v>
          </cell>
          <cell r="J892">
            <v>0</v>
          </cell>
          <cell r="K892">
            <v>0</v>
          </cell>
          <cell r="L892">
            <v>0</v>
          </cell>
          <cell r="N892">
            <v>0</v>
          </cell>
          <cell r="O892" t="str">
            <v>z</v>
          </cell>
          <cell r="Q892" t="str">
            <v/>
          </cell>
          <cell r="X892" t="e">
            <v>#N/A</v>
          </cell>
        </row>
        <row r="893">
          <cell r="G893" t="str">
            <v>SPEEDAGE</v>
          </cell>
          <cell r="I893">
            <v>0</v>
          </cell>
          <cell r="J893">
            <v>0</v>
          </cell>
          <cell r="K893">
            <v>0</v>
          </cell>
          <cell r="L893">
            <v>0</v>
          </cell>
          <cell r="N893">
            <v>0</v>
          </cell>
          <cell r="O893" t="str">
            <v>z</v>
          </cell>
          <cell r="Q893" t="str">
            <v/>
          </cell>
          <cell r="X893" t="e">
            <v>#N/A</v>
          </cell>
        </row>
        <row r="894">
          <cell r="G894" t="str">
            <v>SIMCA ALUMINIUM PVT. LTD.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N894">
            <v>0</v>
          </cell>
          <cell r="O894" t="str">
            <v>z</v>
          </cell>
          <cell r="Q894" t="str">
            <v/>
          </cell>
          <cell r="X894" t="e">
            <v>#N/A</v>
          </cell>
        </row>
        <row r="895">
          <cell r="G895" t="str">
            <v>SHREE DURGA ELECTRICALS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N895">
            <v>0</v>
          </cell>
          <cell r="O895" t="str">
            <v>z</v>
          </cell>
          <cell r="Q895" t="str">
            <v/>
          </cell>
          <cell r="X895" t="e">
            <v>#N/A</v>
          </cell>
        </row>
        <row r="896">
          <cell r="G896" t="str">
            <v>SAFEXPRESS</v>
          </cell>
          <cell r="I896">
            <v>0</v>
          </cell>
          <cell r="J896">
            <v>8279</v>
          </cell>
          <cell r="K896">
            <v>259322</v>
          </cell>
          <cell r="L896">
            <v>-251043</v>
          </cell>
          <cell r="N896">
            <v>-251043</v>
          </cell>
          <cell r="O896" t="str">
            <v>z</v>
          </cell>
          <cell r="Q896" t="str">
            <v/>
          </cell>
          <cell r="X896" t="e">
            <v>#N/A</v>
          </cell>
        </row>
        <row r="897">
          <cell r="G897" t="str">
            <v>SHARMA FURNITURE WORKS</v>
          </cell>
          <cell r="I897">
            <v>0</v>
          </cell>
          <cell r="J897">
            <v>0</v>
          </cell>
          <cell r="K897">
            <v>0</v>
          </cell>
          <cell r="L897">
            <v>0</v>
          </cell>
          <cell r="N897">
            <v>0</v>
          </cell>
          <cell r="O897" t="str">
            <v>z</v>
          </cell>
          <cell r="Q897" t="str">
            <v/>
          </cell>
          <cell r="X897" t="e">
            <v>#N/A</v>
          </cell>
        </row>
        <row r="898">
          <cell r="G898" t="str">
            <v>SHIVPRASAD ENTERPRISES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N898">
            <v>0</v>
          </cell>
          <cell r="O898" t="str">
            <v>z</v>
          </cell>
          <cell r="Q898" t="str">
            <v/>
          </cell>
          <cell r="X898" t="e">
            <v>#N/A</v>
          </cell>
        </row>
        <row r="899">
          <cell r="G899" t="str">
            <v>SPACE HVAC SYSTEMS PRIVATE LIMITED</v>
          </cell>
          <cell r="I899">
            <v>0</v>
          </cell>
          <cell r="J899">
            <v>0</v>
          </cell>
          <cell r="K899">
            <v>0</v>
          </cell>
          <cell r="L899">
            <v>0</v>
          </cell>
          <cell r="N899">
            <v>0</v>
          </cell>
          <cell r="O899" t="str">
            <v>z</v>
          </cell>
          <cell r="Q899" t="str">
            <v/>
          </cell>
          <cell r="X899" t="e">
            <v>#N/A</v>
          </cell>
        </row>
        <row r="900">
          <cell r="G900" t="str">
            <v>SHAILENDRA JAIN</v>
          </cell>
          <cell r="I900">
            <v>0</v>
          </cell>
          <cell r="J900">
            <v>0</v>
          </cell>
          <cell r="K900">
            <v>0</v>
          </cell>
          <cell r="L900">
            <v>0</v>
          </cell>
          <cell r="N900">
            <v>0</v>
          </cell>
          <cell r="O900" t="str">
            <v>z</v>
          </cell>
          <cell r="Q900" t="str">
            <v/>
          </cell>
          <cell r="X900" t="e">
            <v>#N/A</v>
          </cell>
        </row>
        <row r="901">
          <cell r="G901" t="str">
            <v>SANKET ENTERPRISE</v>
          </cell>
          <cell r="I901">
            <v>0</v>
          </cell>
          <cell r="J901">
            <v>0</v>
          </cell>
          <cell r="K901">
            <v>0</v>
          </cell>
          <cell r="L901">
            <v>0</v>
          </cell>
          <cell r="N901">
            <v>0</v>
          </cell>
          <cell r="O901" t="str">
            <v>z</v>
          </cell>
          <cell r="Q901" t="str">
            <v/>
          </cell>
          <cell r="X901" t="e">
            <v>#N/A</v>
          </cell>
        </row>
        <row r="902">
          <cell r="G902" t="str">
            <v>SANKET ENTERPRISES (RETENTION MONEY)</v>
          </cell>
          <cell r="I902">
            <v>-44866</v>
          </cell>
          <cell r="J902">
            <v>0</v>
          </cell>
          <cell r="K902">
            <v>0</v>
          </cell>
          <cell r="L902">
            <v>-44866</v>
          </cell>
          <cell r="N902">
            <v>-44866</v>
          </cell>
          <cell r="O902" t="str">
            <v>z</v>
          </cell>
          <cell r="Q902" t="str">
            <v/>
          </cell>
          <cell r="X902" t="e">
            <v>#N/A</v>
          </cell>
        </row>
        <row r="903">
          <cell r="G903" t="str">
            <v>S N MAINKAR</v>
          </cell>
          <cell r="I903">
            <v>0</v>
          </cell>
          <cell r="J903">
            <v>0</v>
          </cell>
          <cell r="K903">
            <v>0</v>
          </cell>
          <cell r="L903">
            <v>0</v>
          </cell>
          <cell r="N903">
            <v>0</v>
          </cell>
          <cell r="O903" t="str">
            <v>z</v>
          </cell>
          <cell r="Q903" t="str">
            <v/>
          </cell>
          <cell r="X903" t="e">
            <v>#N/A</v>
          </cell>
        </row>
        <row r="904">
          <cell r="G904" t="str">
            <v>SIMCA ALUMINIUM PVT LTD ( RETENTION MONEY)</v>
          </cell>
          <cell r="I904">
            <v>0</v>
          </cell>
          <cell r="J904">
            <v>0</v>
          </cell>
          <cell r="K904">
            <v>0</v>
          </cell>
          <cell r="L904">
            <v>0</v>
          </cell>
          <cell r="N904">
            <v>0</v>
          </cell>
          <cell r="O904" t="str">
            <v>z</v>
          </cell>
          <cell r="Q904" t="str">
            <v/>
          </cell>
          <cell r="X904" t="e">
            <v>#N/A</v>
          </cell>
        </row>
        <row r="905">
          <cell r="G905" t="str">
            <v>SANDEEP R. S. KHANDEPARKER</v>
          </cell>
          <cell r="I905">
            <v>0</v>
          </cell>
          <cell r="J905">
            <v>0</v>
          </cell>
          <cell r="K905">
            <v>0</v>
          </cell>
          <cell r="L905">
            <v>0</v>
          </cell>
          <cell r="N905">
            <v>0</v>
          </cell>
          <cell r="O905" t="str">
            <v>z</v>
          </cell>
          <cell r="Q905" t="str">
            <v/>
          </cell>
          <cell r="X905" t="e">
            <v>#N/A</v>
          </cell>
        </row>
        <row r="906">
          <cell r="G906" t="str">
            <v>SENIOR TRANSLINE</v>
          </cell>
          <cell r="I906">
            <v>-79286.539999999994</v>
          </cell>
          <cell r="J906">
            <v>1291</v>
          </cell>
          <cell r="K906">
            <v>2484</v>
          </cell>
          <cell r="L906">
            <v>-80479.539999999994</v>
          </cell>
          <cell r="N906">
            <v>-80479.539999999994</v>
          </cell>
          <cell r="O906" t="str">
            <v>z</v>
          </cell>
          <cell r="Q906" t="str">
            <v/>
          </cell>
          <cell r="X906" t="e">
            <v>#N/A</v>
          </cell>
        </row>
        <row r="907">
          <cell r="G907" t="str">
            <v>SENIOR TRANSLINES ( MUMBAI)</v>
          </cell>
          <cell r="I907">
            <v>40000</v>
          </cell>
          <cell r="J907">
            <v>1419</v>
          </cell>
          <cell r="K907">
            <v>41419</v>
          </cell>
          <cell r="L907">
            <v>0</v>
          </cell>
          <cell r="N907">
            <v>0</v>
          </cell>
          <cell r="O907" t="str">
            <v>z</v>
          </cell>
          <cell r="Q907" t="str">
            <v/>
          </cell>
          <cell r="X907" t="e">
            <v>#N/A</v>
          </cell>
        </row>
        <row r="908">
          <cell r="G908" t="str">
            <v>M/S S.V.B LABORATORIES</v>
          </cell>
          <cell r="I908">
            <v>-8640</v>
          </cell>
          <cell r="J908">
            <v>8640</v>
          </cell>
          <cell r="K908">
            <v>0</v>
          </cell>
          <cell r="L908">
            <v>0</v>
          </cell>
          <cell r="N908">
            <v>0</v>
          </cell>
          <cell r="O908" t="str">
            <v>z</v>
          </cell>
          <cell r="Q908" t="str">
            <v/>
          </cell>
          <cell r="X908" t="e">
            <v>#N/A</v>
          </cell>
        </row>
        <row r="909">
          <cell r="G909" t="str">
            <v>TRANSPORT CORPORATION OF INDIA</v>
          </cell>
          <cell r="I909">
            <v>0</v>
          </cell>
          <cell r="J909">
            <v>0</v>
          </cell>
          <cell r="K909">
            <v>0</v>
          </cell>
          <cell r="L909">
            <v>0</v>
          </cell>
          <cell r="N909">
            <v>0</v>
          </cell>
          <cell r="O909" t="str">
            <v>z</v>
          </cell>
          <cell r="Q909" t="str">
            <v/>
          </cell>
          <cell r="X909" t="e">
            <v>#N/A</v>
          </cell>
        </row>
        <row r="910">
          <cell r="G910" t="str">
            <v>TECHNICS INCORPORATION</v>
          </cell>
          <cell r="I910">
            <v>0</v>
          </cell>
          <cell r="J910">
            <v>0</v>
          </cell>
          <cell r="K910">
            <v>0</v>
          </cell>
          <cell r="L910">
            <v>0</v>
          </cell>
          <cell r="N910">
            <v>0</v>
          </cell>
          <cell r="O910" t="str">
            <v>z</v>
          </cell>
          <cell r="Q910" t="str">
            <v/>
          </cell>
          <cell r="X910" t="e">
            <v>#N/A</v>
          </cell>
        </row>
        <row r="911">
          <cell r="G911" t="str">
            <v>TELE SOLUTIONS</v>
          </cell>
          <cell r="I911">
            <v>0</v>
          </cell>
          <cell r="J911">
            <v>0</v>
          </cell>
          <cell r="K911">
            <v>0</v>
          </cell>
          <cell r="L911">
            <v>0</v>
          </cell>
          <cell r="N911">
            <v>0</v>
          </cell>
          <cell r="O911" t="str">
            <v>z</v>
          </cell>
          <cell r="Q911" t="str">
            <v/>
          </cell>
          <cell r="X911" t="e">
            <v>#N/A</v>
          </cell>
        </row>
        <row r="912">
          <cell r="G912" t="str">
            <v>TULIP SOFTWARE PVT. LTD.</v>
          </cell>
          <cell r="I912">
            <v>0</v>
          </cell>
          <cell r="J912">
            <v>0</v>
          </cell>
          <cell r="K912">
            <v>0</v>
          </cell>
          <cell r="L912">
            <v>0</v>
          </cell>
          <cell r="N912">
            <v>0</v>
          </cell>
          <cell r="O912" t="str">
            <v>z</v>
          </cell>
          <cell r="Q912" t="str">
            <v/>
          </cell>
          <cell r="X912" t="e">
            <v>#N/A</v>
          </cell>
        </row>
        <row r="913">
          <cell r="G913" t="str">
            <v>UNIVERSAL FABRICATION &amp; BLOWER INDUSTRIES</v>
          </cell>
          <cell r="I913">
            <v>0</v>
          </cell>
          <cell r="J913">
            <v>0</v>
          </cell>
          <cell r="K913">
            <v>0</v>
          </cell>
          <cell r="L913">
            <v>0</v>
          </cell>
          <cell r="N913">
            <v>0</v>
          </cell>
          <cell r="O913" t="str">
            <v>z</v>
          </cell>
          <cell r="Q913" t="str">
            <v/>
          </cell>
          <cell r="X913" t="e">
            <v>#N/A</v>
          </cell>
        </row>
        <row r="914">
          <cell r="G914" t="str">
            <v>UNIQUE MARKETING SERVICES</v>
          </cell>
          <cell r="I914">
            <v>0</v>
          </cell>
          <cell r="J914">
            <v>0</v>
          </cell>
          <cell r="K914">
            <v>0</v>
          </cell>
          <cell r="L914">
            <v>0</v>
          </cell>
          <cell r="N914">
            <v>0</v>
          </cell>
          <cell r="O914" t="str">
            <v>z</v>
          </cell>
          <cell r="Q914" t="str">
            <v/>
          </cell>
          <cell r="X914" t="e">
            <v>#N/A</v>
          </cell>
        </row>
        <row r="915">
          <cell r="G915" t="str">
            <v>VAIBHAVI ENTERPRISES</v>
          </cell>
          <cell r="I915">
            <v>0</v>
          </cell>
          <cell r="J915">
            <v>7344</v>
          </cell>
          <cell r="K915">
            <v>7344</v>
          </cell>
          <cell r="L915">
            <v>0</v>
          </cell>
          <cell r="N915">
            <v>0</v>
          </cell>
          <cell r="O915" t="str">
            <v>z</v>
          </cell>
          <cell r="Q915" t="str">
            <v/>
          </cell>
          <cell r="X915" t="e">
            <v>#N/A</v>
          </cell>
        </row>
        <row r="916">
          <cell r="G916" t="str">
            <v>VISION INDUSTRIAL SERVICES</v>
          </cell>
          <cell r="I916">
            <v>0</v>
          </cell>
          <cell r="J916">
            <v>16200</v>
          </cell>
          <cell r="K916">
            <v>16200</v>
          </cell>
          <cell r="L916">
            <v>0</v>
          </cell>
          <cell r="N916">
            <v>0</v>
          </cell>
          <cell r="O916" t="str">
            <v>z</v>
          </cell>
          <cell r="Q916" t="str">
            <v/>
          </cell>
          <cell r="X916" t="e">
            <v>#N/A</v>
          </cell>
        </row>
        <row r="917">
          <cell r="G917" t="str">
            <v>VJ PRINTERS</v>
          </cell>
          <cell r="I917">
            <v>0</v>
          </cell>
          <cell r="J917">
            <v>2000</v>
          </cell>
          <cell r="K917">
            <v>0</v>
          </cell>
          <cell r="L917">
            <v>2000</v>
          </cell>
          <cell r="N917">
            <v>2000</v>
          </cell>
          <cell r="O917" t="str">
            <v>z</v>
          </cell>
          <cell r="Q917" t="str">
            <v/>
          </cell>
          <cell r="X917" t="e">
            <v>#N/A</v>
          </cell>
        </row>
        <row r="918">
          <cell r="G918" t="str">
            <v>VOLTAS LIMITED</v>
          </cell>
          <cell r="I918">
            <v>0</v>
          </cell>
          <cell r="J918">
            <v>0</v>
          </cell>
          <cell r="K918">
            <v>0</v>
          </cell>
          <cell r="L918">
            <v>0</v>
          </cell>
          <cell r="N918">
            <v>0</v>
          </cell>
          <cell r="O918" t="str">
            <v>z</v>
          </cell>
          <cell r="Q918" t="str">
            <v/>
          </cell>
          <cell r="X918" t="e">
            <v>#N/A</v>
          </cell>
        </row>
        <row r="919">
          <cell r="G919" t="str">
            <v>VIJAY NURSERY</v>
          </cell>
          <cell r="I919">
            <v>0</v>
          </cell>
          <cell r="J919">
            <v>0</v>
          </cell>
          <cell r="K919">
            <v>0</v>
          </cell>
          <cell r="L919">
            <v>0</v>
          </cell>
          <cell r="N919">
            <v>0</v>
          </cell>
          <cell r="O919" t="str">
            <v>z</v>
          </cell>
          <cell r="Q919" t="str">
            <v/>
          </cell>
          <cell r="X919" t="e">
            <v>#N/A</v>
          </cell>
        </row>
        <row r="920">
          <cell r="G920" t="str">
            <v>VIMAL PLASTICS</v>
          </cell>
          <cell r="I920">
            <v>0</v>
          </cell>
          <cell r="J920">
            <v>0</v>
          </cell>
          <cell r="K920">
            <v>0</v>
          </cell>
          <cell r="L920">
            <v>0</v>
          </cell>
          <cell r="N920">
            <v>0</v>
          </cell>
          <cell r="O920" t="str">
            <v>z</v>
          </cell>
          <cell r="Q920" t="str">
            <v/>
          </cell>
          <cell r="X920" t="e">
            <v>#N/A</v>
          </cell>
        </row>
        <row r="921">
          <cell r="G921" t="str">
            <v>VIRANI SALES CORPORATION</v>
          </cell>
          <cell r="I921">
            <v>0</v>
          </cell>
          <cell r="J921">
            <v>0</v>
          </cell>
          <cell r="K921">
            <v>0</v>
          </cell>
          <cell r="L921">
            <v>0</v>
          </cell>
          <cell r="N921">
            <v>0</v>
          </cell>
          <cell r="O921" t="str">
            <v>z</v>
          </cell>
          <cell r="Q921" t="str">
            <v/>
          </cell>
          <cell r="X921" t="e">
            <v>#N/A</v>
          </cell>
        </row>
        <row r="922">
          <cell r="G922" t="str">
            <v>WISS GOA</v>
          </cell>
          <cell r="I922">
            <v>-17990</v>
          </cell>
          <cell r="J922">
            <v>17990</v>
          </cell>
          <cell r="K922">
            <v>0</v>
          </cell>
          <cell r="L922">
            <v>0</v>
          </cell>
          <cell r="N922">
            <v>0</v>
          </cell>
          <cell r="O922" t="str">
            <v>z</v>
          </cell>
          <cell r="Q922" t="str">
            <v/>
          </cell>
          <cell r="X922" t="e">
            <v>#N/A</v>
          </cell>
        </row>
        <row r="923">
          <cell r="G923" t="str">
            <v>WALLACE PHARMA LTD.</v>
          </cell>
          <cell r="I923">
            <v>-25656</v>
          </cell>
          <cell r="J923">
            <v>0</v>
          </cell>
          <cell r="K923">
            <v>0</v>
          </cell>
          <cell r="L923">
            <v>-25656</v>
          </cell>
          <cell r="N923">
            <v>-25656</v>
          </cell>
          <cell r="O923" t="str">
            <v>z</v>
          </cell>
          <cell r="Q923" t="str">
            <v/>
          </cell>
          <cell r="X923" t="e">
            <v>#N/A</v>
          </cell>
        </row>
        <row r="924">
          <cell r="G924" t="str">
            <v>XPS CARGO SERVICE</v>
          </cell>
          <cell r="I924">
            <v>-15551</v>
          </cell>
          <cell r="J924">
            <v>62784</v>
          </cell>
          <cell r="K924">
            <v>143290</v>
          </cell>
          <cell r="L924">
            <v>-96057</v>
          </cell>
          <cell r="N924">
            <v>-96057</v>
          </cell>
          <cell r="O924" t="str">
            <v>z</v>
          </cell>
          <cell r="Q924" t="str">
            <v/>
          </cell>
          <cell r="X924" t="e">
            <v>#N/A</v>
          </cell>
        </row>
        <row r="925">
          <cell r="G925" t="str">
            <v>ROENTGEN CHEMICALS &amp; ALLIED PRODUCTS</v>
          </cell>
          <cell r="I925">
            <v>0</v>
          </cell>
          <cell r="J925">
            <v>0</v>
          </cell>
          <cell r="K925">
            <v>0</v>
          </cell>
          <cell r="L925">
            <v>0</v>
          </cell>
          <cell r="N925">
            <v>0</v>
          </cell>
          <cell r="O925" t="str">
            <v>z</v>
          </cell>
          <cell r="Q925" t="str">
            <v/>
          </cell>
          <cell r="X925" t="e">
            <v>#N/A</v>
          </cell>
        </row>
        <row r="926">
          <cell r="G926" t="str">
            <v>THE SOUTH INDIA SURGICAL CO. LTD.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N926">
            <v>0</v>
          </cell>
          <cell r="O926" t="str">
            <v>z</v>
          </cell>
          <cell r="Q926" t="str">
            <v/>
          </cell>
          <cell r="X926" t="e">
            <v>#N/A</v>
          </cell>
        </row>
        <row r="927">
          <cell r="G927" t="str">
            <v>MED-TECH INC</v>
          </cell>
          <cell r="H927" t="str">
            <v>MED-TECH INC</v>
          </cell>
          <cell r="I927">
            <v>-1569.14</v>
          </cell>
          <cell r="J927">
            <v>0</v>
          </cell>
          <cell r="K927">
            <v>0</v>
          </cell>
          <cell r="L927">
            <v>-1569.14</v>
          </cell>
          <cell r="N927">
            <v>-1569.14</v>
          </cell>
          <cell r="O927" t="str">
            <v>z</v>
          </cell>
          <cell r="Q927" t="str">
            <v/>
          </cell>
          <cell r="X927" t="e">
            <v>#N/A</v>
          </cell>
        </row>
        <row r="928">
          <cell r="G928" t="str">
            <v>B.BRAUN MEDICAL IND. SDN. BHD.</v>
          </cell>
          <cell r="H928" t="str">
            <v>Due to Group Cos.(as per Trial Bal.)</v>
          </cell>
          <cell r="I928">
            <v>-56811354.604999997</v>
          </cell>
          <cell r="J928">
            <v>11950474.189999999</v>
          </cell>
          <cell r="K928">
            <v>2946058.0559999999</v>
          </cell>
          <cell r="L928">
            <v>-49316360.471000001</v>
          </cell>
          <cell r="N928">
            <v>-128650191.29899997</v>
          </cell>
          <cell r="O928">
            <v>48</v>
          </cell>
          <cell r="Q928">
            <v>-128650191.29899997</v>
          </cell>
          <cell r="U928">
            <v>-128650191.29899997</v>
          </cell>
          <cell r="X928" t="e">
            <v>#N/A</v>
          </cell>
        </row>
        <row r="929">
          <cell r="G929" t="str">
            <v>B.BRAUN MEDICAL SUPPLIES SDN.BHD</v>
          </cell>
          <cell r="I929">
            <v>0.52</v>
          </cell>
          <cell r="J929">
            <v>0</v>
          </cell>
          <cell r="K929">
            <v>0</v>
          </cell>
          <cell r="L929">
            <v>0.52</v>
          </cell>
          <cell r="O929">
            <v>48</v>
          </cell>
          <cell r="Q929" t="str">
            <v/>
          </cell>
          <cell r="X929" t="e">
            <v>#N/A</v>
          </cell>
        </row>
        <row r="930">
          <cell r="G930" t="str">
            <v>B.BRAUN SURGICAL SDN. BHD.</v>
          </cell>
          <cell r="I930">
            <v>-12801</v>
          </cell>
          <cell r="J930">
            <v>0</v>
          </cell>
          <cell r="K930">
            <v>0</v>
          </cell>
          <cell r="L930">
            <v>-15875</v>
          </cell>
          <cell r="O930">
            <v>48</v>
          </cell>
          <cell r="Q930" t="str">
            <v/>
          </cell>
          <cell r="X930" t="e">
            <v>#N/A</v>
          </cell>
        </row>
        <row r="931">
          <cell r="G931" t="str">
            <v>B.BRAUN PHARMACEUTICAL IND. S/B</v>
          </cell>
          <cell r="I931">
            <v>-7977826.0559999999</v>
          </cell>
          <cell r="J931">
            <v>1237082.1200000001</v>
          </cell>
          <cell r="K931">
            <v>127923.05100000001</v>
          </cell>
          <cell r="L931">
            <v>-7062745.9869999997</v>
          </cell>
          <cell r="O931">
            <v>48</v>
          </cell>
          <cell r="Q931" t="str">
            <v/>
          </cell>
          <cell r="X931" t="e">
            <v>#N/A</v>
          </cell>
        </row>
        <row r="932">
          <cell r="G932" t="str">
            <v>B.BRAUN NEEDLES INDUSTRIES</v>
          </cell>
          <cell r="I932">
            <v>-466266.87699999998</v>
          </cell>
          <cell r="J932">
            <v>264366</v>
          </cell>
          <cell r="K932">
            <v>14934</v>
          </cell>
          <cell r="L932">
            <v>-225126.87700000001</v>
          </cell>
          <cell r="O932">
            <v>48</v>
          </cell>
          <cell r="Q932" t="str">
            <v/>
          </cell>
          <cell r="X932" t="e">
            <v>#N/A</v>
          </cell>
        </row>
        <row r="933">
          <cell r="G933" t="str">
            <v>B.BRAUN PRECISION ENG. SDN.BHD</v>
          </cell>
          <cell r="I933">
            <v>-15888874.997</v>
          </cell>
          <cell r="J933">
            <v>4008184.44</v>
          </cell>
          <cell r="K933">
            <v>2351264.9449999998</v>
          </cell>
          <cell r="L933">
            <v>-14649082.502</v>
          </cell>
          <cell r="O933">
            <v>48</v>
          </cell>
          <cell r="Q933" t="str">
            <v/>
          </cell>
          <cell r="X933" t="e">
            <v>#N/A</v>
          </cell>
        </row>
        <row r="934">
          <cell r="G934" t="str">
            <v>B.BRAUN MELSUNGEN AG.</v>
          </cell>
          <cell r="I934">
            <v>-44107636.524999999</v>
          </cell>
          <cell r="J934">
            <v>12959683.721000001</v>
          </cell>
          <cell r="K934">
            <v>2234983.48</v>
          </cell>
          <cell r="L934">
            <v>-34479344.284000002</v>
          </cell>
          <cell r="O934">
            <v>48</v>
          </cell>
          <cell r="Q934" t="str">
            <v/>
          </cell>
          <cell r="X934" t="e">
            <v>#N/A</v>
          </cell>
        </row>
        <row r="935">
          <cell r="G935" t="str">
            <v>AESCULAP AG &amp; CO.KG - TUTTLINGEN</v>
          </cell>
          <cell r="I935">
            <v>-7201003.0140000004</v>
          </cell>
          <cell r="J935">
            <v>1669198.75</v>
          </cell>
          <cell r="K935">
            <v>2495198.673</v>
          </cell>
          <cell r="L935">
            <v>-8281130.9369999999</v>
          </cell>
          <cell r="O935">
            <v>48</v>
          </cell>
          <cell r="Q935" t="str">
            <v/>
          </cell>
          <cell r="X935" t="e">
            <v>#N/A</v>
          </cell>
        </row>
        <row r="936">
          <cell r="G936" t="str">
            <v>AESCULAP AG &amp; CO. KG - MELSUNGEN</v>
          </cell>
          <cell r="I936">
            <v>0</v>
          </cell>
          <cell r="J936">
            <v>0</v>
          </cell>
          <cell r="K936">
            <v>0</v>
          </cell>
          <cell r="L936">
            <v>0</v>
          </cell>
          <cell r="O936">
            <v>48</v>
          </cell>
          <cell r="Q936" t="str">
            <v/>
          </cell>
          <cell r="X936" t="e">
            <v>#N/A</v>
          </cell>
        </row>
        <row r="937">
          <cell r="G937" t="str">
            <v>AESCULAP - FLEXIMED GMBH-DENZLINGEN</v>
          </cell>
          <cell r="I937">
            <v>-49129</v>
          </cell>
          <cell r="J937">
            <v>19256.5</v>
          </cell>
          <cell r="K937">
            <v>309.5</v>
          </cell>
          <cell r="L937">
            <v>-31290</v>
          </cell>
          <cell r="O937">
            <v>48</v>
          </cell>
          <cell r="Q937" t="str">
            <v/>
          </cell>
          <cell r="X937" t="e">
            <v>#N/A</v>
          </cell>
        </row>
        <row r="938">
          <cell r="G938" t="str">
            <v>B.BRAUN CAREX S.P.A.,</v>
          </cell>
          <cell r="I938">
            <v>-618986.54700000002</v>
          </cell>
          <cell r="J938">
            <v>327802.46999999997</v>
          </cell>
          <cell r="K938">
            <v>18227.14</v>
          </cell>
          <cell r="L938">
            <v>-322530.217</v>
          </cell>
          <cell r="O938">
            <v>48</v>
          </cell>
          <cell r="Q938" t="str">
            <v/>
          </cell>
          <cell r="X938" t="e">
            <v>#N/A</v>
          </cell>
        </row>
        <row r="939">
          <cell r="G939" t="str">
            <v>B.BRAUN MEDICAL AG. SWITZERLAND</v>
          </cell>
          <cell r="I939">
            <v>-12191019.864</v>
          </cell>
          <cell r="J939">
            <v>4740892.6399999997</v>
          </cell>
          <cell r="K939">
            <v>947498.32499999995</v>
          </cell>
          <cell r="L939">
            <v>-8706226.5490000006</v>
          </cell>
          <cell r="O939">
            <v>48</v>
          </cell>
          <cell r="Q939" t="str">
            <v/>
          </cell>
          <cell r="X939" t="e">
            <v>#N/A</v>
          </cell>
        </row>
        <row r="940">
          <cell r="G940" t="str">
            <v>B.BRAUN MEDICAL LIMITED,U.K.</v>
          </cell>
          <cell r="I940">
            <v>-2461274.8849999998</v>
          </cell>
          <cell r="J940">
            <v>364530.85</v>
          </cell>
          <cell r="K940">
            <v>1280909.8999999999</v>
          </cell>
          <cell r="L940">
            <v>-3501403.9350000001</v>
          </cell>
          <cell r="O940">
            <v>48</v>
          </cell>
          <cell r="Q940" t="str">
            <v/>
          </cell>
          <cell r="X940" t="e">
            <v>#N/A</v>
          </cell>
        </row>
        <row r="941">
          <cell r="G941" t="str">
            <v>B|BRAUN MEDICAL (HK) LTD.</v>
          </cell>
          <cell r="I941">
            <v>-19466.25</v>
          </cell>
          <cell r="J941">
            <v>0</v>
          </cell>
          <cell r="K941">
            <v>0</v>
          </cell>
          <cell r="L941">
            <v>-20016.25</v>
          </cell>
          <cell r="O941">
            <v>48</v>
          </cell>
          <cell r="Q941" t="str">
            <v/>
          </cell>
          <cell r="X941" t="e">
            <v>#N/A</v>
          </cell>
        </row>
        <row r="942">
          <cell r="G942" t="str">
            <v>B.BRAUN INTERNATIONAL PTE. LTD.</v>
          </cell>
          <cell r="I942">
            <v>0</v>
          </cell>
          <cell r="J942">
            <v>118809.60000000001</v>
          </cell>
          <cell r="K942">
            <v>118809.60000000001</v>
          </cell>
          <cell r="L942">
            <v>0</v>
          </cell>
          <cell r="O942">
            <v>48</v>
          </cell>
          <cell r="Q942" t="str">
            <v/>
          </cell>
          <cell r="X942" t="e">
            <v>#N/A</v>
          </cell>
        </row>
        <row r="943">
          <cell r="G943" t="str">
            <v>B.BRAUN MEDICAL IND. SDN. BHD.</v>
          </cell>
          <cell r="I943">
            <v>-1386401.46</v>
          </cell>
          <cell r="J943">
            <v>66893</v>
          </cell>
          <cell r="K943">
            <v>676743</v>
          </cell>
          <cell r="L943">
            <v>-2000272.46</v>
          </cell>
          <cell r="O943">
            <v>48</v>
          </cell>
          <cell r="Q943" t="str">
            <v/>
          </cell>
          <cell r="X943" t="e">
            <v>#N/A</v>
          </cell>
        </row>
        <row r="944">
          <cell r="G944" t="str">
            <v>B.BRAUN PRECISION ENG. SDN.BHD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O944">
            <v>48</v>
          </cell>
          <cell r="Q944" t="str">
            <v/>
          </cell>
          <cell r="X944" t="e">
            <v>#N/A</v>
          </cell>
        </row>
        <row r="945">
          <cell r="G945" t="str">
            <v>B.BRAUN HANOI PHARMACEUTICALS CO.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O945">
            <v>48</v>
          </cell>
          <cell r="Q945" t="str">
            <v/>
          </cell>
          <cell r="X945" t="e">
            <v>#N/A</v>
          </cell>
        </row>
        <row r="946">
          <cell r="G946" t="str">
            <v>AESCULAP AG &amp; CO.KG - TUTTLINGEN</v>
          </cell>
          <cell r="I946">
            <v>-38786.35</v>
          </cell>
          <cell r="J946">
            <v>0</v>
          </cell>
          <cell r="K946">
            <v>0</v>
          </cell>
          <cell r="L946">
            <v>-38786.35</v>
          </cell>
          <cell r="O946">
            <v>48</v>
          </cell>
          <cell r="Q946" t="str">
            <v/>
          </cell>
          <cell r="X946" t="e">
            <v>#N/A</v>
          </cell>
        </row>
        <row r="947">
          <cell r="G947" t="str">
            <v>S. A. JOHNSON</v>
          </cell>
          <cell r="H947" t="str">
            <v>Citibank Dinners Club</v>
          </cell>
          <cell r="I947">
            <v>-4405</v>
          </cell>
          <cell r="J947">
            <v>26887</v>
          </cell>
          <cell r="K947">
            <v>18193</v>
          </cell>
          <cell r="L947">
            <v>4289</v>
          </cell>
          <cell r="N947">
            <v>4289</v>
          </cell>
          <cell r="O947">
            <v>49</v>
          </cell>
          <cell r="P947">
            <v>-35548</v>
          </cell>
          <cell r="Q947" t="str">
            <v/>
          </cell>
          <cell r="U947">
            <v>-20174.78</v>
          </cell>
          <cell r="V947" t="str">
            <v>*</v>
          </cell>
          <cell r="X947" t="e">
            <v>#N/A</v>
          </cell>
        </row>
        <row r="948">
          <cell r="G948" t="str">
            <v>MANISH DESHMUKH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N948">
            <v>0</v>
          </cell>
          <cell r="O948">
            <v>49</v>
          </cell>
          <cell r="Q948" t="str">
            <v/>
          </cell>
          <cell r="V948" t="str">
            <v>*</v>
          </cell>
          <cell r="X948" t="e">
            <v>#N/A</v>
          </cell>
        </row>
        <row r="949">
          <cell r="G949" t="str">
            <v>SATISH K. PALRECHA</v>
          </cell>
          <cell r="I949">
            <v>0</v>
          </cell>
          <cell r="J949">
            <v>3486</v>
          </cell>
          <cell r="K949">
            <v>6972</v>
          </cell>
          <cell r="L949">
            <v>-3486</v>
          </cell>
          <cell r="N949">
            <v>-3486</v>
          </cell>
          <cell r="O949">
            <v>49</v>
          </cell>
          <cell r="Q949" t="str">
            <v/>
          </cell>
          <cell r="V949" t="str">
            <v>*</v>
          </cell>
          <cell r="X949" t="e">
            <v>#N/A</v>
          </cell>
        </row>
        <row r="950">
          <cell r="G950" t="str">
            <v>ANAND APTE</v>
          </cell>
          <cell r="I950">
            <v>11190.22</v>
          </cell>
          <cell r="J950">
            <v>21262</v>
          </cell>
          <cell r="K950">
            <v>27939</v>
          </cell>
          <cell r="L950">
            <v>4513.22</v>
          </cell>
          <cell r="N950">
            <v>4513.22</v>
          </cell>
          <cell r="O950">
            <v>49</v>
          </cell>
          <cell r="Q950" t="str">
            <v/>
          </cell>
          <cell r="V950" t="str">
            <v>*</v>
          </cell>
          <cell r="X950" t="e">
            <v>#N/A</v>
          </cell>
        </row>
        <row r="951">
          <cell r="G951" t="str">
            <v>RAMAN GOUD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N951">
            <v>0</v>
          </cell>
          <cell r="O951">
            <v>49</v>
          </cell>
          <cell r="Q951" t="str">
            <v/>
          </cell>
          <cell r="V951" t="str">
            <v>*</v>
          </cell>
          <cell r="X951" t="e">
            <v>#N/A</v>
          </cell>
        </row>
        <row r="952">
          <cell r="G952" t="str">
            <v>MAHESH KUMAR KHISTY</v>
          </cell>
          <cell r="I952">
            <v>-160</v>
          </cell>
          <cell r="J952">
            <v>160</v>
          </cell>
          <cell r="K952">
            <v>1813</v>
          </cell>
          <cell r="L952">
            <v>-1813</v>
          </cell>
          <cell r="N952">
            <v>-1813</v>
          </cell>
          <cell r="O952">
            <v>49</v>
          </cell>
          <cell r="Q952" t="str">
            <v/>
          </cell>
          <cell r="V952" t="str">
            <v>*</v>
          </cell>
          <cell r="X952" t="e">
            <v>#N/A</v>
          </cell>
        </row>
        <row r="953">
          <cell r="G953" t="str">
            <v>DR. KAILASH SHARMA</v>
          </cell>
          <cell r="I953">
            <v>5127</v>
          </cell>
          <cell r="J953">
            <v>0</v>
          </cell>
          <cell r="K953">
            <v>0</v>
          </cell>
          <cell r="L953">
            <v>5127</v>
          </cell>
          <cell r="N953">
            <v>5127</v>
          </cell>
          <cell r="O953">
            <v>49</v>
          </cell>
          <cell r="Q953" t="str">
            <v/>
          </cell>
          <cell r="V953" t="str">
            <v>*</v>
          </cell>
          <cell r="X953" t="e">
            <v>#N/A</v>
          </cell>
        </row>
        <row r="954">
          <cell r="G954" t="str">
            <v>SWEETY AMBARDAR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N954">
            <v>0</v>
          </cell>
          <cell r="O954">
            <v>49</v>
          </cell>
          <cell r="Q954" t="str">
            <v/>
          </cell>
          <cell r="V954" t="str">
            <v>*</v>
          </cell>
          <cell r="X954" t="e">
            <v>#N/A</v>
          </cell>
        </row>
        <row r="955">
          <cell r="G955" t="str">
            <v>RAJINDER SINGH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N955">
            <v>0</v>
          </cell>
          <cell r="O955">
            <v>49</v>
          </cell>
          <cell r="Q955" t="str">
            <v/>
          </cell>
          <cell r="V955" t="str">
            <v>*</v>
          </cell>
          <cell r="X955" t="e">
            <v>#N/A</v>
          </cell>
        </row>
        <row r="956">
          <cell r="G956" t="str">
            <v>NITIN N. RODE</v>
          </cell>
          <cell r="I956">
            <v>-2408</v>
          </cell>
          <cell r="J956">
            <v>3852</v>
          </cell>
          <cell r="K956">
            <v>0</v>
          </cell>
          <cell r="L956">
            <v>1444</v>
          </cell>
          <cell r="N956">
            <v>1444</v>
          </cell>
          <cell r="O956">
            <v>49</v>
          </cell>
          <cell r="Q956" t="str">
            <v/>
          </cell>
          <cell r="V956" t="str">
            <v>*</v>
          </cell>
          <cell r="X956" t="e">
            <v>#N/A</v>
          </cell>
        </row>
        <row r="957">
          <cell r="G957" t="str">
            <v>RAJESH HUDDAR</v>
          </cell>
          <cell r="I957">
            <v>-1073</v>
          </cell>
          <cell r="J957">
            <v>0</v>
          </cell>
          <cell r="K957">
            <v>20930</v>
          </cell>
          <cell r="L957">
            <v>-22003</v>
          </cell>
          <cell r="N957">
            <v>-22003</v>
          </cell>
          <cell r="O957">
            <v>49</v>
          </cell>
          <cell r="Q957" t="str">
            <v/>
          </cell>
          <cell r="V957" t="str">
            <v>*</v>
          </cell>
          <cell r="X957" t="e">
            <v>#N/A</v>
          </cell>
        </row>
        <row r="958">
          <cell r="G958" t="str">
            <v>MOHAN PAWAR</v>
          </cell>
          <cell r="I958">
            <v>25</v>
          </cell>
          <cell r="J958">
            <v>1430</v>
          </cell>
          <cell r="K958">
            <v>1455</v>
          </cell>
          <cell r="L958">
            <v>0</v>
          </cell>
          <cell r="N958">
            <v>0</v>
          </cell>
          <cell r="O958">
            <v>49</v>
          </cell>
          <cell r="Q958" t="str">
            <v/>
          </cell>
          <cell r="V958" t="str">
            <v>*</v>
          </cell>
          <cell r="X958" t="e">
            <v>#N/A</v>
          </cell>
        </row>
        <row r="959">
          <cell r="G959" t="str">
            <v>RONY BANNERJEE</v>
          </cell>
          <cell r="H959" t="str">
            <v>Citibank Dinners Club (Dr. Bal.)</v>
          </cell>
          <cell r="I959">
            <v>-4290</v>
          </cell>
          <cell r="J959">
            <v>4290</v>
          </cell>
          <cell r="K959">
            <v>8246</v>
          </cell>
          <cell r="L959">
            <v>-8246</v>
          </cell>
          <cell r="N959">
            <v>-8246</v>
          </cell>
          <cell r="O959">
            <v>49</v>
          </cell>
          <cell r="P959">
            <v>15373.220000000001</v>
          </cell>
          <cell r="Q959" t="str">
            <v/>
          </cell>
          <cell r="V959" t="str">
            <v>*</v>
          </cell>
          <cell r="X959" t="e">
            <v>#N/A</v>
          </cell>
        </row>
        <row r="960">
          <cell r="G960" t="str">
            <v>PROVISION FOR CENTRAL SALES TAX - GOA</v>
          </cell>
          <cell r="H960" t="str">
            <v>Provision for Sales Tax</v>
          </cell>
          <cell r="I960">
            <v>-365919.28</v>
          </cell>
          <cell r="J960">
            <v>441145.9</v>
          </cell>
          <cell r="K960">
            <v>633400.62</v>
          </cell>
          <cell r="L960">
            <v>-558174</v>
          </cell>
          <cell r="N960">
            <v>-1051247.75</v>
          </cell>
          <cell r="O960">
            <v>50</v>
          </cell>
          <cell r="Q960" t="str">
            <v/>
          </cell>
          <cell r="U960">
            <v>-1051247.75</v>
          </cell>
          <cell r="X960" t="e">
            <v>#N/A</v>
          </cell>
        </row>
        <row r="961">
          <cell r="G961" t="str">
            <v>PROVISION FOR CENTRAL SALES TAX - MUMBAI</v>
          </cell>
          <cell r="I961">
            <v>-13480.33</v>
          </cell>
          <cell r="J961">
            <v>21480.33</v>
          </cell>
          <cell r="K961">
            <v>8000</v>
          </cell>
          <cell r="L961">
            <v>0</v>
          </cell>
          <cell r="O961">
            <v>50</v>
          </cell>
          <cell r="Q961" t="str">
            <v/>
          </cell>
          <cell r="X961" t="e">
            <v>#N/A</v>
          </cell>
        </row>
        <row r="962">
          <cell r="G962" t="str">
            <v>PROVISION FOR CENTRAL SALES TAX - DELHI</v>
          </cell>
          <cell r="I962">
            <v>5754.04</v>
          </cell>
          <cell r="J962">
            <v>12591</v>
          </cell>
          <cell r="K962">
            <v>30622.04</v>
          </cell>
          <cell r="L962">
            <v>-12277</v>
          </cell>
          <cell r="O962">
            <v>50</v>
          </cell>
          <cell r="Q962" t="str">
            <v/>
          </cell>
          <cell r="X962" t="e">
            <v>#N/A</v>
          </cell>
        </row>
        <row r="963">
          <cell r="G963" t="str">
            <v>PROVISION FOR LOCAL SALES TAX - GOA</v>
          </cell>
          <cell r="I963">
            <v>-492</v>
          </cell>
          <cell r="J963">
            <v>492</v>
          </cell>
          <cell r="K963">
            <v>0</v>
          </cell>
          <cell r="L963">
            <v>0</v>
          </cell>
          <cell r="O963">
            <v>50</v>
          </cell>
          <cell r="Q963" t="str">
            <v/>
          </cell>
          <cell r="X963" t="e">
            <v>#N/A</v>
          </cell>
        </row>
        <row r="964">
          <cell r="G964" t="str">
            <v>PROVISION FOR LOCAL SALES TAX - MUMBAI</v>
          </cell>
          <cell r="I964">
            <v>-94431.21</v>
          </cell>
          <cell r="J964">
            <v>94430</v>
          </cell>
          <cell r="K964">
            <v>314596.53999999998</v>
          </cell>
          <cell r="L964">
            <v>-314597.75</v>
          </cell>
          <cell r="O964">
            <v>50</v>
          </cell>
          <cell r="Q964" t="str">
            <v/>
          </cell>
          <cell r="X964" t="e">
            <v>#N/A</v>
          </cell>
        </row>
        <row r="965">
          <cell r="G965" t="str">
            <v>PROVISION FOR LOCAL SALES TAX - DELHI</v>
          </cell>
          <cell r="I965">
            <v>-114146.79</v>
          </cell>
          <cell r="J965">
            <v>115088</v>
          </cell>
          <cell r="K965">
            <v>167140.21</v>
          </cell>
          <cell r="L965">
            <v>-166199</v>
          </cell>
          <cell r="O965">
            <v>50</v>
          </cell>
          <cell r="Q965" t="str">
            <v/>
          </cell>
          <cell r="X965" t="e">
            <v>#N/A</v>
          </cell>
        </row>
        <row r="966">
          <cell r="G966" t="str">
            <v>LEGAL &amp; CONSULTACY FEES</v>
          </cell>
          <cell r="I966">
            <v>-275</v>
          </cell>
          <cell r="J966">
            <v>550</v>
          </cell>
          <cell r="K966">
            <v>550</v>
          </cell>
          <cell r="L966">
            <v>-275</v>
          </cell>
          <cell r="N966">
            <v>-275</v>
          </cell>
          <cell r="O966" t="str">
            <v>z</v>
          </cell>
          <cell r="Q966" t="str">
            <v/>
          </cell>
          <cell r="U966">
            <v>-34030</v>
          </cell>
          <cell r="X966" t="e">
            <v>#N/A</v>
          </cell>
        </row>
        <row r="967">
          <cell r="G967" t="str">
            <v>SALARIES &amp; WAGES PAYABLE</v>
          </cell>
          <cell r="I967">
            <v>-39747</v>
          </cell>
          <cell r="J967">
            <v>58047</v>
          </cell>
          <cell r="K967">
            <v>31247</v>
          </cell>
          <cell r="L967">
            <v>-12947</v>
          </cell>
          <cell r="N967">
            <v>-12947</v>
          </cell>
          <cell r="O967" t="str">
            <v>z</v>
          </cell>
          <cell r="Q967" t="str">
            <v/>
          </cell>
          <cell r="X967" t="e">
            <v>#N/A</v>
          </cell>
        </row>
        <row r="968">
          <cell r="G968" t="str">
            <v>RENT FOR PRODUCTION PREMISES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N968">
            <v>0</v>
          </cell>
          <cell r="O968" t="str">
            <v>z</v>
          </cell>
          <cell r="Q968" t="str">
            <v/>
          </cell>
          <cell r="X968" t="e">
            <v>#N/A</v>
          </cell>
        </row>
        <row r="969">
          <cell r="G969" t="str">
            <v>RENT FOR OFFICE PREMISES</v>
          </cell>
          <cell r="I969">
            <v>-11621</v>
          </cell>
          <cell r="J969">
            <v>13711</v>
          </cell>
          <cell r="K969">
            <v>11715</v>
          </cell>
          <cell r="L969">
            <v>-9625</v>
          </cell>
          <cell r="N969">
            <v>-9625</v>
          </cell>
          <cell r="O969" t="str">
            <v>z</v>
          </cell>
          <cell r="Q969" t="str">
            <v/>
          </cell>
          <cell r="X969" t="e">
            <v>#N/A</v>
          </cell>
        </row>
        <row r="970">
          <cell r="G970" t="str">
            <v>RENT FOR WAREHOUSE</v>
          </cell>
          <cell r="I970">
            <v>14322</v>
          </cell>
          <cell r="J970">
            <v>14412</v>
          </cell>
          <cell r="K970">
            <v>14412</v>
          </cell>
          <cell r="L970">
            <v>14322</v>
          </cell>
          <cell r="N970">
            <v>14322</v>
          </cell>
          <cell r="O970" t="str">
            <v>z</v>
          </cell>
          <cell r="Q970" t="str">
            <v/>
          </cell>
          <cell r="X970" t="e">
            <v>#N/A</v>
          </cell>
        </row>
        <row r="971">
          <cell r="G971" t="str">
            <v>2 CS &amp; A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N971">
            <v>0</v>
          </cell>
          <cell r="O971" t="str">
            <v>z</v>
          </cell>
          <cell r="Q971" t="str">
            <v/>
          </cell>
          <cell r="X971" t="e">
            <v>#N/A</v>
          </cell>
        </row>
        <row r="972">
          <cell r="G972" t="str">
            <v>TRINITY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N972">
            <v>0</v>
          </cell>
          <cell r="O972" t="str">
            <v>z</v>
          </cell>
          <cell r="Q972" t="str">
            <v/>
          </cell>
          <cell r="X972" t="e">
            <v>#N/A</v>
          </cell>
        </row>
        <row r="973">
          <cell r="G973" t="str">
            <v>ACME AIRFROST IND PVT. LTD.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N973">
            <v>0</v>
          </cell>
          <cell r="O973" t="str">
            <v>z</v>
          </cell>
          <cell r="Q973" t="str">
            <v/>
          </cell>
          <cell r="X973" t="e">
            <v>#N/A</v>
          </cell>
        </row>
        <row r="974">
          <cell r="G974" t="str">
            <v>ASSOCIATED  ROAD CARRIERS LIMITED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N974">
            <v>0</v>
          </cell>
          <cell r="O974" t="str">
            <v>z</v>
          </cell>
          <cell r="Q974" t="str">
            <v/>
          </cell>
          <cell r="X974" t="e">
            <v>#N/A</v>
          </cell>
        </row>
        <row r="975">
          <cell r="G975" t="str">
            <v>BASANT BETONS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N975">
            <v>0</v>
          </cell>
          <cell r="O975" t="str">
            <v>z</v>
          </cell>
          <cell r="Q975" t="str">
            <v/>
          </cell>
          <cell r="X975" t="e">
            <v>#N/A</v>
          </cell>
        </row>
        <row r="976">
          <cell r="G976" t="str">
            <v>BHARAT ENGINEERS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N976">
            <v>0</v>
          </cell>
          <cell r="O976" t="str">
            <v>z</v>
          </cell>
          <cell r="Q976" t="str">
            <v/>
          </cell>
          <cell r="X976" t="e">
            <v>#N/A</v>
          </cell>
        </row>
        <row r="977">
          <cell r="G977" t="str">
            <v>BHAVANI FURNITURE WORKS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N977">
            <v>0</v>
          </cell>
          <cell r="O977" t="str">
            <v>z</v>
          </cell>
          <cell r="Q977" t="str">
            <v/>
          </cell>
          <cell r="X977" t="e">
            <v>#N/A</v>
          </cell>
        </row>
        <row r="978">
          <cell r="G978" t="str">
            <v>BALKAN PLACEMENTS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N978">
            <v>0</v>
          </cell>
          <cell r="O978" t="str">
            <v>z</v>
          </cell>
          <cell r="Q978" t="str">
            <v/>
          </cell>
          <cell r="X978" t="e">
            <v>#N/A</v>
          </cell>
        </row>
        <row r="979">
          <cell r="G979" t="str">
            <v>BASANT TILES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N979">
            <v>0</v>
          </cell>
          <cell r="O979" t="str">
            <v>z</v>
          </cell>
          <cell r="Q979" t="str">
            <v/>
          </cell>
          <cell r="X979" t="e">
            <v>#N/A</v>
          </cell>
        </row>
        <row r="980">
          <cell r="G980" t="str">
            <v>CONCORDE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N980">
            <v>0</v>
          </cell>
          <cell r="O980" t="str">
            <v>z</v>
          </cell>
          <cell r="Q980" t="str">
            <v/>
          </cell>
          <cell r="X980" t="e">
            <v>#N/A</v>
          </cell>
        </row>
        <row r="981">
          <cell r="G981" t="str">
            <v>CARRIER AIRCON LIMITED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N981">
            <v>0</v>
          </cell>
          <cell r="O981" t="str">
            <v>z</v>
          </cell>
          <cell r="Q981" t="str">
            <v/>
          </cell>
          <cell r="X981" t="e">
            <v>#N/A</v>
          </cell>
        </row>
        <row r="982">
          <cell r="G982" t="str">
            <v>C G FARMS</v>
          </cell>
          <cell r="I982">
            <v>0</v>
          </cell>
          <cell r="J982">
            <v>632</v>
          </cell>
          <cell r="K982">
            <v>885</v>
          </cell>
          <cell r="L982">
            <v>-253</v>
          </cell>
          <cell r="N982">
            <v>-253</v>
          </cell>
          <cell r="O982" t="str">
            <v>z</v>
          </cell>
          <cell r="Q982" t="str">
            <v/>
          </cell>
          <cell r="X982" t="e">
            <v>#N/A</v>
          </cell>
        </row>
        <row r="983">
          <cell r="G983" t="str">
            <v>CHOUDHARY INTERNATIONAL</v>
          </cell>
          <cell r="I983">
            <v>0</v>
          </cell>
          <cell r="J983">
            <v>0</v>
          </cell>
          <cell r="K983">
            <v>684</v>
          </cell>
          <cell r="L983">
            <v>-684</v>
          </cell>
          <cell r="N983">
            <v>-684</v>
          </cell>
          <cell r="O983" t="str">
            <v>z</v>
          </cell>
          <cell r="Q983" t="str">
            <v/>
          </cell>
          <cell r="X983" t="e">
            <v>#N/A</v>
          </cell>
        </row>
        <row r="984">
          <cell r="G984" t="str">
            <v>C. N. GANDHEVIA CLEAING &amp; FORWARDING AGENTS P. LTD</v>
          </cell>
          <cell r="I984">
            <v>0</v>
          </cell>
          <cell r="J984">
            <v>0</v>
          </cell>
          <cell r="K984">
            <v>232</v>
          </cell>
          <cell r="L984">
            <v>-232</v>
          </cell>
          <cell r="N984">
            <v>-232</v>
          </cell>
          <cell r="O984" t="str">
            <v>z</v>
          </cell>
          <cell r="Q984" t="str">
            <v/>
          </cell>
          <cell r="X984" t="e">
            <v>#N/A</v>
          </cell>
        </row>
        <row r="985">
          <cell r="G985" t="str">
            <v>DHL EXPRESS DIV. OF AIRFRIEGHT LTD.</v>
          </cell>
          <cell r="I985">
            <v>-430</v>
          </cell>
          <cell r="J985">
            <v>430</v>
          </cell>
          <cell r="K985">
            <v>1126</v>
          </cell>
          <cell r="L985">
            <v>-1126</v>
          </cell>
          <cell r="N985">
            <v>-1126</v>
          </cell>
          <cell r="O985" t="str">
            <v>z</v>
          </cell>
          <cell r="Q985" t="str">
            <v/>
          </cell>
          <cell r="X985" t="e">
            <v>#N/A</v>
          </cell>
        </row>
        <row r="986">
          <cell r="G986" t="str">
            <v>ELJAY IMPEX</v>
          </cell>
          <cell r="I986">
            <v>0</v>
          </cell>
          <cell r="J986">
            <v>0</v>
          </cell>
          <cell r="K986">
            <v>1019</v>
          </cell>
          <cell r="L986">
            <v>-1019</v>
          </cell>
          <cell r="N986">
            <v>-1019</v>
          </cell>
          <cell r="O986" t="str">
            <v>z</v>
          </cell>
          <cell r="Q986" t="str">
            <v/>
          </cell>
          <cell r="X986" t="e">
            <v>#N/A</v>
          </cell>
        </row>
        <row r="987">
          <cell r="G987" t="str">
            <v>EXCEL LOGISTICS PVT. LTD.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N987">
            <v>0</v>
          </cell>
          <cell r="O987" t="str">
            <v>z</v>
          </cell>
          <cell r="Q987" t="str">
            <v/>
          </cell>
          <cell r="X987" t="e">
            <v>#N/A</v>
          </cell>
        </row>
        <row r="988">
          <cell r="G988" t="str">
            <v>EXCEL PEST CONTROL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N988">
            <v>0</v>
          </cell>
          <cell r="O988" t="str">
            <v>z</v>
          </cell>
          <cell r="Q988" t="str">
            <v/>
          </cell>
          <cell r="X988" t="e">
            <v>#N/A</v>
          </cell>
        </row>
        <row r="989">
          <cell r="G989" t="str">
            <v>FURTADO &amp; CO.</v>
          </cell>
          <cell r="I989">
            <v>0</v>
          </cell>
          <cell r="J989">
            <v>0</v>
          </cell>
          <cell r="K989">
            <v>237</v>
          </cell>
          <cell r="L989">
            <v>-237</v>
          </cell>
          <cell r="N989">
            <v>-237</v>
          </cell>
          <cell r="O989" t="str">
            <v>z</v>
          </cell>
          <cell r="Q989" t="str">
            <v/>
          </cell>
          <cell r="X989" t="e">
            <v>#N/A</v>
          </cell>
        </row>
        <row r="990">
          <cell r="G990" t="str">
            <v>FIRST FLIGHT COURIER PVT.LTD</v>
          </cell>
          <cell r="I990">
            <v>0</v>
          </cell>
          <cell r="J990">
            <v>79</v>
          </cell>
          <cell r="K990">
            <v>79</v>
          </cell>
          <cell r="L990">
            <v>0</v>
          </cell>
          <cell r="N990">
            <v>0</v>
          </cell>
          <cell r="O990" t="str">
            <v>z</v>
          </cell>
          <cell r="Q990" t="str">
            <v/>
          </cell>
          <cell r="X990" t="e">
            <v>#N/A</v>
          </cell>
        </row>
        <row r="991">
          <cell r="G991" t="str">
            <v>F. G. ELECTRIC WORKS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N991">
            <v>0</v>
          </cell>
          <cell r="O991" t="str">
            <v>z</v>
          </cell>
          <cell r="Q991" t="str">
            <v/>
          </cell>
          <cell r="X991" t="e">
            <v>#N/A</v>
          </cell>
        </row>
        <row r="992">
          <cell r="G992" t="str">
            <v>ST. FRANCIS XAVIER'S PEST CONTROL SERVICES</v>
          </cell>
          <cell r="I992">
            <v>0</v>
          </cell>
          <cell r="J992">
            <v>88</v>
          </cell>
          <cell r="K992">
            <v>88</v>
          </cell>
          <cell r="L992">
            <v>0</v>
          </cell>
          <cell r="N992">
            <v>0</v>
          </cell>
          <cell r="O992" t="str">
            <v>z</v>
          </cell>
          <cell r="Q992" t="str">
            <v/>
          </cell>
          <cell r="X992" t="e">
            <v>#N/A</v>
          </cell>
        </row>
        <row r="993">
          <cell r="G993" t="str">
            <v>GUPTA CARPET SERVICES</v>
          </cell>
          <cell r="I993">
            <v>-88</v>
          </cell>
          <cell r="J993">
            <v>88</v>
          </cell>
          <cell r="K993">
            <v>88</v>
          </cell>
          <cell r="L993">
            <v>-88</v>
          </cell>
          <cell r="N993">
            <v>-88</v>
          </cell>
          <cell r="O993" t="str">
            <v>z</v>
          </cell>
          <cell r="Q993" t="str">
            <v/>
          </cell>
          <cell r="X993" t="e">
            <v>#N/A</v>
          </cell>
        </row>
        <row r="994">
          <cell r="G994" t="str">
            <v>G.D.ENTERPRISES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N994">
            <v>0</v>
          </cell>
          <cell r="O994" t="str">
            <v>z</v>
          </cell>
          <cell r="Q994" t="str">
            <v/>
          </cell>
          <cell r="X994" t="e">
            <v>#N/A</v>
          </cell>
        </row>
        <row r="995">
          <cell r="G995" t="str">
            <v>GREEN ROADLINES CHANDIGARH</v>
          </cell>
          <cell r="I995">
            <v>0</v>
          </cell>
          <cell r="J995">
            <v>0</v>
          </cell>
          <cell r="K995">
            <v>2263</v>
          </cell>
          <cell r="L995">
            <v>-2263</v>
          </cell>
          <cell r="N995">
            <v>-2263</v>
          </cell>
          <cell r="O995" t="str">
            <v>z</v>
          </cell>
          <cell r="Q995" t="str">
            <v/>
          </cell>
          <cell r="X995" t="e">
            <v>#N/A</v>
          </cell>
        </row>
        <row r="996">
          <cell r="G996" t="str">
            <v>HERAMB COMPUTER SYSTEMS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N996">
            <v>0</v>
          </cell>
          <cell r="O996" t="str">
            <v>z</v>
          </cell>
          <cell r="Q996" t="str">
            <v/>
          </cell>
          <cell r="X996" t="e">
            <v>#N/A</v>
          </cell>
        </row>
        <row r="997">
          <cell r="G997" t="str">
            <v>HERALD PUBLICATIONS PVT. LTD.</v>
          </cell>
          <cell r="I997">
            <v>-801</v>
          </cell>
          <cell r="J997">
            <v>801</v>
          </cell>
          <cell r="K997">
            <v>0</v>
          </cell>
          <cell r="L997">
            <v>0</v>
          </cell>
          <cell r="N997">
            <v>0</v>
          </cell>
          <cell r="O997" t="str">
            <v>z</v>
          </cell>
          <cell r="Q997" t="str">
            <v/>
          </cell>
          <cell r="X997" t="e">
            <v>#N/A</v>
          </cell>
        </row>
        <row r="998">
          <cell r="G998" t="str">
            <v>INSYST BUSINESS SOLUTIONS PVT. LTD</v>
          </cell>
          <cell r="I998">
            <v>0</v>
          </cell>
          <cell r="J998">
            <v>0</v>
          </cell>
          <cell r="K998">
            <v>330</v>
          </cell>
          <cell r="L998">
            <v>-330</v>
          </cell>
          <cell r="N998">
            <v>-330</v>
          </cell>
          <cell r="O998" t="str">
            <v>z</v>
          </cell>
          <cell r="Q998" t="str">
            <v/>
          </cell>
          <cell r="X998" t="e">
            <v>#N/A</v>
          </cell>
        </row>
        <row r="999">
          <cell r="G999" t="str">
            <v>INDIAN EXPRESS NEWS PAPERS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N999">
            <v>0</v>
          </cell>
          <cell r="O999" t="str">
            <v>z</v>
          </cell>
          <cell r="Q999" t="str">
            <v/>
          </cell>
          <cell r="X999" t="e">
            <v>#N/A</v>
          </cell>
        </row>
        <row r="1000">
          <cell r="G1000" t="str">
            <v>INDUSTRIAL FILTRATION SERVICES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N1000">
            <v>0</v>
          </cell>
          <cell r="O1000" t="str">
            <v>z</v>
          </cell>
          <cell r="Q1000" t="str">
            <v/>
          </cell>
          <cell r="X1000" t="e">
            <v>#N/A</v>
          </cell>
        </row>
        <row r="1001">
          <cell r="G1001" t="str">
            <v>INDO-GERMAN SERVICE CENTRE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N1001">
            <v>0</v>
          </cell>
          <cell r="O1001" t="str">
            <v>z</v>
          </cell>
          <cell r="Q1001" t="str">
            <v/>
          </cell>
          <cell r="X1001" t="e">
            <v>#N/A</v>
          </cell>
        </row>
        <row r="1002">
          <cell r="G1002" t="str">
            <v>INDUSTRIAL SECURITY CENTRE</v>
          </cell>
          <cell r="I1002">
            <v>312</v>
          </cell>
          <cell r="J1002">
            <v>311</v>
          </cell>
          <cell r="K1002">
            <v>623</v>
          </cell>
          <cell r="L1002">
            <v>0</v>
          </cell>
          <cell r="N1002">
            <v>0</v>
          </cell>
          <cell r="O1002" t="str">
            <v>z</v>
          </cell>
          <cell r="Q1002" t="str">
            <v/>
          </cell>
          <cell r="X1002" t="e">
            <v>#N/A</v>
          </cell>
        </row>
        <row r="1003">
          <cell r="G1003" t="str">
            <v>JK SERVICE AGENCIES</v>
          </cell>
          <cell r="I1003">
            <v>0</v>
          </cell>
          <cell r="J1003">
            <v>0</v>
          </cell>
          <cell r="K1003">
            <v>207</v>
          </cell>
          <cell r="L1003">
            <v>-207</v>
          </cell>
          <cell r="N1003">
            <v>-207</v>
          </cell>
          <cell r="O1003" t="str">
            <v>z</v>
          </cell>
          <cell r="Q1003" t="str">
            <v/>
          </cell>
          <cell r="X1003" t="e">
            <v>#N/A</v>
          </cell>
        </row>
        <row r="1004">
          <cell r="G1004" t="str">
            <v>KIRAN FIRE SERVICES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N1004">
            <v>0</v>
          </cell>
          <cell r="O1004" t="str">
            <v>z</v>
          </cell>
          <cell r="Q1004" t="str">
            <v/>
          </cell>
          <cell r="X1004" t="e">
            <v>#N/A</v>
          </cell>
        </row>
        <row r="1005">
          <cell r="G1005" t="str">
            <v>KALPAKA TRANSPORT CO. LTD.</v>
          </cell>
          <cell r="I1005">
            <v>-1</v>
          </cell>
          <cell r="J1005">
            <v>0</v>
          </cell>
          <cell r="K1005">
            <v>0</v>
          </cell>
          <cell r="L1005">
            <v>-1</v>
          </cell>
          <cell r="N1005">
            <v>-1</v>
          </cell>
          <cell r="O1005" t="str">
            <v>z</v>
          </cell>
          <cell r="Q1005" t="str">
            <v/>
          </cell>
          <cell r="X1005" t="e">
            <v>#N/A</v>
          </cell>
        </row>
        <row r="1006">
          <cell r="G1006" t="str">
            <v>LOVELOCK &amp; LEWES</v>
          </cell>
          <cell r="I1006">
            <v>-27720</v>
          </cell>
          <cell r="J1006">
            <v>27720</v>
          </cell>
          <cell r="K1006">
            <v>0</v>
          </cell>
          <cell r="L1006">
            <v>0</v>
          </cell>
          <cell r="N1006">
            <v>0</v>
          </cell>
          <cell r="O1006" t="str">
            <v>z</v>
          </cell>
          <cell r="Q1006" t="str">
            <v/>
          </cell>
          <cell r="X1006" t="e">
            <v>#N/A</v>
          </cell>
        </row>
        <row r="1007">
          <cell r="G1007" t="str">
            <v>LAUREN SOFTWARE PVT. LTD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N1007">
            <v>0</v>
          </cell>
          <cell r="O1007" t="str">
            <v>z</v>
          </cell>
          <cell r="Q1007" t="str">
            <v/>
          </cell>
          <cell r="X1007" t="e">
            <v>#N/A</v>
          </cell>
        </row>
        <row r="1008">
          <cell r="G1008" t="str">
            <v>MENEZES AIR TRAVEL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N1008">
            <v>0</v>
          </cell>
          <cell r="O1008" t="str">
            <v>z</v>
          </cell>
          <cell r="Q1008" t="str">
            <v/>
          </cell>
          <cell r="X1008" t="e">
            <v>#N/A</v>
          </cell>
        </row>
        <row r="1009">
          <cell r="G1009" t="str">
            <v>MICROCITY INDIA LTD.</v>
          </cell>
          <cell r="I1009">
            <v>0</v>
          </cell>
          <cell r="J1009">
            <v>0</v>
          </cell>
          <cell r="K1009">
            <v>0</v>
          </cell>
          <cell r="L1009">
            <v>0</v>
          </cell>
          <cell r="N1009">
            <v>0</v>
          </cell>
          <cell r="O1009" t="str">
            <v>z</v>
          </cell>
          <cell r="Q1009" t="str">
            <v/>
          </cell>
          <cell r="X1009" t="e">
            <v>#N/A</v>
          </cell>
        </row>
        <row r="1010">
          <cell r="G1010" t="str">
            <v>METAFORM INDUSTRIES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N1010">
            <v>0</v>
          </cell>
          <cell r="O1010" t="str">
            <v>z</v>
          </cell>
          <cell r="Q1010" t="str">
            <v/>
          </cell>
          <cell r="X1010" t="e">
            <v>#N/A</v>
          </cell>
        </row>
        <row r="1011">
          <cell r="G1011" t="str">
            <v>MAC INPHASYST PVT. LTD.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N1011">
            <v>0</v>
          </cell>
          <cell r="O1011" t="str">
            <v>z</v>
          </cell>
          <cell r="Q1011" t="str">
            <v/>
          </cell>
          <cell r="X1011" t="e">
            <v>#N/A</v>
          </cell>
        </row>
        <row r="1012">
          <cell r="G1012" t="str">
            <v>NIMBUS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N1012">
            <v>0</v>
          </cell>
          <cell r="O1012" t="str">
            <v>z</v>
          </cell>
          <cell r="Q1012" t="str">
            <v/>
          </cell>
          <cell r="X1012" t="e">
            <v>#N/A</v>
          </cell>
        </row>
        <row r="1013">
          <cell r="G1013" t="str">
            <v>NAGARKOT CLEARING AGENCY</v>
          </cell>
          <cell r="I1013">
            <v>0</v>
          </cell>
          <cell r="J1013">
            <v>0</v>
          </cell>
          <cell r="K1013">
            <v>1431</v>
          </cell>
          <cell r="L1013">
            <v>-1431</v>
          </cell>
          <cell r="N1013">
            <v>-1431</v>
          </cell>
          <cell r="O1013" t="str">
            <v>z</v>
          </cell>
          <cell r="Q1013" t="str">
            <v/>
          </cell>
          <cell r="X1013" t="e">
            <v>#N/A</v>
          </cell>
        </row>
        <row r="1014">
          <cell r="G1014" t="str">
            <v>NORTH EASTERN CARRYING CORPN.</v>
          </cell>
          <cell r="I1014">
            <v>-343</v>
          </cell>
          <cell r="J1014">
            <v>4180</v>
          </cell>
          <cell r="K1014">
            <v>8328</v>
          </cell>
          <cell r="L1014">
            <v>-4491</v>
          </cell>
          <cell r="N1014">
            <v>-4491</v>
          </cell>
          <cell r="O1014" t="str">
            <v>z</v>
          </cell>
          <cell r="Q1014" t="str">
            <v/>
          </cell>
          <cell r="X1014" t="e">
            <v>#N/A</v>
          </cell>
        </row>
        <row r="1015">
          <cell r="G1015" t="str">
            <v>NEW NATIONAL ELECTRICAL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N1015">
            <v>0</v>
          </cell>
          <cell r="O1015" t="str">
            <v>z</v>
          </cell>
          <cell r="Q1015" t="str">
            <v/>
          </cell>
          <cell r="X1015" t="e">
            <v>#N/A</v>
          </cell>
        </row>
        <row r="1016">
          <cell r="G1016" t="str">
            <v>PIPE DREAMS</v>
          </cell>
          <cell r="I1016">
            <v>-857</v>
          </cell>
          <cell r="J1016">
            <v>857</v>
          </cell>
          <cell r="K1016">
            <v>0</v>
          </cell>
          <cell r="L1016">
            <v>0</v>
          </cell>
          <cell r="N1016">
            <v>0</v>
          </cell>
          <cell r="O1016" t="str">
            <v>z</v>
          </cell>
          <cell r="Q1016" t="str">
            <v/>
          </cell>
          <cell r="X1016" t="e">
            <v>#N/A</v>
          </cell>
        </row>
        <row r="1017">
          <cell r="G1017" t="str">
            <v>PADMAVI ENGINEERS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N1017">
            <v>0</v>
          </cell>
          <cell r="O1017" t="str">
            <v>z</v>
          </cell>
          <cell r="Q1017" t="str">
            <v/>
          </cell>
          <cell r="X1017" t="e">
            <v>#N/A</v>
          </cell>
        </row>
        <row r="1018">
          <cell r="G1018" t="str">
            <v>PARIMAL KULKARNI</v>
          </cell>
          <cell r="I1018">
            <v>-248</v>
          </cell>
          <cell r="J1018">
            <v>248</v>
          </cell>
          <cell r="K1018">
            <v>248</v>
          </cell>
          <cell r="L1018">
            <v>-248</v>
          </cell>
          <cell r="N1018">
            <v>-248</v>
          </cell>
          <cell r="O1018" t="str">
            <v>z</v>
          </cell>
          <cell r="Q1018" t="str">
            <v/>
          </cell>
          <cell r="X1018" t="e">
            <v>#N/A</v>
          </cell>
        </row>
        <row r="1019">
          <cell r="G1019" t="str">
            <v>P.K.MUTHA &amp; CO.</v>
          </cell>
          <cell r="I1019">
            <v>-55</v>
          </cell>
          <cell r="J1019">
            <v>55</v>
          </cell>
          <cell r="K1019">
            <v>0</v>
          </cell>
          <cell r="L1019">
            <v>0</v>
          </cell>
          <cell r="N1019">
            <v>0</v>
          </cell>
          <cell r="O1019" t="str">
            <v>z</v>
          </cell>
          <cell r="Q1019" t="str">
            <v/>
          </cell>
          <cell r="X1019" t="e">
            <v>#N/A</v>
          </cell>
        </row>
        <row r="1020">
          <cell r="G1020" t="str">
            <v>PATEL ROADWAYS LTD.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N1020">
            <v>0</v>
          </cell>
          <cell r="O1020" t="str">
            <v>z</v>
          </cell>
          <cell r="Q1020" t="str">
            <v/>
          </cell>
          <cell r="X1020" t="e">
            <v>#N/A</v>
          </cell>
        </row>
        <row r="1021">
          <cell r="G1021" t="str">
            <v>P.V.BHANDARE &amp; CO</v>
          </cell>
          <cell r="I1021">
            <v>0</v>
          </cell>
          <cell r="J1021">
            <v>58</v>
          </cell>
          <cell r="K1021">
            <v>58</v>
          </cell>
          <cell r="L1021">
            <v>0</v>
          </cell>
          <cell r="N1021">
            <v>0</v>
          </cell>
          <cell r="O1021" t="str">
            <v>z</v>
          </cell>
          <cell r="Q1021" t="str">
            <v/>
          </cell>
          <cell r="X1021" t="e">
            <v>#N/A</v>
          </cell>
        </row>
        <row r="1022">
          <cell r="G1022" t="str">
            <v>RAMESH MAKHIJA &amp; CO</v>
          </cell>
          <cell r="I1022">
            <v>-688</v>
          </cell>
          <cell r="J1022">
            <v>688</v>
          </cell>
          <cell r="K1022">
            <v>688</v>
          </cell>
          <cell r="L1022">
            <v>-688</v>
          </cell>
          <cell r="N1022">
            <v>-688</v>
          </cell>
          <cell r="O1022" t="str">
            <v>z</v>
          </cell>
          <cell r="Q1022" t="str">
            <v/>
          </cell>
          <cell r="X1022" t="e">
            <v>#N/A</v>
          </cell>
        </row>
        <row r="1023">
          <cell r="G1023" t="str">
            <v>REEMA TRANSPORT PVT. LTD.</v>
          </cell>
          <cell r="I1023">
            <v>0</v>
          </cell>
          <cell r="J1023">
            <v>64</v>
          </cell>
          <cell r="K1023">
            <v>64</v>
          </cell>
          <cell r="L1023">
            <v>0</v>
          </cell>
          <cell r="N1023">
            <v>0</v>
          </cell>
          <cell r="O1023" t="str">
            <v>z</v>
          </cell>
          <cell r="Q1023" t="str">
            <v/>
          </cell>
          <cell r="X1023" t="e">
            <v>#N/A</v>
          </cell>
        </row>
        <row r="1024">
          <cell r="G1024" t="str">
            <v>SPEEDAGE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N1024">
            <v>0</v>
          </cell>
          <cell r="O1024" t="str">
            <v>z</v>
          </cell>
          <cell r="Q1024" t="str">
            <v/>
          </cell>
          <cell r="X1024" t="e">
            <v>#N/A</v>
          </cell>
        </row>
        <row r="1025">
          <cell r="G1025" t="str">
            <v>SIMCA ALUMINIUM PVT. LTD.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N1025">
            <v>0</v>
          </cell>
          <cell r="O1025" t="str">
            <v>z</v>
          </cell>
          <cell r="Q1025" t="str">
            <v/>
          </cell>
          <cell r="X1025" t="e">
            <v>#N/A</v>
          </cell>
        </row>
        <row r="1026">
          <cell r="G1026" t="str">
            <v>SAFEXPRESS</v>
          </cell>
          <cell r="I1026">
            <v>0</v>
          </cell>
          <cell r="J1026">
            <v>2753</v>
          </cell>
          <cell r="K1026">
            <v>5647</v>
          </cell>
          <cell r="L1026">
            <v>-2894</v>
          </cell>
          <cell r="N1026">
            <v>-2894</v>
          </cell>
          <cell r="O1026" t="str">
            <v>z</v>
          </cell>
          <cell r="Q1026" t="str">
            <v/>
          </cell>
          <cell r="X1026" t="e">
            <v>#N/A</v>
          </cell>
        </row>
        <row r="1027">
          <cell r="G1027" t="str">
            <v>SUNNY FORESIGHT P. LTD.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N1027">
            <v>0</v>
          </cell>
          <cell r="O1027" t="str">
            <v>z</v>
          </cell>
          <cell r="Q1027" t="str">
            <v/>
          </cell>
          <cell r="X1027" t="e">
            <v>#N/A</v>
          </cell>
        </row>
        <row r="1028">
          <cell r="G1028" t="str">
            <v>SPACE HVAC SYSTEMS PRIVATE LIMITED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N1028">
            <v>0</v>
          </cell>
          <cell r="O1028" t="str">
            <v>z</v>
          </cell>
          <cell r="Q1028" t="str">
            <v/>
          </cell>
          <cell r="X1028" t="e">
            <v>#N/A</v>
          </cell>
        </row>
        <row r="1029">
          <cell r="G1029" t="str">
            <v>SANKET ENTERPRISE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N1029">
            <v>0</v>
          </cell>
          <cell r="O1029" t="str">
            <v>z</v>
          </cell>
          <cell r="Q1029" t="str">
            <v/>
          </cell>
          <cell r="X1029" t="e">
            <v>#N/A</v>
          </cell>
        </row>
        <row r="1030">
          <cell r="G1030" t="str">
            <v>SANDEEP R. S. KHANDEPARKER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N1030">
            <v>0</v>
          </cell>
          <cell r="O1030" t="str">
            <v>z</v>
          </cell>
          <cell r="Q1030" t="str">
            <v/>
          </cell>
          <cell r="X1030" t="e">
            <v>#N/A</v>
          </cell>
        </row>
        <row r="1031">
          <cell r="G1031" t="str">
            <v>SENIOR TRANSLINE</v>
          </cell>
          <cell r="I1031">
            <v>0</v>
          </cell>
          <cell r="J1031">
            <v>56</v>
          </cell>
          <cell r="K1031">
            <v>987</v>
          </cell>
          <cell r="L1031">
            <v>-931</v>
          </cell>
          <cell r="N1031">
            <v>-931</v>
          </cell>
          <cell r="O1031" t="str">
            <v>z</v>
          </cell>
          <cell r="Q1031" t="str">
            <v/>
          </cell>
          <cell r="X1031" t="e">
            <v>#N/A</v>
          </cell>
        </row>
        <row r="1032">
          <cell r="G1032" t="str">
            <v>UNIVERSAL FABRICATION &amp; BLOWER INDUSTRIES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N1032">
            <v>0</v>
          </cell>
          <cell r="O1032" t="str">
            <v>z</v>
          </cell>
          <cell r="Q1032" t="str">
            <v/>
          </cell>
          <cell r="X1032" t="e">
            <v>#N/A</v>
          </cell>
        </row>
        <row r="1033">
          <cell r="G1033" t="str">
            <v>VOLTAS LIMITED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N1033">
            <v>0</v>
          </cell>
          <cell r="O1033" t="str">
            <v>z</v>
          </cell>
          <cell r="Q1033" t="str">
            <v/>
          </cell>
          <cell r="X1033" t="e">
            <v>#N/A</v>
          </cell>
        </row>
        <row r="1034">
          <cell r="G1034" t="str">
            <v>VIJAY NURSERY</v>
          </cell>
          <cell r="I1034">
            <v>0</v>
          </cell>
          <cell r="J1034">
            <v>0</v>
          </cell>
          <cell r="K1034">
            <v>0</v>
          </cell>
          <cell r="L1034">
            <v>0</v>
          </cell>
          <cell r="N1034">
            <v>0</v>
          </cell>
          <cell r="O1034" t="str">
            <v>z</v>
          </cell>
          <cell r="Q1034" t="str">
            <v/>
          </cell>
          <cell r="X1034" t="e">
            <v>#N/A</v>
          </cell>
        </row>
        <row r="1035">
          <cell r="G1035" t="str">
            <v>WALLACE PHARMA LTD.</v>
          </cell>
          <cell r="I1035">
            <v>0</v>
          </cell>
          <cell r="J1035">
            <v>0</v>
          </cell>
          <cell r="K1035">
            <v>0</v>
          </cell>
          <cell r="L1035">
            <v>0</v>
          </cell>
          <cell r="N1035">
            <v>0</v>
          </cell>
          <cell r="O1035" t="str">
            <v>z</v>
          </cell>
          <cell r="Q1035" t="str">
            <v/>
          </cell>
          <cell r="X1035" t="e">
            <v>#N/A</v>
          </cell>
        </row>
        <row r="1036">
          <cell r="G1036" t="str">
            <v>XPS CARGO SERVICE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N1036">
            <v>0</v>
          </cell>
          <cell r="O1036" t="str">
            <v>z</v>
          </cell>
          <cell r="Q1036" t="str">
            <v/>
          </cell>
          <cell r="X1036" t="e">
            <v>#N/A</v>
          </cell>
        </row>
        <row r="1037">
          <cell r="G1037" t="str">
            <v>YASH AGENCIES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N1037">
            <v>0</v>
          </cell>
          <cell r="O1037" t="str">
            <v>z</v>
          </cell>
          <cell r="Q1037" t="str">
            <v/>
          </cell>
          <cell r="X1037" t="e">
            <v>#N/A</v>
          </cell>
        </row>
        <row r="1038">
          <cell r="G1038" t="str">
            <v>INTEREST - NON GROUP COMPANIES</v>
          </cell>
          <cell r="I1038">
            <v>0</v>
          </cell>
          <cell r="J1038">
            <v>0</v>
          </cell>
          <cell r="K1038">
            <v>8250</v>
          </cell>
          <cell r="L1038">
            <v>-8250</v>
          </cell>
          <cell r="N1038">
            <v>-8250</v>
          </cell>
          <cell r="O1038" t="str">
            <v>z</v>
          </cell>
          <cell r="Q1038" t="str">
            <v/>
          </cell>
          <cell r="X1038" t="e">
            <v>#N/A</v>
          </cell>
        </row>
        <row r="1039">
          <cell r="G1039" t="str">
            <v>IN HOUSE SERVICES</v>
          </cell>
          <cell r="I1039">
            <v>-132</v>
          </cell>
          <cell r="J1039">
            <v>132</v>
          </cell>
          <cell r="K1039">
            <v>132</v>
          </cell>
          <cell r="L1039">
            <v>-132</v>
          </cell>
          <cell r="N1039">
            <v>-132</v>
          </cell>
          <cell r="O1039" t="str">
            <v>z</v>
          </cell>
          <cell r="Q1039" t="str">
            <v/>
          </cell>
          <cell r="X1039" t="e">
            <v>#N/A</v>
          </cell>
        </row>
        <row r="1040">
          <cell r="G1040" t="str">
            <v>V. B. GOEL &amp; CO.</v>
          </cell>
          <cell r="I1040">
            <v>-1788</v>
          </cell>
          <cell r="J1040">
            <v>1788</v>
          </cell>
          <cell r="K1040">
            <v>0</v>
          </cell>
          <cell r="L1040">
            <v>0</v>
          </cell>
          <cell r="N1040">
            <v>0</v>
          </cell>
          <cell r="O1040" t="str">
            <v>z</v>
          </cell>
          <cell r="Q1040" t="str">
            <v/>
          </cell>
          <cell r="X1040" t="e">
            <v>#N/A</v>
          </cell>
        </row>
        <row r="1041">
          <cell r="G1041" t="str">
            <v>C. N. GANDHEVIA CLEAING &amp; FORWARDING AGENTS P. LTD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N1041">
            <v>0</v>
          </cell>
          <cell r="O1041" t="str">
            <v>z</v>
          </cell>
          <cell r="Q1041" t="str">
            <v/>
          </cell>
          <cell r="U1041">
            <v>0</v>
          </cell>
          <cell r="X1041" t="e">
            <v>#N/A</v>
          </cell>
        </row>
        <row r="1042">
          <cell r="G1042" t="str">
            <v>FURTADO &amp; CO.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N1042">
            <v>0</v>
          </cell>
          <cell r="O1042" t="str">
            <v>z</v>
          </cell>
          <cell r="Q1042" t="str">
            <v/>
          </cell>
          <cell r="X1042" t="e">
            <v>#N/A</v>
          </cell>
        </row>
        <row r="1043">
          <cell r="G1043" t="str">
            <v>NAGARKOT CLEARING AGENCY</v>
          </cell>
          <cell r="I1043">
            <v>0</v>
          </cell>
          <cell r="J1043">
            <v>0</v>
          </cell>
          <cell r="K1043">
            <v>0</v>
          </cell>
          <cell r="L1043">
            <v>0</v>
          </cell>
          <cell r="N1043">
            <v>0</v>
          </cell>
          <cell r="O1043" t="str">
            <v>z</v>
          </cell>
          <cell r="Q1043" t="str">
            <v/>
          </cell>
          <cell r="X1043" t="e">
            <v>#N/A</v>
          </cell>
        </row>
        <row r="1044">
          <cell r="G1044" t="str">
            <v>SALARIES &amp; WAGES PAYABLE</v>
          </cell>
          <cell r="H1044" t="str">
            <v>Salaries &amp; Wages Payable</v>
          </cell>
          <cell r="I1044">
            <v>-94911.360000000001</v>
          </cell>
          <cell r="J1044">
            <v>1049502</v>
          </cell>
          <cell r="K1044">
            <v>989121.08</v>
          </cell>
          <cell r="L1044">
            <v>-34530.44</v>
          </cell>
          <cell r="N1044">
            <v>-34530.44</v>
          </cell>
          <cell r="O1044" t="str">
            <v>z</v>
          </cell>
          <cell r="Q1044" t="str">
            <v/>
          </cell>
          <cell r="U1044">
            <v>-1697598.44</v>
          </cell>
          <cell r="X1044" t="e">
            <v>#N/A</v>
          </cell>
        </row>
        <row r="1045">
          <cell r="G1045" t="str">
            <v>PROVISION FOR INCENTIVE</v>
          </cell>
          <cell r="H1045" t="str">
            <v>Provision for Incentives</v>
          </cell>
          <cell r="I1045">
            <v>-1806750</v>
          </cell>
          <cell r="J1045">
            <v>128652</v>
          </cell>
          <cell r="K1045">
            <v>0</v>
          </cell>
          <cell r="L1045">
            <v>-1663068</v>
          </cell>
          <cell r="N1045">
            <v>-1663068</v>
          </cell>
          <cell r="O1045" t="str">
            <v>z</v>
          </cell>
          <cell r="Q1045" t="str">
            <v/>
          </cell>
          <cell r="X1045" t="e">
            <v>#N/A</v>
          </cell>
        </row>
        <row r="1046">
          <cell r="G1046" t="str">
            <v>UNION FEES PAYABLE</v>
          </cell>
          <cell r="I1046">
            <v>0</v>
          </cell>
          <cell r="J1046">
            <v>15</v>
          </cell>
          <cell r="K1046">
            <v>15</v>
          </cell>
          <cell r="L1046">
            <v>0</v>
          </cell>
          <cell r="N1046">
            <v>0</v>
          </cell>
          <cell r="O1046" t="str">
            <v>z</v>
          </cell>
          <cell r="Q1046" t="str">
            <v/>
          </cell>
          <cell r="X1046" t="e">
            <v>#N/A</v>
          </cell>
        </row>
        <row r="1047">
          <cell r="G1047" t="str">
            <v>OTHER REMAINING LIABILITIES</v>
          </cell>
          <cell r="H1047" t="str">
            <v>Other liabilities</v>
          </cell>
          <cell r="I1047">
            <v>-889638</v>
          </cell>
          <cell r="J1047">
            <v>500000</v>
          </cell>
          <cell r="K1047">
            <v>0</v>
          </cell>
          <cell r="L1047">
            <v>-389638</v>
          </cell>
          <cell r="N1047">
            <v>-389638</v>
          </cell>
          <cell r="O1047" t="str">
            <v>z</v>
          </cell>
          <cell r="Q1047" t="str">
            <v/>
          </cell>
          <cell r="U1047">
            <v>-1993494.14</v>
          </cell>
          <cell r="X1047" t="e">
            <v>#N/A</v>
          </cell>
        </row>
        <row r="1048">
          <cell r="G1048" t="str">
            <v>COSMED ANALYTICAL &amp; CENTRAL SERVICES</v>
          </cell>
          <cell r="H1048" t="str">
            <v>COSMED ANALYTICAL &amp; CENTRAL SERVICES</v>
          </cell>
          <cell r="I1048">
            <v>10036.84</v>
          </cell>
          <cell r="J1048">
            <v>0</v>
          </cell>
          <cell r="K1048">
            <v>0</v>
          </cell>
          <cell r="L1048">
            <v>10036.84</v>
          </cell>
          <cell r="N1048">
            <v>10036.84</v>
          </cell>
          <cell r="O1048" t="str">
            <v>z</v>
          </cell>
          <cell r="Q1048" t="str">
            <v/>
          </cell>
          <cell r="X1048" t="e">
            <v>#N/A</v>
          </cell>
        </row>
        <row r="1049">
          <cell r="G1049" t="str">
            <v>WALLACE PHARMA LTD.</v>
          </cell>
          <cell r="H1049" t="str">
            <v>WALLACE PHARMA LTD.</v>
          </cell>
          <cell r="I1049">
            <v>9773.52</v>
          </cell>
          <cell r="J1049">
            <v>0</v>
          </cell>
          <cell r="K1049">
            <v>0</v>
          </cell>
          <cell r="L1049">
            <v>9773.52</v>
          </cell>
          <cell r="N1049">
            <v>9773.52</v>
          </cell>
          <cell r="O1049" t="str">
            <v>z</v>
          </cell>
          <cell r="Q1049" t="str">
            <v/>
          </cell>
          <cell r="X1049" t="e">
            <v>#N/A</v>
          </cell>
        </row>
        <row r="1050">
          <cell r="G1050" t="str">
            <v>CFL PHARMA LTD.</v>
          </cell>
          <cell r="H1050" t="str">
            <v>CFL Pharma Ltd.</v>
          </cell>
          <cell r="I1050">
            <v>-1717.06</v>
          </cell>
          <cell r="J1050">
            <v>0</v>
          </cell>
          <cell r="K1050">
            <v>0</v>
          </cell>
          <cell r="L1050">
            <v>-1717.06</v>
          </cell>
          <cell r="N1050">
            <v>-1717.06</v>
          </cell>
          <cell r="O1050" t="str">
            <v>z</v>
          </cell>
          <cell r="Q1050" t="str">
            <v/>
          </cell>
          <cell r="X1050" t="e">
            <v>#N/A</v>
          </cell>
        </row>
        <row r="1051">
          <cell r="G1051" t="str">
            <v>MAHARASHRA PROFESSION TAX</v>
          </cell>
          <cell r="I1051">
            <v>0</v>
          </cell>
          <cell r="J1051">
            <v>0</v>
          </cell>
          <cell r="K1051">
            <v>0</v>
          </cell>
          <cell r="L1051">
            <v>0</v>
          </cell>
          <cell r="N1051">
            <v>0</v>
          </cell>
          <cell r="O1051" t="str">
            <v>z</v>
          </cell>
          <cell r="Q1051" t="str">
            <v/>
          </cell>
          <cell r="X1051" t="e">
            <v>#N/A</v>
          </cell>
        </row>
        <row r="1052">
          <cell r="G1052" t="str">
            <v>BEIERSDORF (INDIA) LIMITED</v>
          </cell>
          <cell r="H1052" t="str">
            <v>BEIERSDORF (INDIA) LIMITED</v>
          </cell>
          <cell r="I1052">
            <v>-4710</v>
          </cell>
          <cell r="J1052">
            <v>0</v>
          </cell>
          <cell r="K1052">
            <v>0</v>
          </cell>
          <cell r="L1052">
            <v>-4710</v>
          </cell>
          <cell r="N1052">
            <v>-4710</v>
          </cell>
          <cell r="O1052" t="str">
            <v>z</v>
          </cell>
          <cell r="Q1052" t="str">
            <v/>
          </cell>
          <cell r="X1052" t="e">
            <v>#N/A</v>
          </cell>
        </row>
        <row r="1053">
          <cell r="G1053" t="str">
            <v>COLFAX  LAB. (INDIA) LIMITED</v>
          </cell>
          <cell r="H1053" t="str">
            <v>COLFAX  LAB. (INDIA) LIMITED</v>
          </cell>
          <cell r="I1053">
            <v>0</v>
          </cell>
          <cell r="J1053">
            <v>15888</v>
          </cell>
          <cell r="K1053">
            <v>15888</v>
          </cell>
          <cell r="L1053">
            <v>0</v>
          </cell>
          <cell r="N1053">
            <v>0</v>
          </cell>
          <cell r="O1053" t="str">
            <v>z</v>
          </cell>
          <cell r="Q1053" t="str">
            <v/>
          </cell>
          <cell r="X1053" t="e">
            <v>#N/A</v>
          </cell>
        </row>
        <row r="1054">
          <cell r="G1054" t="str">
            <v>INTEREST ACCRUED BUT NOT PAID</v>
          </cell>
          <cell r="H1054" t="str">
            <v>Interest Accrued But not Due</v>
          </cell>
          <cell r="I1054">
            <v>0</v>
          </cell>
          <cell r="J1054">
            <v>0</v>
          </cell>
          <cell r="K1054">
            <v>0</v>
          </cell>
          <cell r="L1054">
            <v>0</v>
          </cell>
          <cell r="N1054">
            <v>0</v>
          </cell>
          <cell r="O1054" t="str">
            <v>z</v>
          </cell>
          <cell r="Q1054" t="str">
            <v/>
          </cell>
          <cell r="X1054" t="e">
            <v>#N/A</v>
          </cell>
        </row>
        <row r="1055">
          <cell r="G1055" t="str">
            <v>PROVISION FOR CUSTOM DUTY</v>
          </cell>
          <cell r="H1055" t="str">
            <v>Provision for Custom Duty on GIT</v>
          </cell>
          <cell r="I1055">
            <v>-16777525.27</v>
          </cell>
          <cell r="J1055">
            <v>15041839.699999999</v>
          </cell>
          <cell r="K1055">
            <v>9012753.8800000008</v>
          </cell>
          <cell r="L1055">
            <v>-1101596.44</v>
          </cell>
          <cell r="N1055">
            <v>-1101596.44</v>
          </cell>
          <cell r="O1055" t="str">
            <v>z</v>
          </cell>
          <cell r="Q1055" t="str">
            <v/>
          </cell>
          <cell r="X1055" t="e">
            <v>#N/A</v>
          </cell>
        </row>
        <row r="1056">
          <cell r="G1056" t="str">
            <v>COSME MATIAS MENEZES FINANCE LTD</v>
          </cell>
          <cell r="H1056" t="str">
            <v>Cosme Mathias Menezes Finance Ltd.</v>
          </cell>
          <cell r="I1056">
            <v>-579</v>
          </cell>
          <cell r="J1056">
            <v>0</v>
          </cell>
          <cell r="K1056">
            <v>0</v>
          </cell>
          <cell r="L1056">
            <v>-579</v>
          </cell>
          <cell r="N1056">
            <v>-579</v>
          </cell>
          <cell r="O1056" t="str">
            <v>z</v>
          </cell>
          <cell r="Q1056" t="str">
            <v/>
          </cell>
          <cell r="X1056" t="e">
            <v>#N/A</v>
          </cell>
        </row>
        <row r="1057">
          <cell r="G1057" t="str">
            <v>PROVISION FOR COMMISSION ON SALES</v>
          </cell>
          <cell r="H1057" t="str">
            <v>Provision For Commission on Sales</v>
          </cell>
          <cell r="I1057">
            <v>-393204</v>
          </cell>
          <cell r="J1057">
            <v>40000</v>
          </cell>
          <cell r="K1057">
            <v>161860</v>
          </cell>
          <cell r="L1057">
            <v>-515064</v>
          </cell>
          <cell r="N1057">
            <v>-515064</v>
          </cell>
          <cell r="O1057" t="str">
            <v>z</v>
          </cell>
          <cell r="Q1057" t="str">
            <v/>
          </cell>
          <cell r="X1057" t="e">
            <v>#N/A</v>
          </cell>
        </row>
        <row r="1058">
          <cell r="G1058" t="str">
            <v>RETAINTION MONEY - BHARAT ENG.</v>
          </cell>
          <cell r="I1058">
            <v>0</v>
          </cell>
          <cell r="J1058">
            <v>0</v>
          </cell>
          <cell r="K1058">
            <v>0</v>
          </cell>
          <cell r="L1058">
            <v>0</v>
          </cell>
          <cell r="N1058">
            <v>0</v>
          </cell>
          <cell r="O1058" t="str">
            <v>z</v>
          </cell>
          <cell r="Q1058" t="str">
            <v/>
          </cell>
          <cell r="X1058" t="e">
            <v>#N/A</v>
          </cell>
        </row>
        <row r="1059">
          <cell r="G1059" t="str">
            <v>G.D.ENTERPRISES</v>
          </cell>
          <cell r="H1059" t="str">
            <v>Security Deposits (G.D.Enterprises)</v>
          </cell>
          <cell r="I1059">
            <v>-2000000</v>
          </cell>
          <cell r="J1059">
            <v>0</v>
          </cell>
          <cell r="K1059">
            <v>0</v>
          </cell>
          <cell r="L1059">
            <v>-2000000</v>
          </cell>
          <cell r="N1059">
            <v>-2000000</v>
          </cell>
          <cell r="O1059" t="str">
            <v>z</v>
          </cell>
          <cell r="Q1059" t="str">
            <v/>
          </cell>
          <cell r="U1059">
            <v>-2014999.6</v>
          </cell>
          <cell r="X1059" t="e">
            <v>#N/A</v>
          </cell>
        </row>
        <row r="1060">
          <cell r="G1060" t="str">
            <v>K. K. SURGICALS</v>
          </cell>
          <cell r="H1060" t="str">
            <v>Security Deposits (K.K.Surgicals)</v>
          </cell>
          <cell r="I1060">
            <v>-15000</v>
          </cell>
          <cell r="J1060">
            <v>0</v>
          </cell>
          <cell r="K1060">
            <v>0</v>
          </cell>
          <cell r="L1060">
            <v>-15000</v>
          </cell>
          <cell r="N1060">
            <v>-15000</v>
          </cell>
          <cell r="O1060" t="str">
            <v>z</v>
          </cell>
          <cell r="Q1060" t="str">
            <v/>
          </cell>
          <cell r="X1060" t="e">
            <v>#N/A</v>
          </cell>
        </row>
        <row r="1061">
          <cell r="G1061" t="str">
            <v>HI TECH PHARMA</v>
          </cell>
          <cell r="H1061" t="str">
            <v>Security Deposits (Hi-Tech Pharma)</v>
          </cell>
          <cell r="I1061">
            <v>0.4</v>
          </cell>
          <cell r="J1061">
            <v>0</v>
          </cell>
          <cell r="K1061">
            <v>0</v>
          </cell>
          <cell r="L1061">
            <v>0.4</v>
          </cell>
          <cell r="N1061">
            <v>0.4</v>
          </cell>
          <cell r="O1061" t="str">
            <v>z</v>
          </cell>
          <cell r="Q1061" t="str">
            <v/>
          </cell>
          <cell r="X1061" t="e">
            <v>#N/A</v>
          </cell>
        </row>
        <row r="1062">
          <cell r="G1062" t="str">
            <v>DOMESTIC SALES - 3RD PARTY</v>
          </cell>
          <cell r="H1062" t="str">
            <v xml:space="preserve">        Traded Goods</v>
          </cell>
          <cell r="I1062">
            <v>-237027746.13</v>
          </cell>
          <cell r="J1062">
            <v>0</v>
          </cell>
          <cell r="K1062">
            <v>42829787.75</v>
          </cell>
          <cell r="L1062">
            <v>-279857533.88</v>
          </cell>
          <cell r="M1062">
            <v>-279857533.88</v>
          </cell>
          <cell r="O1062" t="str">
            <v>z</v>
          </cell>
          <cell r="P1062">
            <v>-318065736.33999997</v>
          </cell>
          <cell r="X1062" t="e">
            <v>#N/A</v>
          </cell>
        </row>
        <row r="1063">
          <cell r="G1063" t="str">
            <v>SALES REVERSAL TRADE-(RATE DIFF.) DOMESTIC - 3RD PARTY</v>
          </cell>
          <cell r="H1063" t="str">
            <v xml:space="preserve">Less : Sales Return </v>
          </cell>
          <cell r="I1063">
            <v>13995</v>
          </cell>
          <cell r="J1063">
            <v>0</v>
          </cell>
          <cell r="K1063">
            <v>0</v>
          </cell>
          <cell r="L1063">
            <v>13995</v>
          </cell>
          <cell r="M1063">
            <v>10504629.76</v>
          </cell>
          <cell r="O1063">
            <v>51</v>
          </cell>
          <cell r="X1063" t="e">
            <v>#N/A</v>
          </cell>
        </row>
        <row r="1064">
          <cell r="G1064" t="str">
            <v>SALES (MFG.) DOMESTIC -3RD PARTY</v>
          </cell>
          <cell r="H1064" t="str">
            <v xml:space="preserve">        Manufactured Goods</v>
          </cell>
          <cell r="I1064">
            <v>-22512945.649999999</v>
          </cell>
          <cell r="J1064">
            <v>0</v>
          </cell>
          <cell r="K1064">
            <v>2443907.5</v>
          </cell>
          <cell r="L1064">
            <v>-24956853.149999999</v>
          </cell>
          <cell r="M1064">
            <v>-24956853.149999999</v>
          </cell>
          <cell r="O1064" t="str">
            <v>z</v>
          </cell>
          <cell r="X1064" t="e">
            <v>#N/A</v>
          </cell>
        </row>
        <row r="1065">
          <cell r="G1065" t="str">
            <v>CENTRAL EXCISE DUTY</v>
          </cell>
          <cell r="H1065" t="str">
            <v>Excise Duty</v>
          </cell>
          <cell r="I1065">
            <v>652140</v>
          </cell>
          <cell r="J1065">
            <v>0</v>
          </cell>
          <cell r="K1065">
            <v>0</v>
          </cell>
          <cell r="L1065">
            <v>652140</v>
          </cell>
          <cell r="M1065">
            <v>652140</v>
          </cell>
          <cell r="O1065" t="str">
            <v>z</v>
          </cell>
          <cell r="X1065" t="e">
            <v>#N/A</v>
          </cell>
        </row>
        <row r="1066">
          <cell r="G1066" t="str">
            <v>SALES RETURN- TRADE DOMESTIC - 3RD PARTY</v>
          </cell>
          <cell r="I1066">
            <v>9635212.3599999994</v>
          </cell>
          <cell r="J1066">
            <v>214172.4</v>
          </cell>
          <cell r="K1066">
            <v>0</v>
          </cell>
          <cell r="L1066">
            <v>9849384.7599999998</v>
          </cell>
          <cell r="O1066">
            <v>51</v>
          </cell>
          <cell r="X1066" t="e">
            <v>#N/A</v>
          </cell>
        </row>
        <row r="1067">
          <cell r="G1067" t="str">
            <v>SALES RETURN (MFG) DOMESTIC - 3RD PARTY</v>
          </cell>
          <cell r="I1067">
            <v>641250</v>
          </cell>
          <cell r="J1067">
            <v>0</v>
          </cell>
          <cell r="K1067">
            <v>0</v>
          </cell>
          <cell r="L1067">
            <v>641250</v>
          </cell>
          <cell r="O1067">
            <v>51</v>
          </cell>
          <cell r="X1067" t="e">
            <v>#N/A</v>
          </cell>
        </row>
        <row r="1068">
          <cell r="G1068" t="str">
            <v>ADDITIONAL REVENUE FROM DISPOSAL OF ENERGY AND WASTE</v>
          </cell>
          <cell r="H1068" t="str">
            <v>Scrap Sales</v>
          </cell>
          <cell r="I1068">
            <v>-30007.5</v>
          </cell>
          <cell r="J1068">
            <v>0</v>
          </cell>
          <cell r="K1068">
            <v>5302</v>
          </cell>
          <cell r="L1068">
            <v>-35309.5</v>
          </cell>
          <cell r="M1068">
            <v>-35309.5</v>
          </cell>
          <cell r="O1068" t="str">
            <v>z</v>
          </cell>
          <cell r="X1068" t="e">
            <v>#N/A</v>
          </cell>
        </row>
        <row r="1069">
          <cell r="G1069" t="str">
            <v>MISC. INCOME</v>
          </cell>
          <cell r="H1069" t="str">
            <v>Misc. Income</v>
          </cell>
          <cell r="I1069">
            <v>-317543.09000000003</v>
          </cell>
          <cell r="J1069">
            <v>625567.26</v>
          </cell>
          <cell r="K1069">
            <v>1258838.44</v>
          </cell>
          <cell r="L1069">
            <v>-950814.27</v>
          </cell>
          <cell r="M1069">
            <v>-950814.27</v>
          </cell>
          <cell r="O1069" t="str">
            <v>z</v>
          </cell>
          <cell r="X1069" t="e">
            <v>#N/A</v>
          </cell>
        </row>
        <row r="1070">
          <cell r="G1070" t="str">
            <v>SERVICE CHARGES / REPAIR CHARGES (INCOME)</v>
          </cell>
          <cell r="H1070" t="str">
            <v>Service charges (y)</v>
          </cell>
          <cell r="I1070">
            <v>-534400.01</v>
          </cell>
          <cell r="J1070">
            <v>0</v>
          </cell>
          <cell r="K1070">
            <v>0</v>
          </cell>
          <cell r="L1070">
            <v>-534400.01</v>
          </cell>
          <cell r="M1070">
            <v>-534400.01</v>
          </cell>
          <cell r="O1070" t="str">
            <v>z</v>
          </cell>
          <cell r="X1070" t="e">
            <v>#N/A</v>
          </cell>
        </row>
        <row r="1071">
          <cell r="G1071" t="str">
            <v>OTHER REVENUE FROM COMMISSION INCOME - ASIA PACIFIC (INTERCO</v>
          </cell>
          <cell r="H1071" t="str">
            <v>Other Revenue from Commission</v>
          </cell>
          <cell r="I1071">
            <v>-198942.78</v>
          </cell>
          <cell r="J1071">
            <v>13456</v>
          </cell>
          <cell r="K1071">
            <v>0</v>
          </cell>
          <cell r="L1071">
            <v>-185486.78</v>
          </cell>
          <cell r="M1071">
            <v>-22807984.370000001</v>
          </cell>
          <cell r="O1071">
            <v>2</v>
          </cell>
          <cell r="X1071" t="e">
            <v>#N/A</v>
          </cell>
        </row>
        <row r="1072">
          <cell r="G1072" t="str">
            <v>OTHER REVENUE FROM COMMISSION INCOME - EXPORT(INTERCOMPANY)</v>
          </cell>
          <cell r="I1072">
            <v>-19324541.59</v>
          </cell>
          <cell r="J1072">
            <v>3143291</v>
          </cell>
          <cell r="K1072">
            <v>6441247</v>
          </cell>
          <cell r="L1072">
            <v>-22622497.59</v>
          </cell>
          <cell r="O1072">
            <v>2</v>
          </cell>
          <cell r="X1072" t="e">
            <v>#N/A</v>
          </cell>
        </row>
        <row r="1073">
          <cell r="G1073" t="str">
            <v>REALISED FOREX GAINS</v>
          </cell>
          <cell r="H1073" t="str">
            <v>Forex Loss (Realised )</v>
          </cell>
          <cell r="I1073">
            <v>454662.19</v>
          </cell>
          <cell r="J1073">
            <v>789292.34</v>
          </cell>
          <cell r="K1073">
            <v>188188.64</v>
          </cell>
          <cell r="L1073">
            <v>-10098.74</v>
          </cell>
          <cell r="M1073">
            <v>3977314.5199999996</v>
          </cell>
          <cell r="O1073">
            <v>16</v>
          </cell>
          <cell r="X1073" t="e">
            <v>#N/A</v>
          </cell>
        </row>
        <row r="1074">
          <cell r="G1074" t="str">
            <v>UNREALISED FOREX GAINS</v>
          </cell>
          <cell r="H1074" t="str">
            <v>Forex Loss (Unrealised)</v>
          </cell>
          <cell r="I1074">
            <v>30016</v>
          </cell>
          <cell r="J1074">
            <v>0</v>
          </cell>
          <cell r="K1074">
            <v>0</v>
          </cell>
          <cell r="L1074">
            <v>-210615</v>
          </cell>
          <cell r="M1074">
            <v>2931165</v>
          </cell>
          <cell r="O1074">
            <v>17</v>
          </cell>
          <cell r="X1074" t="e">
            <v>#N/A</v>
          </cell>
        </row>
        <row r="1075">
          <cell r="G1075" t="str">
            <v>BAD DEBTS RECOVERED</v>
          </cell>
          <cell r="H1075" t="str">
            <v>Bad Debts Recovered</v>
          </cell>
          <cell r="I1075">
            <v>-78235</v>
          </cell>
          <cell r="J1075">
            <v>0</v>
          </cell>
          <cell r="K1075">
            <v>0</v>
          </cell>
          <cell r="L1075">
            <v>-78235</v>
          </cell>
          <cell r="M1075">
            <v>-78235</v>
          </cell>
          <cell r="O1075" t="str">
            <v>z</v>
          </cell>
          <cell r="X1075" t="e">
            <v>#N/A</v>
          </cell>
        </row>
        <row r="1076">
          <cell r="G1076" t="str">
            <v>SUNDRY BAL. WRITTEN BACK</v>
          </cell>
          <cell r="H1076" t="str">
            <v>Sundry Balance Written Back</v>
          </cell>
          <cell r="I1076">
            <v>-7.92</v>
          </cell>
          <cell r="J1076">
            <v>0</v>
          </cell>
          <cell r="K1076">
            <v>0</v>
          </cell>
          <cell r="L1076">
            <v>-7.92</v>
          </cell>
          <cell r="M1076">
            <v>-7.92</v>
          </cell>
          <cell r="O1076" t="str">
            <v>z</v>
          </cell>
          <cell r="X1076" t="e">
            <v>#N/A</v>
          </cell>
        </row>
        <row r="1077">
          <cell r="G1077" t="str">
            <v>BANK INTEREST &amp; FDR INTEREST</v>
          </cell>
          <cell r="H1077" t="str">
            <v>Bank Interest &amp; FDR Interest</v>
          </cell>
          <cell r="I1077">
            <v>-1368</v>
          </cell>
          <cell r="J1077">
            <v>0</v>
          </cell>
          <cell r="K1077">
            <v>0</v>
          </cell>
          <cell r="L1077">
            <v>-1368</v>
          </cell>
          <cell r="M1077">
            <v>-1368</v>
          </cell>
          <cell r="O1077" t="str">
            <v>z</v>
          </cell>
          <cell r="X1077" t="e">
            <v>#N/A</v>
          </cell>
        </row>
        <row r="1078">
          <cell r="G1078" t="str">
            <v>RAW MATERIALS &amp; SUPPLIES - DOMESTIC 3RD PARTY</v>
          </cell>
          <cell r="H1078" t="str">
            <v xml:space="preserve">           Add : Purchases </v>
          </cell>
          <cell r="I1078">
            <v>13783339.4</v>
          </cell>
          <cell r="J1078">
            <v>1937001</v>
          </cell>
          <cell r="K1078">
            <v>0</v>
          </cell>
          <cell r="L1078">
            <v>15185410.4</v>
          </cell>
          <cell r="M1078">
            <v>16980796.649999999</v>
          </cell>
          <cell r="O1078">
            <v>3</v>
          </cell>
          <cell r="P1078">
            <v>320493499.07000005</v>
          </cell>
          <cell r="X1078" t="e">
            <v>#N/A</v>
          </cell>
        </row>
        <row r="1079">
          <cell r="G1079" t="str">
            <v>CONSUMABLE STORES</v>
          </cell>
          <cell r="H1079" t="str">
            <v>Consumable stores</v>
          </cell>
          <cell r="I1079">
            <v>438521.02</v>
          </cell>
          <cell r="J1079">
            <v>72788</v>
          </cell>
          <cell r="K1079">
            <v>0</v>
          </cell>
          <cell r="L1079">
            <v>511309.02</v>
          </cell>
          <cell r="M1079">
            <v>511309.02</v>
          </cell>
          <cell r="O1079" t="str">
            <v>z</v>
          </cell>
          <cell r="X1079" t="e">
            <v>#N/A</v>
          </cell>
        </row>
        <row r="1080">
          <cell r="G1080" t="str">
            <v>PACKING MATERIAL FOR MFG.GOODS</v>
          </cell>
          <cell r="H1080" t="str">
            <v xml:space="preserve">           Packing Material consumed</v>
          </cell>
          <cell r="I1080">
            <v>584458</v>
          </cell>
          <cell r="J1080">
            <v>87830</v>
          </cell>
          <cell r="K1080">
            <v>0</v>
          </cell>
          <cell r="L1080">
            <v>672288</v>
          </cell>
          <cell r="M1080">
            <v>672288</v>
          </cell>
          <cell r="O1080" t="str">
            <v>z</v>
          </cell>
          <cell r="X1080" t="e">
            <v>#N/A</v>
          </cell>
        </row>
        <row r="1081">
          <cell r="G1081" t="str">
            <v>COGS -DOMESTIC 3 RD PARTY - MFG.</v>
          </cell>
          <cell r="I1081">
            <v>1206055.6499999999</v>
          </cell>
          <cell r="J1081">
            <v>580347</v>
          </cell>
          <cell r="K1081">
            <v>7781.4</v>
          </cell>
          <cell r="L1081">
            <v>1794416.25</v>
          </cell>
          <cell r="O1081">
            <v>3</v>
          </cell>
          <cell r="X1081" t="e">
            <v>#N/A</v>
          </cell>
        </row>
        <row r="1082">
          <cell r="G1082" t="str">
            <v>CARRIAGE INWARD FOR MFG. GOODS</v>
          </cell>
          <cell r="I1082">
            <v>970</v>
          </cell>
          <cell r="J1082">
            <v>0</v>
          </cell>
          <cell r="K1082">
            <v>0</v>
          </cell>
          <cell r="L1082">
            <v>970</v>
          </cell>
          <cell r="O1082">
            <v>3</v>
          </cell>
          <cell r="X1082" t="e">
            <v>#N/A</v>
          </cell>
        </row>
        <row r="1083">
          <cell r="G1083" t="str">
            <v>COGS -DOMESTIC 3 RD PARTY - TRADE</v>
          </cell>
          <cell r="H1083" t="str">
            <v xml:space="preserve">          Add: Purchases-tr</v>
          </cell>
          <cell r="I1083">
            <v>175738780.34</v>
          </cell>
          <cell r="J1083">
            <v>34915956.450000003</v>
          </cell>
          <cell r="K1083">
            <v>725213.53</v>
          </cell>
          <cell r="L1083">
            <v>207317860.86000001</v>
          </cell>
          <cell r="M1083">
            <v>208403989.93000004</v>
          </cell>
          <cell r="O1083">
            <v>4</v>
          </cell>
          <cell r="X1083" t="e">
            <v>#N/A</v>
          </cell>
        </row>
        <row r="1084">
          <cell r="G1084" t="str">
            <v>CARRIAGE INWARD FOR TRADING GOODS</v>
          </cell>
          <cell r="I1084">
            <v>30245</v>
          </cell>
          <cell r="J1084">
            <v>4006</v>
          </cell>
          <cell r="K1084">
            <v>0</v>
          </cell>
          <cell r="L1084">
            <v>34251</v>
          </cell>
          <cell r="O1084">
            <v>4</v>
          </cell>
          <cell r="X1084" t="e">
            <v>#N/A</v>
          </cell>
        </row>
        <row r="1085">
          <cell r="G1085" t="str">
            <v>INVENTORY ADJUSTMENT - DAMAGED GOODS</v>
          </cell>
          <cell r="I1085">
            <v>54258.65</v>
          </cell>
          <cell r="J1085">
            <v>110592.71</v>
          </cell>
          <cell r="K1085">
            <v>0</v>
          </cell>
          <cell r="L1085">
            <v>164851.35999999999</v>
          </cell>
          <cell r="O1085">
            <v>4</v>
          </cell>
          <cell r="X1085" t="e">
            <v>#N/A</v>
          </cell>
        </row>
        <row r="1086">
          <cell r="G1086" t="str">
            <v>INVENTORY ADJUSTMENT - EXPIRED GOODS</v>
          </cell>
          <cell r="I1086">
            <v>384998.96</v>
          </cell>
          <cell r="J1086">
            <v>483630.9</v>
          </cell>
          <cell r="K1086">
            <v>0</v>
          </cell>
          <cell r="L1086">
            <v>868629.86</v>
          </cell>
          <cell r="O1086">
            <v>4</v>
          </cell>
          <cell r="X1086" t="e">
            <v>#N/A</v>
          </cell>
        </row>
        <row r="1087">
          <cell r="G1087" t="str">
            <v>INVENTORY ADJUSTMENT - OTHERS</v>
          </cell>
          <cell r="I1087">
            <v>18396.849999999999</v>
          </cell>
          <cell r="J1087">
            <v>0</v>
          </cell>
          <cell r="K1087">
            <v>0</v>
          </cell>
          <cell r="L1087">
            <v>18396.849999999999</v>
          </cell>
          <cell r="O1087">
            <v>4</v>
          </cell>
          <cell r="X1087" t="e">
            <v>#N/A</v>
          </cell>
        </row>
        <row r="1088">
          <cell r="G1088" t="str">
            <v>BASIC WAGES - PRODUCTION</v>
          </cell>
          <cell r="H1088" t="str">
            <v>Basic Salaries &amp; Wages</v>
          </cell>
          <cell r="I1088">
            <v>425846</v>
          </cell>
          <cell r="J1088">
            <v>47964</v>
          </cell>
          <cell r="K1088">
            <v>0</v>
          </cell>
          <cell r="L1088">
            <v>473810</v>
          </cell>
          <cell r="M1088">
            <v>6534477</v>
          </cell>
          <cell r="O1088">
            <v>5</v>
          </cell>
          <cell r="X1088" t="e">
            <v>#N/A</v>
          </cell>
        </row>
        <row r="1089">
          <cell r="G1089" t="str">
            <v>ANNUAL BONUS - PRODUCION</v>
          </cell>
          <cell r="H1089" t="str">
            <v>Annual Bonus</v>
          </cell>
          <cell r="I1089">
            <v>83903</v>
          </cell>
          <cell r="J1089">
            <v>133324</v>
          </cell>
          <cell r="K1089">
            <v>0</v>
          </cell>
          <cell r="L1089">
            <v>217227</v>
          </cell>
          <cell r="M1089">
            <v>364644</v>
          </cell>
          <cell r="O1089">
            <v>6</v>
          </cell>
          <cell r="X1089" t="e">
            <v>#N/A</v>
          </cell>
        </row>
        <row r="1090">
          <cell r="G1090" t="str">
            <v>OVERTIME ALLOWANCE-PRODUCTION</v>
          </cell>
          <cell r="H1090" t="str">
            <v xml:space="preserve">Overtime Allowance </v>
          </cell>
          <cell r="I1090">
            <v>17118.05</v>
          </cell>
          <cell r="J1090">
            <v>1191.07</v>
          </cell>
          <cell r="K1090">
            <v>0</v>
          </cell>
          <cell r="L1090">
            <v>18309.12</v>
          </cell>
          <cell r="M1090">
            <v>41459.339999999997</v>
          </cell>
          <cell r="O1090">
            <v>7</v>
          </cell>
          <cell r="X1090" t="e">
            <v>#N/A</v>
          </cell>
        </row>
        <row r="1091">
          <cell r="G1091" t="str">
            <v>CENTRAL SERVICES - PERSONAL COST - (PRODUCTION)</v>
          </cell>
          <cell r="H1091" t="str">
            <v>Central Service - Personal</v>
          </cell>
          <cell r="I1091">
            <v>28353.919999999998</v>
          </cell>
          <cell r="J1091">
            <v>93000</v>
          </cell>
          <cell r="K1091">
            <v>0</v>
          </cell>
          <cell r="L1091">
            <v>121353.92</v>
          </cell>
          <cell r="M1091">
            <v>662503.16</v>
          </cell>
          <cell r="O1091">
            <v>8</v>
          </cell>
          <cell r="X1091" t="e">
            <v>#N/A</v>
          </cell>
        </row>
        <row r="1092">
          <cell r="G1092" t="str">
            <v>BASIC SALARIES</v>
          </cell>
          <cell r="I1092">
            <v>5449871</v>
          </cell>
          <cell r="J1092">
            <v>610796</v>
          </cell>
          <cell r="K1092">
            <v>0</v>
          </cell>
          <cell r="L1092">
            <v>6060667</v>
          </cell>
          <cell r="O1092">
            <v>5</v>
          </cell>
          <cell r="X1092" t="e">
            <v>#N/A</v>
          </cell>
        </row>
        <row r="1093">
          <cell r="G1093" t="str">
            <v>ANNUAL BONUS / EX GRATIA</v>
          </cell>
          <cell r="I1093">
            <v>320000</v>
          </cell>
          <cell r="J1093">
            <v>112100</v>
          </cell>
          <cell r="K1093">
            <v>0</v>
          </cell>
          <cell r="L1093">
            <v>147417</v>
          </cell>
          <cell r="O1093">
            <v>6</v>
          </cell>
          <cell r="X1093" t="e">
            <v>#N/A</v>
          </cell>
        </row>
        <row r="1094">
          <cell r="G1094" t="str">
            <v>OVERTIME ALLOWANCE</v>
          </cell>
          <cell r="I1094">
            <v>20918.91</v>
          </cell>
          <cell r="J1094">
            <v>2231.31</v>
          </cell>
          <cell r="K1094">
            <v>0</v>
          </cell>
          <cell r="L1094">
            <v>23150.22</v>
          </cell>
          <cell r="O1094">
            <v>7</v>
          </cell>
          <cell r="X1094" t="e">
            <v>#N/A</v>
          </cell>
        </row>
        <row r="1095">
          <cell r="G1095" t="str">
            <v>COMMISSION &amp; INCENTIVE</v>
          </cell>
          <cell r="H1095" t="str">
            <v>Incentives &amp; Commission to Staff</v>
          </cell>
          <cell r="I1095">
            <v>2384549</v>
          </cell>
          <cell r="J1095">
            <v>0</v>
          </cell>
          <cell r="K1095">
            <v>128652</v>
          </cell>
          <cell r="L1095">
            <v>2240867</v>
          </cell>
          <cell r="M1095">
            <v>2240867</v>
          </cell>
          <cell r="O1095" t="str">
            <v>z</v>
          </cell>
          <cell r="X1095" t="e">
            <v>#N/A</v>
          </cell>
        </row>
        <row r="1096">
          <cell r="G1096" t="str">
            <v>CENTRAL SERVICES - PERSONAL COST</v>
          </cell>
          <cell r="I1096">
            <v>356149.24</v>
          </cell>
          <cell r="J1096">
            <v>217000</v>
          </cell>
          <cell r="K1096">
            <v>32000</v>
          </cell>
          <cell r="L1096">
            <v>541149.24</v>
          </cell>
          <cell r="O1096">
            <v>8</v>
          </cell>
          <cell r="X1096" t="e">
            <v>#N/A</v>
          </cell>
        </row>
        <row r="1097">
          <cell r="G1097" t="str">
            <v>EMPLOYER'S CONTRIBUTION TO ESIC</v>
          </cell>
          <cell r="H1097" t="str">
            <v>Employer's Contribution ESIC</v>
          </cell>
          <cell r="I1097">
            <v>120830.39999999999</v>
          </cell>
          <cell r="J1097">
            <v>29624.1</v>
          </cell>
          <cell r="K1097">
            <v>0</v>
          </cell>
          <cell r="L1097">
            <v>150454.5</v>
          </cell>
          <cell r="M1097">
            <v>150454.5</v>
          </cell>
          <cell r="O1097" t="str">
            <v>z</v>
          </cell>
          <cell r="X1097" t="e">
            <v>#N/A</v>
          </cell>
        </row>
        <row r="1098">
          <cell r="G1098" t="str">
            <v>EMPLOYER'S CONTRIBUTION TO DEATH BEN. WELFARE FUND,LABOUR WE</v>
          </cell>
          <cell r="H1098" t="str">
            <v>Employer's Cont. To Death Ben.Wel. Fund</v>
          </cell>
          <cell r="I1098">
            <v>5786</v>
          </cell>
          <cell r="J1098">
            <v>1210</v>
          </cell>
          <cell r="K1098">
            <v>0</v>
          </cell>
          <cell r="L1098">
            <v>6996</v>
          </cell>
          <cell r="M1098">
            <v>6996</v>
          </cell>
          <cell r="O1098" t="str">
            <v>z</v>
          </cell>
          <cell r="X1098" t="e">
            <v>#N/A</v>
          </cell>
        </row>
        <row r="1099">
          <cell r="G1099" t="str">
            <v>EMPLOYER'S CONTRIBUTION TO PROVIDEND FUND</v>
          </cell>
          <cell r="H1099" t="str">
            <v>Employer's Contribution PF</v>
          </cell>
          <cell r="I1099">
            <v>309770</v>
          </cell>
          <cell r="J1099">
            <v>64621</v>
          </cell>
          <cell r="K1099">
            <v>0</v>
          </cell>
          <cell r="L1099">
            <v>374391</v>
          </cell>
          <cell r="M1099">
            <v>374391</v>
          </cell>
          <cell r="O1099" t="str">
            <v>z</v>
          </cell>
          <cell r="X1099" t="e">
            <v>#N/A</v>
          </cell>
        </row>
        <row r="1100">
          <cell r="G1100" t="str">
            <v>EMPLOYER'S CONTRIBUTION TO FAMILY PENSION FUND</v>
          </cell>
          <cell r="H1100" t="str">
            <v>Employer's Cont. To Family Penson</v>
          </cell>
          <cell r="I1100">
            <v>437877</v>
          </cell>
          <cell r="J1100">
            <v>101715</v>
          </cell>
          <cell r="K1100">
            <v>0</v>
          </cell>
          <cell r="L1100">
            <v>539592</v>
          </cell>
          <cell r="M1100">
            <v>539592</v>
          </cell>
          <cell r="O1100" t="str">
            <v>z</v>
          </cell>
          <cell r="X1100" t="e">
            <v>#N/A</v>
          </cell>
        </row>
        <row r="1101">
          <cell r="G1101" t="str">
            <v>EMPLOYER'S CONTRIBUTION TO SUPERANNUATION FUND</v>
          </cell>
          <cell r="H1101" t="str">
            <v>EMPLOYER'S CONTRIBUTION TO SUPERANNUATION FUND</v>
          </cell>
          <cell r="I1101">
            <v>2032</v>
          </cell>
          <cell r="J1101">
            <v>0</v>
          </cell>
          <cell r="K1101">
            <v>0</v>
          </cell>
          <cell r="L1101">
            <v>2032</v>
          </cell>
          <cell r="M1101">
            <v>2032</v>
          </cell>
          <cell r="O1101" t="str">
            <v>z</v>
          </cell>
          <cell r="X1101" t="e">
            <v>#N/A</v>
          </cell>
        </row>
        <row r="1102">
          <cell r="G1102" t="str">
            <v>TRAINING &amp; RECRUITMENT EXPENSES</v>
          </cell>
          <cell r="H1102" t="str">
            <v>TRAINING &amp; RECRUITMENT EXPENSES</v>
          </cell>
          <cell r="I1102">
            <v>767103</v>
          </cell>
          <cell r="J1102">
            <v>38696</v>
          </cell>
          <cell r="K1102">
            <v>0</v>
          </cell>
          <cell r="L1102">
            <v>805799</v>
          </cell>
          <cell r="M1102">
            <v>805799</v>
          </cell>
          <cell r="O1102" t="str">
            <v>z</v>
          </cell>
          <cell r="X1102" t="e">
            <v>#N/A</v>
          </cell>
        </row>
        <row r="1103">
          <cell r="G1103" t="str">
            <v>EMPLOYER'S CONTRIBUTION TO EMPLOYEES MEDICLAIM INSURANCE FUN</v>
          </cell>
          <cell r="H1103" t="str">
            <v>Employer's Cont. To Employees Ins. Fund</v>
          </cell>
          <cell r="I1103">
            <v>12005</v>
          </cell>
          <cell r="J1103">
            <v>0</v>
          </cell>
          <cell r="K1103">
            <v>0</v>
          </cell>
          <cell r="L1103">
            <v>12005</v>
          </cell>
          <cell r="M1103">
            <v>12005</v>
          </cell>
          <cell r="O1103" t="str">
            <v>z</v>
          </cell>
          <cell r="X1103" t="e">
            <v>#N/A</v>
          </cell>
        </row>
        <row r="1104">
          <cell r="G1104" t="str">
            <v>STAFF EVENTS</v>
          </cell>
          <cell r="H1104" t="str">
            <v>Staff Events</v>
          </cell>
          <cell r="I1104">
            <v>1716</v>
          </cell>
          <cell r="J1104">
            <v>0</v>
          </cell>
          <cell r="K1104">
            <v>0</v>
          </cell>
          <cell r="L1104">
            <v>1716</v>
          </cell>
          <cell r="M1104">
            <v>1716</v>
          </cell>
          <cell r="O1104" t="str">
            <v>z</v>
          </cell>
          <cell r="X1104" t="e">
            <v>#N/A</v>
          </cell>
        </row>
        <row r="1105">
          <cell r="G1105" t="str">
            <v>STAFF WELFARE EXPENSES</v>
          </cell>
          <cell r="H1105" t="str">
            <v>Staff Walfare Expenses</v>
          </cell>
          <cell r="I1105">
            <v>145794</v>
          </cell>
          <cell r="J1105">
            <v>35368</v>
          </cell>
          <cell r="K1105">
            <v>250</v>
          </cell>
          <cell r="L1105">
            <v>180912</v>
          </cell>
          <cell r="M1105">
            <v>180912</v>
          </cell>
          <cell r="O1105" t="str">
            <v>z</v>
          </cell>
          <cell r="X1105" t="e">
            <v>#N/A</v>
          </cell>
        </row>
        <row r="1106">
          <cell r="G1106" t="str">
            <v>MEDICAL EXPENSES</v>
          </cell>
          <cell r="H1106" t="str">
            <v>Medical Expenses</v>
          </cell>
          <cell r="I1106">
            <v>41364</v>
          </cell>
          <cell r="J1106">
            <v>389846</v>
          </cell>
          <cell r="K1106">
            <v>35000</v>
          </cell>
          <cell r="L1106">
            <v>396210</v>
          </cell>
          <cell r="M1106">
            <v>396210</v>
          </cell>
          <cell r="O1106" t="str">
            <v>z</v>
          </cell>
          <cell r="X1106" t="e">
            <v>#N/A</v>
          </cell>
        </row>
        <row r="1107">
          <cell r="G1107" t="str">
            <v>LEAVE TRAVEL CONCESSION</v>
          </cell>
          <cell r="H1107" t="str">
            <v>Leave Travel Concession</v>
          </cell>
          <cell r="I1107">
            <v>-14939</v>
          </cell>
          <cell r="J1107">
            <v>520770</v>
          </cell>
          <cell r="K1107">
            <v>35000</v>
          </cell>
          <cell r="L1107">
            <v>470831</v>
          </cell>
          <cell r="M1107">
            <v>470831</v>
          </cell>
          <cell r="O1107" t="str">
            <v>z</v>
          </cell>
          <cell r="X1107" t="e">
            <v>#N/A</v>
          </cell>
        </row>
        <row r="1108">
          <cell r="G1108" t="str">
            <v>HOUSE RENT ALLOWANCE</v>
          </cell>
          <cell r="H1108" t="str">
            <v>HRA Allowance</v>
          </cell>
          <cell r="I1108">
            <v>1265564</v>
          </cell>
          <cell r="J1108">
            <v>146014</v>
          </cell>
          <cell r="K1108">
            <v>0</v>
          </cell>
          <cell r="L1108">
            <v>1411578</v>
          </cell>
          <cell r="M1108">
            <v>1411578</v>
          </cell>
          <cell r="O1108" t="str">
            <v>z</v>
          </cell>
          <cell r="X1108" t="e">
            <v>#N/A</v>
          </cell>
        </row>
        <row r="1109">
          <cell r="G1109" t="str">
            <v>OTHER ALLOWANCES</v>
          </cell>
          <cell r="H1109" t="str">
            <v>Other Allowance</v>
          </cell>
          <cell r="I1109">
            <v>4035899</v>
          </cell>
          <cell r="J1109">
            <v>883912</v>
          </cell>
          <cell r="K1109">
            <v>16668</v>
          </cell>
          <cell r="L1109">
            <v>4903143</v>
          </cell>
          <cell r="M1109">
            <v>4903143</v>
          </cell>
          <cell r="O1109" t="str">
            <v>z</v>
          </cell>
          <cell r="X1109" t="e">
            <v>#N/A</v>
          </cell>
        </row>
        <row r="1110">
          <cell r="G1110" t="str">
            <v>REPAIRS &amp; MAINTENANCE - CAR (G.M .)</v>
          </cell>
          <cell r="I1110">
            <v>87087</v>
          </cell>
          <cell r="J1110">
            <v>0</v>
          </cell>
          <cell r="K1110">
            <v>0</v>
          </cell>
          <cell r="L1110">
            <v>87087</v>
          </cell>
          <cell r="O1110">
            <v>1</v>
          </cell>
          <cell r="X1110" t="e">
            <v>#N/A</v>
          </cell>
        </row>
        <row r="1111">
          <cell r="G1111" t="str">
            <v>REPAIRS &amp; MAINTENANCE - CAR (M.D)</v>
          </cell>
          <cell r="H1111" t="str">
            <v xml:space="preserve">Repairs &amp; Maintainance Car </v>
          </cell>
          <cell r="I1111">
            <v>143056</v>
          </cell>
          <cell r="J1111">
            <v>13390</v>
          </cell>
          <cell r="K1111">
            <v>0</v>
          </cell>
          <cell r="L1111">
            <v>156446</v>
          </cell>
          <cell r="M1111">
            <v>243533</v>
          </cell>
          <cell r="O1111">
            <v>1</v>
          </cell>
          <cell r="X1111" t="e">
            <v>#N/A</v>
          </cell>
        </row>
        <row r="1112">
          <cell r="G1112" t="str">
            <v>FREIGHT OUT &amp; INSURANCE -DOMESTIC 3RD PARTY</v>
          </cell>
          <cell r="H1112" t="str">
            <v xml:space="preserve"> Freight Outwards</v>
          </cell>
          <cell r="I1112">
            <v>4388796.47</v>
          </cell>
          <cell r="J1112">
            <v>1933207</v>
          </cell>
          <cell r="K1112">
            <v>98000</v>
          </cell>
          <cell r="L1112">
            <v>6224003.4699999997</v>
          </cell>
          <cell r="M1112">
            <v>6229958.4699999997</v>
          </cell>
          <cell r="O1112">
            <v>9</v>
          </cell>
          <cell r="X1112" t="e">
            <v>#N/A</v>
          </cell>
        </row>
        <row r="1113">
          <cell r="G1113" t="str">
            <v>FREIGHT OUT &amp; INSURANCE - DOMESTIC INTERCOMPANY</v>
          </cell>
          <cell r="I1113">
            <v>234</v>
          </cell>
          <cell r="J1113">
            <v>0</v>
          </cell>
          <cell r="K1113">
            <v>0</v>
          </cell>
          <cell r="L1113">
            <v>234</v>
          </cell>
          <cell r="O1113">
            <v>9</v>
          </cell>
          <cell r="X1113" t="e">
            <v>#N/A</v>
          </cell>
        </row>
        <row r="1114">
          <cell r="G1114" t="str">
            <v>FREIGHT OUT &amp; INSURANCE - ASIA PACIFIC 3RD PARTY</v>
          </cell>
          <cell r="I1114">
            <v>5721</v>
          </cell>
          <cell r="J1114">
            <v>0</v>
          </cell>
          <cell r="K1114">
            <v>0</v>
          </cell>
          <cell r="L1114">
            <v>5721</v>
          </cell>
          <cell r="O1114">
            <v>9</v>
          </cell>
          <cell r="X1114" t="e">
            <v>#N/A</v>
          </cell>
        </row>
        <row r="1115">
          <cell r="G1115" t="str">
            <v>BANK CHARGES &amp; DOCUMENTATION FEES DOMESTIC 3RD PARTY</v>
          </cell>
          <cell r="H1115" t="str">
            <v xml:space="preserve"> Bank Charges </v>
          </cell>
          <cell r="I1115">
            <v>42804</v>
          </cell>
          <cell r="J1115">
            <v>0</v>
          </cell>
          <cell r="K1115">
            <v>0</v>
          </cell>
          <cell r="L1115">
            <v>42804</v>
          </cell>
          <cell r="M1115">
            <v>585658.47</v>
          </cell>
          <cell r="O1115">
            <v>10</v>
          </cell>
          <cell r="X1115" t="e">
            <v>#N/A</v>
          </cell>
        </row>
        <row r="1116">
          <cell r="G1116" t="str">
            <v>BANK CHARGES &amp; DOCUMENTATION FEES ASIA PACIFIC 3RD PARTY</v>
          </cell>
          <cell r="I1116">
            <v>1300</v>
          </cell>
          <cell r="J1116">
            <v>0</v>
          </cell>
          <cell r="K1116">
            <v>0</v>
          </cell>
          <cell r="L1116">
            <v>1300</v>
          </cell>
          <cell r="O1116">
            <v>10</v>
          </cell>
          <cell r="X1116" t="e">
            <v>#N/A</v>
          </cell>
        </row>
        <row r="1117">
          <cell r="G1117" t="str">
            <v>BANK CHARGES &amp; DOCUMENTATION FEES ASIA PACIFIC INTERCOMPANY</v>
          </cell>
          <cell r="I1117">
            <v>242118.8</v>
          </cell>
          <cell r="J1117">
            <v>56226</v>
          </cell>
          <cell r="K1117">
            <v>0</v>
          </cell>
          <cell r="L1117">
            <v>298344.8</v>
          </cell>
          <cell r="O1117">
            <v>10</v>
          </cell>
          <cell r="X1117" t="e">
            <v>#N/A</v>
          </cell>
        </row>
        <row r="1118">
          <cell r="G1118" t="str">
            <v>BANK CHARGES &amp; DOCUMENTATION FEES - EXPORT INTERCOMPANY</v>
          </cell>
          <cell r="I1118">
            <v>219716.67</v>
          </cell>
          <cell r="J1118">
            <v>23493</v>
          </cell>
          <cell r="K1118">
            <v>0</v>
          </cell>
          <cell r="L1118">
            <v>243209.67</v>
          </cell>
          <cell r="O1118">
            <v>10</v>
          </cell>
          <cell r="X1118" t="e">
            <v>#N/A</v>
          </cell>
        </row>
        <row r="1119">
          <cell r="G1119" t="str">
            <v>COMMISSION TO 3RD PARTY</v>
          </cell>
          <cell r="H1119" t="str">
            <v>Commission To 3rd Party</v>
          </cell>
          <cell r="I1119">
            <v>55995</v>
          </cell>
          <cell r="J1119">
            <v>0</v>
          </cell>
          <cell r="K1119">
            <v>0</v>
          </cell>
          <cell r="L1119">
            <v>55995</v>
          </cell>
          <cell r="M1119">
            <v>55995</v>
          </cell>
          <cell r="O1119" t="str">
            <v>z</v>
          </cell>
          <cell r="X1119" t="e">
            <v>#N/A</v>
          </cell>
        </row>
        <row r="1120">
          <cell r="G1120" t="str">
            <v>MEMBERSHIP SUBSCRIPTION -  SALES &amp; MARKETING</v>
          </cell>
          <cell r="H1120" t="str">
            <v>Membership Subscriptions</v>
          </cell>
          <cell r="I1120">
            <v>62400</v>
          </cell>
          <cell r="J1120">
            <v>16042</v>
          </cell>
          <cell r="K1120">
            <v>0</v>
          </cell>
          <cell r="L1120">
            <v>78442</v>
          </cell>
          <cell r="M1120">
            <v>78442</v>
          </cell>
          <cell r="O1120" t="str">
            <v>z</v>
          </cell>
          <cell r="X1120" t="e">
            <v>#N/A</v>
          </cell>
        </row>
        <row r="1121">
          <cell r="G1121" t="str">
            <v>DEFF.REV. EXPENSES KALINA OFFICE &amp; GODOWN</v>
          </cell>
          <cell r="H1121" t="str">
            <v>Deff. Rev. Expenses</v>
          </cell>
          <cell r="I1121">
            <v>623040</v>
          </cell>
          <cell r="J1121">
            <v>56640</v>
          </cell>
          <cell r="K1121">
            <v>0</v>
          </cell>
          <cell r="L1121">
            <v>679680</v>
          </cell>
          <cell r="M1121">
            <v>679680</v>
          </cell>
          <cell r="O1121" t="str">
            <v>z</v>
          </cell>
          <cell r="X1121" t="e">
            <v>#N/A</v>
          </cell>
        </row>
        <row r="1122">
          <cell r="G1122" t="str">
            <v>COMPANY'S ANNUAL FUNCTION COST</v>
          </cell>
          <cell r="H1122" t="str">
            <v xml:space="preserve">Company's Annual Function </v>
          </cell>
          <cell r="I1122">
            <v>247700</v>
          </cell>
          <cell r="J1122">
            <v>0</v>
          </cell>
          <cell r="K1122">
            <v>0</v>
          </cell>
          <cell r="L1122">
            <v>247700</v>
          </cell>
          <cell r="M1122">
            <v>247700</v>
          </cell>
          <cell r="O1122" t="str">
            <v>z</v>
          </cell>
          <cell r="X1122" t="e">
            <v>#N/A</v>
          </cell>
        </row>
        <row r="1123">
          <cell r="G1123" t="str">
            <v>RENT FOR PRODUCTION PREMISES</v>
          </cell>
          <cell r="H1123" t="str">
            <v>RENT FOR PRODUCTION PREMISES</v>
          </cell>
          <cell r="I1123">
            <v>166000</v>
          </cell>
          <cell r="J1123">
            <v>0</v>
          </cell>
          <cell r="K1123">
            <v>0</v>
          </cell>
          <cell r="L1123">
            <v>166000</v>
          </cell>
          <cell r="M1123">
            <v>166000</v>
          </cell>
          <cell r="O1123" t="str">
            <v>z</v>
          </cell>
          <cell r="X1123" t="e">
            <v>#N/A</v>
          </cell>
        </row>
        <row r="1124">
          <cell r="G1124" t="str">
            <v>REPAIRS &amp; MAINTENANCE-PRODUCTION BLDGS / PREMISES</v>
          </cell>
          <cell r="I1124">
            <v>149975.5</v>
          </cell>
          <cell r="J1124">
            <v>97726.75</v>
          </cell>
          <cell r="K1124">
            <v>0</v>
          </cell>
          <cell r="L1124">
            <v>247702.25</v>
          </cell>
          <cell r="O1124">
            <v>12</v>
          </cell>
          <cell r="X1124" t="e">
            <v>#N/A</v>
          </cell>
        </row>
        <row r="1125">
          <cell r="G1125" t="str">
            <v>ELECTRICITY  &amp; WATER CHARGES - PRODUCTION  PREMISES</v>
          </cell>
          <cell r="H1125" t="str">
            <v>Electricity &amp; Water Charges - Prodn</v>
          </cell>
          <cell r="I1125">
            <v>1198831</v>
          </cell>
          <cell r="J1125">
            <v>116917</v>
          </cell>
          <cell r="K1125">
            <v>0</v>
          </cell>
          <cell r="L1125">
            <v>1315748</v>
          </cell>
          <cell r="M1125">
            <v>1315748</v>
          </cell>
          <cell r="O1125" t="str">
            <v>z</v>
          </cell>
          <cell r="X1125" t="e">
            <v>#N/A</v>
          </cell>
        </row>
        <row r="1126">
          <cell r="G1126" t="str">
            <v>RENT FOR OFFICE PREMISES</v>
          </cell>
          <cell r="H1126" t="str">
            <v>Rent For Warehouse &amp; Office Premises</v>
          </cell>
          <cell r="I1126">
            <v>264907</v>
          </cell>
          <cell r="J1126">
            <v>63500</v>
          </cell>
          <cell r="K1126">
            <v>9500</v>
          </cell>
          <cell r="L1126">
            <v>318907</v>
          </cell>
          <cell r="M1126">
            <v>1111971</v>
          </cell>
          <cell r="O1126">
            <v>11</v>
          </cell>
          <cell r="X1126" t="e">
            <v>#N/A</v>
          </cell>
        </row>
        <row r="1127">
          <cell r="G1127" t="str">
            <v>REPAIRS &amp; MAINTENANCE - OFFICE BLDGS</v>
          </cell>
          <cell r="H1127" t="str">
            <v>Repairs &amp; Maintainance - Prodn&amp; off.  Bldg</v>
          </cell>
          <cell r="I1127">
            <v>41009</v>
          </cell>
          <cell r="J1127">
            <v>0</v>
          </cell>
          <cell r="K1127">
            <v>0</v>
          </cell>
          <cell r="L1127">
            <v>41009</v>
          </cell>
          <cell r="M1127">
            <v>288711.25</v>
          </cell>
          <cell r="O1127">
            <v>12</v>
          </cell>
          <cell r="X1127" t="e">
            <v>#N/A</v>
          </cell>
        </row>
        <row r="1128">
          <cell r="G1128" t="str">
            <v>ELECTRICITY  &amp; WATER CHARGES -OFFICE</v>
          </cell>
          <cell r="H1128" t="str">
            <v>Electricity &amp; Water Charges - Office</v>
          </cell>
          <cell r="I1128">
            <v>488425</v>
          </cell>
          <cell r="J1128">
            <v>103674</v>
          </cell>
          <cell r="K1128">
            <v>3802</v>
          </cell>
          <cell r="L1128">
            <v>588297</v>
          </cell>
          <cell r="M1128">
            <v>588297</v>
          </cell>
          <cell r="O1128" t="str">
            <v>z</v>
          </cell>
          <cell r="X1128" t="e">
            <v>#N/A</v>
          </cell>
        </row>
        <row r="1129">
          <cell r="G1129" t="str">
            <v>RENT FOR WAREHOUSE</v>
          </cell>
          <cell r="I1129">
            <v>717714</v>
          </cell>
          <cell r="J1129">
            <v>119350</v>
          </cell>
          <cell r="K1129">
            <v>44000</v>
          </cell>
          <cell r="L1129">
            <v>793064</v>
          </cell>
          <cell r="O1129">
            <v>11</v>
          </cell>
          <cell r="X1129" t="e">
            <v>#N/A</v>
          </cell>
        </row>
        <row r="1130">
          <cell r="G1130" t="str">
            <v>REPAIRS &amp; MAINTENANCE - WAREHOUSE /RESIDENTIAL BLDGS</v>
          </cell>
          <cell r="H1130" t="str">
            <v>Repairs &amp; Maintainance - Warehouse</v>
          </cell>
          <cell r="I1130">
            <v>161928.5</v>
          </cell>
          <cell r="J1130">
            <v>18187.75</v>
          </cell>
          <cell r="K1130">
            <v>0</v>
          </cell>
          <cell r="L1130">
            <v>180116.25</v>
          </cell>
          <cell r="M1130">
            <v>180116.25</v>
          </cell>
          <cell r="O1130" t="str">
            <v>z</v>
          </cell>
          <cell r="X1130" t="e">
            <v>#N/A</v>
          </cell>
        </row>
        <row r="1131">
          <cell r="G1131" t="str">
            <v>ELECTRICITY  &amp; WATER CHARGES - WAREHOUSE</v>
          </cell>
          <cell r="H1131" t="str">
            <v>Electricity &amp; Water Charges - Warehouse</v>
          </cell>
          <cell r="I1131">
            <v>13656</v>
          </cell>
          <cell r="J1131">
            <v>3993</v>
          </cell>
          <cell r="K1131">
            <v>0</v>
          </cell>
          <cell r="L1131">
            <v>17649</v>
          </cell>
          <cell r="M1131">
            <v>17649</v>
          </cell>
          <cell r="O1131" t="str">
            <v>z</v>
          </cell>
          <cell r="X1131" t="e">
            <v>#N/A</v>
          </cell>
        </row>
        <row r="1132">
          <cell r="G1132" t="str">
            <v>RENT FOR RESIDENCE</v>
          </cell>
          <cell r="H1132" t="str">
            <v>Rent For Resident</v>
          </cell>
          <cell r="I1132">
            <v>275000</v>
          </cell>
          <cell r="J1132">
            <v>0</v>
          </cell>
          <cell r="K1132">
            <v>0</v>
          </cell>
          <cell r="L1132">
            <v>275000</v>
          </cell>
          <cell r="M1132">
            <v>275000</v>
          </cell>
          <cell r="O1132" t="str">
            <v>z</v>
          </cell>
          <cell r="X1132" t="e">
            <v>#N/A</v>
          </cell>
        </row>
        <row r="1133">
          <cell r="G1133" t="str">
            <v>REPAIRS &amp; MAIN. - OFFICE</v>
          </cell>
          <cell r="H1133" t="str">
            <v>Repairs &amp; Maintainance - Office</v>
          </cell>
          <cell r="I1133">
            <v>374460.5</v>
          </cell>
          <cell r="J1133">
            <v>35441.5</v>
          </cell>
          <cell r="K1133">
            <v>0</v>
          </cell>
          <cell r="L1133">
            <v>409902</v>
          </cell>
          <cell r="M1133">
            <v>409902</v>
          </cell>
          <cell r="O1133" t="str">
            <v>z</v>
          </cell>
          <cell r="X1133" t="e">
            <v>#N/A</v>
          </cell>
        </row>
        <row r="1134">
          <cell r="G1134" t="str">
            <v>RATES &amp; TAXES</v>
          </cell>
          <cell r="H1134" t="str">
            <v>Rates &amp; Taxes</v>
          </cell>
          <cell r="I1134">
            <v>9267</v>
          </cell>
          <cell r="J1134">
            <v>1001.5</v>
          </cell>
          <cell r="K1134">
            <v>0</v>
          </cell>
          <cell r="L1134">
            <v>10268.5</v>
          </cell>
          <cell r="M1134">
            <v>10673.5</v>
          </cell>
          <cell r="O1134">
            <v>18</v>
          </cell>
          <cell r="X1134" t="e">
            <v>#N/A</v>
          </cell>
        </row>
        <row r="1135">
          <cell r="G1135" t="str">
            <v>SERVICE CHARGES</v>
          </cell>
          <cell r="H1135" t="str">
            <v>Service Charges</v>
          </cell>
          <cell r="I1135">
            <v>2371783</v>
          </cell>
          <cell r="J1135">
            <v>210000</v>
          </cell>
          <cell r="K1135">
            <v>0</v>
          </cell>
          <cell r="L1135">
            <v>2581783</v>
          </cell>
          <cell r="M1135">
            <v>2581783</v>
          </cell>
          <cell r="O1135" t="str">
            <v>z</v>
          </cell>
          <cell r="X1135" t="e">
            <v>#N/A</v>
          </cell>
        </row>
        <row r="1136">
          <cell r="G1136" t="str">
            <v>REPAIRS &amp; MAINTENANCE - PLANT &amp; MACHINERY</v>
          </cell>
          <cell r="H1136" t="str">
            <v>Repairs &amp; Maintainance - Plant &amp; Mach.</v>
          </cell>
          <cell r="I1136">
            <v>34148</v>
          </cell>
          <cell r="J1136">
            <v>24040</v>
          </cell>
          <cell r="K1136">
            <v>21500</v>
          </cell>
          <cell r="L1136">
            <v>36688</v>
          </cell>
          <cell r="M1136">
            <v>36688</v>
          </cell>
          <cell r="O1136" t="str">
            <v>z</v>
          </cell>
          <cell r="X1136" t="e">
            <v>#N/A</v>
          </cell>
        </row>
        <row r="1137">
          <cell r="G1137" t="str">
            <v>LEASE RENT - TRANSPORT VEHICLES</v>
          </cell>
          <cell r="H1137" t="str">
            <v>Lease Rent</v>
          </cell>
          <cell r="I1137">
            <v>198981.25</v>
          </cell>
          <cell r="J1137">
            <v>25203.49</v>
          </cell>
          <cell r="K1137">
            <v>0</v>
          </cell>
          <cell r="L1137">
            <v>224184.74</v>
          </cell>
          <cell r="M1137">
            <v>224184.74</v>
          </cell>
          <cell r="O1137" t="str">
            <v>z</v>
          </cell>
          <cell r="X1137" t="e">
            <v>#N/A</v>
          </cell>
        </row>
        <row r="1138">
          <cell r="G1138" t="str">
            <v>LEASE RENT - TOOLS &amp; MACHINERY</v>
          </cell>
          <cell r="H1138" t="str">
            <v>Lease Rent For Production</v>
          </cell>
          <cell r="I1138">
            <v>14130</v>
          </cell>
          <cell r="J1138">
            <v>0</v>
          </cell>
          <cell r="K1138">
            <v>0</v>
          </cell>
          <cell r="L1138">
            <v>14130</v>
          </cell>
          <cell r="M1138">
            <v>14130</v>
          </cell>
          <cell r="O1138" t="str">
            <v>z</v>
          </cell>
          <cell r="X1138" t="e">
            <v>#N/A</v>
          </cell>
        </row>
        <row r="1139">
          <cell r="G1139" t="str">
            <v>REPAIRS &amp; MAIN. - COMPUTER HARDWARE</v>
          </cell>
          <cell r="H1139" t="str">
            <v>Repairs &amp; Maintainance - Computer</v>
          </cell>
          <cell r="I1139">
            <v>49757</v>
          </cell>
          <cell r="J1139">
            <v>13200</v>
          </cell>
          <cell r="K1139">
            <v>0</v>
          </cell>
          <cell r="L1139">
            <v>62957</v>
          </cell>
          <cell r="M1139">
            <v>62957</v>
          </cell>
          <cell r="O1139" t="str">
            <v>z</v>
          </cell>
          <cell r="X1139" t="e">
            <v>#N/A</v>
          </cell>
        </row>
        <row r="1140">
          <cell r="G1140" t="str">
            <v>REPAIRS &amp; MAIN. - COMPUTER SOFTWARE</v>
          </cell>
          <cell r="H1140" t="str">
            <v>Repairs &amp; Maintainance -Software</v>
          </cell>
          <cell r="I1140">
            <v>408727</v>
          </cell>
          <cell r="J1140">
            <v>59622</v>
          </cell>
          <cell r="K1140">
            <v>40000</v>
          </cell>
          <cell r="L1140">
            <v>428349</v>
          </cell>
          <cell r="M1140">
            <v>428349</v>
          </cell>
          <cell r="O1140" t="str">
            <v>z</v>
          </cell>
          <cell r="X1140" t="e">
            <v>#N/A</v>
          </cell>
        </row>
        <row r="1141">
          <cell r="G1141" t="str">
            <v>LICENCE FEES</v>
          </cell>
          <cell r="H1141" t="str">
            <v>Licence Fees</v>
          </cell>
          <cell r="I1141">
            <v>32705</v>
          </cell>
          <cell r="J1141">
            <v>0</v>
          </cell>
          <cell r="K1141">
            <v>0</v>
          </cell>
          <cell r="L1141">
            <v>32705</v>
          </cell>
          <cell r="M1141">
            <v>32705</v>
          </cell>
          <cell r="O1141" t="str">
            <v>z</v>
          </cell>
          <cell r="X1141" t="e">
            <v>#N/A</v>
          </cell>
        </row>
        <row r="1142">
          <cell r="G1142" t="str">
            <v>TESTING &amp; ANALYSIS CHARGES</v>
          </cell>
          <cell r="H1142" t="str">
            <v>Testing &amp; Analysis Charges</v>
          </cell>
          <cell r="I1142">
            <v>506634</v>
          </cell>
          <cell r="J1142">
            <v>150000</v>
          </cell>
          <cell r="K1142">
            <v>85000</v>
          </cell>
          <cell r="L1142">
            <v>571634</v>
          </cell>
          <cell r="M1142">
            <v>571634</v>
          </cell>
          <cell r="O1142" t="str">
            <v>z</v>
          </cell>
          <cell r="X1142" t="e">
            <v>#N/A</v>
          </cell>
        </row>
        <row r="1143">
          <cell r="G1143" t="str">
            <v>PART TIME STAFF(NON PAYROLL)</v>
          </cell>
          <cell r="H1143" t="str">
            <v>PART TIME STAFF(NON PAYROLL)</v>
          </cell>
          <cell r="I1143">
            <v>195114</v>
          </cell>
          <cell r="J1143">
            <v>35120</v>
          </cell>
          <cell r="K1143">
            <v>0</v>
          </cell>
          <cell r="L1143">
            <v>230234</v>
          </cell>
          <cell r="M1143">
            <v>230234</v>
          </cell>
          <cell r="O1143" t="str">
            <v>z</v>
          </cell>
          <cell r="X1143" t="e">
            <v>#N/A</v>
          </cell>
        </row>
        <row r="1144">
          <cell r="G1144" t="str">
            <v>BANK CHARGES FOR MONETRY TRANSACTION AND PROCUREMENT OF CAPI</v>
          </cell>
          <cell r="H1144" t="str">
            <v>Bank Charges For Monetary Transaction</v>
          </cell>
          <cell r="I1144">
            <v>600393.4</v>
          </cell>
          <cell r="J1144">
            <v>120128.77</v>
          </cell>
          <cell r="K1144">
            <v>3015</v>
          </cell>
          <cell r="L1144">
            <v>717507.17</v>
          </cell>
          <cell r="M1144">
            <v>717507.17</v>
          </cell>
          <cell r="O1144" t="str">
            <v>z</v>
          </cell>
          <cell r="X1144" t="e">
            <v>#N/A</v>
          </cell>
        </row>
        <row r="1145">
          <cell r="G1145" t="str">
            <v>COMMISSION TO DISTRIBUTORS - DOMESTIC</v>
          </cell>
          <cell r="H1145" t="str">
            <v>Commission</v>
          </cell>
          <cell r="I1145">
            <v>11553910.109999999</v>
          </cell>
          <cell r="J1145">
            <v>871341</v>
          </cell>
          <cell r="K1145">
            <v>24153</v>
          </cell>
          <cell r="L1145">
            <v>12401098.109999999</v>
          </cell>
          <cell r="M1145">
            <v>12401098.109999999</v>
          </cell>
          <cell r="O1145" t="str">
            <v>z</v>
          </cell>
          <cell r="X1145" t="e">
            <v>#N/A</v>
          </cell>
        </row>
        <row r="1146">
          <cell r="G1146" t="str">
            <v>AUDIT &amp; ACCOUNTING FEES</v>
          </cell>
          <cell r="H1146" t="str">
            <v>Audit Fees</v>
          </cell>
          <cell r="I1146">
            <v>169400</v>
          </cell>
          <cell r="J1146">
            <v>22000</v>
          </cell>
          <cell r="K1146">
            <v>0</v>
          </cell>
          <cell r="L1146">
            <v>191400</v>
          </cell>
          <cell r="M1146">
            <v>191400</v>
          </cell>
          <cell r="O1146" t="str">
            <v>z</v>
          </cell>
          <cell r="X1146" t="e">
            <v>#N/A</v>
          </cell>
        </row>
        <row r="1147">
          <cell r="G1147" t="str">
            <v>LEGAL &amp; CONSULTANCY FEES</v>
          </cell>
          <cell r="H1147" t="str">
            <v>Legal &amp; Consultancy</v>
          </cell>
          <cell r="I1147">
            <v>1489233</v>
          </cell>
          <cell r="J1147">
            <v>99840</v>
          </cell>
          <cell r="K1147">
            <v>575275</v>
          </cell>
          <cell r="L1147">
            <v>1013798</v>
          </cell>
          <cell r="M1147">
            <v>1013798</v>
          </cell>
          <cell r="O1147" t="str">
            <v>z</v>
          </cell>
          <cell r="X1147" t="e">
            <v>#N/A</v>
          </cell>
        </row>
        <row r="1148">
          <cell r="G1148" t="str">
            <v>AUDITORS REMMUNERATION (OTHER MATTERS)</v>
          </cell>
          <cell r="H1148" t="str">
            <v>Other Services</v>
          </cell>
          <cell r="I1148">
            <v>177906</v>
          </cell>
          <cell r="J1148">
            <v>17531</v>
          </cell>
          <cell r="K1148">
            <v>2531</v>
          </cell>
          <cell r="L1148">
            <v>192906</v>
          </cell>
          <cell r="M1148">
            <v>192906</v>
          </cell>
          <cell r="O1148" t="str">
            <v>z</v>
          </cell>
          <cell r="X1148" t="e">
            <v>#N/A</v>
          </cell>
        </row>
        <row r="1149">
          <cell r="G1149" t="str">
            <v>AUDITORS REMMUNERATION (OUT OF POCKET EXP.)</v>
          </cell>
          <cell r="H1149" t="str">
            <v>Reimbursement of Expenses</v>
          </cell>
          <cell r="I1149">
            <v>18925</v>
          </cell>
          <cell r="J1149">
            <v>0</v>
          </cell>
          <cell r="K1149">
            <v>0</v>
          </cell>
          <cell r="L1149">
            <v>18925</v>
          </cell>
          <cell r="M1149">
            <v>18925</v>
          </cell>
          <cell r="O1149" t="str">
            <v>z</v>
          </cell>
          <cell r="X1149" t="e">
            <v>#N/A</v>
          </cell>
        </row>
        <row r="1150">
          <cell r="G1150" t="str">
            <v>TAX AUDIT FEES</v>
          </cell>
          <cell r="H1150" t="str">
            <v>Tax Audit Fees</v>
          </cell>
          <cell r="I1150">
            <v>28875</v>
          </cell>
          <cell r="J1150">
            <v>3000</v>
          </cell>
          <cell r="K1150">
            <v>0</v>
          </cell>
          <cell r="L1150">
            <v>31875</v>
          </cell>
          <cell r="M1150">
            <v>31875</v>
          </cell>
          <cell r="O1150" t="str">
            <v>z</v>
          </cell>
          <cell r="X1150" t="e">
            <v>#N/A</v>
          </cell>
        </row>
        <row r="1151">
          <cell r="G1151" t="str">
            <v>DIRECTORS FEES</v>
          </cell>
          <cell r="H1151" t="str">
            <v xml:space="preserve">Directors Fees    </v>
          </cell>
          <cell r="I1151">
            <v>16000</v>
          </cell>
          <cell r="J1151">
            <v>0</v>
          </cell>
          <cell r="K1151">
            <v>0</v>
          </cell>
          <cell r="L1151">
            <v>33500</v>
          </cell>
          <cell r="M1151">
            <v>33500</v>
          </cell>
          <cell r="O1151" t="str">
            <v>z</v>
          </cell>
          <cell r="X1151" t="e">
            <v>#N/A</v>
          </cell>
        </row>
        <row r="1152">
          <cell r="G1152" t="str">
            <v>STATIONERY</v>
          </cell>
          <cell r="H1152" t="str">
            <v>Printing &amp; Stationery Charges</v>
          </cell>
          <cell r="I1152">
            <v>541261.54</v>
          </cell>
          <cell r="J1152">
            <v>48490</v>
          </cell>
          <cell r="K1152">
            <v>0</v>
          </cell>
          <cell r="L1152">
            <v>589751.54</v>
          </cell>
          <cell r="M1152">
            <v>1214570.54</v>
          </cell>
          <cell r="O1152">
            <v>13</v>
          </cell>
          <cell r="X1152" t="e">
            <v>#N/A</v>
          </cell>
        </row>
        <row r="1153">
          <cell r="G1153" t="str">
            <v>FORM FEES</v>
          </cell>
          <cell r="I1153">
            <v>9155</v>
          </cell>
          <cell r="J1153">
            <v>700</v>
          </cell>
          <cell r="K1153">
            <v>0</v>
          </cell>
          <cell r="L1153">
            <v>9855</v>
          </cell>
          <cell r="O1153">
            <v>13</v>
          </cell>
          <cell r="X1153" t="e">
            <v>#N/A</v>
          </cell>
        </row>
        <row r="1154">
          <cell r="G1154" t="str">
            <v>PRINTING CHARGES</v>
          </cell>
          <cell r="I1154">
            <v>564495</v>
          </cell>
          <cell r="J1154">
            <v>50469</v>
          </cell>
          <cell r="K1154">
            <v>0</v>
          </cell>
          <cell r="L1154">
            <v>614964</v>
          </cell>
          <cell r="O1154">
            <v>13</v>
          </cell>
          <cell r="X1154" t="e">
            <v>#N/A</v>
          </cell>
        </row>
        <row r="1155">
          <cell r="G1155" t="str">
            <v>NEWSPAPER ,BOOKS &amp; PERIODICALS</v>
          </cell>
          <cell r="H1155" t="str">
            <v>News Paper, Books &amp; Periodicals Chgs.</v>
          </cell>
          <cell r="I1155">
            <v>77658</v>
          </cell>
          <cell r="J1155">
            <v>23647</v>
          </cell>
          <cell r="K1155">
            <v>750</v>
          </cell>
          <cell r="L1155">
            <v>100555</v>
          </cell>
          <cell r="M1155">
            <v>100555</v>
          </cell>
          <cell r="O1155" t="str">
            <v>z</v>
          </cell>
          <cell r="X1155" t="e">
            <v>#N/A</v>
          </cell>
        </row>
        <row r="1156">
          <cell r="G1156" t="str">
            <v>COURIER  &amp; TELEGRAM CHARGES</v>
          </cell>
          <cell r="H1156" t="str">
            <v>Courier &amp; Telegram</v>
          </cell>
          <cell r="I1156">
            <v>458968</v>
          </cell>
          <cell r="J1156">
            <v>172017</v>
          </cell>
          <cell r="K1156">
            <v>0</v>
          </cell>
          <cell r="L1156">
            <v>630985</v>
          </cell>
          <cell r="M1156">
            <v>630985</v>
          </cell>
          <cell r="O1156" t="str">
            <v>z</v>
          </cell>
          <cell r="X1156" t="e">
            <v>#N/A</v>
          </cell>
        </row>
        <row r="1157">
          <cell r="G1157" t="str">
            <v>TELEPHONE ,TELEX &amp; FAX CHARGES</v>
          </cell>
          <cell r="H1157" t="str">
            <v>Telephone, Telex &amp; Fax Chgs.</v>
          </cell>
          <cell r="I1157">
            <v>5046341.43</v>
          </cell>
          <cell r="J1157">
            <v>935754</v>
          </cell>
          <cell r="K1157">
            <v>160774</v>
          </cell>
          <cell r="L1157">
            <v>5821321.4299999997</v>
          </cell>
          <cell r="M1157">
            <v>5821321.4299999997</v>
          </cell>
          <cell r="O1157" t="str">
            <v>z</v>
          </cell>
          <cell r="X1157" t="e">
            <v>#N/A</v>
          </cell>
        </row>
        <row r="1158">
          <cell r="G1158" t="str">
            <v>SALES CONFERANCE EXPENSES &amp; PROMOTIONAL EXPENSES</v>
          </cell>
          <cell r="H1158" t="str">
            <v>Sales Conference Chgs.</v>
          </cell>
          <cell r="I1158">
            <v>4367418.8</v>
          </cell>
          <cell r="J1158">
            <v>864134.37</v>
          </cell>
          <cell r="K1158">
            <v>2630</v>
          </cell>
          <cell r="L1158">
            <v>5241307.17</v>
          </cell>
          <cell r="M1158">
            <v>5241307.17</v>
          </cell>
          <cell r="O1158" t="str">
            <v>z</v>
          </cell>
          <cell r="X1158" t="e">
            <v>#N/A</v>
          </cell>
        </row>
        <row r="1159">
          <cell r="G1159" t="str">
            <v>DAILY ALLOWANCE &amp; ACCOMODATIONS CHARGES(LOCAL)</v>
          </cell>
          <cell r="H1159" t="str">
            <v>Daily Allowance &amp; Accomodation Chgs.</v>
          </cell>
          <cell r="I1159">
            <v>1334452</v>
          </cell>
          <cell r="J1159">
            <v>0</v>
          </cell>
          <cell r="K1159">
            <v>0</v>
          </cell>
          <cell r="L1159">
            <v>1334452</v>
          </cell>
          <cell r="M1159">
            <v>1376032</v>
          </cell>
          <cell r="O1159">
            <v>14</v>
          </cell>
          <cell r="X1159" t="e">
            <v>#N/A</v>
          </cell>
        </row>
        <row r="1160">
          <cell r="G1160" t="str">
            <v>DAILY ALLOWANCE &amp; ACCOMODATIONS CHARGES(OVERSEAS)</v>
          </cell>
          <cell r="I1160">
            <v>41580</v>
          </cell>
          <cell r="J1160">
            <v>0</v>
          </cell>
          <cell r="K1160">
            <v>0</v>
          </cell>
          <cell r="L1160">
            <v>41580</v>
          </cell>
          <cell r="O1160">
            <v>14</v>
          </cell>
          <cell r="X1160" t="e">
            <v>#N/A</v>
          </cell>
        </row>
        <row r="1161">
          <cell r="G1161" t="str">
            <v>TRAVELLING &amp; FLYING COST ( LOCAL)</v>
          </cell>
          <cell r="H1161" t="str">
            <v>Travelling &amp; Flying Cost</v>
          </cell>
          <cell r="I1161">
            <v>7099978.1799999997</v>
          </cell>
          <cell r="J1161">
            <v>1783739</v>
          </cell>
          <cell r="K1161">
            <v>138179</v>
          </cell>
          <cell r="L1161">
            <v>8732538.1799999997</v>
          </cell>
          <cell r="M1161">
            <v>10534787.18</v>
          </cell>
          <cell r="O1161">
            <v>15</v>
          </cell>
          <cell r="X1161" t="e">
            <v>#N/A</v>
          </cell>
        </row>
        <row r="1162">
          <cell r="G1162" t="str">
            <v>TRAVELLING &amp; FLYING COST ( OVESEAS)</v>
          </cell>
          <cell r="I1162">
            <v>1516198</v>
          </cell>
          <cell r="J1162">
            <v>286051</v>
          </cell>
          <cell r="K1162">
            <v>0</v>
          </cell>
          <cell r="L1162">
            <v>1802249</v>
          </cell>
          <cell r="O1162">
            <v>15</v>
          </cell>
          <cell r="X1162" t="e">
            <v>#N/A</v>
          </cell>
        </row>
        <row r="1163">
          <cell r="G1163" t="str">
            <v>ENTERTAINMENT &amp; GIFTS</v>
          </cell>
          <cell r="H1163" t="str">
            <v>Entertainment &amp; Gift Chgs.</v>
          </cell>
          <cell r="I1163">
            <v>642397</v>
          </cell>
          <cell r="J1163">
            <v>208731</v>
          </cell>
          <cell r="K1163">
            <v>750</v>
          </cell>
          <cell r="L1163">
            <v>850378</v>
          </cell>
          <cell r="M1163">
            <v>850378</v>
          </cell>
          <cell r="O1163" t="str">
            <v>z</v>
          </cell>
          <cell r="X1163" t="e">
            <v>#N/A</v>
          </cell>
        </row>
        <row r="1164">
          <cell r="G1164" t="str">
            <v>SAMPLES</v>
          </cell>
          <cell r="H1164" t="str">
            <v>Samples</v>
          </cell>
          <cell r="I1164">
            <v>1542305.05</v>
          </cell>
          <cell r="J1164">
            <v>23678.09</v>
          </cell>
          <cell r="K1164">
            <v>762787.82</v>
          </cell>
          <cell r="L1164">
            <v>803195.32</v>
          </cell>
          <cell r="M1164">
            <v>803195.32</v>
          </cell>
          <cell r="O1164" t="str">
            <v>z</v>
          </cell>
          <cell r="X1164" t="e">
            <v>#N/A</v>
          </cell>
        </row>
        <row r="1165">
          <cell r="G1165" t="str">
            <v>PACKING MATERIAL (SALES)</v>
          </cell>
          <cell r="H1165" t="str">
            <v>Packing Material - sales</v>
          </cell>
          <cell r="I1165">
            <v>674626</v>
          </cell>
          <cell r="J1165">
            <v>177901</v>
          </cell>
          <cell r="K1165">
            <v>0</v>
          </cell>
          <cell r="L1165">
            <v>852527</v>
          </cell>
          <cell r="M1165">
            <v>852527</v>
          </cell>
          <cell r="O1165" t="str">
            <v>z</v>
          </cell>
          <cell r="X1165" t="e">
            <v>#N/A</v>
          </cell>
        </row>
        <row r="1166">
          <cell r="G1166" t="str">
            <v>DONATIONS</v>
          </cell>
          <cell r="H1166" t="str">
            <v>Donations</v>
          </cell>
          <cell r="I1166">
            <v>9500</v>
          </cell>
          <cell r="J1166">
            <v>0</v>
          </cell>
          <cell r="K1166">
            <v>0</v>
          </cell>
          <cell r="L1166">
            <v>9500</v>
          </cell>
          <cell r="M1166">
            <v>9500</v>
          </cell>
          <cell r="O1166" t="str">
            <v>z</v>
          </cell>
          <cell r="X1166" t="e">
            <v>#N/A</v>
          </cell>
        </row>
        <row r="1167">
          <cell r="G1167" t="str">
            <v>ADVERTISING &amp; EXHIBITIONS</v>
          </cell>
          <cell r="H1167" t="str">
            <v>Advertising &amp; Exhibitions</v>
          </cell>
          <cell r="I1167">
            <v>191551</v>
          </cell>
          <cell r="J1167">
            <v>0</v>
          </cell>
          <cell r="K1167">
            <v>0</v>
          </cell>
          <cell r="L1167">
            <v>191551</v>
          </cell>
          <cell r="M1167">
            <v>191551</v>
          </cell>
          <cell r="O1167" t="str">
            <v>z</v>
          </cell>
          <cell r="X1167" t="e">
            <v>#N/A</v>
          </cell>
        </row>
        <row r="1168">
          <cell r="G1168" t="str">
            <v>MISC.EXP.</v>
          </cell>
          <cell r="H1168" t="str">
            <v>Misc. Expenses</v>
          </cell>
          <cell r="I1168">
            <v>1971778.5</v>
          </cell>
          <cell r="J1168">
            <v>738853</v>
          </cell>
          <cell r="K1168">
            <v>3099</v>
          </cell>
          <cell r="L1168">
            <v>2707532.5</v>
          </cell>
          <cell r="M1168">
            <v>2707532.5</v>
          </cell>
          <cell r="O1168" t="str">
            <v>z</v>
          </cell>
          <cell r="X1168" t="e">
            <v>#N/A</v>
          </cell>
        </row>
        <row r="1169">
          <cell r="G1169" t="str">
            <v>INSURANCE - STOCKS</v>
          </cell>
          <cell r="H1169" t="str">
            <v>Insurance Stocks</v>
          </cell>
          <cell r="I1169">
            <v>418908</v>
          </cell>
          <cell r="J1169">
            <v>38974</v>
          </cell>
          <cell r="K1169">
            <v>0</v>
          </cell>
          <cell r="L1169">
            <v>457882</v>
          </cell>
          <cell r="M1169">
            <v>457882</v>
          </cell>
          <cell r="O1169" t="str">
            <v>z</v>
          </cell>
          <cell r="X1169" t="e">
            <v>#N/A</v>
          </cell>
        </row>
        <row r="1170">
          <cell r="G1170" t="str">
            <v>INSURANCE - MOTOR</v>
          </cell>
          <cell r="H1170" t="str">
            <v xml:space="preserve">Insurance - Others- R &amp; D, Motor </v>
          </cell>
          <cell r="I1170">
            <v>183652</v>
          </cell>
          <cell r="J1170">
            <v>6295</v>
          </cell>
          <cell r="K1170">
            <v>0</v>
          </cell>
          <cell r="L1170">
            <v>189947</v>
          </cell>
          <cell r="M1170">
            <v>189947</v>
          </cell>
          <cell r="O1170" t="str">
            <v>z</v>
          </cell>
          <cell r="X1170" t="e">
            <v>#N/A</v>
          </cell>
        </row>
        <row r="1171">
          <cell r="G1171" t="str">
            <v>SUNDRY BALANCES  W/OFF</v>
          </cell>
          <cell r="H1171" t="str">
            <v>Sundry Balances Written off</v>
          </cell>
          <cell r="I1171">
            <v>944204.47</v>
          </cell>
          <cell r="J1171">
            <v>0</v>
          </cell>
          <cell r="K1171">
            <v>0</v>
          </cell>
          <cell r="L1171">
            <v>1021446.05</v>
          </cell>
          <cell r="M1171">
            <v>1021446.05</v>
          </cell>
          <cell r="O1171" t="str">
            <v>z</v>
          </cell>
          <cell r="X1171" t="e">
            <v>#N/A</v>
          </cell>
        </row>
        <row r="1172">
          <cell r="G1172" t="str">
            <v>PROVIDEND FUND ADMN.CHARGES</v>
          </cell>
          <cell r="H1172" t="str">
            <v>Providend Fund (Other Operatiing Exps)</v>
          </cell>
          <cell r="I1172">
            <v>72347</v>
          </cell>
          <cell r="J1172">
            <v>15310</v>
          </cell>
          <cell r="K1172">
            <v>0</v>
          </cell>
          <cell r="L1172">
            <v>87657</v>
          </cell>
          <cell r="M1172">
            <v>87657</v>
          </cell>
          <cell r="O1172" t="str">
            <v>z</v>
          </cell>
          <cell r="X1172" t="e">
            <v>#N/A</v>
          </cell>
        </row>
        <row r="1173">
          <cell r="G1173" t="str">
            <v>DOUBTFUL DEBTS</v>
          </cell>
          <cell r="H1173" t="str">
            <v>Provision for Doubtful Debts</v>
          </cell>
          <cell r="I1173">
            <v>3801057</v>
          </cell>
          <cell r="J1173">
            <v>0</v>
          </cell>
          <cell r="K1173">
            <v>0</v>
          </cell>
          <cell r="L1173">
            <v>3801057</v>
          </cell>
          <cell r="M1173">
            <v>3801057</v>
          </cell>
          <cell r="O1173" t="str">
            <v>z</v>
          </cell>
          <cell r="X1173" t="e">
            <v>#N/A</v>
          </cell>
        </row>
        <row r="1174">
          <cell r="G1174" t="str">
            <v>REALISED FOREX LOSS</v>
          </cell>
          <cell r="I1174">
            <v>1390141.24</v>
          </cell>
          <cell r="J1174">
            <v>1531397.87</v>
          </cell>
          <cell r="K1174">
            <v>0</v>
          </cell>
          <cell r="L1174">
            <v>3987413.26</v>
          </cell>
          <cell r="O1174">
            <v>16</v>
          </cell>
          <cell r="X1174" t="e">
            <v>#N/A</v>
          </cell>
        </row>
        <row r="1175">
          <cell r="G1175" t="str">
            <v>UNREALISED FOREX LOSS</v>
          </cell>
          <cell r="I1175">
            <v>-810804</v>
          </cell>
          <cell r="J1175">
            <v>0</v>
          </cell>
          <cell r="K1175">
            <v>0</v>
          </cell>
          <cell r="L1175">
            <v>3141780</v>
          </cell>
          <cell r="O1175">
            <v>17</v>
          </cell>
          <cell r="X1175" t="e">
            <v>#N/A</v>
          </cell>
        </row>
        <row r="1176">
          <cell r="G1176" t="str">
            <v>CENTRAL SALES TAX</v>
          </cell>
          <cell r="H1176" t="str">
            <v>Sales Tax</v>
          </cell>
          <cell r="I1176">
            <v>127821.39</v>
          </cell>
          <cell r="J1176">
            <v>93571.97</v>
          </cell>
          <cell r="K1176">
            <v>21115.33</v>
          </cell>
          <cell r="L1176">
            <v>200278.03</v>
          </cell>
          <cell r="M1176">
            <v>220937.31</v>
          </cell>
          <cell r="O1176">
            <v>19</v>
          </cell>
          <cell r="X1176" t="e">
            <v>#N/A</v>
          </cell>
        </row>
        <row r="1177">
          <cell r="G1177" t="str">
            <v>LOCAL SALES TAX</v>
          </cell>
          <cell r="H1177" t="str">
            <v>Sales Tax</v>
          </cell>
          <cell r="I1177">
            <v>20209.87</v>
          </cell>
          <cell r="J1177">
            <v>941.41</v>
          </cell>
          <cell r="K1177">
            <v>492</v>
          </cell>
          <cell r="L1177">
            <v>20659.28</v>
          </cell>
          <cell r="O1177">
            <v>19</v>
          </cell>
          <cell r="X1177" t="e">
            <v>#N/A</v>
          </cell>
        </row>
        <row r="1178">
          <cell r="G1178" t="str">
            <v>BANK INTEREST - LONG TERM CREDIT</v>
          </cell>
          <cell r="I1178">
            <v>0</v>
          </cell>
          <cell r="J1178">
            <v>0</v>
          </cell>
          <cell r="K1178">
            <v>0</v>
          </cell>
          <cell r="L1178">
            <v>0</v>
          </cell>
          <cell r="X1178" t="e">
            <v>#N/A</v>
          </cell>
        </row>
        <row r="1179">
          <cell r="G1179" t="str">
            <v>BANK INTEREST - OTHER CREDIT</v>
          </cell>
          <cell r="H1179" t="str">
            <v>Bank Interest - Other Credit</v>
          </cell>
          <cell r="I1179">
            <v>1101461.49</v>
          </cell>
          <cell r="J1179">
            <v>1334728.52</v>
          </cell>
          <cell r="K1179">
            <v>75000</v>
          </cell>
          <cell r="L1179">
            <v>2361190.0099999998</v>
          </cell>
          <cell r="M1179">
            <v>2361190.0099999998</v>
          </cell>
          <cell r="O1179" t="str">
            <v>z</v>
          </cell>
          <cell r="X1179" t="e">
            <v>#N/A</v>
          </cell>
        </row>
        <row r="1180">
          <cell r="G1180" t="str">
            <v>INTEREST - NON GROUP COMPANIES</v>
          </cell>
          <cell r="H1180" t="str">
            <v xml:space="preserve">Other Interest </v>
          </cell>
          <cell r="I1180">
            <v>225000</v>
          </cell>
          <cell r="J1180">
            <v>75000</v>
          </cell>
          <cell r="K1180">
            <v>0</v>
          </cell>
          <cell r="L1180">
            <v>300000</v>
          </cell>
          <cell r="M1180">
            <v>300000</v>
          </cell>
          <cell r="O1180" t="str">
            <v>z</v>
          </cell>
          <cell r="X1180" t="e">
            <v>#N/A</v>
          </cell>
        </row>
        <row r="1181">
          <cell r="G1181" t="str">
            <v>OTHER TAXES</v>
          </cell>
          <cell r="I1181">
            <v>405</v>
          </cell>
          <cell r="J1181">
            <v>0</v>
          </cell>
          <cell r="K1181">
            <v>0</v>
          </cell>
          <cell r="L1181">
            <v>405</v>
          </cell>
          <cell r="O1181">
            <v>18</v>
          </cell>
          <cell r="X1181" t="e">
            <v>#N/A</v>
          </cell>
        </row>
        <row r="1182">
          <cell r="G1182" t="str">
            <v>DEPRECIATION ON LAND &amp; BUILDINGS</v>
          </cell>
          <cell r="H1182" t="str">
            <v>Depreciation on Land &amp; Building</v>
          </cell>
          <cell r="I1182">
            <v>274094</v>
          </cell>
          <cell r="J1182">
            <v>413458</v>
          </cell>
          <cell r="K1182">
            <v>0</v>
          </cell>
          <cell r="L1182">
            <v>687552</v>
          </cell>
          <cell r="M1182">
            <v>687552</v>
          </cell>
          <cell r="O1182" t="str">
            <v>z</v>
          </cell>
          <cell r="U1182">
            <v>4782438</v>
          </cell>
          <cell r="X1182" t="e">
            <v>#N/A</v>
          </cell>
        </row>
        <row r="1183">
          <cell r="G1183" t="str">
            <v>DEPRECIATION ON TECHNICAL EQUIPMENT AND MACHINERY</v>
          </cell>
          <cell r="H1183" t="str">
            <v>Depreciation on Technical Equipment</v>
          </cell>
          <cell r="I1183">
            <v>522491</v>
          </cell>
          <cell r="J1183">
            <v>604886</v>
          </cell>
          <cell r="K1183">
            <v>0</v>
          </cell>
          <cell r="L1183">
            <v>1127377</v>
          </cell>
          <cell r="M1183">
            <v>1127377</v>
          </cell>
          <cell r="O1183" t="str">
            <v>z</v>
          </cell>
          <cell r="U1183">
            <v>4782828</v>
          </cell>
          <cell r="X1183" t="e">
            <v>#N/A</v>
          </cell>
        </row>
        <row r="1184">
          <cell r="G1184" t="str">
            <v>DEPRECIATION ON WORKSHOP EQUIPMENT</v>
          </cell>
          <cell r="H1184" t="str">
            <v>Depreciation on Workshop Equipment</v>
          </cell>
          <cell r="I1184">
            <v>47686</v>
          </cell>
          <cell r="J1184">
            <v>0</v>
          </cell>
          <cell r="K1184">
            <v>30000</v>
          </cell>
          <cell r="L1184">
            <v>17686</v>
          </cell>
          <cell r="M1184">
            <v>17686</v>
          </cell>
          <cell r="O1184" t="str">
            <v>z</v>
          </cell>
          <cell r="U1184">
            <v>390</v>
          </cell>
          <cell r="X1184" t="e">
            <v>#N/A</v>
          </cell>
        </row>
        <row r="1185">
          <cell r="G1185" t="str">
            <v>DEPRECIATION ON MOTOR VEHICLE</v>
          </cell>
          <cell r="H1185" t="str">
            <v>Depreciation on Motor Vehical</v>
          </cell>
          <cell r="I1185">
            <v>117334</v>
          </cell>
          <cell r="J1185">
            <v>97678</v>
          </cell>
          <cell r="K1185">
            <v>20000</v>
          </cell>
          <cell r="L1185">
            <v>195012</v>
          </cell>
          <cell r="M1185">
            <v>195012</v>
          </cell>
          <cell r="O1185" t="str">
            <v>z</v>
          </cell>
          <cell r="X1185" t="e">
            <v>#N/A</v>
          </cell>
        </row>
        <row r="1186">
          <cell r="G1186" t="str">
            <v>DEPRECIATION ON FURNITURE &amp; FIXTURES</v>
          </cell>
          <cell r="H1186" t="str">
            <v>Depreciation on Furniture &amp; Fixture</v>
          </cell>
          <cell r="I1186">
            <v>190233</v>
          </cell>
          <cell r="J1186">
            <v>196234</v>
          </cell>
          <cell r="K1186">
            <v>24000</v>
          </cell>
          <cell r="L1186">
            <v>362467</v>
          </cell>
          <cell r="M1186">
            <v>362467</v>
          </cell>
          <cell r="O1186" t="str">
            <v>z</v>
          </cell>
          <cell r="X1186" t="e">
            <v>#N/A</v>
          </cell>
        </row>
        <row r="1187">
          <cell r="G1187" t="str">
            <v>DEPRECIATION ON OFFICE EQUIPMENT</v>
          </cell>
          <cell r="H1187" t="str">
            <v>Depreciation on Office Equipment</v>
          </cell>
          <cell r="I1187">
            <v>346143</v>
          </cell>
          <cell r="J1187">
            <v>444680</v>
          </cell>
          <cell r="K1187">
            <v>11000</v>
          </cell>
          <cell r="L1187">
            <v>779823</v>
          </cell>
          <cell r="M1187">
            <v>779823</v>
          </cell>
          <cell r="O1187" t="str">
            <v>z</v>
          </cell>
          <cell r="X1187" t="e">
            <v>#N/A</v>
          </cell>
        </row>
        <row r="1188">
          <cell r="G1188" t="str">
            <v>DEPRECIATION ON EDP HARDWARE</v>
          </cell>
          <cell r="H1188" t="str">
            <v>Depreciation on EDP Hardware</v>
          </cell>
          <cell r="I1188">
            <v>752190</v>
          </cell>
          <cell r="J1188">
            <v>434239</v>
          </cell>
          <cell r="K1188">
            <v>300000</v>
          </cell>
          <cell r="L1188">
            <v>886429</v>
          </cell>
          <cell r="M1188">
            <v>886429</v>
          </cell>
          <cell r="O1188" t="str">
            <v>z</v>
          </cell>
          <cell r="X1188" t="e">
            <v>#N/A</v>
          </cell>
        </row>
        <row r="1189">
          <cell r="G1189" t="str">
            <v>DEPRECIATION ON EDP SOFTWARE</v>
          </cell>
          <cell r="H1189" t="str">
            <v>Depreciation on EDP Software</v>
          </cell>
          <cell r="I1189">
            <v>483276</v>
          </cell>
          <cell r="J1189">
            <v>351113</v>
          </cell>
          <cell r="K1189">
            <v>150000</v>
          </cell>
          <cell r="L1189">
            <v>684389</v>
          </cell>
          <cell r="M1189">
            <v>684389</v>
          </cell>
          <cell r="O1189" t="str">
            <v>z</v>
          </cell>
          <cell r="X1189" t="e">
            <v>#REF!</v>
          </cell>
        </row>
        <row r="1190">
          <cell r="G1190" t="str">
            <v>DEPRECIATION ON COMMUNICATION EQUIPMENT</v>
          </cell>
          <cell r="H1190" t="str">
            <v>Depreciation on Communication</v>
          </cell>
          <cell r="I1190">
            <v>23124</v>
          </cell>
          <cell r="J1190">
            <v>18579</v>
          </cell>
          <cell r="K1190">
            <v>0</v>
          </cell>
          <cell r="L1190">
            <v>41703</v>
          </cell>
          <cell r="M1190">
            <v>41703</v>
          </cell>
          <cell r="O1190" t="str">
            <v>z</v>
          </cell>
          <cell r="X1190" t="e">
            <v>#REF!</v>
          </cell>
        </row>
        <row r="1192">
          <cell r="I1192">
            <v>4399534.4600001862</v>
          </cell>
          <cell r="J1192">
            <v>280081989.90000004</v>
          </cell>
          <cell r="K1192">
            <v>284481524.35999984</v>
          </cell>
          <cell r="L1192">
            <v>4.2840838432312012E-8</v>
          </cell>
          <cell r="M1192">
            <v>9336242.2500000019</v>
          </cell>
          <cell r="P1192">
            <v>2427762.7300000787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p Recharge (2)"/>
      <sheetName val="regnwisebs"/>
      <sheetName val="Chart of account"/>
      <sheetName val="consobs"/>
      <sheetName val="Ahd"/>
      <sheetName val="bng"/>
      <sheetName val="cbe"/>
      <sheetName val="che"/>
      <sheetName val="coh"/>
      <sheetName val="goa"/>
      <sheetName val="hrn"/>
      <sheetName val="hyd"/>
      <sheetName val="idr"/>
      <sheetName val="Jpr"/>
      <sheetName val="Kol"/>
      <sheetName val="lkn"/>
      <sheetName val="lnj"/>
      <sheetName val="mgl"/>
      <sheetName val="moh"/>
      <sheetName val="mts"/>
      <sheetName val="mum"/>
      <sheetName val="mys"/>
      <sheetName val="ngp"/>
      <sheetName val="nsk"/>
      <sheetName val="Pun"/>
      <sheetName val="rpr"/>
      <sheetName val="srt"/>
      <sheetName val="tvd"/>
      <sheetName val="upn"/>
      <sheetName val="vdr"/>
      <sheetName val="vzg"/>
      <sheetName val="Quarry Figures"/>
      <sheetName val="Bal Sht"/>
      <sheetName val="P &amp; L"/>
      <sheetName val="Balance sheet"/>
      <sheetName val="Cash flow"/>
      <sheetName val="Cash Flow-SchVI  "/>
      <sheetName val="Sch 1to3"/>
      <sheetName val="Sch 4 - FA  "/>
      <sheetName val="Sch 5 to 8"/>
      <sheetName val="Sch 9 to12"/>
      <sheetName val="Sch 12 to16"/>
      <sheetName val="Sch 17 &amp; 18"/>
      <sheetName val="Ifs"/>
    </sheetNames>
    <sheetDataSet>
      <sheetData sheetId="0"/>
      <sheetData sheetId="1"/>
      <sheetData sheetId="2"/>
      <sheetData sheetId="3"/>
      <sheetData sheetId="4" refreshError="1">
        <row r="1">
          <cell r="A1" t="str">
            <v>RMC Readymix (I) Pvt. Ltd.,</v>
          </cell>
          <cell r="B1" t="str">
            <v>Trial balance</v>
          </cell>
          <cell r="C1">
            <v>39969</v>
          </cell>
          <cell r="D1">
            <v>0.65672453703703704</v>
          </cell>
          <cell r="E1" t="str">
            <v>Page 1</v>
          </cell>
          <cell r="F1" t="str">
            <v>Gandhinagar</v>
          </cell>
        </row>
        <row r="2">
          <cell r="A2" t="str">
            <v>Period</v>
          </cell>
          <cell r="B2">
            <v>39904</v>
          </cell>
          <cell r="C2">
            <v>39964</v>
          </cell>
        </row>
        <row r="3">
          <cell r="A3" t="str">
            <v>Ledger account</v>
          </cell>
          <cell r="B3" t="str">
            <v>Account name</v>
          </cell>
          <cell r="C3" t="str">
            <v>Opening balance</v>
          </cell>
          <cell r="D3" t="str">
            <v>Debit</v>
          </cell>
          <cell r="E3" t="str">
            <v>Credit</v>
          </cell>
          <cell r="F3" t="str">
            <v>Net difference</v>
          </cell>
          <cell r="G3" t="str">
            <v>Closing transactions</v>
          </cell>
          <cell r="H3" t="str">
            <v>Closing balance</v>
          </cell>
        </row>
        <row r="4">
          <cell r="A4">
            <v>11010010</v>
          </cell>
          <cell r="B4" t="str">
            <v>Freehold Land</v>
          </cell>
          <cell r="C4">
            <v>4166830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4166830</v>
          </cell>
        </row>
        <row r="5">
          <cell r="A5">
            <v>11015010</v>
          </cell>
          <cell r="B5" t="str">
            <v>Buildings</v>
          </cell>
          <cell r="C5">
            <v>22363214.989999998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22363214.989999998</v>
          </cell>
        </row>
        <row r="6">
          <cell r="A6">
            <v>11025010</v>
          </cell>
          <cell r="B6" t="str">
            <v>Plant and Machinery</v>
          </cell>
          <cell r="C6">
            <v>39835416.18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39835416.18</v>
          </cell>
        </row>
        <row r="7">
          <cell r="A7">
            <v>11030010</v>
          </cell>
          <cell r="B7" t="str">
            <v>Electrical Installations</v>
          </cell>
          <cell r="C7">
            <v>4495241.12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4495241.12</v>
          </cell>
        </row>
        <row r="8">
          <cell r="A8">
            <v>11035010</v>
          </cell>
          <cell r="B8" t="str">
            <v>Furniture &amp; Fixtures</v>
          </cell>
          <cell r="C8">
            <v>1915150</v>
          </cell>
          <cell r="D8">
            <v>62000</v>
          </cell>
          <cell r="E8">
            <v>0</v>
          </cell>
          <cell r="F8">
            <v>62000</v>
          </cell>
          <cell r="G8">
            <v>0</v>
          </cell>
          <cell r="H8">
            <v>1977150</v>
          </cell>
        </row>
        <row r="9">
          <cell r="A9">
            <v>11040010</v>
          </cell>
          <cell r="B9" t="str">
            <v>Office &amp; Electrical Appliances</v>
          </cell>
          <cell r="C9">
            <v>896652.37</v>
          </cell>
          <cell r="D9">
            <v>20500</v>
          </cell>
          <cell r="E9">
            <v>0</v>
          </cell>
          <cell r="F9">
            <v>20500</v>
          </cell>
          <cell r="G9">
            <v>0</v>
          </cell>
          <cell r="H9">
            <v>917152.37</v>
          </cell>
        </row>
        <row r="10">
          <cell r="A10">
            <v>11045010</v>
          </cell>
          <cell r="B10" t="str">
            <v>Truck Mixers, Loaders &amp; Truck Dumpers</v>
          </cell>
          <cell r="C10">
            <v>12635650.199999999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12635650.199999999</v>
          </cell>
        </row>
        <row r="11">
          <cell r="A11">
            <v>11060010</v>
          </cell>
          <cell r="B11" t="str">
            <v>Capital W.I.P</v>
          </cell>
          <cell r="C11">
            <v>0</v>
          </cell>
          <cell r="D11">
            <v>20500</v>
          </cell>
          <cell r="E11">
            <v>20500</v>
          </cell>
          <cell r="F11">
            <v>0</v>
          </cell>
          <cell r="G11">
            <v>0</v>
          </cell>
          <cell r="H11">
            <v>0</v>
          </cell>
        </row>
        <row r="12">
          <cell r="A12">
            <v>13010030</v>
          </cell>
          <cell r="B12" t="str">
            <v>Loose Tools - Cube Moulds</v>
          </cell>
          <cell r="C12">
            <v>0</v>
          </cell>
          <cell r="D12">
            <v>17700</v>
          </cell>
          <cell r="E12">
            <v>17700</v>
          </cell>
          <cell r="F12">
            <v>0</v>
          </cell>
          <cell r="G12">
            <v>0</v>
          </cell>
          <cell r="H12">
            <v>0</v>
          </cell>
        </row>
        <row r="13">
          <cell r="A13">
            <v>13015010</v>
          </cell>
          <cell r="B13" t="str">
            <v>Balance Sheet Stock of Raw material - RMC</v>
          </cell>
          <cell r="C13">
            <v>1651585.91</v>
          </cell>
          <cell r="D13">
            <v>2009614.14</v>
          </cell>
          <cell r="E13">
            <v>1703272.26</v>
          </cell>
          <cell r="F13">
            <v>306341.88</v>
          </cell>
          <cell r="G13">
            <v>0</v>
          </cell>
          <cell r="H13">
            <v>1957927.79</v>
          </cell>
        </row>
        <row r="14">
          <cell r="A14">
            <v>13020010</v>
          </cell>
          <cell r="B14" t="str">
            <v>Sundry Debtors Account</v>
          </cell>
          <cell r="C14">
            <v>18643866.260000002</v>
          </cell>
          <cell r="D14">
            <v>49402698</v>
          </cell>
          <cell r="E14">
            <v>37921137</v>
          </cell>
          <cell r="F14">
            <v>11481561</v>
          </cell>
          <cell r="G14">
            <v>0</v>
          </cell>
          <cell r="H14">
            <v>30125427.260000002</v>
          </cell>
        </row>
        <row r="15">
          <cell r="A15">
            <v>13025010</v>
          </cell>
          <cell r="B15" t="str">
            <v>Cash In Hand</v>
          </cell>
          <cell r="C15">
            <v>9601</v>
          </cell>
          <cell r="D15">
            <v>1296339</v>
          </cell>
          <cell r="E15">
            <v>1114736</v>
          </cell>
          <cell r="F15">
            <v>181603</v>
          </cell>
          <cell r="G15">
            <v>0</v>
          </cell>
          <cell r="H15">
            <v>191204</v>
          </cell>
        </row>
        <row r="16">
          <cell r="A16">
            <v>13035010</v>
          </cell>
          <cell r="B16" t="str">
            <v>Bank Account</v>
          </cell>
          <cell r="C16">
            <v>9030.2099999999991</v>
          </cell>
          <cell r="D16">
            <v>43692603.649999999</v>
          </cell>
          <cell r="E16">
            <v>48972130.200000003</v>
          </cell>
          <cell r="F16">
            <v>-5279526.55</v>
          </cell>
          <cell r="G16">
            <v>0</v>
          </cell>
          <cell r="H16">
            <v>-5270496.34</v>
          </cell>
        </row>
        <row r="17">
          <cell r="A17">
            <v>13045020</v>
          </cell>
          <cell r="B17" t="str">
            <v>Loans and advances to employees</v>
          </cell>
          <cell r="C17">
            <v>0</v>
          </cell>
          <cell r="D17">
            <v>60595</v>
          </cell>
          <cell r="E17">
            <v>46873</v>
          </cell>
          <cell r="F17">
            <v>13722</v>
          </cell>
          <cell r="G17">
            <v>0</v>
          </cell>
          <cell r="H17">
            <v>13722</v>
          </cell>
        </row>
        <row r="18">
          <cell r="A18">
            <v>13055020</v>
          </cell>
          <cell r="B18" t="str">
            <v>Prepaid Expenses</v>
          </cell>
          <cell r="C18">
            <v>1385927</v>
          </cell>
          <cell r="D18">
            <v>129539</v>
          </cell>
          <cell r="E18">
            <v>103905</v>
          </cell>
          <cell r="F18">
            <v>25634</v>
          </cell>
          <cell r="G18">
            <v>0</v>
          </cell>
          <cell r="H18">
            <v>1411561</v>
          </cell>
        </row>
        <row r="19">
          <cell r="A19">
            <v>13055060</v>
          </cell>
          <cell r="B19" t="str">
            <v>VAT Credit Receivable (Inputs)</v>
          </cell>
          <cell r="C19">
            <v>547710</v>
          </cell>
          <cell r="D19">
            <v>1059863</v>
          </cell>
          <cell r="E19">
            <v>1478409</v>
          </cell>
          <cell r="F19">
            <v>-418546</v>
          </cell>
          <cell r="G19">
            <v>0</v>
          </cell>
          <cell r="H19">
            <v>129164</v>
          </cell>
        </row>
        <row r="20">
          <cell r="A20">
            <v>13055070</v>
          </cell>
          <cell r="B20" t="str">
            <v>Vat Credit Receivable (Capital Goods)</v>
          </cell>
          <cell r="C20">
            <v>0</v>
          </cell>
          <cell r="D20">
            <v>40</v>
          </cell>
          <cell r="E20">
            <v>0</v>
          </cell>
          <cell r="F20">
            <v>40</v>
          </cell>
          <cell r="G20">
            <v>0</v>
          </cell>
          <cell r="H20">
            <v>40</v>
          </cell>
        </row>
        <row r="21">
          <cell r="A21">
            <v>13055079</v>
          </cell>
          <cell r="B21" t="str">
            <v>Vat Addition Tax Input</v>
          </cell>
          <cell r="C21">
            <v>117679</v>
          </cell>
          <cell r="D21">
            <v>224094</v>
          </cell>
          <cell r="E21">
            <v>315316</v>
          </cell>
          <cell r="F21">
            <v>-91222</v>
          </cell>
          <cell r="G21">
            <v>0</v>
          </cell>
          <cell r="H21">
            <v>26457</v>
          </cell>
        </row>
        <row r="22">
          <cell r="A22">
            <v>13055090</v>
          </cell>
          <cell r="B22" t="str">
            <v>Sundry Deposits</v>
          </cell>
          <cell r="C22">
            <v>1633924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1633924</v>
          </cell>
        </row>
        <row r="23">
          <cell r="A23">
            <v>25005010</v>
          </cell>
          <cell r="B23" t="str">
            <v>Creditors Control</v>
          </cell>
          <cell r="C23">
            <v>-20112955.050000001</v>
          </cell>
          <cell r="D23">
            <v>38304873.399999999</v>
          </cell>
          <cell r="E23">
            <v>20657708.460000001</v>
          </cell>
          <cell r="F23">
            <v>17647164.940000001</v>
          </cell>
          <cell r="G23">
            <v>0</v>
          </cell>
          <cell r="H23">
            <v>-2465790.11</v>
          </cell>
        </row>
        <row r="24">
          <cell r="A24">
            <v>25005050</v>
          </cell>
          <cell r="B24" t="str">
            <v>Creditors liability for material received but bill not recei</v>
          </cell>
          <cell r="C24">
            <v>80.12</v>
          </cell>
          <cell r="D24">
            <v>15689709.42</v>
          </cell>
          <cell r="E24">
            <v>29992887.66</v>
          </cell>
          <cell r="F24">
            <v>-14303178.24</v>
          </cell>
          <cell r="G24">
            <v>0</v>
          </cell>
          <cell r="H24">
            <v>-14303098.119999999</v>
          </cell>
        </row>
        <row r="25">
          <cell r="A25">
            <v>25010020</v>
          </cell>
          <cell r="B25" t="str">
            <v>Outstanding Liabilities For Expenses</v>
          </cell>
          <cell r="C25">
            <v>-144216</v>
          </cell>
          <cell r="D25">
            <v>119623</v>
          </cell>
          <cell r="E25">
            <v>0</v>
          </cell>
          <cell r="F25">
            <v>119623</v>
          </cell>
          <cell r="G25">
            <v>0</v>
          </cell>
          <cell r="H25">
            <v>-24593</v>
          </cell>
        </row>
        <row r="26">
          <cell r="A26">
            <v>25010060</v>
          </cell>
          <cell r="B26" t="str">
            <v>T.D.S.payable account</v>
          </cell>
          <cell r="C26">
            <v>-575499</v>
          </cell>
          <cell r="D26">
            <v>596780</v>
          </cell>
          <cell r="E26">
            <v>148057</v>
          </cell>
          <cell r="F26">
            <v>448723</v>
          </cell>
          <cell r="G26">
            <v>0</v>
          </cell>
          <cell r="H26">
            <v>-126776</v>
          </cell>
        </row>
        <row r="27">
          <cell r="A27">
            <v>25010120</v>
          </cell>
          <cell r="B27" t="str">
            <v>Service Tax Payable</v>
          </cell>
          <cell r="C27">
            <v>0</v>
          </cell>
          <cell r="D27">
            <v>0</v>
          </cell>
          <cell r="E27">
            <v>11231.01</v>
          </cell>
          <cell r="F27">
            <v>-11231.01</v>
          </cell>
          <cell r="G27">
            <v>0</v>
          </cell>
          <cell r="H27">
            <v>-11231.01</v>
          </cell>
        </row>
        <row r="28">
          <cell r="A28">
            <v>25010190</v>
          </cell>
          <cell r="B28" t="str">
            <v>VAT  Payable account</v>
          </cell>
          <cell r="C28">
            <v>-1341428</v>
          </cell>
          <cell r="D28">
            <v>3530412</v>
          </cell>
          <cell r="E28">
            <v>5212529</v>
          </cell>
          <cell r="F28">
            <v>-1682117</v>
          </cell>
          <cell r="G28">
            <v>0</v>
          </cell>
          <cell r="H28">
            <v>-3023545</v>
          </cell>
        </row>
        <row r="29">
          <cell r="A29">
            <v>25010197</v>
          </cell>
          <cell r="B29" t="str">
            <v>VAT Additional Tax Payable</v>
          </cell>
          <cell r="C29">
            <v>-268351</v>
          </cell>
          <cell r="D29">
            <v>706318</v>
          </cell>
          <cell r="E29">
            <v>1042830</v>
          </cell>
          <cell r="F29">
            <v>-336512</v>
          </cell>
          <cell r="G29">
            <v>0</v>
          </cell>
          <cell r="H29">
            <v>-604863</v>
          </cell>
        </row>
        <row r="30">
          <cell r="A30">
            <v>25010200</v>
          </cell>
          <cell r="B30" t="str">
            <v>Provision for Expenses in MIS</v>
          </cell>
          <cell r="C30">
            <v>0</v>
          </cell>
          <cell r="D30">
            <v>2451319</v>
          </cell>
          <cell r="E30">
            <v>6127842</v>
          </cell>
          <cell r="F30">
            <v>-3676523</v>
          </cell>
          <cell r="G30">
            <v>0</v>
          </cell>
          <cell r="H30">
            <v>-3676523</v>
          </cell>
        </row>
        <row r="31">
          <cell r="A31">
            <v>26005020</v>
          </cell>
          <cell r="B31" t="str">
            <v>Provision For Bad &amp; Doubtful Debts</v>
          </cell>
          <cell r="C31">
            <v>-267130</v>
          </cell>
          <cell r="D31">
            <v>0</v>
          </cell>
          <cell r="E31">
            <v>440423</v>
          </cell>
          <cell r="F31">
            <v>-440423</v>
          </cell>
          <cell r="G31">
            <v>0</v>
          </cell>
          <cell r="H31">
            <v>-707553</v>
          </cell>
        </row>
        <row r="32">
          <cell r="A32">
            <v>26015010</v>
          </cell>
          <cell r="B32" t="str">
            <v>Prov For Dep.-  Buildings</v>
          </cell>
          <cell r="C32">
            <v>-549415</v>
          </cell>
          <cell r="D32">
            <v>0</v>
          </cell>
          <cell r="E32">
            <v>116496</v>
          </cell>
          <cell r="F32">
            <v>-116496</v>
          </cell>
          <cell r="G32">
            <v>0</v>
          </cell>
          <cell r="H32">
            <v>-665911</v>
          </cell>
        </row>
        <row r="33">
          <cell r="A33">
            <v>26025010</v>
          </cell>
          <cell r="B33" t="str">
            <v>Provision for Depreciation Plant &amp; Machinery</v>
          </cell>
          <cell r="C33">
            <v>-6407553.8099999996</v>
          </cell>
          <cell r="D33">
            <v>0</v>
          </cell>
          <cell r="E33">
            <v>628169</v>
          </cell>
          <cell r="F33">
            <v>-628169</v>
          </cell>
          <cell r="G33">
            <v>0</v>
          </cell>
          <cell r="H33">
            <v>-7035722.8099999996</v>
          </cell>
        </row>
        <row r="34">
          <cell r="A34">
            <v>26030010</v>
          </cell>
          <cell r="B34" t="str">
            <v>Provision For Dep.-Electrical Installations</v>
          </cell>
          <cell r="C34">
            <v>-666428</v>
          </cell>
          <cell r="D34">
            <v>0</v>
          </cell>
          <cell r="E34">
            <v>74734</v>
          </cell>
          <cell r="F34">
            <v>-74734</v>
          </cell>
          <cell r="G34">
            <v>0</v>
          </cell>
          <cell r="H34">
            <v>-741162</v>
          </cell>
        </row>
        <row r="35">
          <cell r="A35">
            <v>26035010</v>
          </cell>
          <cell r="B35" t="str">
            <v>Provision For Dep.-Furniture and Fixtures</v>
          </cell>
          <cell r="C35">
            <v>-358658</v>
          </cell>
          <cell r="D35">
            <v>0</v>
          </cell>
          <cell r="E35">
            <v>35124</v>
          </cell>
          <cell r="F35">
            <v>-35124</v>
          </cell>
          <cell r="G35">
            <v>0</v>
          </cell>
          <cell r="H35">
            <v>-393782</v>
          </cell>
        </row>
        <row r="36">
          <cell r="A36">
            <v>26040010</v>
          </cell>
          <cell r="B36" t="str">
            <v>Provision for Depreciation- Office and Electrical Appliances</v>
          </cell>
          <cell r="C36">
            <v>-288243</v>
          </cell>
          <cell r="D36">
            <v>0</v>
          </cell>
          <cell r="E36">
            <v>29146</v>
          </cell>
          <cell r="F36">
            <v>-29146</v>
          </cell>
          <cell r="G36">
            <v>0</v>
          </cell>
          <cell r="H36">
            <v>-317389</v>
          </cell>
        </row>
        <row r="37">
          <cell r="A37">
            <v>26045010</v>
          </cell>
          <cell r="B37" t="str">
            <v>Provision for Depreciation- Truck Mixers, Loaders &amp; Dumpers</v>
          </cell>
          <cell r="C37">
            <v>-3003657.98</v>
          </cell>
          <cell r="D37">
            <v>0</v>
          </cell>
          <cell r="E37">
            <v>263136</v>
          </cell>
          <cell r="F37">
            <v>-263136</v>
          </cell>
          <cell r="G37">
            <v>0</v>
          </cell>
          <cell r="H37">
            <v>-3266793.98</v>
          </cell>
        </row>
        <row r="38">
          <cell r="A38">
            <v>26055020</v>
          </cell>
          <cell r="B38" t="str">
            <v>Profit &amp; Loss A/c</v>
          </cell>
          <cell r="C38">
            <v>-2090448.28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-2090448.28</v>
          </cell>
        </row>
        <row r="39">
          <cell r="A39">
            <v>26055030</v>
          </cell>
          <cell r="B39" t="str">
            <v>Provision for Leave encashment</v>
          </cell>
          <cell r="C39">
            <v>0</v>
          </cell>
          <cell r="D39">
            <v>37211</v>
          </cell>
          <cell r="E39">
            <v>117211</v>
          </cell>
          <cell r="F39">
            <v>-80000</v>
          </cell>
          <cell r="G39">
            <v>0</v>
          </cell>
          <cell r="H39">
            <v>-80000</v>
          </cell>
        </row>
        <row r="40">
          <cell r="A40">
            <v>26055050</v>
          </cell>
          <cell r="B40" t="str">
            <v>Provision for Production linked incentive (KRA)</v>
          </cell>
          <cell r="C40">
            <v>0</v>
          </cell>
          <cell r="D40">
            <v>0</v>
          </cell>
          <cell r="E40">
            <v>117996</v>
          </cell>
          <cell r="F40">
            <v>-117996</v>
          </cell>
          <cell r="G40">
            <v>0</v>
          </cell>
          <cell r="H40">
            <v>-117996</v>
          </cell>
        </row>
        <row r="41">
          <cell r="A41">
            <v>31010010</v>
          </cell>
          <cell r="B41" t="str">
            <v>Sales</v>
          </cell>
          <cell r="C41">
            <v>0</v>
          </cell>
          <cell r="D41">
            <v>76582.460000000006</v>
          </cell>
          <cell r="E41">
            <v>41864349.07</v>
          </cell>
          <cell r="F41">
            <v>-41787766.609999999</v>
          </cell>
          <cell r="G41">
            <v>0</v>
          </cell>
          <cell r="H41">
            <v>-41787766.609999999</v>
          </cell>
        </row>
        <row r="42">
          <cell r="A42">
            <v>32020020</v>
          </cell>
          <cell r="B42" t="str">
            <v>Misc Income - Scrap sales</v>
          </cell>
          <cell r="C42">
            <v>0</v>
          </cell>
          <cell r="D42">
            <v>0</v>
          </cell>
          <cell r="E42">
            <v>52004.5</v>
          </cell>
          <cell r="F42">
            <v>-52004.5</v>
          </cell>
          <cell r="G42">
            <v>0</v>
          </cell>
          <cell r="H42">
            <v>-52004.5</v>
          </cell>
        </row>
        <row r="43">
          <cell r="A43">
            <v>41010010</v>
          </cell>
          <cell r="B43" t="str">
            <v>Opening Stock - Cement</v>
          </cell>
          <cell r="C43">
            <v>0</v>
          </cell>
          <cell r="D43">
            <v>516183.73</v>
          </cell>
          <cell r="E43">
            <v>0</v>
          </cell>
          <cell r="F43">
            <v>516183.73</v>
          </cell>
          <cell r="G43">
            <v>0</v>
          </cell>
          <cell r="H43">
            <v>516183.73</v>
          </cell>
        </row>
        <row r="44">
          <cell r="A44">
            <v>41010020</v>
          </cell>
          <cell r="B44" t="str">
            <v>Opening Stock - Sand</v>
          </cell>
          <cell r="C44">
            <v>0</v>
          </cell>
          <cell r="D44">
            <v>85914.7</v>
          </cell>
          <cell r="E44">
            <v>0</v>
          </cell>
          <cell r="F44">
            <v>85914.7</v>
          </cell>
          <cell r="G44">
            <v>0</v>
          </cell>
          <cell r="H44">
            <v>85914.7</v>
          </cell>
        </row>
        <row r="45">
          <cell r="A45">
            <v>41010040</v>
          </cell>
          <cell r="B45" t="str">
            <v>Opening Stock - RMC Aggregates</v>
          </cell>
          <cell r="C45">
            <v>0</v>
          </cell>
          <cell r="D45">
            <v>568203.01</v>
          </cell>
          <cell r="E45">
            <v>0</v>
          </cell>
          <cell r="F45">
            <v>568203.01</v>
          </cell>
          <cell r="G45">
            <v>0</v>
          </cell>
          <cell r="H45">
            <v>568203.01</v>
          </cell>
        </row>
        <row r="46">
          <cell r="A46">
            <v>41010050</v>
          </cell>
          <cell r="B46" t="str">
            <v>Opening Stock - Admixtures</v>
          </cell>
          <cell r="C46">
            <v>0</v>
          </cell>
          <cell r="D46">
            <v>312591.63</v>
          </cell>
          <cell r="E46">
            <v>0</v>
          </cell>
          <cell r="F46">
            <v>312591.63</v>
          </cell>
          <cell r="G46">
            <v>0</v>
          </cell>
          <cell r="H46">
            <v>312591.63</v>
          </cell>
        </row>
        <row r="47">
          <cell r="A47">
            <v>41010070</v>
          </cell>
          <cell r="B47" t="str">
            <v>Opening Stock - Flyash</v>
          </cell>
          <cell r="C47">
            <v>0</v>
          </cell>
          <cell r="D47">
            <v>42487.38</v>
          </cell>
          <cell r="E47">
            <v>0</v>
          </cell>
          <cell r="F47">
            <v>42487.38</v>
          </cell>
          <cell r="G47">
            <v>0</v>
          </cell>
          <cell r="H47">
            <v>42487.38</v>
          </cell>
        </row>
        <row r="48">
          <cell r="A48">
            <v>41010080</v>
          </cell>
          <cell r="B48" t="str">
            <v>Opening Stock - Diesel</v>
          </cell>
          <cell r="C48">
            <v>0</v>
          </cell>
          <cell r="D48">
            <v>126205.46</v>
          </cell>
          <cell r="E48">
            <v>0</v>
          </cell>
          <cell r="F48">
            <v>126205.46</v>
          </cell>
          <cell r="G48">
            <v>0</v>
          </cell>
          <cell r="H48">
            <v>126205.46</v>
          </cell>
        </row>
        <row r="49">
          <cell r="A49">
            <v>41020010</v>
          </cell>
          <cell r="B49" t="str">
            <v>Raw Material Purchase - Cement</v>
          </cell>
          <cell r="C49">
            <v>0</v>
          </cell>
          <cell r="D49">
            <v>6386937.8899999997</v>
          </cell>
          <cell r="E49">
            <v>12920547.6</v>
          </cell>
          <cell r="F49">
            <v>-6533609.71</v>
          </cell>
          <cell r="G49">
            <v>0</v>
          </cell>
          <cell r="H49">
            <v>-6533609.71</v>
          </cell>
        </row>
        <row r="50">
          <cell r="A50">
            <v>41020015</v>
          </cell>
          <cell r="B50" t="str">
            <v>Interim account cement received</v>
          </cell>
          <cell r="C50">
            <v>0</v>
          </cell>
          <cell r="D50">
            <v>12738200.48</v>
          </cell>
          <cell r="E50">
            <v>6027859.6399999997</v>
          </cell>
          <cell r="F50">
            <v>6710340.8399999999</v>
          </cell>
          <cell r="G50">
            <v>0</v>
          </cell>
          <cell r="H50">
            <v>6710340.8399999999</v>
          </cell>
        </row>
        <row r="51">
          <cell r="A51">
            <v>41020020</v>
          </cell>
          <cell r="B51" t="str">
            <v>Cement Consumption account</v>
          </cell>
          <cell r="C51">
            <v>0</v>
          </cell>
          <cell r="D51">
            <v>12257190.52</v>
          </cell>
          <cell r="E51">
            <v>0</v>
          </cell>
          <cell r="F51">
            <v>12257190.52</v>
          </cell>
          <cell r="G51">
            <v>0</v>
          </cell>
          <cell r="H51">
            <v>12257190.52</v>
          </cell>
        </row>
        <row r="52">
          <cell r="A52">
            <v>41020030</v>
          </cell>
          <cell r="B52" t="str">
            <v>Raw Material Purchase - Aggregates</v>
          </cell>
          <cell r="C52">
            <v>0</v>
          </cell>
          <cell r="D52">
            <v>4350239.41</v>
          </cell>
          <cell r="E52">
            <v>10057885.84</v>
          </cell>
          <cell r="F52">
            <v>-5707646.4299999997</v>
          </cell>
          <cell r="G52">
            <v>0</v>
          </cell>
          <cell r="H52">
            <v>-5707646.4299999997</v>
          </cell>
        </row>
        <row r="53">
          <cell r="A53">
            <v>41020035</v>
          </cell>
          <cell r="B53" t="str">
            <v>Interim account Aggregate received</v>
          </cell>
          <cell r="C53">
            <v>0</v>
          </cell>
          <cell r="D53">
            <v>9952392.9800000004</v>
          </cell>
          <cell r="E53">
            <v>4178065.47</v>
          </cell>
          <cell r="F53">
            <v>5774327.5099999998</v>
          </cell>
          <cell r="G53">
            <v>0</v>
          </cell>
          <cell r="H53">
            <v>5774327.5099999998</v>
          </cell>
        </row>
        <row r="54">
          <cell r="A54">
            <v>41020040</v>
          </cell>
          <cell r="B54" t="str">
            <v>Aggregate Consumption account</v>
          </cell>
          <cell r="C54">
            <v>0</v>
          </cell>
          <cell r="D54">
            <v>9962435.1099999994</v>
          </cell>
          <cell r="E54">
            <v>64971.07</v>
          </cell>
          <cell r="F54">
            <v>9897464.0399999991</v>
          </cell>
          <cell r="G54">
            <v>0</v>
          </cell>
          <cell r="H54">
            <v>9897464.0399999991</v>
          </cell>
        </row>
        <row r="55">
          <cell r="A55">
            <v>41020050</v>
          </cell>
          <cell r="B55" t="str">
            <v>Raw Material Purchase - Sand</v>
          </cell>
          <cell r="C55">
            <v>0</v>
          </cell>
          <cell r="D55">
            <v>842259.36</v>
          </cell>
          <cell r="E55">
            <v>2094752.7</v>
          </cell>
          <cell r="F55">
            <v>-1252493.3400000001</v>
          </cell>
          <cell r="G55">
            <v>0</v>
          </cell>
          <cell r="H55">
            <v>-1252493.3400000001</v>
          </cell>
        </row>
        <row r="56">
          <cell r="A56">
            <v>41020055</v>
          </cell>
          <cell r="B56" t="str">
            <v>Interim account Sand Received</v>
          </cell>
          <cell r="C56">
            <v>0</v>
          </cell>
          <cell r="D56">
            <v>2114145.89</v>
          </cell>
          <cell r="E56">
            <v>838956.94</v>
          </cell>
          <cell r="F56">
            <v>1275188.95</v>
          </cell>
          <cell r="G56">
            <v>0</v>
          </cell>
          <cell r="H56">
            <v>1275188.95</v>
          </cell>
        </row>
        <row r="57">
          <cell r="A57">
            <v>41020060</v>
          </cell>
          <cell r="B57" t="str">
            <v>Sand Consumption account</v>
          </cell>
          <cell r="C57">
            <v>0</v>
          </cell>
          <cell r="D57">
            <v>2037021.16</v>
          </cell>
          <cell r="E57">
            <v>0</v>
          </cell>
          <cell r="F57">
            <v>2037021.16</v>
          </cell>
          <cell r="G57">
            <v>0</v>
          </cell>
          <cell r="H57">
            <v>2037021.16</v>
          </cell>
        </row>
        <row r="58">
          <cell r="A58">
            <v>41020070</v>
          </cell>
          <cell r="B58" t="str">
            <v>Raw Material Purchase - Admixture</v>
          </cell>
          <cell r="C58">
            <v>0</v>
          </cell>
          <cell r="D58">
            <v>1214098.49</v>
          </cell>
          <cell r="E58">
            <v>1495923.09</v>
          </cell>
          <cell r="F58">
            <v>-281824.59999999998</v>
          </cell>
          <cell r="G58">
            <v>0</v>
          </cell>
          <cell r="H58">
            <v>-281824.59999999998</v>
          </cell>
        </row>
        <row r="59">
          <cell r="A59">
            <v>41020075</v>
          </cell>
          <cell r="B59" t="str">
            <v>Interim account Admixture received</v>
          </cell>
          <cell r="C59">
            <v>0</v>
          </cell>
          <cell r="D59">
            <v>1350650</v>
          </cell>
          <cell r="E59">
            <v>1112412</v>
          </cell>
          <cell r="F59">
            <v>238238</v>
          </cell>
          <cell r="G59">
            <v>0</v>
          </cell>
          <cell r="H59">
            <v>238238</v>
          </cell>
        </row>
        <row r="60">
          <cell r="A60">
            <v>41020080</v>
          </cell>
          <cell r="B60" t="str">
            <v>Admixture Consumption account</v>
          </cell>
          <cell r="C60">
            <v>0</v>
          </cell>
          <cell r="D60">
            <v>1437739.52</v>
          </cell>
          <cell r="E60">
            <v>43372.47</v>
          </cell>
          <cell r="F60">
            <v>1394367.05</v>
          </cell>
          <cell r="G60">
            <v>0</v>
          </cell>
          <cell r="H60">
            <v>1394367.05</v>
          </cell>
        </row>
        <row r="61">
          <cell r="A61">
            <v>41020090</v>
          </cell>
          <cell r="B61" t="str">
            <v>Raw Material  Purchase - Fly Ash</v>
          </cell>
          <cell r="C61">
            <v>0</v>
          </cell>
          <cell r="D61">
            <v>630087.18999999994</v>
          </cell>
          <cell r="E61">
            <v>886812.53</v>
          </cell>
          <cell r="F61">
            <v>-256725.34</v>
          </cell>
          <cell r="G61">
            <v>0</v>
          </cell>
          <cell r="H61">
            <v>-256725.34</v>
          </cell>
        </row>
        <row r="62">
          <cell r="A62">
            <v>41020095</v>
          </cell>
          <cell r="B62" t="str">
            <v>Interim account fly ash received</v>
          </cell>
          <cell r="C62">
            <v>0</v>
          </cell>
          <cell r="D62">
            <v>934734.92</v>
          </cell>
          <cell r="E62">
            <v>626000.93000000005</v>
          </cell>
          <cell r="F62">
            <v>308733.99</v>
          </cell>
          <cell r="G62">
            <v>0</v>
          </cell>
          <cell r="H62">
            <v>308733.99</v>
          </cell>
        </row>
        <row r="63">
          <cell r="A63">
            <v>41020100</v>
          </cell>
          <cell r="B63" t="str">
            <v>Fly Ash Consumption account</v>
          </cell>
          <cell r="C63">
            <v>0</v>
          </cell>
          <cell r="D63">
            <v>840940.19</v>
          </cell>
          <cell r="E63">
            <v>779.63</v>
          </cell>
          <cell r="F63">
            <v>840160.56</v>
          </cell>
          <cell r="G63">
            <v>0</v>
          </cell>
          <cell r="H63">
            <v>840160.56</v>
          </cell>
        </row>
        <row r="64">
          <cell r="A64">
            <v>41020150</v>
          </cell>
          <cell r="B64" t="str">
            <v>Loss/ gain on Stock</v>
          </cell>
          <cell r="C64">
            <v>0</v>
          </cell>
          <cell r="D64">
            <v>208324.51</v>
          </cell>
          <cell r="E64">
            <v>105095.17</v>
          </cell>
          <cell r="F64">
            <v>103229.34</v>
          </cell>
          <cell r="G64">
            <v>0</v>
          </cell>
          <cell r="H64">
            <v>103229.34</v>
          </cell>
        </row>
        <row r="65">
          <cell r="A65">
            <v>41020195</v>
          </cell>
          <cell r="B65" t="str">
            <v>Purchase of Diesel</v>
          </cell>
          <cell r="C65">
            <v>0</v>
          </cell>
          <cell r="D65">
            <v>2523982.17</v>
          </cell>
          <cell r="E65">
            <v>2492170.16</v>
          </cell>
          <cell r="F65">
            <v>31812.01</v>
          </cell>
          <cell r="G65">
            <v>0</v>
          </cell>
          <cell r="H65">
            <v>31812.01</v>
          </cell>
        </row>
        <row r="66">
          <cell r="A66">
            <v>41020200</v>
          </cell>
          <cell r="B66" t="str">
            <v>Interim account for diesel received</v>
          </cell>
          <cell r="C66">
            <v>0</v>
          </cell>
          <cell r="D66">
            <v>2523982.17</v>
          </cell>
          <cell r="E66">
            <v>2523982.17</v>
          </cell>
          <cell r="F66">
            <v>0</v>
          </cell>
          <cell r="G66">
            <v>0</v>
          </cell>
          <cell r="H66">
            <v>0</v>
          </cell>
        </row>
        <row r="67">
          <cell r="A67">
            <v>41050010</v>
          </cell>
          <cell r="B67" t="str">
            <v>Closing Stock - Cement</v>
          </cell>
          <cell r="C67">
            <v>0</v>
          </cell>
          <cell r="D67">
            <v>0</v>
          </cell>
          <cell r="E67">
            <v>692914.86</v>
          </cell>
          <cell r="F67">
            <v>-692914.86</v>
          </cell>
          <cell r="G67">
            <v>0</v>
          </cell>
          <cell r="H67">
            <v>-692914.86</v>
          </cell>
        </row>
        <row r="68">
          <cell r="A68">
            <v>41050020</v>
          </cell>
          <cell r="B68" t="str">
            <v>Closing Stock - Sand</v>
          </cell>
          <cell r="C68">
            <v>0</v>
          </cell>
          <cell r="D68">
            <v>0</v>
          </cell>
          <cell r="E68">
            <v>108610.31</v>
          </cell>
          <cell r="F68">
            <v>-108610.31</v>
          </cell>
          <cell r="G68">
            <v>0</v>
          </cell>
          <cell r="H68">
            <v>-108610.31</v>
          </cell>
        </row>
        <row r="69">
          <cell r="A69">
            <v>41050040</v>
          </cell>
          <cell r="B69" t="str">
            <v>Closing Stock - RMC Aggregates</v>
          </cell>
          <cell r="C69">
            <v>0</v>
          </cell>
          <cell r="D69">
            <v>0</v>
          </cell>
          <cell r="E69">
            <v>634884.09</v>
          </cell>
          <cell r="F69">
            <v>-634884.09</v>
          </cell>
          <cell r="G69">
            <v>0</v>
          </cell>
          <cell r="H69">
            <v>-634884.09</v>
          </cell>
        </row>
        <row r="70">
          <cell r="A70">
            <v>41050050</v>
          </cell>
          <cell r="B70" t="str">
            <v>Closing Stock - Admixtures</v>
          </cell>
          <cell r="C70">
            <v>0</v>
          </cell>
          <cell r="D70">
            <v>0</v>
          </cell>
          <cell r="E70">
            <v>269005.03000000003</v>
          </cell>
          <cell r="F70">
            <v>-269005.03000000003</v>
          </cell>
          <cell r="G70">
            <v>0</v>
          </cell>
          <cell r="H70">
            <v>-269005.03000000003</v>
          </cell>
        </row>
        <row r="71">
          <cell r="A71">
            <v>41050070</v>
          </cell>
          <cell r="B71" t="str">
            <v>Closing Stock - Flyash</v>
          </cell>
          <cell r="C71">
            <v>0</v>
          </cell>
          <cell r="D71">
            <v>0</v>
          </cell>
          <cell r="E71">
            <v>94496.03</v>
          </cell>
          <cell r="F71">
            <v>-94496.03</v>
          </cell>
          <cell r="G71">
            <v>0</v>
          </cell>
          <cell r="H71">
            <v>-94496.03</v>
          </cell>
        </row>
        <row r="72">
          <cell r="A72">
            <v>41050080</v>
          </cell>
          <cell r="B72" t="str">
            <v>Closing Stock - Diesel</v>
          </cell>
          <cell r="C72">
            <v>0</v>
          </cell>
          <cell r="D72">
            <v>0</v>
          </cell>
          <cell r="E72">
            <v>158017.47</v>
          </cell>
          <cell r="F72">
            <v>-158017.47</v>
          </cell>
          <cell r="G72">
            <v>0</v>
          </cell>
          <cell r="H72">
            <v>-158017.47</v>
          </cell>
        </row>
        <row r="73">
          <cell r="A73">
            <v>42010010</v>
          </cell>
          <cell r="B73" t="str">
            <v>Salary - Basic</v>
          </cell>
          <cell r="C73">
            <v>0</v>
          </cell>
          <cell r="D73">
            <v>470885</v>
          </cell>
          <cell r="E73">
            <v>0</v>
          </cell>
          <cell r="F73">
            <v>470885</v>
          </cell>
          <cell r="G73">
            <v>0</v>
          </cell>
          <cell r="H73">
            <v>470885</v>
          </cell>
        </row>
        <row r="74">
          <cell r="A74">
            <v>42010020</v>
          </cell>
          <cell r="B74" t="str">
            <v>House Rent Allowance</v>
          </cell>
          <cell r="C74">
            <v>0</v>
          </cell>
          <cell r="D74">
            <v>233349</v>
          </cell>
          <cell r="E74">
            <v>0</v>
          </cell>
          <cell r="F74">
            <v>233349</v>
          </cell>
          <cell r="G74">
            <v>0</v>
          </cell>
          <cell r="H74">
            <v>233349</v>
          </cell>
        </row>
        <row r="75">
          <cell r="A75">
            <v>42010030</v>
          </cell>
          <cell r="B75" t="str">
            <v>Education Allowance</v>
          </cell>
          <cell r="C75">
            <v>0</v>
          </cell>
          <cell r="D75">
            <v>37400</v>
          </cell>
          <cell r="E75">
            <v>0</v>
          </cell>
          <cell r="F75">
            <v>37400</v>
          </cell>
          <cell r="G75">
            <v>0</v>
          </cell>
          <cell r="H75">
            <v>37400</v>
          </cell>
        </row>
        <row r="76">
          <cell r="A76">
            <v>42010040</v>
          </cell>
          <cell r="B76" t="str">
            <v>Special Allowance</v>
          </cell>
          <cell r="C76">
            <v>0</v>
          </cell>
          <cell r="D76">
            <v>72693</v>
          </cell>
          <cell r="E76">
            <v>0</v>
          </cell>
          <cell r="F76">
            <v>72693</v>
          </cell>
          <cell r="G76">
            <v>0</v>
          </cell>
          <cell r="H76">
            <v>72693</v>
          </cell>
        </row>
        <row r="77">
          <cell r="A77">
            <v>42010050</v>
          </cell>
          <cell r="B77" t="str">
            <v>Medical Expense Reimbursement</v>
          </cell>
          <cell r="C77">
            <v>0</v>
          </cell>
          <cell r="D77">
            <v>85466</v>
          </cell>
          <cell r="E77">
            <v>0</v>
          </cell>
          <cell r="F77">
            <v>85466</v>
          </cell>
          <cell r="G77">
            <v>0</v>
          </cell>
          <cell r="H77">
            <v>85466</v>
          </cell>
        </row>
        <row r="78">
          <cell r="A78">
            <v>42010060</v>
          </cell>
          <cell r="B78" t="str">
            <v>Leave Travel Allowance</v>
          </cell>
          <cell r="C78">
            <v>0</v>
          </cell>
          <cell r="D78">
            <v>135927</v>
          </cell>
          <cell r="E78">
            <v>0</v>
          </cell>
          <cell r="F78">
            <v>135927</v>
          </cell>
          <cell r="G78">
            <v>0</v>
          </cell>
          <cell r="H78">
            <v>135927</v>
          </cell>
        </row>
        <row r="79">
          <cell r="A79">
            <v>42010070</v>
          </cell>
          <cell r="B79" t="str">
            <v>Leave Encashment</v>
          </cell>
          <cell r="C79">
            <v>0</v>
          </cell>
          <cell r="D79">
            <v>117211</v>
          </cell>
          <cell r="E79">
            <v>37211</v>
          </cell>
          <cell r="F79">
            <v>80000</v>
          </cell>
          <cell r="G79">
            <v>0</v>
          </cell>
          <cell r="H79">
            <v>80000</v>
          </cell>
        </row>
        <row r="80">
          <cell r="A80">
            <v>42010090</v>
          </cell>
          <cell r="B80" t="str">
            <v>Overtime Payment</v>
          </cell>
          <cell r="C80">
            <v>0</v>
          </cell>
          <cell r="D80">
            <v>4731</v>
          </cell>
          <cell r="E80">
            <v>0</v>
          </cell>
          <cell r="F80">
            <v>4731</v>
          </cell>
          <cell r="G80">
            <v>0</v>
          </cell>
          <cell r="H80">
            <v>4731</v>
          </cell>
        </row>
        <row r="81">
          <cell r="A81">
            <v>42010100</v>
          </cell>
          <cell r="B81" t="str">
            <v>Transport Allowance</v>
          </cell>
          <cell r="C81">
            <v>0</v>
          </cell>
          <cell r="D81">
            <v>60267</v>
          </cell>
          <cell r="E81">
            <v>0</v>
          </cell>
          <cell r="F81">
            <v>60267</v>
          </cell>
          <cell r="G81">
            <v>0</v>
          </cell>
          <cell r="H81">
            <v>60267</v>
          </cell>
        </row>
        <row r="82">
          <cell r="A82">
            <v>42010130</v>
          </cell>
          <cell r="B82" t="str">
            <v>Production Linked Incentive</v>
          </cell>
          <cell r="C82">
            <v>0</v>
          </cell>
          <cell r="D82">
            <v>117996</v>
          </cell>
          <cell r="E82">
            <v>0</v>
          </cell>
          <cell r="F82">
            <v>117996</v>
          </cell>
          <cell r="G82">
            <v>0</v>
          </cell>
          <cell r="H82">
            <v>117996</v>
          </cell>
        </row>
        <row r="83">
          <cell r="A83">
            <v>42010220</v>
          </cell>
          <cell r="B83" t="str">
            <v>Adhoc Allowance</v>
          </cell>
          <cell r="C83">
            <v>0</v>
          </cell>
          <cell r="D83">
            <v>16382</v>
          </cell>
          <cell r="E83">
            <v>0</v>
          </cell>
          <cell r="F83">
            <v>16382</v>
          </cell>
          <cell r="G83">
            <v>0</v>
          </cell>
          <cell r="H83">
            <v>16382</v>
          </cell>
        </row>
        <row r="84">
          <cell r="A84">
            <v>42010230</v>
          </cell>
          <cell r="B84" t="str">
            <v>Car Allowance</v>
          </cell>
          <cell r="C84">
            <v>0</v>
          </cell>
          <cell r="D84">
            <v>36000</v>
          </cell>
          <cell r="E84">
            <v>0</v>
          </cell>
          <cell r="F84">
            <v>36000</v>
          </cell>
          <cell r="G84">
            <v>0</v>
          </cell>
          <cell r="H84">
            <v>36000</v>
          </cell>
        </row>
        <row r="85">
          <cell r="A85">
            <v>42010240</v>
          </cell>
          <cell r="B85" t="str">
            <v>Driver Allowance</v>
          </cell>
          <cell r="C85">
            <v>0</v>
          </cell>
          <cell r="D85">
            <v>24000</v>
          </cell>
          <cell r="E85">
            <v>0</v>
          </cell>
          <cell r="F85">
            <v>24000</v>
          </cell>
          <cell r="G85">
            <v>0</v>
          </cell>
          <cell r="H85">
            <v>24000</v>
          </cell>
        </row>
        <row r="86">
          <cell r="A86">
            <v>42020010</v>
          </cell>
          <cell r="B86" t="str">
            <v>Provident Funds - Employer's Conribution</v>
          </cell>
          <cell r="C86">
            <v>0</v>
          </cell>
          <cell r="D86">
            <v>28321</v>
          </cell>
          <cell r="E86">
            <v>0</v>
          </cell>
          <cell r="F86">
            <v>28321</v>
          </cell>
          <cell r="G86">
            <v>0</v>
          </cell>
          <cell r="H86">
            <v>28321</v>
          </cell>
        </row>
        <row r="87">
          <cell r="A87">
            <v>42020020</v>
          </cell>
          <cell r="B87" t="str">
            <v>Pension Fund - Employer's Contribution</v>
          </cell>
          <cell r="C87">
            <v>0</v>
          </cell>
          <cell r="D87">
            <v>27759</v>
          </cell>
          <cell r="E87">
            <v>0</v>
          </cell>
          <cell r="F87">
            <v>27759</v>
          </cell>
          <cell r="G87">
            <v>0</v>
          </cell>
          <cell r="H87">
            <v>27759</v>
          </cell>
        </row>
        <row r="88">
          <cell r="A88">
            <v>42030010</v>
          </cell>
          <cell r="B88" t="str">
            <v>Purchases of Safety &amp; Welfare Items - FBT</v>
          </cell>
          <cell r="C88">
            <v>0</v>
          </cell>
          <cell r="D88">
            <v>38249</v>
          </cell>
          <cell r="E88">
            <v>8000</v>
          </cell>
          <cell r="F88">
            <v>30249</v>
          </cell>
          <cell r="G88">
            <v>0</v>
          </cell>
          <cell r="H88">
            <v>30249</v>
          </cell>
        </row>
        <row r="89">
          <cell r="A89">
            <v>42030020</v>
          </cell>
          <cell r="B89" t="str">
            <v>Purchases of Safety &amp; Welfare Items</v>
          </cell>
          <cell r="C89">
            <v>0</v>
          </cell>
          <cell r="D89">
            <v>51366</v>
          </cell>
          <cell r="E89">
            <v>0</v>
          </cell>
          <cell r="F89">
            <v>51366</v>
          </cell>
          <cell r="G89">
            <v>0</v>
          </cell>
          <cell r="H89">
            <v>51366</v>
          </cell>
        </row>
        <row r="90">
          <cell r="A90">
            <v>42030030</v>
          </cell>
          <cell r="B90" t="str">
            <v>Mediclaim Expenses Reimbursement - FBT</v>
          </cell>
          <cell r="C90">
            <v>0</v>
          </cell>
          <cell r="D90">
            <v>3000</v>
          </cell>
          <cell r="E90">
            <v>0</v>
          </cell>
          <cell r="F90">
            <v>3000</v>
          </cell>
          <cell r="G90">
            <v>0</v>
          </cell>
          <cell r="H90">
            <v>3000</v>
          </cell>
        </row>
        <row r="91">
          <cell r="A91">
            <v>42030040</v>
          </cell>
          <cell r="B91" t="str">
            <v>Staff Welfare Expenses - FBT</v>
          </cell>
          <cell r="C91">
            <v>0</v>
          </cell>
          <cell r="D91">
            <v>103417</v>
          </cell>
          <cell r="E91">
            <v>28280</v>
          </cell>
          <cell r="F91">
            <v>75137</v>
          </cell>
          <cell r="G91">
            <v>0</v>
          </cell>
          <cell r="H91">
            <v>75137</v>
          </cell>
        </row>
        <row r="92">
          <cell r="A92">
            <v>43001010</v>
          </cell>
          <cell r="B92" t="str">
            <v>Electricity Charges</v>
          </cell>
          <cell r="C92">
            <v>0</v>
          </cell>
          <cell r="D92">
            <v>564009</v>
          </cell>
          <cell r="E92">
            <v>132509</v>
          </cell>
          <cell r="F92">
            <v>431500</v>
          </cell>
          <cell r="G92">
            <v>0</v>
          </cell>
          <cell r="H92">
            <v>431500</v>
          </cell>
        </row>
        <row r="93">
          <cell r="A93">
            <v>43001020</v>
          </cell>
          <cell r="B93" t="str">
            <v>Water Charges</v>
          </cell>
          <cell r="C93">
            <v>0</v>
          </cell>
          <cell r="D93">
            <v>88875</v>
          </cell>
          <cell r="E93">
            <v>30275</v>
          </cell>
          <cell r="F93">
            <v>58600</v>
          </cell>
          <cell r="G93">
            <v>0</v>
          </cell>
          <cell r="H93">
            <v>58600</v>
          </cell>
        </row>
        <row r="94">
          <cell r="A94">
            <v>43001030</v>
          </cell>
          <cell r="B94" t="str">
            <v>Fuel For Diesel Generator Set</v>
          </cell>
          <cell r="C94">
            <v>0</v>
          </cell>
          <cell r="D94">
            <v>84863.57</v>
          </cell>
          <cell r="E94">
            <v>0</v>
          </cell>
          <cell r="F94">
            <v>84863.57</v>
          </cell>
          <cell r="G94">
            <v>0</v>
          </cell>
          <cell r="H94">
            <v>84863.57</v>
          </cell>
        </row>
        <row r="95">
          <cell r="A95">
            <v>43010010</v>
          </cell>
          <cell r="B95" t="str">
            <v>Consumables</v>
          </cell>
          <cell r="C95">
            <v>0</v>
          </cell>
          <cell r="D95">
            <v>9600</v>
          </cell>
          <cell r="E95">
            <v>2700</v>
          </cell>
          <cell r="F95">
            <v>6900</v>
          </cell>
          <cell r="G95">
            <v>0</v>
          </cell>
          <cell r="H95">
            <v>6900</v>
          </cell>
        </row>
        <row r="96">
          <cell r="A96">
            <v>43012010</v>
          </cell>
          <cell r="B96" t="str">
            <v>Lab Consumables</v>
          </cell>
          <cell r="C96">
            <v>0</v>
          </cell>
          <cell r="D96">
            <v>7920</v>
          </cell>
          <cell r="E96">
            <v>0</v>
          </cell>
          <cell r="F96">
            <v>7920</v>
          </cell>
          <cell r="G96">
            <v>0</v>
          </cell>
          <cell r="H96">
            <v>7920</v>
          </cell>
        </row>
        <row r="97">
          <cell r="A97">
            <v>43012020</v>
          </cell>
          <cell r="B97" t="str">
            <v>Labour / sub contractor for - Pumping Expenses Incurred</v>
          </cell>
          <cell r="C97">
            <v>0</v>
          </cell>
          <cell r="D97">
            <v>750253</v>
          </cell>
          <cell r="E97">
            <v>212933</v>
          </cell>
          <cell r="F97">
            <v>537320</v>
          </cell>
          <cell r="G97">
            <v>0</v>
          </cell>
          <cell r="H97">
            <v>537320</v>
          </cell>
        </row>
        <row r="98">
          <cell r="A98">
            <v>43016010</v>
          </cell>
          <cell r="B98" t="str">
            <v>Transportation Charges</v>
          </cell>
          <cell r="C98">
            <v>0</v>
          </cell>
          <cell r="D98">
            <v>4320</v>
          </cell>
          <cell r="E98">
            <v>0</v>
          </cell>
          <cell r="F98">
            <v>4320</v>
          </cell>
          <cell r="G98">
            <v>0</v>
          </cell>
          <cell r="H98">
            <v>4320</v>
          </cell>
        </row>
        <row r="99">
          <cell r="A99">
            <v>43018010</v>
          </cell>
          <cell r="B99" t="str">
            <v>Repairs &amp; Maintenance</v>
          </cell>
          <cell r="C99">
            <v>0</v>
          </cell>
          <cell r="D99">
            <v>664981.87</v>
          </cell>
          <cell r="E99">
            <v>94650.25</v>
          </cell>
          <cell r="F99">
            <v>570331.62</v>
          </cell>
          <cell r="G99">
            <v>0</v>
          </cell>
          <cell r="H99">
            <v>570331.62</v>
          </cell>
        </row>
        <row r="100">
          <cell r="A100">
            <v>43018020</v>
          </cell>
          <cell r="B100" t="str">
            <v>Oil &amp; Grease</v>
          </cell>
          <cell r="C100">
            <v>0</v>
          </cell>
          <cell r="D100">
            <v>81894.14</v>
          </cell>
          <cell r="E100">
            <v>20000</v>
          </cell>
          <cell r="F100">
            <v>61894.14</v>
          </cell>
          <cell r="G100">
            <v>0</v>
          </cell>
          <cell r="H100">
            <v>61894.14</v>
          </cell>
        </row>
        <row r="101">
          <cell r="A101">
            <v>43020030</v>
          </cell>
          <cell r="B101" t="str">
            <v>Tyres</v>
          </cell>
          <cell r="C101">
            <v>0</v>
          </cell>
          <cell r="D101">
            <v>116188.7</v>
          </cell>
          <cell r="E101">
            <v>15000</v>
          </cell>
          <cell r="F101">
            <v>101188.7</v>
          </cell>
          <cell r="G101">
            <v>0</v>
          </cell>
          <cell r="H101">
            <v>101188.7</v>
          </cell>
        </row>
        <row r="102">
          <cell r="A102">
            <v>43022010</v>
          </cell>
          <cell r="B102" t="str">
            <v>Plant / Office Up Keep Exps</v>
          </cell>
          <cell r="C102">
            <v>0</v>
          </cell>
          <cell r="D102">
            <v>479281</v>
          </cell>
          <cell r="E102">
            <v>130897</v>
          </cell>
          <cell r="F102">
            <v>348384</v>
          </cell>
          <cell r="G102">
            <v>0</v>
          </cell>
          <cell r="H102">
            <v>348384</v>
          </cell>
        </row>
        <row r="103">
          <cell r="A103">
            <v>43030010</v>
          </cell>
          <cell r="B103" t="str">
            <v>Transportation Exps-Labour</v>
          </cell>
          <cell r="C103">
            <v>0</v>
          </cell>
          <cell r="D103">
            <v>281355</v>
          </cell>
          <cell r="E103">
            <v>96000</v>
          </cell>
          <cell r="F103">
            <v>185355</v>
          </cell>
          <cell r="G103">
            <v>0</v>
          </cell>
          <cell r="H103">
            <v>185355</v>
          </cell>
        </row>
        <row r="104">
          <cell r="A104">
            <v>43032010</v>
          </cell>
          <cell r="B104" t="str">
            <v>Rent - Plant</v>
          </cell>
          <cell r="C104">
            <v>0</v>
          </cell>
          <cell r="D104">
            <v>397080</v>
          </cell>
          <cell r="E104">
            <v>132360</v>
          </cell>
          <cell r="F104">
            <v>264720</v>
          </cell>
          <cell r="G104">
            <v>0</v>
          </cell>
          <cell r="H104">
            <v>264720</v>
          </cell>
        </row>
        <row r="105">
          <cell r="A105">
            <v>43032040</v>
          </cell>
          <cell r="B105" t="str">
            <v>Lease Rentals- Machinery</v>
          </cell>
          <cell r="C105">
            <v>0</v>
          </cell>
          <cell r="D105">
            <v>1934525</v>
          </cell>
          <cell r="E105">
            <v>805199</v>
          </cell>
          <cell r="F105">
            <v>1129326</v>
          </cell>
          <cell r="G105">
            <v>0</v>
          </cell>
          <cell r="H105">
            <v>1129326</v>
          </cell>
        </row>
        <row r="106">
          <cell r="A106">
            <v>43032045</v>
          </cell>
          <cell r="B106" t="str">
            <v>Towing Expenses</v>
          </cell>
          <cell r="C106">
            <v>0</v>
          </cell>
          <cell r="D106">
            <v>250775.08</v>
          </cell>
          <cell r="E106">
            <v>56500</v>
          </cell>
          <cell r="F106">
            <v>194275.08</v>
          </cell>
          <cell r="G106">
            <v>0</v>
          </cell>
          <cell r="H106">
            <v>194275.08</v>
          </cell>
        </row>
        <row r="107">
          <cell r="A107">
            <v>43036010</v>
          </cell>
          <cell r="B107" t="str">
            <v>Insurance Expenses</v>
          </cell>
          <cell r="C107">
            <v>0</v>
          </cell>
          <cell r="D107">
            <v>27870</v>
          </cell>
          <cell r="E107">
            <v>0</v>
          </cell>
          <cell r="F107">
            <v>27870</v>
          </cell>
          <cell r="G107">
            <v>0</v>
          </cell>
          <cell r="H107">
            <v>27870</v>
          </cell>
        </row>
        <row r="108">
          <cell r="A108">
            <v>43038020</v>
          </cell>
          <cell r="B108" t="str">
            <v>Courier Expenses</v>
          </cell>
          <cell r="C108">
            <v>0</v>
          </cell>
          <cell r="D108">
            <v>3010</v>
          </cell>
          <cell r="E108">
            <v>954</v>
          </cell>
          <cell r="F108">
            <v>2056</v>
          </cell>
          <cell r="G108">
            <v>0</v>
          </cell>
          <cell r="H108">
            <v>2056</v>
          </cell>
        </row>
        <row r="109">
          <cell r="A109">
            <v>43038030</v>
          </cell>
          <cell r="B109" t="str">
            <v>Telephone Expenses</v>
          </cell>
          <cell r="C109">
            <v>0</v>
          </cell>
          <cell r="D109">
            <v>17936</v>
          </cell>
          <cell r="E109">
            <v>9721</v>
          </cell>
          <cell r="F109">
            <v>8215</v>
          </cell>
          <cell r="G109">
            <v>0</v>
          </cell>
          <cell r="H109">
            <v>8215</v>
          </cell>
        </row>
        <row r="110">
          <cell r="A110">
            <v>43038050</v>
          </cell>
          <cell r="B110" t="str">
            <v>Telephone Chgs - Mobile  FBT</v>
          </cell>
          <cell r="C110">
            <v>0</v>
          </cell>
          <cell r="D110">
            <v>113623</v>
          </cell>
          <cell r="E110">
            <v>50941</v>
          </cell>
          <cell r="F110">
            <v>62682</v>
          </cell>
          <cell r="G110">
            <v>0</v>
          </cell>
          <cell r="H110">
            <v>62682</v>
          </cell>
        </row>
        <row r="111">
          <cell r="A111">
            <v>43040010</v>
          </cell>
          <cell r="B111" t="str">
            <v>Conveyance Expenses - FBT</v>
          </cell>
          <cell r="C111">
            <v>0</v>
          </cell>
          <cell r="D111">
            <v>110546</v>
          </cell>
          <cell r="E111">
            <v>32000</v>
          </cell>
          <cell r="F111">
            <v>78546</v>
          </cell>
          <cell r="G111">
            <v>0</v>
          </cell>
          <cell r="H111">
            <v>78546</v>
          </cell>
        </row>
        <row r="112">
          <cell r="A112">
            <v>43040040</v>
          </cell>
          <cell r="B112" t="str">
            <v>Motor Car Hire Expenses</v>
          </cell>
          <cell r="C112">
            <v>0</v>
          </cell>
          <cell r="D112">
            <v>262820</v>
          </cell>
          <cell r="E112">
            <v>87500</v>
          </cell>
          <cell r="F112">
            <v>175320</v>
          </cell>
          <cell r="G112">
            <v>0</v>
          </cell>
          <cell r="H112">
            <v>175320</v>
          </cell>
        </row>
        <row r="113">
          <cell r="A113">
            <v>43040080</v>
          </cell>
          <cell r="B113" t="str">
            <v>Travelling Expenses - Domestic - FBT</v>
          </cell>
          <cell r="C113">
            <v>0</v>
          </cell>
          <cell r="D113">
            <v>9206</v>
          </cell>
          <cell r="E113">
            <v>1451</v>
          </cell>
          <cell r="F113">
            <v>7755</v>
          </cell>
          <cell r="G113">
            <v>0</v>
          </cell>
          <cell r="H113">
            <v>7755</v>
          </cell>
        </row>
        <row r="114">
          <cell r="A114">
            <v>43040100</v>
          </cell>
          <cell r="B114" t="str">
            <v>Hotel Expenses  - FBT</v>
          </cell>
          <cell r="C114">
            <v>0</v>
          </cell>
          <cell r="D114">
            <v>43973</v>
          </cell>
          <cell r="E114">
            <v>8031</v>
          </cell>
          <cell r="F114">
            <v>35942</v>
          </cell>
          <cell r="G114">
            <v>0</v>
          </cell>
          <cell r="H114">
            <v>35942</v>
          </cell>
        </row>
        <row r="115">
          <cell r="A115">
            <v>43042010</v>
          </cell>
          <cell r="B115" t="str">
            <v>Fuel - Truck Mixers</v>
          </cell>
          <cell r="C115">
            <v>0</v>
          </cell>
          <cell r="D115">
            <v>1375646.9</v>
          </cell>
          <cell r="E115">
            <v>687823.45</v>
          </cell>
          <cell r="F115">
            <v>687823.45</v>
          </cell>
          <cell r="G115">
            <v>0</v>
          </cell>
          <cell r="H115">
            <v>687823.45</v>
          </cell>
        </row>
        <row r="116">
          <cell r="A116">
            <v>43042020</v>
          </cell>
          <cell r="B116" t="str">
            <v>Fuel - Loader</v>
          </cell>
          <cell r="C116">
            <v>0</v>
          </cell>
          <cell r="D116">
            <v>81334.759999999995</v>
          </cell>
          <cell r="E116">
            <v>0</v>
          </cell>
          <cell r="F116">
            <v>81334.759999999995</v>
          </cell>
          <cell r="G116">
            <v>0</v>
          </cell>
          <cell r="H116">
            <v>81334.759999999995</v>
          </cell>
        </row>
        <row r="117">
          <cell r="A117">
            <v>43042040</v>
          </cell>
          <cell r="B117" t="str">
            <v>Fuel -  Company Vehicle Expenses  FBT</v>
          </cell>
          <cell r="C117">
            <v>0</v>
          </cell>
          <cell r="D117">
            <v>53558</v>
          </cell>
          <cell r="E117">
            <v>48413</v>
          </cell>
          <cell r="F117">
            <v>5145</v>
          </cell>
          <cell r="G117">
            <v>0</v>
          </cell>
          <cell r="H117">
            <v>5145</v>
          </cell>
        </row>
        <row r="118">
          <cell r="A118">
            <v>43042050</v>
          </cell>
          <cell r="B118" t="str">
            <v>Fuel -  External Trucks/Pumps</v>
          </cell>
          <cell r="C118">
            <v>0</v>
          </cell>
          <cell r="D118">
            <v>2812944.4</v>
          </cell>
          <cell r="E118">
            <v>1460927.16</v>
          </cell>
          <cell r="F118">
            <v>1352017.24</v>
          </cell>
          <cell r="G118">
            <v>0</v>
          </cell>
          <cell r="H118">
            <v>1352017.24</v>
          </cell>
        </row>
        <row r="119">
          <cell r="A119">
            <v>43042060</v>
          </cell>
          <cell r="B119" t="str">
            <v>Fuel - Concrete Pumps</v>
          </cell>
          <cell r="C119">
            <v>0</v>
          </cell>
          <cell r="D119">
            <v>570836.43999999994</v>
          </cell>
          <cell r="E119">
            <v>385306.42</v>
          </cell>
          <cell r="F119">
            <v>185530.02</v>
          </cell>
          <cell r="G119">
            <v>0</v>
          </cell>
          <cell r="H119">
            <v>185530.02</v>
          </cell>
        </row>
        <row r="120">
          <cell r="A120">
            <v>43046010</v>
          </cell>
          <cell r="B120" t="str">
            <v>Rates &amp; Taxes</v>
          </cell>
          <cell r="C120">
            <v>0</v>
          </cell>
          <cell r="D120">
            <v>124452</v>
          </cell>
          <cell r="E120">
            <v>30600</v>
          </cell>
          <cell r="F120">
            <v>93852</v>
          </cell>
          <cell r="G120">
            <v>0</v>
          </cell>
          <cell r="H120">
            <v>93852</v>
          </cell>
        </row>
        <row r="121">
          <cell r="A121">
            <v>43046020</v>
          </cell>
          <cell r="B121" t="str">
            <v>Toll Charges- Truck Mixer</v>
          </cell>
          <cell r="C121">
            <v>0</v>
          </cell>
          <cell r="D121">
            <v>62593</v>
          </cell>
          <cell r="E121">
            <v>7089</v>
          </cell>
          <cell r="F121">
            <v>55504</v>
          </cell>
          <cell r="G121">
            <v>0</v>
          </cell>
          <cell r="H121">
            <v>55504</v>
          </cell>
        </row>
        <row r="122">
          <cell r="A122">
            <v>43046030</v>
          </cell>
          <cell r="B122" t="str">
            <v>Fines &amp; Penalties</v>
          </cell>
          <cell r="C122">
            <v>0</v>
          </cell>
          <cell r="D122">
            <v>3750</v>
          </cell>
          <cell r="E122">
            <v>100</v>
          </cell>
          <cell r="F122">
            <v>3650</v>
          </cell>
          <cell r="G122">
            <v>0</v>
          </cell>
          <cell r="H122">
            <v>3650</v>
          </cell>
        </row>
        <row r="123">
          <cell r="A123">
            <v>43052010</v>
          </cell>
          <cell r="B123" t="str">
            <v>Security Service Charges</v>
          </cell>
          <cell r="C123">
            <v>0</v>
          </cell>
          <cell r="D123">
            <v>210154</v>
          </cell>
          <cell r="E123">
            <v>70905</v>
          </cell>
          <cell r="F123">
            <v>139249</v>
          </cell>
          <cell r="G123">
            <v>0</v>
          </cell>
          <cell r="H123">
            <v>139249</v>
          </cell>
        </row>
        <row r="124">
          <cell r="A124">
            <v>43054010</v>
          </cell>
          <cell r="B124" t="str">
            <v>Hire Charges - Machine</v>
          </cell>
          <cell r="C124">
            <v>0</v>
          </cell>
          <cell r="D124">
            <v>95000</v>
          </cell>
          <cell r="E124">
            <v>15000</v>
          </cell>
          <cell r="F124">
            <v>80000</v>
          </cell>
          <cell r="G124">
            <v>0</v>
          </cell>
          <cell r="H124">
            <v>80000</v>
          </cell>
        </row>
        <row r="125">
          <cell r="A125">
            <v>43054020</v>
          </cell>
          <cell r="B125" t="str">
            <v>Concrete Carrying Charges - TM</v>
          </cell>
          <cell r="C125">
            <v>0</v>
          </cell>
          <cell r="D125">
            <v>2181702</v>
          </cell>
          <cell r="E125">
            <v>682672</v>
          </cell>
          <cell r="F125">
            <v>1499030</v>
          </cell>
          <cell r="G125">
            <v>0</v>
          </cell>
          <cell r="H125">
            <v>1499030</v>
          </cell>
        </row>
        <row r="126">
          <cell r="A126">
            <v>43054030</v>
          </cell>
          <cell r="B126" t="str">
            <v>Concrete Placing Charges Pump</v>
          </cell>
          <cell r="C126">
            <v>0</v>
          </cell>
          <cell r="D126">
            <v>738109</v>
          </cell>
          <cell r="E126">
            <v>193025</v>
          </cell>
          <cell r="F126">
            <v>545084</v>
          </cell>
          <cell r="G126">
            <v>0</v>
          </cell>
          <cell r="H126">
            <v>545084</v>
          </cell>
        </row>
        <row r="127">
          <cell r="A127">
            <v>43056010</v>
          </cell>
          <cell r="B127" t="str">
            <v>Professional &amp; Consultancy Fees</v>
          </cell>
          <cell r="C127">
            <v>0</v>
          </cell>
          <cell r="D127">
            <v>184208</v>
          </cell>
          <cell r="E127">
            <v>44000</v>
          </cell>
          <cell r="F127">
            <v>140208</v>
          </cell>
          <cell r="G127">
            <v>0</v>
          </cell>
          <cell r="H127">
            <v>140208</v>
          </cell>
        </row>
        <row r="128">
          <cell r="A128">
            <v>43056020</v>
          </cell>
          <cell r="B128" t="str">
            <v>Legal fees - Court fee on which TDS is not recovered</v>
          </cell>
          <cell r="C128">
            <v>0</v>
          </cell>
          <cell r="D128">
            <v>182</v>
          </cell>
          <cell r="E128">
            <v>0</v>
          </cell>
          <cell r="F128">
            <v>182</v>
          </cell>
          <cell r="G128">
            <v>0</v>
          </cell>
          <cell r="H128">
            <v>182</v>
          </cell>
        </row>
        <row r="129">
          <cell r="A129">
            <v>43066010</v>
          </cell>
          <cell r="B129" t="str">
            <v>Books &amp; Periodicals</v>
          </cell>
          <cell r="C129">
            <v>0</v>
          </cell>
          <cell r="D129">
            <v>660</v>
          </cell>
          <cell r="E129">
            <v>660</v>
          </cell>
          <cell r="F129">
            <v>0</v>
          </cell>
          <cell r="G129">
            <v>0</v>
          </cell>
          <cell r="H129">
            <v>0</v>
          </cell>
        </row>
        <row r="130">
          <cell r="A130">
            <v>43066020</v>
          </cell>
          <cell r="B130" t="str">
            <v>Printing &amp; Stationery</v>
          </cell>
          <cell r="C130">
            <v>0</v>
          </cell>
          <cell r="D130">
            <v>24376</v>
          </cell>
          <cell r="E130">
            <v>2929</v>
          </cell>
          <cell r="F130">
            <v>21447</v>
          </cell>
          <cell r="G130">
            <v>0</v>
          </cell>
          <cell r="H130">
            <v>21447</v>
          </cell>
        </row>
        <row r="131">
          <cell r="A131">
            <v>43074010</v>
          </cell>
          <cell r="B131" t="str">
            <v>Provision For Bad &amp; Doubtful Debts W/Off</v>
          </cell>
          <cell r="C131">
            <v>0</v>
          </cell>
          <cell r="D131">
            <v>540423</v>
          </cell>
          <cell r="E131">
            <v>100000</v>
          </cell>
          <cell r="F131">
            <v>440423</v>
          </cell>
          <cell r="G131">
            <v>0</v>
          </cell>
          <cell r="H131">
            <v>440423</v>
          </cell>
        </row>
        <row r="132">
          <cell r="A132">
            <v>43084020</v>
          </cell>
          <cell r="B132" t="str">
            <v>Testing Charges</v>
          </cell>
          <cell r="C132">
            <v>0</v>
          </cell>
          <cell r="D132">
            <v>8294</v>
          </cell>
          <cell r="E132">
            <v>0</v>
          </cell>
          <cell r="F132">
            <v>8294</v>
          </cell>
          <cell r="G132">
            <v>0</v>
          </cell>
          <cell r="H132">
            <v>8294</v>
          </cell>
        </row>
        <row r="133">
          <cell r="A133">
            <v>43084030</v>
          </cell>
          <cell r="B133" t="str">
            <v>Rounding Off</v>
          </cell>
          <cell r="C133">
            <v>0</v>
          </cell>
          <cell r="D133">
            <v>1387.98</v>
          </cell>
          <cell r="E133">
            <v>467.78</v>
          </cell>
          <cell r="F133">
            <v>920.2</v>
          </cell>
          <cell r="G133">
            <v>0</v>
          </cell>
          <cell r="H133">
            <v>920.2</v>
          </cell>
        </row>
        <row r="134">
          <cell r="A134">
            <v>44010040</v>
          </cell>
          <cell r="B134" t="str">
            <v>Bank Charges</v>
          </cell>
          <cell r="C134">
            <v>0</v>
          </cell>
          <cell r="D134">
            <v>4256.13</v>
          </cell>
          <cell r="E134">
            <v>0</v>
          </cell>
          <cell r="F134">
            <v>4256.13</v>
          </cell>
          <cell r="G134">
            <v>0</v>
          </cell>
          <cell r="H134">
            <v>4256.13</v>
          </cell>
        </row>
        <row r="135">
          <cell r="A135">
            <v>45010010</v>
          </cell>
          <cell r="B135" t="str">
            <v>Depreciation</v>
          </cell>
          <cell r="C135">
            <v>0</v>
          </cell>
          <cell r="D135">
            <v>1146805</v>
          </cell>
          <cell r="E135">
            <v>0</v>
          </cell>
          <cell r="F135">
            <v>1146805</v>
          </cell>
          <cell r="G135">
            <v>0</v>
          </cell>
          <cell r="H135">
            <v>1146805</v>
          </cell>
        </row>
        <row r="136">
          <cell r="A136">
            <v>46040010</v>
          </cell>
          <cell r="B136" t="str">
            <v>Plant Shifting Expenses</v>
          </cell>
          <cell r="C136">
            <v>0</v>
          </cell>
          <cell r="D136">
            <v>2704</v>
          </cell>
          <cell r="E136">
            <v>0</v>
          </cell>
          <cell r="F136">
            <v>2704</v>
          </cell>
          <cell r="G136">
            <v>0</v>
          </cell>
          <cell r="H136">
            <v>2704</v>
          </cell>
        </row>
        <row r="137">
          <cell r="A137">
            <v>52000000</v>
          </cell>
          <cell r="B137" t="str">
            <v>Inter Branch Control Account</v>
          </cell>
          <cell r="C137">
            <v>-57811880.350000001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-57811880.350000001</v>
          </cell>
        </row>
        <row r="138">
          <cell r="A138">
            <v>52000809</v>
          </cell>
          <cell r="B138" t="str">
            <v>Inter branch control account for 08-09</v>
          </cell>
          <cell r="C138">
            <v>-16421694.890000001</v>
          </cell>
          <cell r="D138">
            <v>9690483.1600000001</v>
          </cell>
          <cell r="E138">
            <v>9572648.6500000004</v>
          </cell>
          <cell r="F138">
            <v>117834.51</v>
          </cell>
          <cell r="G138">
            <v>0</v>
          </cell>
          <cell r="H138">
            <v>-16303860.380000001</v>
          </cell>
        </row>
        <row r="139">
          <cell r="A139">
            <v>61000200</v>
          </cell>
          <cell r="B139" t="str">
            <v>Stock Transfer Control Account</v>
          </cell>
          <cell r="C139">
            <v>0</v>
          </cell>
          <cell r="D139">
            <v>426116.99</v>
          </cell>
          <cell r="E139">
            <v>426116.99</v>
          </cell>
          <cell r="F139">
            <v>0</v>
          </cell>
          <cell r="G139">
            <v>0</v>
          </cell>
          <cell r="H139">
            <v>0</v>
          </cell>
        </row>
        <row r="140">
          <cell r="A140">
            <v>61000400</v>
          </cell>
          <cell r="B140" t="str">
            <v>Control Account Haulage Income</v>
          </cell>
          <cell r="C140">
            <v>0</v>
          </cell>
          <cell r="D140">
            <v>6056676</v>
          </cell>
          <cell r="E140">
            <v>6056676</v>
          </cell>
          <cell r="F140">
            <v>0</v>
          </cell>
          <cell r="G140">
            <v>0</v>
          </cell>
          <cell r="H140">
            <v>0</v>
          </cell>
        </row>
        <row r="141">
          <cell r="A141">
            <v>61000500</v>
          </cell>
          <cell r="B141" t="str">
            <v>Control Account for Pumping</v>
          </cell>
          <cell r="C141">
            <v>0</v>
          </cell>
          <cell r="D141">
            <v>2107275</v>
          </cell>
          <cell r="E141">
            <v>2107275</v>
          </cell>
          <cell r="F141">
            <v>0</v>
          </cell>
          <cell r="G141">
            <v>0</v>
          </cell>
          <cell r="H141">
            <v>0</v>
          </cell>
        </row>
        <row r="142">
          <cell r="A142">
            <v>62000000</v>
          </cell>
          <cell r="B142" t="str">
            <v>Inter branch Clearing account</v>
          </cell>
          <cell r="C142">
            <v>0</v>
          </cell>
          <cell r="D142">
            <v>14435696.039999999</v>
          </cell>
          <cell r="E142">
            <v>14435696.039999999</v>
          </cell>
          <cell r="F142">
            <v>0</v>
          </cell>
          <cell r="G142">
            <v>0</v>
          </cell>
          <cell r="H142">
            <v>0</v>
          </cell>
        </row>
        <row r="143">
          <cell r="B143" t="str">
            <v>Total</v>
          </cell>
          <cell r="D143">
            <v>0</v>
          </cell>
          <cell r="E143">
            <v>284374810.10000002</v>
          </cell>
          <cell r="F143">
            <v>284374810.10000002</v>
          </cell>
          <cell r="G143">
            <v>0</v>
          </cell>
          <cell r="H143">
            <v>0</v>
          </cell>
        </row>
      </sheetData>
      <sheetData sheetId="5" refreshError="1">
        <row r="1">
          <cell r="A1" t="str">
            <v>RMC Readymix (I) Pvt. Ltd.,</v>
          </cell>
          <cell r="B1" t="str">
            <v>Trial balance</v>
          </cell>
          <cell r="C1">
            <v>39969</v>
          </cell>
          <cell r="D1">
            <v>0.66410879629629627</v>
          </cell>
          <cell r="E1" t="str">
            <v>Page 1</v>
          </cell>
          <cell r="F1" t="str">
            <v>Bangalore</v>
          </cell>
        </row>
        <row r="2">
          <cell r="A2" t="str">
            <v>Period</v>
          </cell>
          <cell r="B2">
            <v>39904</v>
          </cell>
          <cell r="C2">
            <v>39964</v>
          </cell>
        </row>
        <row r="3">
          <cell r="A3" t="str">
            <v>Ledger account</v>
          </cell>
          <cell r="B3" t="str">
            <v>Account name</v>
          </cell>
          <cell r="C3" t="str">
            <v>Opening balance</v>
          </cell>
          <cell r="D3" t="str">
            <v>Debit</v>
          </cell>
          <cell r="E3" t="str">
            <v>Credit</v>
          </cell>
          <cell r="F3" t="str">
            <v>Net difference</v>
          </cell>
          <cell r="G3" t="str">
            <v>Closing transactions</v>
          </cell>
          <cell r="H3" t="str">
            <v>Closing balance</v>
          </cell>
        </row>
        <row r="4">
          <cell r="A4">
            <v>11010010</v>
          </cell>
          <cell r="B4" t="str">
            <v>Freehold Land</v>
          </cell>
          <cell r="C4">
            <v>18029300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18029300</v>
          </cell>
        </row>
        <row r="5">
          <cell r="A5">
            <v>11015010</v>
          </cell>
          <cell r="B5" t="str">
            <v>Buildings</v>
          </cell>
          <cell r="C5">
            <v>26872135.079999998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26872135.079999998</v>
          </cell>
        </row>
        <row r="6">
          <cell r="A6">
            <v>11025010</v>
          </cell>
          <cell r="B6" t="str">
            <v>Plant and Machinery</v>
          </cell>
          <cell r="C6">
            <v>269684143.74000001</v>
          </cell>
          <cell r="D6">
            <v>48492</v>
          </cell>
          <cell r="E6">
            <v>0</v>
          </cell>
          <cell r="F6">
            <v>48492</v>
          </cell>
          <cell r="G6">
            <v>0</v>
          </cell>
          <cell r="H6">
            <v>269732635.74000001</v>
          </cell>
        </row>
        <row r="7">
          <cell r="A7">
            <v>11030010</v>
          </cell>
          <cell r="B7" t="str">
            <v>Electrical Installations</v>
          </cell>
          <cell r="C7">
            <v>17822520.300000001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17822520.300000001</v>
          </cell>
        </row>
        <row r="8">
          <cell r="A8">
            <v>11035010</v>
          </cell>
          <cell r="B8" t="str">
            <v>Furniture &amp; Fixtures</v>
          </cell>
          <cell r="C8">
            <v>5674407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5674407</v>
          </cell>
        </row>
        <row r="9">
          <cell r="A9">
            <v>11040010</v>
          </cell>
          <cell r="B9" t="str">
            <v>Office &amp; Electrical Appliances</v>
          </cell>
          <cell r="C9">
            <v>12106879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12106879</v>
          </cell>
        </row>
        <row r="10">
          <cell r="A10">
            <v>11045010</v>
          </cell>
          <cell r="B10" t="str">
            <v>Truck Mixers, Loaders &amp; Truck Dumpers</v>
          </cell>
          <cell r="C10">
            <v>77069049.799999997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77069049.799999997</v>
          </cell>
        </row>
        <row r="11">
          <cell r="A11">
            <v>11050010</v>
          </cell>
          <cell r="B11" t="str">
            <v>Motor Vehicles &amp; Technical Vans</v>
          </cell>
          <cell r="C11">
            <v>6855222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6855222</v>
          </cell>
        </row>
        <row r="12">
          <cell r="A12">
            <v>11060010</v>
          </cell>
          <cell r="B12" t="str">
            <v>Capital W.I.P</v>
          </cell>
          <cell r="C12">
            <v>0</v>
          </cell>
          <cell r="D12">
            <v>48492</v>
          </cell>
          <cell r="E12">
            <v>48492</v>
          </cell>
          <cell r="F12">
            <v>0</v>
          </cell>
          <cell r="G12">
            <v>0</v>
          </cell>
          <cell r="H12">
            <v>0</v>
          </cell>
        </row>
        <row r="13">
          <cell r="A13">
            <v>13005010</v>
          </cell>
          <cell r="B13" t="str">
            <v>Stores and spare  Local</v>
          </cell>
          <cell r="C13">
            <v>1349457</v>
          </cell>
          <cell r="D13">
            <v>0</v>
          </cell>
          <cell r="E13">
            <v>1349457</v>
          </cell>
          <cell r="F13">
            <v>-1349457</v>
          </cell>
          <cell r="G13">
            <v>0</v>
          </cell>
          <cell r="H13">
            <v>0</v>
          </cell>
        </row>
        <row r="14">
          <cell r="A14">
            <v>13015010</v>
          </cell>
          <cell r="B14" t="str">
            <v>Balance Sheet Stock of Raw material - RMC</v>
          </cell>
          <cell r="C14">
            <v>5925069.1500000004</v>
          </cell>
          <cell r="D14">
            <v>13170918.33</v>
          </cell>
          <cell r="E14">
            <v>11850138.300000001</v>
          </cell>
          <cell r="F14">
            <v>1320780.03</v>
          </cell>
          <cell r="G14">
            <v>0</v>
          </cell>
          <cell r="H14">
            <v>7245849.1799999997</v>
          </cell>
        </row>
        <row r="15">
          <cell r="A15">
            <v>13015020</v>
          </cell>
          <cell r="B15" t="str">
            <v>Balance sheet Boulder production</v>
          </cell>
          <cell r="C15">
            <v>-12888392.99</v>
          </cell>
          <cell r="D15">
            <v>45221123.729999997</v>
          </cell>
          <cell r="E15">
            <v>32728918.5</v>
          </cell>
          <cell r="F15">
            <v>12492205.23</v>
          </cell>
          <cell r="G15">
            <v>0</v>
          </cell>
          <cell r="H15">
            <v>-396187.76</v>
          </cell>
        </row>
        <row r="16">
          <cell r="A16">
            <v>13015030</v>
          </cell>
          <cell r="B16" t="str">
            <v>Balance sheet Aggregate Production</v>
          </cell>
          <cell r="C16">
            <v>5227304.68</v>
          </cell>
          <cell r="D16">
            <v>36834724.609999999</v>
          </cell>
          <cell r="E16">
            <v>43920558.590000004</v>
          </cell>
          <cell r="F16">
            <v>-7085833.9800000004</v>
          </cell>
          <cell r="G16">
            <v>0</v>
          </cell>
          <cell r="H16">
            <v>-1858529.3</v>
          </cell>
        </row>
        <row r="17">
          <cell r="A17">
            <v>13015040</v>
          </cell>
          <cell r="B17" t="str">
            <v>Balance Sheet CRF Production</v>
          </cell>
          <cell r="C17">
            <v>1794454.29</v>
          </cell>
          <cell r="D17">
            <v>5236069.79</v>
          </cell>
          <cell r="E17">
            <v>7178488.4199999999</v>
          </cell>
          <cell r="F17">
            <v>-1942418.63</v>
          </cell>
          <cell r="G17">
            <v>0</v>
          </cell>
          <cell r="H17">
            <v>-147964.34</v>
          </cell>
        </row>
        <row r="18">
          <cell r="A18">
            <v>13015050</v>
          </cell>
          <cell r="B18" t="str">
            <v>Balance Sheet Quarry Stock Valuation</v>
          </cell>
          <cell r="C18">
            <v>19388067.489999998</v>
          </cell>
          <cell r="D18">
            <v>32949883.109999999</v>
          </cell>
          <cell r="E18">
            <v>38776134.979999997</v>
          </cell>
          <cell r="F18">
            <v>-5826251.8700000001</v>
          </cell>
          <cell r="G18">
            <v>0</v>
          </cell>
          <cell r="H18">
            <v>13561815.619999999</v>
          </cell>
        </row>
        <row r="19">
          <cell r="A19">
            <v>13020010</v>
          </cell>
          <cell r="B19" t="str">
            <v>Sundry Debtors Account</v>
          </cell>
          <cell r="C19">
            <v>126477344.89</v>
          </cell>
          <cell r="D19">
            <v>159458350</v>
          </cell>
          <cell r="E19">
            <v>144185581.75</v>
          </cell>
          <cell r="F19">
            <v>15272768.25</v>
          </cell>
          <cell r="G19">
            <v>0</v>
          </cell>
          <cell r="H19">
            <v>141750113.13999999</v>
          </cell>
        </row>
        <row r="20">
          <cell r="A20">
            <v>13025010</v>
          </cell>
          <cell r="B20" t="str">
            <v>Cash In Hand</v>
          </cell>
          <cell r="C20">
            <v>71226</v>
          </cell>
          <cell r="D20">
            <v>1035912</v>
          </cell>
          <cell r="E20">
            <v>841075</v>
          </cell>
          <cell r="F20">
            <v>194837</v>
          </cell>
          <cell r="G20">
            <v>0</v>
          </cell>
          <cell r="H20">
            <v>266063</v>
          </cell>
        </row>
        <row r="21">
          <cell r="A21">
            <v>13035010</v>
          </cell>
          <cell r="B21" t="str">
            <v>Bank Account</v>
          </cell>
          <cell r="C21">
            <v>379632.46</v>
          </cell>
          <cell r="D21">
            <v>161955375.25999999</v>
          </cell>
          <cell r="E21">
            <v>168094589.91999999</v>
          </cell>
          <cell r="F21">
            <v>-6139214.6600000001</v>
          </cell>
          <cell r="G21">
            <v>0</v>
          </cell>
          <cell r="H21">
            <v>-5759582.2000000002</v>
          </cell>
        </row>
        <row r="22">
          <cell r="A22">
            <v>13040030</v>
          </cell>
          <cell r="B22" t="str">
            <v>Cheques in Hand collected from parties as on 31.03</v>
          </cell>
          <cell r="C22">
            <v>13853154</v>
          </cell>
          <cell r="D22">
            <v>0</v>
          </cell>
          <cell r="E22">
            <v>13853154</v>
          </cell>
          <cell r="F22">
            <v>-13853154</v>
          </cell>
          <cell r="G22">
            <v>0</v>
          </cell>
          <cell r="H22">
            <v>0</v>
          </cell>
        </row>
        <row r="23">
          <cell r="A23">
            <v>13045020</v>
          </cell>
          <cell r="B23" t="str">
            <v>Loans and advances to employees</v>
          </cell>
          <cell r="C23">
            <v>215534</v>
          </cell>
          <cell r="D23">
            <v>282101</v>
          </cell>
          <cell r="E23">
            <v>298560</v>
          </cell>
          <cell r="F23">
            <v>-16459</v>
          </cell>
          <cell r="G23">
            <v>0</v>
          </cell>
          <cell r="H23">
            <v>199075</v>
          </cell>
        </row>
        <row r="24">
          <cell r="A24">
            <v>13045030</v>
          </cell>
          <cell r="B24" t="str">
            <v>Other Advances</v>
          </cell>
          <cell r="C24">
            <v>10581068</v>
          </cell>
          <cell r="D24">
            <v>5000000</v>
          </cell>
          <cell r="E24">
            <v>0</v>
          </cell>
          <cell r="F24">
            <v>5000000</v>
          </cell>
          <cell r="G24">
            <v>0</v>
          </cell>
          <cell r="H24">
            <v>15581068</v>
          </cell>
        </row>
        <row r="25">
          <cell r="A25">
            <v>13050014</v>
          </cell>
          <cell r="B25" t="str">
            <v>T.D.S. ON RECEIPTS - 04-05</v>
          </cell>
          <cell r="C25">
            <v>1559833.22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1559833.22</v>
          </cell>
        </row>
        <row r="26">
          <cell r="A26">
            <v>13055020</v>
          </cell>
          <cell r="B26" t="str">
            <v>Prepaid Expenses</v>
          </cell>
          <cell r="C26">
            <v>698721</v>
          </cell>
          <cell r="D26">
            <v>646135</v>
          </cell>
          <cell r="E26">
            <v>298629</v>
          </cell>
          <cell r="F26">
            <v>347506</v>
          </cell>
          <cell r="G26">
            <v>0</v>
          </cell>
          <cell r="H26">
            <v>1046227</v>
          </cell>
        </row>
        <row r="27">
          <cell r="A27">
            <v>13055040</v>
          </cell>
          <cell r="B27" t="str">
            <v>Insurance Recoverable</v>
          </cell>
          <cell r="C27">
            <v>46405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46405</v>
          </cell>
        </row>
        <row r="28">
          <cell r="A28">
            <v>13055060</v>
          </cell>
          <cell r="B28" t="str">
            <v>VAT Credit Receivable (Inputs)</v>
          </cell>
          <cell r="C28">
            <v>1487577.72</v>
          </cell>
          <cell r="D28">
            <v>2846922</v>
          </cell>
          <cell r="E28">
            <v>3091689</v>
          </cell>
          <cell r="F28">
            <v>-244767</v>
          </cell>
          <cell r="G28">
            <v>0</v>
          </cell>
          <cell r="H28">
            <v>1242810.72</v>
          </cell>
        </row>
        <row r="29">
          <cell r="A29">
            <v>13055070</v>
          </cell>
          <cell r="B29" t="str">
            <v>Vat Credit Receivable (Capital Goods)</v>
          </cell>
          <cell r="C29">
            <v>0.72</v>
          </cell>
          <cell r="D29">
            <v>1390</v>
          </cell>
          <cell r="E29">
            <v>0</v>
          </cell>
          <cell r="F29">
            <v>1390</v>
          </cell>
          <cell r="G29">
            <v>0</v>
          </cell>
          <cell r="H29">
            <v>1390.72</v>
          </cell>
        </row>
        <row r="30">
          <cell r="A30">
            <v>13055090</v>
          </cell>
          <cell r="B30" t="str">
            <v>Sundry Deposits</v>
          </cell>
          <cell r="C30">
            <v>10874777.699999999</v>
          </cell>
          <cell r="D30">
            <v>3684.05</v>
          </cell>
          <cell r="E30">
            <v>2184</v>
          </cell>
          <cell r="F30">
            <v>1500.05</v>
          </cell>
          <cell r="G30">
            <v>0</v>
          </cell>
          <cell r="H30">
            <v>10876277.75</v>
          </cell>
        </row>
        <row r="31">
          <cell r="A31">
            <v>13070010</v>
          </cell>
          <cell r="B31" t="str">
            <v>TCS On Royalty</v>
          </cell>
          <cell r="C31">
            <v>104540</v>
          </cell>
          <cell r="D31">
            <v>26961</v>
          </cell>
          <cell r="E31">
            <v>0</v>
          </cell>
          <cell r="F31">
            <v>26961</v>
          </cell>
          <cell r="G31">
            <v>0</v>
          </cell>
          <cell r="H31">
            <v>131501</v>
          </cell>
        </row>
        <row r="32">
          <cell r="A32">
            <v>15005020</v>
          </cell>
          <cell r="B32" t="str">
            <v>Deferred Revenue Expenditure</v>
          </cell>
          <cell r="C32">
            <v>-0.3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-0.3</v>
          </cell>
        </row>
        <row r="33">
          <cell r="A33">
            <v>25005010</v>
          </cell>
          <cell r="B33" t="str">
            <v>Creditors Control</v>
          </cell>
          <cell r="C33">
            <v>-30891226.27</v>
          </cell>
          <cell r="D33">
            <v>119910917.39</v>
          </cell>
          <cell r="E33">
            <v>105433604.53</v>
          </cell>
          <cell r="F33">
            <v>14477312.859999999</v>
          </cell>
          <cell r="G33">
            <v>0</v>
          </cell>
          <cell r="H33">
            <v>-16413913.41</v>
          </cell>
        </row>
        <row r="34">
          <cell r="A34">
            <v>25005050</v>
          </cell>
          <cell r="B34" t="str">
            <v>Creditors liability for material received but bill not recei</v>
          </cell>
          <cell r="C34">
            <v>-5872351.8899999997</v>
          </cell>
          <cell r="D34">
            <v>84538858.650000006</v>
          </cell>
          <cell r="E34">
            <v>89616251.579999998</v>
          </cell>
          <cell r="F34">
            <v>-5077392.93</v>
          </cell>
          <cell r="G34">
            <v>0</v>
          </cell>
          <cell r="H34">
            <v>-10949744.82</v>
          </cell>
        </row>
        <row r="35">
          <cell r="A35">
            <v>25010010</v>
          </cell>
          <cell r="B35" t="str">
            <v>Retention Money</v>
          </cell>
          <cell r="C35">
            <v>-83059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-83059</v>
          </cell>
        </row>
        <row r="36">
          <cell r="A36">
            <v>25010015</v>
          </cell>
          <cell r="B36" t="str">
            <v>Employee Car Deposit</v>
          </cell>
          <cell r="C36">
            <v>-60000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-60000</v>
          </cell>
        </row>
        <row r="37">
          <cell r="A37">
            <v>25010020</v>
          </cell>
          <cell r="B37" t="str">
            <v>Outstanding Liabilities For Expenses</v>
          </cell>
          <cell r="C37">
            <v>-10725621.970000001</v>
          </cell>
          <cell r="D37">
            <v>26530043</v>
          </cell>
          <cell r="E37">
            <v>27327664</v>
          </cell>
          <cell r="F37">
            <v>-797621</v>
          </cell>
          <cell r="G37">
            <v>0</v>
          </cell>
          <cell r="H37">
            <v>-11523242.970000001</v>
          </cell>
        </row>
        <row r="38">
          <cell r="A38">
            <v>25010040</v>
          </cell>
          <cell r="B38" t="str">
            <v>Entry Tax Payable A/c</v>
          </cell>
          <cell r="C38">
            <v>-1</v>
          </cell>
          <cell r="D38">
            <v>116487</v>
          </cell>
          <cell r="E38">
            <v>116486</v>
          </cell>
          <cell r="F38">
            <v>1</v>
          </cell>
          <cell r="G38">
            <v>0</v>
          </cell>
          <cell r="H38">
            <v>0</v>
          </cell>
        </row>
        <row r="39">
          <cell r="A39">
            <v>25010050</v>
          </cell>
          <cell r="B39" t="str">
            <v>Salary Payable</v>
          </cell>
          <cell r="C39">
            <v>0</v>
          </cell>
          <cell r="D39">
            <v>15900684</v>
          </cell>
          <cell r="E39">
            <v>15902337</v>
          </cell>
          <cell r="F39">
            <v>-1653</v>
          </cell>
          <cell r="G39">
            <v>0</v>
          </cell>
          <cell r="H39">
            <v>-1653</v>
          </cell>
        </row>
        <row r="40">
          <cell r="A40">
            <v>25010060</v>
          </cell>
          <cell r="B40" t="str">
            <v>T.D.S.payable account</v>
          </cell>
          <cell r="C40">
            <v>-1009645</v>
          </cell>
          <cell r="D40">
            <v>1825896</v>
          </cell>
          <cell r="E40">
            <v>1532663</v>
          </cell>
          <cell r="F40">
            <v>293233</v>
          </cell>
          <cell r="G40">
            <v>0</v>
          </cell>
          <cell r="H40">
            <v>-716412</v>
          </cell>
        </row>
        <row r="41">
          <cell r="A41">
            <v>25010120</v>
          </cell>
          <cell r="B41" t="str">
            <v>Service Tax Payable</v>
          </cell>
          <cell r="C41">
            <v>-71138.89</v>
          </cell>
          <cell r="D41">
            <v>309139.78999999998</v>
          </cell>
          <cell r="E41">
            <v>435759.26</v>
          </cell>
          <cell r="F41">
            <v>-126619.47</v>
          </cell>
          <cell r="G41">
            <v>0</v>
          </cell>
          <cell r="H41">
            <v>-197758.36</v>
          </cell>
        </row>
        <row r="42">
          <cell r="A42">
            <v>25010150</v>
          </cell>
          <cell r="B42" t="str">
            <v>Staff LIC Insurance</v>
          </cell>
          <cell r="C42">
            <v>-20527</v>
          </cell>
          <cell r="D42">
            <v>79710</v>
          </cell>
          <cell r="E42">
            <v>79710</v>
          </cell>
          <cell r="F42">
            <v>0</v>
          </cell>
          <cell r="G42">
            <v>0</v>
          </cell>
          <cell r="H42">
            <v>-20527</v>
          </cell>
        </row>
        <row r="43">
          <cell r="A43">
            <v>25010160</v>
          </cell>
          <cell r="B43" t="str">
            <v>Debt Recovery Tribunal</v>
          </cell>
          <cell r="C43">
            <v>-2798824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-2798824</v>
          </cell>
        </row>
        <row r="44">
          <cell r="A44">
            <v>25010190</v>
          </cell>
          <cell r="B44" t="str">
            <v>VAT  Payable account</v>
          </cell>
          <cell r="C44">
            <v>-6784399.4800000004</v>
          </cell>
          <cell r="D44">
            <v>13962559</v>
          </cell>
          <cell r="E44">
            <v>14128151</v>
          </cell>
          <cell r="F44">
            <v>-165592</v>
          </cell>
          <cell r="G44">
            <v>0</v>
          </cell>
          <cell r="H44">
            <v>-6949991.4800000004</v>
          </cell>
        </row>
        <row r="45">
          <cell r="A45">
            <v>25010192</v>
          </cell>
          <cell r="B45" t="str">
            <v>VAT TDS on raw material purchase payable</v>
          </cell>
          <cell r="C45">
            <v>-180391</v>
          </cell>
          <cell r="D45">
            <v>648452</v>
          </cell>
          <cell r="E45">
            <v>601645</v>
          </cell>
          <cell r="F45">
            <v>46807</v>
          </cell>
          <cell r="G45">
            <v>0</v>
          </cell>
          <cell r="H45">
            <v>-133584</v>
          </cell>
        </row>
        <row r="46">
          <cell r="A46">
            <v>25015010</v>
          </cell>
          <cell r="B46" t="str">
            <v>PF Payable account</v>
          </cell>
          <cell r="C46">
            <v>-579188</v>
          </cell>
          <cell r="D46">
            <v>1801518</v>
          </cell>
          <cell r="E46">
            <v>1704958</v>
          </cell>
          <cell r="F46">
            <v>96560</v>
          </cell>
          <cell r="G46">
            <v>0</v>
          </cell>
          <cell r="H46">
            <v>-482628</v>
          </cell>
        </row>
        <row r="47">
          <cell r="A47">
            <v>25020010</v>
          </cell>
          <cell r="B47" t="str">
            <v>E.S.I.C. Payable account</v>
          </cell>
          <cell r="C47">
            <v>-191100</v>
          </cell>
          <cell r="D47">
            <v>518518</v>
          </cell>
          <cell r="E47">
            <v>451500</v>
          </cell>
          <cell r="F47">
            <v>67018</v>
          </cell>
          <cell r="G47">
            <v>0</v>
          </cell>
          <cell r="H47">
            <v>-124082</v>
          </cell>
        </row>
        <row r="48">
          <cell r="A48">
            <v>25020040</v>
          </cell>
          <cell r="B48" t="str">
            <v>Profession Tax payable</v>
          </cell>
          <cell r="C48">
            <v>-54100</v>
          </cell>
          <cell r="D48">
            <v>153600</v>
          </cell>
          <cell r="E48">
            <v>132550</v>
          </cell>
          <cell r="F48">
            <v>21050</v>
          </cell>
          <cell r="G48">
            <v>0</v>
          </cell>
          <cell r="H48">
            <v>-33050</v>
          </cell>
        </row>
        <row r="49">
          <cell r="A49">
            <v>26005010</v>
          </cell>
          <cell r="B49" t="str">
            <v>Provision For Doubtful Deposits</v>
          </cell>
          <cell r="C49">
            <v>-1253348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-1253348</v>
          </cell>
        </row>
        <row r="50">
          <cell r="A50">
            <v>26005020</v>
          </cell>
          <cell r="B50" t="str">
            <v>Provision For Bad &amp; Doubtful Debts</v>
          </cell>
          <cell r="C50">
            <v>-15641555.5</v>
          </cell>
          <cell r="D50">
            <v>0</v>
          </cell>
          <cell r="E50">
            <v>1000000</v>
          </cell>
          <cell r="F50">
            <v>-1000000</v>
          </cell>
          <cell r="G50">
            <v>0</v>
          </cell>
          <cell r="H50">
            <v>-16641555.5</v>
          </cell>
        </row>
        <row r="51">
          <cell r="A51">
            <v>26010010</v>
          </cell>
          <cell r="B51" t="str">
            <v>Provisio for dep freehold</v>
          </cell>
          <cell r="C51">
            <v>-1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-1</v>
          </cell>
        </row>
        <row r="52">
          <cell r="A52">
            <v>26015010</v>
          </cell>
          <cell r="B52" t="str">
            <v>Prov For Dep.-  Buildings</v>
          </cell>
          <cell r="C52">
            <v>-17894706.280000001</v>
          </cell>
          <cell r="D52">
            <v>0</v>
          </cell>
          <cell r="E52">
            <v>283900</v>
          </cell>
          <cell r="F52">
            <v>-283900</v>
          </cell>
          <cell r="G52">
            <v>0</v>
          </cell>
          <cell r="H52">
            <v>-18178606.280000001</v>
          </cell>
        </row>
        <row r="53">
          <cell r="A53">
            <v>26025010</v>
          </cell>
          <cell r="B53" t="str">
            <v>Provision for Depreciation Plant &amp; Machinery</v>
          </cell>
          <cell r="C53">
            <v>-174217272.41</v>
          </cell>
          <cell r="D53">
            <v>0</v>
          </cell>
          <cell r="E53">
            <v>2904289.76</v>
          </cell>
          <cell r="F53">
            <v>-2904289.76</v>
          </cell>
          <cell r="G53">
            <v>0</v>
          </cell>
          <cell r="H53">
            <v>-177121562.16999999</v>
          </cell>
        </row>
        <row r="54">
          <cell r="A54">
            <v>26030010</v>
          </cell>
          <cell r="B54" t="str">
            <v>Provision For Dep.-Electrical Installations</v>
          </cell>
          <cell r="C54">
            <v>-8438473.6199999992</v>
          </cell>
          <cell r="D54">
            <v>0</v>
          </cell>
          <cell r="E54">
            <v>226824</v>
          </cell>
          <cell r="F54">
            <v>-226824</v>
          </cell>
          <cell r="G54">
            <v>0</v>
          </cell>
          <cell r="H54">
            <v>-8665297.6199999992</v>
          </cell>
        </row>
        <row r="55">
          <cell r="A55">
            <v>26035010</v>
          </cell>
          <cell r="B55" t="str">
            <v>Provision For Dep.-Furniture and Fixtures</v>
          </cell>
          <cell r="C55">
            <v>-4915413.59</v>
          </cell>
          <cell r="D55">
            <v>0</v>
          </cell>
          <cell r="E55">
            <v>34883</v>
          </cell>
          <cell r="F55">
            <v>-34883</v>
          </cell>
          <cell r="G55">
            <v>0</v>
          </cell>
          <cell r="H55">
            <v>-4950296.59</v>
          </cell>
        </row>
        <row r="56">
          <cell r="A56">
            <v>26040010</v>
          </cell>
          <cell r="B56" t="str">
            <v>Provision for Depreciation- Office and Electrical Appliances</v>
          </cell>
          <cell r="C56">
            <v>-10826931.859999999</v>
          </cell>
          <cell r="D56">
            <v>0</v>
          </cell>
          <cell r="E56">
            <v>98139</v>
          </cell>
          <cell r="F56">
            <v>-98139</v>
          </cell>
          <cell r="G56">
            <v>0</v>
          </cell>
          <cell r="H56">
            <v>-10925070.859999999</v>
          </cell>
        </row>
        <row r="57">
          <cell r="A57">
            <v>26045010</v>
          </cell>
          <cell r="B57" t="str">
            <v>Provision for Depreciation- Truck Mixers, Loaders &amp; Dumpers</v>
          </cell>
          <cell r="C57">
            <v>-61985282.670000002</v>
          </cell>
          <cell r="D57">
            <v>0</v>
          </cell>
          <cell r="E57">
            <v>523339</v>
          </cell>
          <cell r="F57">
            <v>-523339</v>
          </cell>
          <cell r="G57">
            <v>0</v>
          </cell>
          <cell r="H57">
            <v>-62508621.670000002</v>
          </cell>
        </row>
        <row r="58">
          <cell r="A58">
            <v>26050010</v>
          </cell>
          <cell r="B58" t="str">
            <v>Provision for Depreciation Motor Vehicles &amp; Technical Vans</v>
          </cell>
          <cell r="C58">
            <v>-6363301.3899999997</v>
          </cell>
          <cell r="D58">
            <v>0</v>
          </cell>
          <cell r="E58">
            <v>48718</v>
          </cell>
          <cell r="F58">
            <v>-48718</v>
          </cell>
          <cell r="G58">
            <v>0</v>
          </cell>
          <cell r="H58">
            <v>-6412019.3899999997</v>
          </cell>
        </row>
        <row r="59">
          <cell r="A59">
            <v>26055020</v>
          </cell>
          <cell r="B59" t="str">
            <v>Profit &amp; Loss A/c</v>
          </cell>
          <cell r="C59">
            <v>-199805888.34999999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-199805888.34999999</v>
          </cell>
        </row>
        <row r="60">
          <cell r="A60">
            <v>26055050</v>
          </cell>
          <cell r="B60" t="str">
            <v>Provision for Production linked incentive (KRA)</v>
          </cell>
          <cell r="C60">
            <v>0</v>
          </cell>
          <cell r="D60">
            <v>261000</v>
          </cell>
          <cell r="E60">
            <v>734620</v>
          </cell>
          <cell r="F60">
            <v>-473620</v>
          </cell>
          <cell r="G60">
            <v>0</v>
          </cell>
          <cell r="H60">
            <v>-473620</v>
          </cell>
        </row>
        <row r="61">
          <cell r="A61">
            <v>31010010</v>
          </cell>
          <cell r="B61" t="str">
            <v>Sales</v>
          </cell>
          <cell r="C61">
            <v>0</v>
          </cell>
          <cell r="D61">
            <v>1962121.32</v>
          </cell>
          <cell r="E61">
            <v>136118566.40000001</v>
          </cell>
          <cell r="F61">
            <v>-134156445.08</v>
          </cell>
          <cell r="G61">
            <v>0</v>
          </cell>
          <cell r="H61">
            <v>-134156445.08</v>
          </cell>
        </row>
        <row r="62">
          <cell r="A62">
            <v>32020020</v>
          </cell>
          <cell r="B62" t="str">
            <v>Misc Income - Scrap sales</v>
          </cell>
          <cell r="C62">
            <v>0</v>
          </cell>
          <cell r="D62">
            <v>4888.88</v>
          </cell>
          <cell r="E62">
            <v>182727.65</v>
          </cell>
          <cell r="F62">
            <v>-177838.77</v>
          </cell>
          <cell r="G62">
            <v>0</v>
          </cell>
          <cell r="H62">
            <v>-177838.77</v>
          </cell>
        </row>
        <row r="63">
          <cell r="A63">
            <v>32020060</v>
          </cell>
          <cell r="B63" t="str">
            <v>Profit/Loss On Sale/Loss Of Assets</v>
          </cell>
          <cell r="C63">
            <v>0</v>
          </cell>
          <cell r="D63">
            <v>0</v>
          </cell>
          <cell r="E63">
            <v>625000</v>
          </cell>
          <cell r="F63">
            <v>-625000</v>
          </cell>
          <cell r="G63">
            <v>0</v>
          </cell>
          <cell r="H63">
            <v>-625000</v>
          </cell>
        </row>
        <row r="64">
          <cell r="A64">
            <v>41010010</v>
          </cell>
          <cell r="B64" t="str">
            <v>Opening Stock - Cement</v>
          </cell>
          <cell r="C64">
            <v>0</v>
          </cell>
          <cell r="D64">
            <v>1885305.64</v>
          </cell>
          <cell r="E64">
            <v>0</v>
          </cell>
          <cell r="F64">
            <v>1885305.64</v>
          </cell>
          <cell r="G64">
            <v>0</v>
          </cell>
          <cell r="H64">
            <v>1885305.64</v>
          </cell>
        </row>
        <row r="65">
          <cell r="A65">
            <v>41010020</v>
          </cell>
          <cell r="B65" t="str">
            <v>Opening Stock - Sand</v>
          </cell>
          <cell r="C65">
            <v>0</v>
          </cell>
          <cell r="D65">
            <v>467024.6</v>
          </cell>
          <cell r="E65">
            <v>0</v>
          </cell>
          <cell r="F65">
            <v>467024.6</v>
          </cell>
          <cell r="G65">
            <v>0</v>
          </cell>
          <cell r="H65">
            <v>467024.6</v>
          </cell>
        </row>
        <row r="66">
          <cell r="A66">
            <v>41010030</v>
          </cell>
          <cell r="B66" t="str">
            <v>Opening Stock - CRF</v>
          </cell>
          <cell r="C66">
            <v>0</v>
          </cell>
          <cell r="D66">
            <v>420585.18</v>
          </cell>
          <cell r="E66">
            <v>0</v>
          </cell>
          <cell r="F66">
            <v>420585.18</v>
          </cell>
          <cell r="G66">
            <v>0</v>
          </cell>
          <cell r="H66">
            <v>420585.18</v>
          </cell>
        </row>
        <row r="67">
          <cell r="A67">
            <v>41010040</v>
          </cell>
          <cell r="B67" t="str">
            <v>Opening Stock - RMC Aggregates</v>
          </cell>
          <cell r="C67">
            <v>0</v>
          </cell>
          <cell r="D67">
            <v>821745.89</v>
          </cell>
          <cell r="E67">
            <v>0</v>
          </cell>
          <cell r="F67">
            <v>821745.89</v>
          </cell>
          <cell r="G67">
            <v>0</v>
          </cell>
          <cell r="H67">
            <v>821745.89</v>
          </cell>
        </row>
        <row r="68">
          <cell r="A68">
            <v>41010050</v>
          </cell>
          <cell r="B68" t="str">
            <v>Opening Stock - Admixtures</v>
          </cell>
          <cell r="C68">
            <v>0</v>
          </cell>
          <cell r="D68">
            <v>718106.66</v>
          </cell>
          <cell r="E68">
            <v>0</v>
          </cell>
          <cell r="F68">
            <v>718106.66</v>
          </cell>
          <cell r="G68">
            <v>0</v>
          </cell>
          <cell r="H68">
            <v>718106.66</v>
          </cell>
        </row>
        <row r="69">
          <cell r="A69">
            <v>41010070</v>
          </cell>
          <cell r="B69" t="str">
            <v>Opening Stock - Flyash</v>
          </cell>
          <cell r="C69">
            <v>0</v>
          </cell>
          <cell r="D69">
            <v>207047.96</v>
          </cell>
          <cell r="E69">
            <v>0</v>
          </cell>
          <cell r="F69">
            <v>207047.96</v>
          </cell>
          <cell r="G69">
            <v>0</v>
          </cell>
          <cell r="H69">
            <v>207047.96</v>
          </cell>
        </row>
        <row r="70">
          <cell r="A70">
            <v>41010080</v>
          </cell>
          <cell r="B70" t="str">
            <v>Opening Stock - Diesel</v>
          </cell>
          <cell r="C70">
            <v>0</v>
          </cell>
          <cell r="D70">
            <v>602515.18000000005</v>
          </cell>
          <cell r="E70">
            <v>0</v>
          </cell>
          <cell r="F70">
            <v>602515.18000000005</v>
          </cell>
          <cell r="G70">
            <v>0</v>
          </cell>
          <cell r="H70">
            <v>602515.18000000005</v>
          </cell>
        </row>
        <row r="71">
          <cell r="A71">
            <v>41010090</v>
          </cell>
          <cell r="B71" t="str">
            <v>Opening Stock Boulders</v>
          </cell>
          <cell r="C71">
            <v>0</v>
          </cell>
          <cell r="D71">
            <v>4886715.54</v>
          </cell>
          <cell r="E71">
            <v>0</v>
          </cell>
          <cell r="F71">
            <v>4886715.54</v>
          </cell>
          <cell r="G71">
            <v>0</v>
          </cell>
          <cell r="H71">
            <v>4886715.54</v>
          </cell>
        </row>
        <row r="72">
          <cell r="A72">
            <v>41010100</v>
          </cell>
          <cell r="B72" t="str">
            <v>Opening Stock Aggregates at Crusher</v>
          </cell>
          <cell r="C72">
            <v>0</v>
          </cell>
          <cell r="D72">
            <v>6840263.6399999997</v>
          </cell>
          <cell r="E72">
            <v>0</v>
          </cell>
          <cell r="F72">
            <v>6840263.6399999997</v>
          </cell>
          <cell r="G72">
            <v>0</v>
          </cell>
          <cell r="H72">
            <v>6840263.6399999997</v>
          </cell>
        </row>
        <row r="73">
          <cell r="A73">
            <v>41010105</v>
          </cell>
          <cell r="B73" t="str">
            <v>Opening stock Crusher CRF</v>
          </cell>
          <cell r="C73">
            <v>0</v>
          </cell>
          <cell r="D73">
            <v>1794454.29</v>
          </cell>
          <cell r="E73">
            <v>0</v>
          </cell>
          <cell r="F73">
            <v>1794454.29</v>
          </cell>
          <cell r="G73">
            <v>0</v>
          </cell>
          <cell r="H73">
            <v>1794454.29</v>
          </cell>
        </row>
        <row r="74">
          <cell r="A74">
            <v>41010110</v>
          </cell>
          <cell r="B74" t="str">
            <v>Opening Stock GGBS</v>
          </cell>
          <cell r="C74">
            <v>0</v>
          </cell>
          <cell r="D74">
            <v>802738.04</v>
          </cell>
          <cell r="E74">
            <v>0</v>
          </cell>
          <cell r="F74">
            <v>802738.04</v>
          </cell>
          <cell r="G74">
            <v>0</v>
          </cell>
          <cell r="H74">
            <v>802738.04</v>
          </cell>
        </row>
        <row r="75">
          <cell r="A75">
            <v>41020010</v>
          </cell>
          <cell r="B75" t="str">
            <v>Raw Material Purchase - Cement</v>
          </cell>
          <cell r="C75">
            <v>0</v>
          </cell>
          <cell r="D75">
            <v>37702960.369999997</v>
          </cell>
          <cell r="E75">
            <v>36173260.259999998</v>
          </cell>
          <cell r="F75">
            <v>1529700.11</v>
          </cell>
          <cell r="G75">
            <v>0</v>
          </cell>
          <cell r="H75">
            <v>1529700.11</v>
          </cell>
        </row>
        <row r="76">
          <cell r="A76">
            <v>41020015</v>
          </cell>
          <cell r="B76" t="str">
            <v>Interim account cement received</v>
          </cell>
          <cell r="C76">
            <v>0</v>
          </cell>
          <cell r="D76">
            <v>36772373.740000002</v>
          </cell>
          <cell r="E76">
            <v>37262382.75</v>
          </cell>
          <cell r="F76">
            <v>-490009.01</v>
          </cell>
          <cell r="G76">
            <v>0</v>
          </cell>
          <cell r="H76">
            <v>-490009.01</v>
          </cell>
        </row>
        <row r="77">
          <cell r="A77">
            <v>41020020</v>
          </cell>
          <cell r="B77" t="str">
            <v>Cement Consumption account</v>
          </cell>
          <cell r="C77">
            <v>0</v>
          </cell>
          <cell r="D77">
            <v>35883960.990000002</v>
          </cell>
          <cell r="E77">
            <v>389034.83</v>
          </cell>
          <cell r="F77">
            <v>35494926.159999996</v>
          </cell>
          <cell r="G77">
            <v>0</v>
          </cell>
          <cell r="H77">
            <v>35494926.159999996</v>
          </cell>
        </row>
        <row r="78">
          <cell r="A78">
            <v>41020030</v>
          </cell>
          <cell r="B78" t="str">
            <v>Raw Material Purchase - Aggregates</v>
          </cell>
          <cell r="C78">
            <v>0</v>
          </cell>
          <cell r="D78">
            <v>12000800.560000001</v>
          </cell>
          <cell r="E78">
            <v>14769706.82</v>
          </cell>
          <cell r="F78">
            <v>-2768906.26</v>
          </cell>
          <cell r="G78">
            <v>0</v>
          </cell>
          <cell r="H78">
            <v>-2768906.26</v>
          </cell>
        </row>
        <row r="79">
          <cell r="A79">
            <v>41020035</v>
          </cell>
          <cell r="B79" t="str">
            <v>Interim account Aggregate received</v>
          </cell>
          <cell r="C79">
            <v>0</v>
          </cell>
          <cell r="D79">
            <v>6974802.5999999996</v>
          </cell>
          <cell r="E79">
            <v>3769768.5</v>
          </cell>
          <cell r="F79">
            <v>3205034.1</v>
          </cell>
          <cell r="G79">
            <v>0</v>
          </cell>
          <cell r="H79">
            <v>3205034.1</v>
          </cell>
        </row>
        <row r="80">
          <cell r="A80">
            <v>41020040</v>
          </cell>
          <cell r="B80" t="str">
            <v>Aggregate Consumption account</v>
          </cell>
          <cell r="C80">
            <v>0</v>
          </cell>
          <cell r="D80">
            <v>14683357.689999999</v>
          </cell>
          <cell r="E80">
            <v>8144535.5</v>
          </cell>
          <cell r="F80">
            <v>6538822.1900000004</v>
          </cell>
          <cell r="G80">
            <v>0</v>
          </cell>
          <cell r="H80">
            <v>6538822.1900000004</v>
          </cell>
        </row>
        <row r="81">
          <cell r="A81">
            <v>41020050</v>
          </cell>
          <cell r="B81" t="str">
            <v>Raw Material Purchase - Sand</v>
          </cell>
          <cell r="C81">
            <v>0</v>
          </cell>
          <cell r="D81">
            <v>2645782.69</v>
          </cell>
          <cell r="E81">
            <v>3613391.22</v>
          </cell>
          <cell r="F81">
            <v>-967608.53</v>
          </cell>
          <cell r="G81">
            <v>0</v>
          </cell>
          <cell r="H81">
            <v>-967608.53</v>
          </cell>
        </row>
        <row r="82">
          <cell r="A82">
            <v>41020055</v>
          </cell>
          <cell r="B82" t="str">
            <v>Interim account Sand Received</v>
          </cell>
          <cell r="C82">
            <v>0</v>
          </cell>
          <cell r="D82">
            <v>3199688.51</v>
          </cell>
          <cell r="E82">
            <v>2314298.66</v>
          </cell>
          <cell r="F82">
            <v>885389.85</v>
          </cell>
          <cell r="G82">
            <v>0</v>
          </cell>
          <cell r="H82">
            <v>885389.85</v>
          </cell>
        </row>
        <row r="83">
          <cell r="A83">
            <v>41020060</v>
          </cell>
          <cell r="B83" t="str">
            <v>Sand Consumption account</v>
          </cell>
          <cell r="C83">
            <v>0</v>
          </cell>
          <cell r="D83">
            <v>3489662.63</v>
          </cell>
          <cell r="E83">
            <v>278810.73</v>
          </cell>
          <cell r="F83">
            <v>3210851.9</v>
          </cell>
          <cell r="G83">
            <v>0</v>
          </cell>
          <cell r="H83">
            <v>3210851.9</v>
          </cell>
        </row>
        <row r="84">
          <cell r="A84">
            <v>41020070</v>
          </cell>
          <cell r="B84" t="str">
            <v>Raw Material Purchase - Admixture</v>
          </cell>
          <cell r="C84">
            <v>0</v>
          </cell>
          <cell r="D84">
            <v>3329704.71</v>
          </cell>
          <cell r="E84">
            <v>2827160.68</v>
          </cell>
          <cell r="F84">
            <v>502544.03</v>
          </cell>
          <cell r="G84">
            <v>0</v>
          </cell>
          <cell r="H84">
            <v>502544.03</v>
          </cell>
        </row>
        <row r="85">
          <cell r="A85">
            <v>41020075</v>
          </cell>
          <cell r="B85" t="str">
            <v>Interim account Admixture received</v>
          </cell>
          <cell r="C85">
            <v>0</v>
          </cell>
          <cell r="D85">
            <v>2656944.2999999998</v>
          </cell>
          <cell r="E85">
            <v>2894844.3</v>
          </cell>
          <cell r="F85">
            <v>-237900</v>
          </cell>
          <cell r="G85">
            <v>0</v>
          </cell>
          <cell r="H85">
            <v>-237900</v>
          </cell>
        </row>
        <row r="86">
          <cell r="A86">
            <v>41020080</v>
          </cell>
          <cell r="B86" t="str">
            <v>Admixture Consumption account</v>
          </cell>
          <cell r="C86">
            <v>0</v>
          </cell>
          <cell r="D86">
            <v>2488838.2000000002</v>
          </cell>
          <cell r="E86">
            <v>123749.29</v>
          </cell>
          <cell r="F86">
            <v>2365088.91</v>
          </cell>
          <cell r="G86">
            <v>0</v>
          </cell>
          <cell r="H86">
            <v>2365088.91</v>
          </cell>
        </row>
        <row r="87">
          <cell r="A87">
            <v>41020090</v>
          </cell>
          <cell r="B87" t="str">
            <v>Raw Material  Purchase - Fly Ash</v>
          </cell>
          <cell r="C87">
            <v>0</v>
          </cell>
          <cell r="D87">
            <v>2332194.56</v>
          </cell>
          <cell r="E87">
            <v>2055812.11</v>
          </cell>
          <cell r="F87">
            <v>276382.45</v>
          </cell>
          <cell r="G87">
            <v>0</v>
          </cell>
          <cell r="H87">
            <v>276382.45</v>
          </cell>
        </row>
        <row r="88">
          <cell r="A88">
            <v>41020095</v>
          </cell>
          <cell r="B88" t="str">
            <v>Interim account fly ash received</v>
          </cell>
          <cell r="C88">
            <v>0</v>
          </cell>
          <cell r="D88">
            <v>1554253.07</v>
          </cell>
          <cell r="E88">
            <v>1896039.78</v>
          </cell>
          <cell r="F88">
            <v>-341786.71</v>
          </cell>
          <cell r="G88">
            <v>0</v>
          </cell>
          <cell r="H88">
            <v>-341786.71</v>
          </cell>
        </row>
        <row r="89">
          <cell r="A89">
            <v>41020100</v>
          </cell>
          <cell r="B89" t="str">
            <v>Fly Ash Consumption account</v>
          </cell>
          <cell r="C89">
            <v>0</v>
          </cell>
          <cell r="D89">
            <v>1948289.02</v>
          </cell>
          <cell r="E89">
            <v>212110.28</v>
          </cell>
          <cell r="F89">
            <v>1736178.74</v>
          </cell>
          <cell r="G89">
            <v>0</v>
          </cell>
          <cell r="H89">
            <v>1736178.74</v>
          </cell>
        </row>
        <row r="90">
          <cell r="A90">
            <v>41020110</v>
          </cell>
          <cell r="B90" t="str">
            <v>Raw Material Purchase GGBS</v>
          </cell>
          <cell r="C90">
            <v>0</v>
          </cell>
          <cell r="D90">
            <v>2932223.52</v>
          </cell>
          <cell r="E90">
            <v>2731144.22</v>
          </cell>
          <cell r="F90">
            <v>201079.3</v>
          </cell>
          <cell r="G90">
            <v>0</v>
          </cell>
          <cell r="H90">
            <v>201079.3</v>
          </cell>
        </row>
        <row r="91">
          <cell r="A91">
            <v>41020115</v>
          </cell>
          <cell r="B91" t="str">
            <v>Interim account for GGBS received</v>
          </cell>
          <cell r="C91">
            <v>0</v>
          </cell>
          <cell r="D91">
            <v>2451223.41</v>
          </cell>
          <cell r="E91">
            <v>2904049.42</v>
          </cell>
          <cell r="F91">
            <v>-452826.01</v>
          </cell>
          <cell r="G91">
            <v>0</v>
          </cell>
          <cell r="H91">
            <v>-452826.01</v>
          </cell>
        </row>
        <row r="92">
          <cell r="A92">
            <v>41020120</v>
          </cell>
          <cell r="B92" t="str">
            <v>GGBS Consumption account</v>
          </cell>
          <cell r="C92">
            <v>0</v>
          </cell>
          <cell r="D92">
            <v>2638842.81</v>
          </cell>
          <cell r="E92">
            <v>14205.83</v>
          </cell>
          <cell r="F92">
            <v>2624636.98</v>
          </cell>
          <cell r="G92">
            <v>0</v>
          </cell>
          <cell r="H92">
            <v>2624636.98</v>
          </cell>
        </row>
        <row r="93">
          <cell r="A93">
            <v>41020130</v>
          </cell>
          <cell r="B93" t="str">
            <v>Raw Materials Purchase - CRF</v>
          </cell>
          <cell r="C93">
            <v>0</v>
          </cell>
          <cell r="D93">
            <v>4363677.2</v>
          </cell>
          <cell r="E93">
            <v>5477636.3300000001</v>
          </cell>
          <cell r="F93">
            <v>-1113959.1299999999</v>
          </cell>
          <cell r="G93">
            <v>0</v>
          </cell>
          <cell r="H93">
            <v>-1113959.1299999999</v>
          </cell>
        </row>
        <row r="94">
          <cell r="A94">
            <v>41020135</v>
          </cell>
          <cell r="B94" t="str">
            <v>Interim account for CRF received</v>
          </cell>
          <cell r="C94">
            <v>0</v>
          </cell>
          <cell r="D94">
            <v>2111966.23</v>
          </cell>
          <cell r="E94">
            <v>1044813</v>
          </cell>
          <cell r="F94">
            <v>1067153.23</v>
          </cell>
          <cell r="G94">
            <v>0</v>
          </cell>
          <cell r="H94">
            <v>1067153.23</v>
          </cell>
        </row>
        <row r="95">
          <cell r="A95">
            <v>41020140</v>
          </cell>
          <cell r="B95" t="str">
            <v>CRF Consumption account</v>
          </cell>
          <cell r="C95">
            <v>0</v>
          </cell>
          <cell r="D95">
            <v>5443298.8700000001</v>
          </cell>
          <cell r="E95">
            <v>3310095.22</v>
          </cell>
          <cell r="F95">
            <v>2133203.65</v>
          </cell>
          <cell r="G95">
            <v>0</v>
          </cell>
          <cell r="H95">
            <v>2133203.65</v>
          </cell>
        </row>
        <row r="96">
          <cell r="A96">
            <v>41020150</v>
          </cell>
          <cell r="B96" t="str">
            <v>Loss/ gain on Stock</v>
          </cell>
          <cell r="C96">
            <v>0</v>
          </cell>
          <cell r="D96">
            <v>668620.06999999995</v>
          </cell>
          <cell r="E96">
            <v>429554.44</v>
          </cell>
          <cell r="F96">
            <v>239065.63</v>
          </cell>
          <cell r="G96">
            <v>0</v>
          </cell>
          <cell r="H96">
            <v>239065.63</v>
          </cell>
        </row>
        <row r="97">
          <cell r="A97">
            <v>41020185</v>
          </cell>
          <cell r="B97" t="str">
            <v>Transport-Boulders/Soling</v>
          </cell>
          <cell r="C97">
            <v>0</v>
          </cell>
          <cell r="D97">
            <v>13491183.300000001</v>
          </cell>
          <cell r="E97">
            <v>6727458.7000000002</v>
          </cell>
          <cell r="F97">
            <v>6763724.5999999996</v>
          </cell>
          <cell r="G97">
            <v>0</v>
          </cell>
          <cell r="H97">
            <v>6763724.5999999996</v>
          </cell>
        </row>
        <row r="98">
          <cell r="A98">
            <v>41020195</v>
          </cell>
          <cell r="B98" t="str">
            <v>Purchase of Diesel</v>
          </cell>
          <cell r="C98">
            <v>0</v>
          </cell>
          <cell r="D98">
            <v>9023994</v>
          </cell>
          <cell r="E98">
            <v>8922481.6400000006</v>
          </cell>
          <cell r="F98">
            <v>101512.36</v>
          </cell>
          <cell r="G98">
            <v>0</v>
          </cell>
          <cell r="H98">
            <v>101512.36</v>
          </cell>
        </row>
        <row r="99">
          <cell r="A99">
            <v>41020200</v>
          </cell>
          <cell r="B99" t="str">
            <v>Interim account for diesel received</v>
          </cell>
          <cell r="C99">
            <v>0</v>
          </cell>
          <cell r="D99">
            <v>9023994.25</v>
          </cell>
          <cell r="E99">
            <v>9099014</v>
          </cell>
          <cell r="F99">
            <v>-75019.75</v>
          </cell>
          <cell r="G99">
            <v>0</v>
          </cell>
          <cell r="H99">
            <v>-75019.75</v>
          </cell>
        </row>
        <row r="100">
          <cell r="A100">
            <v>41020215</v>
          </cell>
          <cell r="B100" t="str">
            <v>Boulder Interim Receipt Account</v>
          </cell>
          <cell r="C100">
            <v>0</v>
          </cell>
          <cell r="D100">
            <v>40370</v>
          </cell>
          <cell r="E100">
            <v>40370</v>
          </cell>
          <cell r="F100">
            <v>0</v>
          </cell>
          <cell r="G100">
            <v>0</v>
          </cell>
          <cell r="H100">
            <v>0</v>
          </cell>
        </row>
        <row r="101">
          <cell r="A101">
            <v>41020220</v>
          </cell>
          <cell r="B101" t="str">
            <v>Boulder Purchase Account</v>
          </cell>
          <cell r="C101">
            <v>0</v>
          </cell>
          <cell r="D101">
            <v>40370</v>
          </cell>
          <cell r="E101">
            <v>0</v>
          </cell>
          <cell r="F101">
            <v>40370</v>
          </cell>
          <cell r="G101">
            <v>0</v>
          </cell>
          <cell r="H101">
            <v>40370</v>
          </cell>
        </row>
        <row r="102">
          <cell r="A102">
            <v>41050010</v>
          </cell>
          <cell r="B102" t="str">
            <v>Closing Stock - Cement</v>
          </cell>
          <cell r="C102">
            <v>0</v>
          </cell>
          <cell r="D102">
            <v>1885305.64</v>
          </cell>
          <cell r="E102">
            <v>4810302.38</v>
          </cell>
          <cell r="F102">
            <v>-2924996.74</v>
          </cell>
          <cell r="G102">
            <v>0</v>
          </cell>
          <cell r="H102">
            <v>-2924996.74</v>
          </cell>
        </row>
        <row r="103">
          <cell r="A103">
            <v>41050020</v>
          </cell>
          <cell r="B103" t="str">
            <v>Closing Stock - Sand</v>
          </cell>
          <cell r="C103">
            <v>0</v>
          </cell>
          <cell r="D103">
            <v>467024.6</v>
          </cell>
          <cell r="E103">
            <v>851830.52</v>
          </cell>
          <cell r="F103">
            <v>-384805.92</v>
          </cell>
          <cell r="G103">
            <v>0</v>
          </cell>
          <cell r="H103">
            <v>-384805.92</v>
          </cell>
        </row>
        <row r="104">
          <cell r="A104">
            <v>41050030</v>
          </cell>
          <cell r="B104" t="str">
            <v>Closing Stock - CRF</v>
          </cell>
          <cell r="C104">
            <v>0</v>
          </cell>
          <cell r="D104">
            <v>420585.18</v>
          </cell>
          <cell r="E104">
            <v>794364.46</v>
          </cell>
          <cell r="F104">
            <v>-373779.28</v>
          </cell>
          <cell r="G104">
            <v>0</v>
          </cell>
          <cell r="H104">
            <v>-373779.28</v>
          </cell>
        </row>
        <row r="105">
          <cell r="A105">
            <v>41050040</v>
          </cell>
          <cell r="B105" t="str">
            <v>Closing Stock - RMC Aggregates</v>
          </cell>
          <cell r="C105">
            <v>0</v>
          </cell>
          <cell r="D105">
            <v>821745.89</v>
          </cell>
          <cell r="E105">
            <v>2079619.62</v>
          </cell>
          <cell r="F105">
            <v>-1257873.73</v>
          </cell>
          <cell r="G105">
            <v>0</v>
          </cell>
          <cell r="H105">
            <v>-1257873.73</v>
          </cell>
        </row>
        <row r="106">
          <cell r="A106">
            <v>41050050</v>
          </cell>
          <cell r="B106" t="str">
            <v>Closing Stock - Admixtures</v>
          </cell>
          <cell r="C106">
            <v>0</v>
          </cell>
          <cell r="D106">
            <v>718106.66</v>
          </cell>
          <cell r="E106">
            <v>1700857.35</v>
          </cell>
          <cell r="F106">
            <v>-982750.69</v>
          </cell>
          <cell r="G106">
            <v>0</v>
          </cell>
          <cell r="H106">
            <v>-982750.69</v>
          </cell>
        </row>
        <row r="107">
          <cell r="A107">
            <v>41050070</v>
          </cell>
          <cell r="B107" t="str">
            <v>Closing Stock - Flyash</v>
          </cell>
          <cell r="C107">
            <v>0</v>
          </cell>
          <cell r="D107">
            <v>207047.96</v>
          </cell>
          <cell r="E107">
            <v>348691.66</v>
          </cell>
          <cell r="F107">
            <v>-141643.70000000001</v>
          </cell>
          <cell r="G107">
            <v>0</v>
          </cell>
          <cell r="H107">
            <v>-141643.70000000001</v>
          </cell>
        </row>
        <row r="108">
          <cell r="A108">
            <v>41050080</v>
          </cell>
          <cell r="B108" t="str">
            <v>Closing Stock - Diesel</v>
          </cell>
          <cell r="C108">
            <v>0</v>
          </cell>
          <cell r="D108">
            <v>602515.18000000005</v>
          </cell>
          <cell r="E108">
            <v>1231522.97</v>
          </cell>
          <cell r="F108">
            <v>-629007.79</v>
          </cell>
          <cell r="G108">
            <v>0</v>
          </cell>
          <cell r="H108">
            <v>-629007.79</v>
          </cell>
        </row>
        <row r="109">
          <cell r="A109">
            <v>41050090</v>
          </cell>
          <cell r="B109" t="str">
            <v>Closing Stock Boulders</v>
          </cell>
          <cell r="C109">
            <v>0</v>
          </cell>
          <cell r="D109">
            <v>21696878.350000001</v>
          </cell>
          <cell r="E109">
            <v>26227776.129999999</v>
          </cell>
          <cell r="F109">
            <v>-4530897.78</v>
          </cell>
          <cell r="G109">
            <v>0</v>
          </cell>
          <cell r="H109">
            <v>-4530897.78</v>
          </cell>
        </row>
        <row r="110">
          <cell r="A110">
            <v>41050100</v>
          </cell>
          <cell r="B110" t="str">
            <v>Closing Stock Crusher Aggregates</v>
          </cell>
          <cell r="C110">
            <v>0</v>
          </cell>
          <cell r="D110">
            <v>39957506.479999997</v>
          </cell>
          <cell r="E110">
            <v>44939240.82</v>
          </cell>
          <cell r="F110">
            <v>-4981734.34</v>
          </cell>
          <cell r="G110">
            <v>0</v>
          </cell>
          <cell r="H110">
            <v>-4981734.34</v>
          </cell>
        </row>
        <row r="111">
          <cell r="A111">
            <v>41050105</v>
          </cell>
          <cell r="B111" t="str">
            <v>Closing Stock Crusher CRF</v>
          </cell>
          <cell r="C111">
            <v>0</v>
          </cell>
          <cell r="D111">
            <v>5384034.1299999999</v>
          </cell>
          <cell r="E111">
            <v>7030536.2300000004</v>
          </cell>
          <cell r="F111">
            <v>-1646502.1</v>
          </cell>
          <cell r="G111">
            <v>0</v>
          </cell>
          <cell r="H111">
            <v>-1646502.1</v>
          </cell>
        </row>
        <row r="112">
          <cell r="A112">
            <v>41050110</v>
          </cell>
          <cell r="B112" t="str">
            <v>Closing Stock GGBS</v>
          </cell>
          <cell r="C112">
            <v>0</v>
          </cell>
          <cell r="D112">
            <v>802738.04</v>
          </cell>
          <cell r="E112">
            <v>1353729.37</v>
          </cell>
          <cell r="F112">
            <v>-550991.32999999996</v>
          </cell>
          <cell r="G112">
            <v>0</v>
          </cell>
          <cell r="H112">
            <v>-550991.32999999996</v>
          </cell>
        </row>
        <row r="113">
          <cell r="A113">
            <v>42010010</v>
          </cell>
          <cell r="B113" t="str">
            <v>Salary - Basic</v>
          </cell>
          <cell r="C113">
            <v>0</v>
          </cell>
          <cell r="D113">
            <v>5255091</v>
          </cell>
          <cell r="E113">
            <v>2609856</v>
          </cell>
          <cell r="F113">
            <v>2645235</v>
          </cell>
          <cell r="G113">
            <v>0</v>
          </cell>
          <cell r="H113">
            <v>2645235</v>
          </cell>
        </row>
        <row r="114">
          <cell r="A114">
            <v>42010020</v>
          </cell>
          <cell r="B114" t="str">
            <v>House Rent Allowance</v>
          </cell>
          <cell r="C114">
            <v>0</v>
          </cell>
          <cell r="D114">
            <v>2332392</v>
          </cell>
          <cell r="E114">
            <v>1163464</v>
          </cell>
          <cell r="F114">
            <v>1168928</v>
          </cell>
          <cell r="G114">
            <v>0</v>
          </cell>
          <cell r="H114">
            <v>1168928</v>
          </cell>
        </row>
        <row r="115">
          <cell r="A115">
            <v>42010030</v>
          </cell>
          <cell r="B115" t="str">
            <v>Education Allowance</v>
          </cell>
          <cell r="C115">
            <v>0</v>
          </cell>
          <cell r="D115">
            <v>417944</v>
          </cell>
          <cell r="E115">
            <v>208322</v>
          </cell>
          <cell r="F115">
            <v>209622</v>
          </cell>
          <cell r="G115">
            <v>0</v>
          </cell>
          <cell r="H115">
            <v>209622</v>
          </cell>
        </row>
        <row r="116">
          <cell r="A116">
            <v>42010040</v>
          </cell>
          <cell r="B116" t="str">
            <v>Special Allowance</v>
          </cell>
          <cell r="C116">
            <v>0</v>
          </cell>
          <cell r="D116">
            <v>594383</v>
          </cell>
          <cell r="E116">
            <v>296312</v>
          </cell>
          <cell r="F116">
            <v>298071</v>
          </cell>
          <cell r="G116">
            <v>0</v>
          </cell>
          <cell r="H116">
            <v>298071</v>
          </cell>
        </row>
        <row r="117">
          <cell r="A117">
            <v>42010050</v>
          </cell>
          <cell r="B117" t="str">
            <v>Medical Expense Reimbursement</v>
          </cell>
          <cell r="C117">
            <v>0</v>
          </cell>
          <cell r="D117">
            <v>954292</v>
          </cell>
          <cell r="E117">
            <v>393860</v>
          </cell>
          <cell r="F117">
            <v>560432</v>
          </cell>
          <cell r="G117">
            <v>0</v>
          </cell>
          <cell r="H117">
            <v>560432</v>
          </cell>
        </row>
        <row r="118">
          <cell r="A118">
            <v>42010060</v>
          </cell>
          <cell r="B118" t="str">
            <v>Leave Travel Allowance</v>
          </cell>
          <cell r="C118">
            <v>0</v>
          </cell>
          <cell r="D118">
            <v>937625</v>
          </cell>
          <cell r="E118">
            <v>422822</v>
          </cell>
          <cell r="F118">
            <v>514803</v>
          </cell>
          <cell r="G118">
            <v>0</v>
          </cell>
          <cell r="H118">
            <v>514803</v>
          </cell>
        </row>
        <row r="119">
          <cell r="A119">
            <v>42010070</v>
          </cell>
          <cell r="B119" t="str">
            <v>Leave Encashment</v>
          </cell>
          <cell r="C119">
            <v>0</v>
          </cell>
          <cell r="D119">
            <v>138625</v>
          </cell>
          <cell r="E119">
            <v>54724</v>
          </cell>
          <cell r="F119">
            <v>83901</v>
          </cell>
          <cell r="G119">
            <v>0</v>
          </cell>
          <cell r="H119">
            <v>83901</v>
          </cell>
        </row>
        <row r="120">
          <cell r="A120">
            <v>42010090</v>
          </cell>
          <cell r="B120" t="str">
            <v>Overtime Payment</v>
          </cell>
          <cell r="C120">
            <v>0</v>
          </cell>
          <cell r="D120">
            <v>2181873</v>
          </cell>
          <cell r="E120">
            <v>1075236</v>
          </cell>
          <cell r="F120">
            <v>1106637</v>
          </cell>
          <cell r="G120">
            <v>0</v>
          </cell>
          <cell r="H120">
            <v>1106637</v>
          </cell>
        </row>
        <row r="121">
          <cell r="A121">
            <v>42010100</v>
          </cell>
          <cell r="B121" t="str">
            <v>Transport Allowance</v>
          </cell>
          <cell r="C121">
            <v>0</v>
          </cell>
          <cell r="D121">
            <v>949486</v>
          </cell>
          <cell r="E121">
            <v>472766</v>
          </cell>
          <cell r="F121">
            <v>476720</v>
          </cell>
          <cell r="G121">
            <v>0</v>
          </cell>
          <cell r="H121">
            <v>476720</v>
          </cell>
        </row>
        <row r="122">
          <cell r="A122">
            <v>42010110</v>
          </cell>
          <cell r="B122" t="str">
            <v>Lunch Allowance</v>
          </cell>
          <cell r="C122">
            <v>0</v>
          </cell>
          <cell r="D122">
            <v>154800</v>
          </cell>
          <cell r="E122">
            <v>76700</v>
          </cell>
          <cell r="F122">
            <v>78100</v>
          </cell>
          <cell r="G122">
            <v>0</v>
          </cell>
          <cell r="H122">
            <v>78100</v>
          </cell>
        </row>
        <row r="123">
          <cell r="A123">
            <v>42010120</v>
          </cell>
          <cell r="B123" t="str">
            <v>Deputation Allowance</v>
          </cell>
          <cell r="C123">
            <v>0</v>
          </cell>
          <cell r="D123">
            <v>9000</v>
          </cell>
          <cell r="E123">
            <v>6000</v>
          </cell>
          <cell r="F123">
            <v>3000</v>
          </cell>
          <cell r="G123">
            <v>0</v>
          </cell>
          <cell r="H123">
            <v>3000</v>
          </cell>
        </row>
        <row r="124">
          <cell r="A124">
            <v>42010130</v>
          </cell>
          <cell r="B124" t="str">
            <v>Production Linked Incentive</v>
          </cell>
          <cell r="C124">
            <v>0</v>
          </cell>
          <cell r="D124">
            <v>3868870</v>
          </cell>
          <cell r="E124">
            <v>3395250</v>
          </cell>
          <cell r="F124">
            <v>473620</v>
          </cell>
          <cell r="G124">
            <v>0</v>
          </cell>
          <cell r="H124">
            <v>473620</v>
          </cell>
        </row>
        <row r="125">
          <cell r="A125">
            <v>42010140</v>
          </cell>
          <cell r="B125" t="str">
            <v>Subsistance Allowance</v>
          </cell>
          <cell r="C125">
            <v>0</v>
          </cell>
          <cell r="D125">
            <v>11550</v>
          </cell>
          <cell r="E125">
            <v>0</v>
          </cell>
          <cell r="F125">
            <v>11550</v>
          </cell>
          <cell r="G125">
            <v>0</v>
          </cell>
          <cell r="H125">
            <v>11550</v>
          </cell>
        </row>
        <row r="126">
          <cell r="A126">
            <v>42010180</v>
          </cell>
          <cell r="B126" t="str">
            <v>Bonus</v>
          </cell>
          <cell r="C126">
            <v>0</v>
          </cell>
          <cell r="D126">
            <v>0</v>
          </cell>
          <cell r="E126">
            <v>19009</v>
          </cell>
          <cell r="F126">
            <v>-19009</v>
          </cell>
          <cell r="G126">
            <v>0</v>
          </cell>
          <cell r="H126">
            <v>-19009</v>
          </cell>
        </row>
        <row r="127">
          <cell r="A127">
            <v>42010220</v>
          </cell>
          <cell r="B127" t="str">
            <v>Adhoc Allowance</v>
          </cell>
          <cell r="C127">
            <v>0</v>
          </cell>
          <cell r="D127">
            <v>168760</v>
          </cell>
          <cell r="E127">
            <v>84380</v>
          </cell>
          <cell r="F127">
            <v>84380</v>
          </cell>
          <cell r="G127">
            <v>0</v>
          </cell>
          <cell r="H127">
            <v>84380</v>
          </cell>
        </row>
        <row r="128">
          <cell r="A128">
            <v>42010230</v>
          </cell>
          <cell r="B128" t="str">
            <v>Car Allowance</v>
          </cell>
          <cell r="C128">
            <v>0</v>
          </cell>
          <cell r="D128">
            <v>132000</v>
          </cell>
          <cell r="E128">
            <v>66000</v>
          </cell>
          <cell r="F128">
            <v>66000</v>
          </cell>
          <cell r="G128">
            <v>0</v>
          </cell>
          <cell r="H128">
            <v>66000</v>
          </cell>
        </row>
        <row r="129">
          <cell r="A129">
            <v>42010240</v>
          </cell>
          <cell r="B129" t="str">
            <v>Driver Allowance</v>
          </cell>
          <cell r="C129">
            <v>0</v>
          </cell>
          <cell r="D129">
            <v>183295</v>
          </cell>
          <cell r="E129">
            <v>72000</v>
          </cell>
          <cell r="F129">
            <v>111295</v>
          </cell>
          <cell r="G129">
            <v>0</v>
          </cell>
          <cell r="H129">
            <v>111295</v>
          </cell>
        </row>
        <row r="130">
          <cell r="A130">
            <v>42010260</v>
          </cell>
          <cell r="B130" t="str">
            <v>Dearness Allowance</v>
          </cell>
          <cell r="C130">
            <v>0</v>
          </cell>
          <cell r="D130">
            <v>307617</v>
          </cell>
          <cell r="E130">
            <v>152982</v>
          </cell>
          <cell r="F130">
            <v>154635</v>
          </cell>
          <cell r="G130">
            <v>0</v>
          </cell>
          <cell r="H130">
            <v>154635</v>
          </cell>
        </row>
        <row r="131">
          <cell r="A131">
            <v>42010270</v>
          </cell>
          <cell r="B131" t="str">
            <v>Variable Dearness Allowance</v>
          </cell>
          <cell r="C131">
            <v>0</v>
          </cell>
          <cell r="D131">
            <v>417357</v>
          </cell>
          <cell r="E131">
            <v>207984</v>
          </cell>
          <cell r="F131">
            <v>209373</v>
          </cell>
          <cell r="G131">
            <v>0</v>
          </cell>
          <cell r="H131">
            <v>209373</v>
          </cell>
        </row>
        <row r="132">
          <cell r="A132">
            <v>42010280</v>
          </cell>
          <cell r="B132" t="str">
            <v>Hardware Allowance - Mobile Personal</v>
          </cell>
          <cell r="C132">
            <v>0</v>
          </cell>
          <cell r="D132">
            <v>3000</v>
          </cell>
          <cell r="E132">
            <v>0</v>
          </cell>
          <cell r="F132">
            <v>3000</v>
          </cell>
          <cell r="G132">
            <v>0</v>
          </cell>
          <cell r="H132">
            <v>3000</v>
          </cell>
        </row>
        <row r="133">
          <cell r="A133">
            <v>42020010</v>
          </cell>
          <cell r="B133" t="str">
            <v>Provident Funds - Employer's Conribution</v>
          </cell>
          <cell r="C133">
            <v>0</v>
          </cell>
          <cell r="D133">
            <v>752457</v>
          </cell>
          <cell r="E133">
            <v>356496</v>
          </cell>
          <cell r="F133">
            <v>395961</v>
          </cell>
          <cell r="G133">
            <v>0</v>
          </cell>
          <cell r="H133">
            <v>395961</v>
          </cell>
        </row>
        <row r="134">
          <cell r="A134">
            <v>42020030</v>
          </cell>
          <cell r="B134" t="str">
            <v>Provident Fund - Admn.Charges</v>
          </cell>
          <cell r="C134">
            <v>0</v>
          </cell>
          <cell r="D134">
            <v>29460</v>
          </cell>
          <cell r="E134">
            <v>0</v>
          </cell>
          <cell r="F134">
            <v>29460</v>
          </cell>
          <cell r="G134">
            <v>0</v>
          </cell>
          <cell r="H134">
            <v>29460</v>
          </cell>
        </row>
        <row r="135">
          <cell r="A135">
            <v>42020070</v>
          </cell>
          <cell r="B135" t="str">
            <v>E.S.I.S. - Employer's Contribution</v>
          </cell>
          <cell r="C135">
            <v>0</v>
          </cell>
          <cell r="D135">
            <v>296066</v>
          </cell>
          <cell r="E135">
            <v>145860</v>
          </cell>
          <cell r="F135">
            <v>150206</v>
          </cell>
          <cell r="G135">
            <v>0</v>
          </cell>
          <cell r="H135">
            <v>150206</v>
          </cell>
        </row>
        <row r="136">
          <cell r="A136">
            <v>42030020</v>
          </cell>
          <cell r="B136" t="str">
            <v>Purchases of Safety &amp; Welfare Items</v>
          </cell>
          <cell r="C136">
            <v>0</v>
          </cell>
          <cell r="D136">
            <v>127965.56</v>
          </cell>
          <cell r="E136">
            <v>11223</v>
          </cell>
          <cell r="F136">
            <v>116742.56</v>
          </cell>
          <cell r="G136">
            <v>0</v>
          </cell>
          <cell r="H136">
            <v>116742.56</v>
          </cell>
        </row>
        <row r="137">
          <cell r="A137">
            <v>42030040</v>
          </cell>
          <cell r="B137" t="str">
            <v>Staff Welfare Expenses - FBT</v>
          </cell>
          <cell r="C137">
            <v>0</v>
          </cell>
          <cell r="D137">
            <v>142711</v>
          </cell>
          <cell r="E137">
            <v>137055</v>
          </cell>
          <cell r="F137">
            <v>5656</v>
          </cell>
          <cell r="G137">
            <v>0</v>
          </cell>
          <cell r="H137">
            <v>5656</v>
          </cell>
        </row>
        <row r="138">
          <cell r="A138">
            <v>42030050</v>
          </cell>
          <cell r="B138" t="str">
            <v>Staff Welfare Expenses</v>
          </cell>
          <cell r="C138">
            <v>0</v>
          </cell>
          <cell r="D138">
            <v>74848</v>
          </cell>
          <cell r="E138">
            <v>5000</v>
          </cell>
          <cell r="F138">
            <v>69848</v>
          </cell>
          <cell r="G138">
            <v>0</v>
          </cell>
          <cell r="H138">
            <v>69848</v>
          </cell>
        </row>
        <row r="139">
          <cell r="A139">
            <v>42030060</v>
          </cell>
          <cell r="B139" t="str">
            <v>Food &amp; Beverage Exps - FBT</v>
          </cell>
          <cell r="C139">
            <v>0</v>
          </cell>
          <cell r="D139">
            <v>114012</v>
          </cell>
          <cell r="E139">
            <v>0</v>
          </cell>
          <cell r="F139">
            <v>114012</v>
          </cell>
          <cell r="G139">
            <v>0</v>
          </cell>
          <cell r="H139">
            <v>114012</v>
          </cell>
        </row>
        <row r="140">
          <cell r="A140">
            <v>42030070</v>
          </cell>
          <cell r="B140" t="str">
            <v>Food &amp; Beverage Exps</v>
          </cell>
          <cell r="C140">
            <v>0</v>
          </cell>
          <cell r="D140">
            <v>26636</v>
          </cell>
          <cell r="E140">
            <v>0</v>
          </cell>
          <cell r="F140">
            <v>26636</v>
          </cell>
          <cell r="G140">
            <v>0</v>
          </cell>
          <cell r="H140">
            <v>26636</v>
          </cell>
        </row>
        <row r="141">
          <cell r="A141">
            <v>42030080</v>
          </cell>
          <cell r="B141" t="str">
            <v>Washing Allowance</v>
          </cell>
          <cell r="C141">
            <v>0</v>
          </cell>
          <cell r="D141">
            <v>53086</v>
          </cell>
          <cell r="E141">
            <v>26476</v>
          </cell>
          <cell r="F141">
            <v>26610</v>
          </cell>
          <cell r="G141">
            <v>0</v>
          </cell>
          <cell r="H141">
            <v>26610</v>
          </cell>
        </row>
        <row r="142">
          <cell r="A142">
            <v>42030090</v>
          </cell>
          <cell r="B142" t="str">
            <v>Pooja &amp; Festival Celebration Expenses - FBT</v>
          </cell>
          <cell r="C142">
            <v>0</v>
          </cell>
          <cell r="D142">
            <v>19158</v>
          </cell>
          <cell r="E142">
            <v>6000</v>
          </cell>
          <cell r="F142">
            <v>13158</v>
          </cell>
          <cell r="G142">
            <v>0</v>
          </cell>
          <cell r="H142">
            <v>13158</v>
          </cell>
        </row>
        <row r="143">
          <cell r="A143">
            <v>43001010</v>
          </cell>
          <cell r="B143" t="str">
            <v>Electricity Charges</v>
          </cell>
          <cell r="C143">
            <v>0</v>
          </cell>
          <cell r="D143">
            <v>3837653</v>
          </cell>
          <cell r="E143">
            <v>1927102</v>
          </cell>
          <cell r="F143">
            <v>1910551</v>
          </cell>
          <cell r="G143">
            <v>0</v>
          </cell>
          <cell r="H143">
            <v>1910551</v>
          </cell>
        </row>
        <row r="144">
          <cell r="A144">
            <v>43001020</v>
          </cell>
          <cell r="B144" t="str">
            <v>Water Charges</v>
          </cell>
          <cell r="C144">
            <v>0</v>
          </cell>
          <cell r="D144">
            <v>1159385</v>
          </cell>
          <cell r="E144">
            <v>680398</v>
          </cell>
          <cell r="F144">
            <v>478987</v>
          </cell>
          <cell r="G144">
            <v>0</v>
          </cell>
          <cell r="H144">
            <v>478987</v>
          </cell>
        </row>
        <row r="145">
          <cell r="A145">
            <v>43001030</v>
          </cell>
          <cell r="B145" t="str">
            <v>Fuel For Diesel Generator Set</v>
          </cell>
          <cell r="C145">
            <v>0</v>
          </cell>
          <cell r="D145">
            <v>480951.03999999998</v>
          </cell>
          <cell r="E145">
            <v>0</v>
          </cell>
          <cell r="F145">
            <v>480951.03999999998</v>
          </cell>
          <cell r="G145">
            <v>0</v>
          </cell>
          <cell r="H145">
            <v>480951.03999999998</v>
          </cell>
        </row>
        <row r="146">
          <cell r="A146">
            <v>43006010</v>
          </cell>
          <cell r="B146" t="str">
            <v>Boulder Breaking Charges</v>
          </cell>
          <cell r="C146">
            <v>0</v>
          </cell>
          <cell r="D146">
            <v>3542687</v>
          </cell>
          <cell r="E146">
            <v>1210000</v>
          </cell>
          <cell r="F146">
            <v>2332687</v>
          </cell>
          <cell r="G146">
            <v>0</v>
          </cell>
          <cell r="H146">
            <v>2332687</v>
          </cell>
        </row>
        <row r="147">
          <cell r="A147">
            <v>43006030</v>
          </cell>
          <cell r="B147" t="str">
            <v>Drilling Charges</v>
          </cell>
          <cell r="C147">
            <v>0</v>
          </cell>
          <cell r="D147">
            <v>488544</v>
          </cell>
          <cell r="E147">
            <v>192150</v>
          </cell>
          <cell r="F147">
            <v>296394</v>
          </cell>
          <cell r="G147">
            <v>0</v>
          </cell>
          <cell r="H147">
            <v>296394</v>
          </cell>
        </row>
        <row r="148">
          <cell r="A148">
            <v>43006040</v>
          </cell>
          <cell r="B148" t="str">
            <v>Blasting Expenses</v>
          </cell>
          <cell r="C148">
            <v>0</v>
          </cell>
          <cell r="D148">
            <v>2977873</v>
          </cell>
          <cell r="E148">
            <v>1308195</v>
          </cell>
          <cell r="F148">
            <v>1669678</v>
          </cell>
          <cell r="G148">
            <v>0</v>
          </cell>
          <cell r="H148">
            <v>1669678</v>
          </cell>
        </row>
        <row r="149">
          <cell r="A149">
            <v>43010010</v>
          </cell>
          <cell r="B149" t="str">
            <v>Consumables</v>
          </cell>
          <cell r="C149">
            <v>0</v>
          </cell>
          <cell r="D149">
            <v>38894.5</v>
          </cell>
          <cell r="E149">
            <v>0</v>
          </cell>
          <cell r="F149">
            <v>38894.5</v>
          </cell>
          <cell r="G149">
            <v>0</v>
          </cell>
          <cell r="H149">
            <v>38894.5</v>
          </cell>
        </row>
        <row r="150">
          <cell r="A150">
            <v>43012010</v>
          </cell>
          <cell r="B150" t="str">
            <v>Lab Consumables</v>
          </cell>
          <cell r="C150">
            <v>0</v>
          </cell>
          <cell r="D150">
            <v>522</v>
          </cell>
          <cell r="E150">
            <v>0</v>
          </cell>
          <cell r="F150">
            <v>522</v>
          </cell>
          <cell r="G150">
            <v>0</v>
          </cell>
          <cell r="H150">
            <v>522</v>
          </cell>
        </row>
        <row r="151">
          <cell r="A151">
            <v>43012020</v>
          </cell>
          <cell r="B151" t="str">
            <v>Labour / sub contractor for - Pumping Expenses Incurred</v>
          </cell>
          <cell r="C151">
            <v>0</v>
          </cell>
          <cell r="D151">
            <v>1565595</v>
          </cell>
          <cell r="E151">
            <v>804356</v>
          </cell>
          <cell r="F151">
            <v>761239</v>
          </cell>
          <cell r="G151">
            <v>0</v>
          </cell>
          <cell r="H151">
            <v>761239</v>
          </cell>
        </row>
        <row r="152">
          <cell r="A152">
            <v>43012030</v>
          </cell>
          <cell r="B152" t="str">
            <v>Labour Charges - Quarry/Crusher</v>
          </cell>
          <cell r="C152">
            <v>0</v>
          </cell>
          <cell r="D152">
            <v>1532471</v>
          </cell>
          <cell r="E152">
            <v>244208</v>
          </cell>
          <cell r="F152">
            <v>1288263</v>
          </cell>
          <cell r="G152">
            <v>0</v>
          </cell>
          <cell r="H152">
            <v>1288263</v>
          </cell>
        </row>
        <row r="153">
          <cell r="A153">
            <v>43016010</v>
          </cell>
          <cell r="B153" t="str">
            <v>Transportation Charges</v>
          </cell>
          <cell r="C153">
            <v>0</v>
          </cell>
          <cell r="D153">
            <v>15806048.25</v>
          </cell>
          <cell r="E153">
            <v>10814947.130000001</v>
          </cell>
          <cell r="F153">
            <v>4991101.12</v>
          </cell>
          <cell r="G153">
            <v>0</v>
          </cell>
          <cell r="H153">
            <v>4991101.12</v>
          </cell>
        </row>
        <row r="154">
          <cell r="A154">
            <v>43018010</v>
          </cell>
          <cell r="B154" t="str">
            <v>Repairs &amp; Maintenance</v>
          </cell>
          <cell r="C154">
            <v>0</v>
          </cell>
          <cell r="D154">
            <v>11002631.4</v>
          </cell>
          <cell r="E154">
            <v>2888813.5</v>
          </cell>
          <cell r="F154">
            <v>8113817.9000000004</v>
          </cell>
          <cell r="G154">
            <v>0</v>
          </cell>
          <cell r="H154">
            <v>8113817.9000000004</v>
          </cell>
        </row>
        <row r="155">
          <cell r="A155">
            <v>43018020</v>
          </cell>
          <cell r="B155" t="str">
            <v>Oil &amp; Grease</v>
          </cell>
          <cell r="C155">
            <v>0</v>
          </cell>
          <cell r="D155">
            <v>1104565.97</v>
          </cell>
          <cell r="E155">
            <v>183092</v>
          </cell>
          <cell r="F155">
            <v>921473.97</v>
          </cell>
          <cell r="G155">
            <v>0</v>
          </cell>
          <cell r="H155">
            <v>921473.97</v>
          </cell>
        </row>
        <row r="156">
          <cell r="A156">
            <v>43020030</v>
          </cell>
          <cell r="B156" t="str">
            <v>Tyres</v>
          </cell>
          <cell r="C156">
            <v>0</v>
          </cell>
          <cell r="D156">
            <v>298800.90999999997</v>
          </cell>
          <cell r="E156">
            <v>3474</v>
          </cell>
          <cell r="F156">
            <v>295326.90999999997</v>
          </cell>
          <cell r="G156">
            <v>0</v>
          </cell>
          <cell r="H156">
            <v>295326.90999999997</v>
          </cell>
        </row>
        <row r="157">
          <cell r="A157">
            <v>43020040</v>
          </cell>
          <cell r="B157" t="str">
            <v>Repairs &amp; Maintenance - Vehicles - FBT</v>
          </cell>
          <cell r="C157">
            <v>0</v>
          </cell>
          <cell r="D157">
            <v>14997</v>
          </cell>
          <cell r="E157">
            <v>0</v>
          </cell>
          <cell r="F157">
            <v>14997</v>
          </cell>
          <cell r="G157">
            <v>0</v>
          </cell>
          <cell r="H157">
            <v>14997</v>
          </cell>
        </row>
        <row r="158">
          <cell r="A158">
            <v>43022010</v>
          </cell>
          <cell r="B158" t="str">
            <v>Plant / Office Up Keep Exps</v>
          </cell>
          <cell r="C158">
            <v>0</v>
          </cell>
          <cell r="D158">
            <v>573953</v>
          </cell>
          <cell r="E158">
            <v>182842</v>
          </cell>
          <cell r="F158">
            <v>391111</v>
          </cell>
          <cell r="G158">
            <v>0</v>
          </cell>
          <cell r="H158">
            <v>391111</v>
          </cell>
        </row>
        <row r="159">
          <cell r="A159">
            <v>43032010</v>
          </cell>
          <cell r="B159" t="str">
            <v>Rent - Plant</v>
          </cell>
          <cell r="C159">
            <v>0</v>
          </cell>
          <cell r="D159">
            <v>3993728</v>
          </cell>
          <cell r="E159">
            <v>564000</v>
          </cell>
          <cell r="F159">
            <v>3429728</v>
          </cell>
          <cell r="G159">
            <v>0</v>
          </cell>
          <cell r="H159">
            <v>3429728</v>
          </cell>
        </row>
        <row r="160">
          <cell r="A160">
            <v>43032040</v>
          </cell>
          <cell r="B160" t="str">
            <v>Lease Rentals- Machinery</v>
          </cell>
          <cell r="C160">
            <v>0</v>
          </cell>
          <cell r="D160">
            <v>987190</v>
          </cell>
          <cell r="E160">
            <v>166506</v>
          </cell>
          <cell r="F160">
            <v>820684</v>
          </cell>
          <cell r="G160">
            <v>0</v>
          </cell>
          <cell r="H160">
            <v>820684</v>
          </cell>
        </row>
        <row r="161">
          <cell r="A161">
            <v>43032045</v>
          </cell>
          <cell r="B161" t="str">
            <v>Towing Expenses</v>
          </cell>
          <cell r="C161">
            <v>0</v>
          </cell>
          <cell r="D161">
            <v>802992</v>
          </cell>
          <cell r="E161">
            <v>442992</v>
          </cell>
          <cell r="F161">
            <v>360000</v>
          </cell>
          <cell r="G161">
            <v>0</v>
          </cell>
          <cell r="H161">
            <v>360000</v>
          </cell>
        </row>
        <row r="162">
          <cell r="A162">
            <v>43036010</v>
          </cell>
          <cell r="B162" t="str">
            <v>Insurance Expenses</v>
          </cell>
          <cell r="C162">
            <v>0</v>
          </cell>
          <cell r="D162">
            <v>78586</v>
          </cell>
          <cell r="E162">
            <v>0</v>
          </cell>
          <cell r="F162">
            <v>78586</v>
          </cell>
          <cell r="G162">
            <v>0</v>
          </cell>
          <cell r="H162">
            <v>78586</v>
          </cell>
        </row>
        <row r="163">
          <cell r="A163">
            <v>43036030</v>
          </cell>
          <cell r="B163" t="str">
            <v>Insurance  - Company Vehicle Expenses  - FBT</v>
          </cell>
          <cell r="C163">
            <v>0</v>
          </cell>
          <cell r="D163">
            <v>13915</v>
          </cell>
          <cell r="E163">
            <v>0</v>
          </cell>
          <cell r="F163">
            <v>13915</v>
          </cell>
          <cell r="G163">
            <v>0</v>
          </cell>
          <cell r="H163">
            <v>13915</v>
          </cell>
        </row>
        <row r="164">
          <cell r="A164">
            <v>43038020</v>
          </cell>
          <cell r="B164" t="str">
            <v>Courier Expenses</v>
          </cell>
          <cell r="C164">
            <v>0</v>
          </cell>
          <cell r="D164">
            <v>24097</v>
          </cell>
          <cell r="E164">
            <v>20000</v>
          </cell>
          <cell r="F164">
            <v>4097</v>
          </cell>
          <cell r="G164">
            <v>0</v>
          </cell>
          <cell r="H164">
            <v>4097</v>
          </cell>
        </row>
        <row r="165">
          <cell r="A165">
            <v>43038030</v>
          </cell>
          <cell r="B165" t="str">
            <v>Telephone Expenses</v>
          </cell>
          <cell r="C165">
            <v>0</v>
          </cell>
          <cell r="D165">
            <v>233461</v>
          </cell>
          <cell r="E165">
            <v>52500</v>
          </cell>
          <cell r="F165">
            <v>180961</v>
          </cell>
          <cell r="G165">
            <v>0</v>
          </cell>
          <cell r="H165">
            <v>180961</v>
          </cell>
        </row>
        <row r="166">
          <cell r="A166">
            <v>43038050</v>
          </cell>
          <cell r="B166" t="str">
            <v>Telephone Chgs - Mobile  FBT</v>
          </cell>
          <cell r="C166">
            <v>0</v>
          </cell>
          <cell r="D166">
            <v>596504</v>
          </cell>
          <cell r="E166">
            <v>387937</v>
          </cell>
          <cell r="F166">
            <v>208567</v>
          </cell>
          <cell r="G166">
            <v>0</v>
          </cell>
          <cell r="H166">
            <v>208567</v>
          </cell>
        </row>
        <row r="167">
          <cell r="A167">
            <v>43038060</v>
          </cell>
          <cell r="B167" t="str">
            <v>Telephone  Employee - Residence - FBT</v>
          </cell>
          <cell r="C167">
            <v>0</v>
          </cell>
          <cell r="D167">
            <v>1601</v>
          </cell>
          <cell r="E167">
            <v>35000</v>
          </cell>
          <cell r="F167">
            <v>-33399</v>
          </cell>
          <cell r="G167">
            <v>0</v>
          </cell>
          <cell r="H167">
            <v>-33399</v>
          </cell>
        </row>
        <row r="168">
          <cell r="A168">
            <v>43040010</v>
          </cell>
          <cell r="B168" t="str">
            <v>Conveyance Expenses - FBT</v>
          </cell>
          <cell r="C168">
            <v>0</v>
          </cell>
          <cell r="D168">
            <v>518313</v>
          </cell>
          <cell r="E168">
            <v>230000</v>
          </cell>
          <cell r="F168">
            <v>288313</v>
          </cell>
          <cell r="G168">
            <v>0</v>
          </cell>
          <cell r="H168">
            <v>288313</v>
          </cell>
        </row>
        <row r="169">
          <cell r="A169">
            <v>43040030</v>
          </cell>
          <cell r="B169" t="str">
            <v>Motor Car Hire Expenses - FBT</v>
          </cell>
          <cell r="C169">
            <v>0</v>
          </cell>
          <cell r="D169">
            <v>269289</v>
          </cell>
          <cell r="E169">
            <v>260000</v>
          </cell>
          <cell r="F169">
            <v>9289</v>
          </cell>
          <cell r="G169">
            <v>0</v>
          </cell>
          <cell r="H169">
            <v>9289</v>
          </cell>
        </row>
        <row r="170">
          <cell r="A170">
            <v>43040040</v>
          </cell>
          <cell r="B170" t="str">
            <v>Motor Car Hire Expenses</v>
          </cell>
          <cell r="C170">
            <v>0</v>
          </cell>
          <cell r="D170">
            <v>292772</v>
          </cell>
          <cell r="E170">
            <v>0</v>
          </cell>
          <cell r="F170">
            <v>292772</v>
          </cell>
          <cell r="G170">
            <v>0</v>
          </cell>
          <cell r="H170">
            <v>292772</v>
          </cell>
        </row>
        <row r="171">
          <cell r="A171">
            <v>43040080</v>
          </cell>
          <cell r="B171" t="str">
            <v>Travelling Expenses - Domestic - FBT</v>
          </cell>
          <cell r="C171">
            <v>0</v>
          </cell>
          <cell r="D171">
            <v>21861</v>
          </cell>
          <cell r="E171">
            <v>0</v>
          </cell>
          <cell r="F171">
            <v>21861</v>
          </cell>
          <cell r="G171">
            <v>0</v>
          </cell>
          <cell r="H171">
            <v>21861</v>
          </cell>
        </row>
        <row r="172">
          <cell r="A172">
            <v>43040100</v>
          </cell>
          <cell r="B172" t="str">
            <v>Hotel Expenses  - FBT</v>
          </cell>
          <cell r="C172">
            <v>0</v>
          </cell>
          <cell r="D172">
            <v>31335</v>
          </cell>
          <cell r="E172">
            <v>0</v>
          </cell>
          <cell r="F172">
            <v>31335</v>
          </cell>
          <cell r="G172">
            <v>0</v>
          </cell>
          <cell r="H172">
            <v>31335</v>
          </cell>
        </row>
        <row r="173">
          <cell r="A173">
            <v>43042010</v>
          </cell>
          <cell r="B173" t="str">
            <v>Fuel - Truck Mixers</v>
          </cell>
          <cell r="C173">
            <v>0</v>
          </cell>
          <cell r="D173">
            <v>3954626.02</v>
          </cell>
          <cell r="E173">
            <v>1911087</v>
          </cell>
          <cell r="F173">
            <v>2043539.02</v>
          </cell>
          <cell r="G173">
            <v>0</v>
          </cell>
          <cell r="H173">
            <v>2043539.02</v>
          </cell>
        </row>
        <row r="174">
          <cell r="A174">
            <v>43042020</v>
          </cell>
          <cell r="B174" t="str">
            <v>Fuel - Loader</v>
          </cell>
          <cell r="C174">
            <v>0</v>
          </cell>
          <cell r="D174">
            <v>2626723.34</v>
          </cell>
          <cell r="E174">
            <v>895246</v>
          </cell>
          <cell r="F174">
            <v>1731477.34</v>
          </cell>
          <cell r="G174">
            <v>0</v>
          </cell>
          <cell r="H174">
            <v>1731477.34</v>
          </cell>
        </row>
        <row r="175">
          <cell r="A175">
            <v>43042030</v>
          </cell>
          <cell r="B175" t="str">
            <v>Fuel - Others</v>
          </cell>
          <cell r="C175">
            <v>0</v>
          </cell>
          <cell r="D175">
            <v>1561508.15</v>
          </cell>
          <cell r="E175">
            <v>1564938</v>
          </cell>
          <cell r="F175">
            <v>-3429.85</v>
          </cell>
          <cell r="G175">
            <v>0</v>
          </cell>
          <cell r="H175">
            <v>-3429.85</v>
          </cell>
        </row>
        <row r="176">
          <cell r="A176">
            <v>43042040</v>
          </cell>
          <cell r="B176" t="str">
            <v>Fuel -  Company Vehicle Expenses  FBT</v>
          </cell>
          <cell r="C176">
            <v>0</v>
          </cell>
          <cell r="D176">
            <v>160285.9</v>
          </cell>
          <cell r="E176">
            <v>0</v>
          </cell>
          <cell r="F176">
            <v>160285.9</v>
          </cell>
          <cell r="G176">
            <v>0</v>
          </cell>
          <cell r="H176">
            <v>160285.9</v>
          </cell>
        </row>
        <row r="177">
          <cell r="A177">
            <v>43042050</v>
          </cell>
          <cell r="B177" t="str">
            <v>Fuel -  External Trucks/Pumps</v>
          </cell>
          <cell r="C177">
            <v>0</v>
          </cell>
          <cell r="D177">
            <v>3776651.56</v>
          </cell>
          <cell r="E177">
            <v>1911041</v>
          </cell>
          <cell r="F177">
            <v>1865610.56</v>
          </cell>
          <cell r="G177">
            <v>0</v>
          </cell>
          <cell r="H177">
            <v>1865610.56</v>
          </cell>
        </row>
        <row r="178">
          <cell r="A178">
            <v>43042055</v>
          </cell>
          <cell r="B178" t="str">
            <v>Fuel- Compressor</v>
          </cell>
          <cell r="C178">
            <v>0</v>
          </cell>
          <cell r="D178">
            <v>1088436.6100000001</v>
          </cell>
          <cell r="E178">
            <v>544218</v>
          </cell>
          <cell r="F178">
            <v>544218.61</v>
          </cell>
          <cell r="G178">
            <v>0</v>
          </cell>
          <cell r="H178">
            <v>544218.61</v>
          </cell>
        </row>
        <row r="179">
          <cell r="A179">
            <v>43042060</v>
          </cell>
          <cell r="B179" t="str">
            <v>Fuel - Concrete Pumps</v>
          </cell>
          <cell r="C179">
            <v>0</v>
          </cell>
          <cell r="D179">
            <v>1378550.65</v>
          </cell>
          <cell r="E179">
            <v>806925</v>
          </cell>
          <cell r="F179">
            <v>571625.65</v>
          </cell>
          <cell r="G179">
            <v>0</v>
          </cell>
          <cell r="H179">
            <v>571625.65</v>
          </cell>
        </row>
        <row r="180">
          <cell r="A180">
            <v>43044010</v>
          </cell>
          <cell r="B180" t="str">
            <v>Royalty</v>
          </cell>
          <cell r="C180">
            <v>0</v>
          </cell>
          <cell r="D180">
            <v>7097049</v>
          </cell>
          <cell r="E180">
            <v>3628770</v>
          </cell>
          <cell r="F180">
            <v>3468279</v>
          </cell>
          <cell r="G180">
            <v>0</v>
          </cell>
          <cell r="H180">
            <v>3468279</v>
          </cell>
        </row>
        <row r="181">
          <cell r="A181">
            <v>43046010</v>
          </cell>
          <cell r="B181" t="str">
            <v>Rates &amp; Taxes</v>
          </cell>
          <cell r="C181">
            <v>0</v>
          </cell>
          <cell r="D181">
            <v>629324</v>
          </cell>
          <cell r="E181">
            <v>300000</v>
          </cell>
          <cell r="F181">
            <v>329324</v>
          </cell>
          <cell r="G181">
            <v>0</v>
          </cell>
          <cell r="H181">
            <v>329324</v>
          </cell>
        </row>
        <row r="182">
          <cell r="A182">
            <v>43046030</v>
          </cell>
          <cell r="B182" t="str">
            <v>Fines &amp; Penalties</v>
          </cell>
          <cell r="C182">
            <v>0</v>
          </cell>
          <cell r="D182">
            <v>3000</v>
          </cell>
          <cell r="E182">
            <v>0</v>
          </cell>
          <cell r="F182">
            <v>3000</v>
          </cell>
          <cell r="G182">
            <v>0</v>
          </cell>
          <cell r="H182">
            <v>3000</v>
          </cell>
        </row>
        <row r="183">
          <cell r="A183">
            <v>43050010</v>
          </cell>
          <cell r="B183" t="str">
            <v>Staff Training Expenses</v>
          </cell>
          <cell r="C183">
            <v>0</v>
          </cell>
          <cell r="D183">
            <v>7721</v>
          </cell>
          <cell r="E183">
            <v>0</v>
          </cell>
          <cell r="F183">
            <v>7721</v>
          </cell>
          <cell r="G183">
            <v>0</v>
          </cell>
          <cell r="H183">
            <v>7721</v>
          </cell>
        </row>
        <row r="184">
          <cell r="A184">
            <v>43052010</v>
          </cell>
          <cell r="B184" t="str">
            <v>Security Service Charges</v>
          </cell>
          <cell r="C184">
            <v>0</v>
          </cell>
          <cell r="D184">
            <v>1224472</v>
          </cell>
          <cell r="E184">
            <v>648852</v>
          </cell>
          <cell r="F184">
            <v>575620</v>
          </cell>
          <cell r="G184">
            <v>0</v>
          </cell>
          <cell r="H184">
            <v>575620</v>
          </cell>
        </row>
        <row r="185">
          <cell r="A185">
            <v>43054010</v>
          </cell>
          <cell r="B185" t="str">
            <v>Hire Charges - Machine</v>
          </cell>
          <cell r="C185">
            <v>0</v>
          </cell>
          <cell r="D185">
            <v>142125</v>
          </cell>
          <cell r="E185">
            <v>56000</v>
          </cell>
          <cell r="F185">
            <v>86125</v>
          </cell>
          <cell r="G185">
            <v>0</v>
          </cell>
          <cell r="H185">
            <v>86125</v>
          </cell>
        </row>
        <row r="186">
          <cell r="A186">
            <v>43054020</v>
          </cell>
          <cell r="B186" t="str">
            <v>Concrete Carrying Charges - TM</v>
          </cell>
          <cell r="C186">
            <v>0</v>
          </cell>
          <cell r="D186">
            <v>5340370</v>
          </cell>
          <cell r="E186">
            <v>2600000</v>
          </cell>
          <cell r="F186">
            <v>2740370</v>
          </cell>
          <cell r="G186">
            <v>0</v>
          </cell>
          <cell r="H186">
            <v>2740370</v>
          </cell>
        </row>
        <row r="187">
          <cell r="A187">
            <v>43056010</v>
          </cell>
          <cell r="B187" t="str">
            <v>Professional &amp; Consultancy Fees</v>
          </cell>
          <cell r="C187">
            <v>0</v>
          </cell>
          <cell r="D187">
            <v>706605</v>
          </cell>
          <cell r="E187">
            <v>194054</v>
          </cell>
          <cell r="F187">
            <v>512551</v>
          </cell>
          <cell r="G187">
            <v>0</v>
          </cell>
          <cell r="H187">
            <v>512551</v>
          </cell>
        </row>
        <row r="188">
          <cell r="A188">
            <v>43062010</v>
          </cell>
          <cell r="B188" t="str">
            <v>Computer Expenses</v>
          </cell>
          <cell r="C188">
            <v>0</v>
          </cell>
          <cell r="D188">
            <v>21244</v>
          </cell>
          <cell r="E188">
            <v>0</v>
          </cell>
          <cell r="F188">
            <v>21244</v>
          </cell>
          <cell r="G188">
            <v>0</v>
          </cell>
          <cell r="H188">
            <v>21244</v>
          </cell>
        </row>
        <row r="189">
          <cell r="A189">
            <v>43066010</v>
          </cell>
          <cell r="B189" t="str">
            <v>Books &amp; Periodicals</v>
          </cell>
          <cell r="C189">
            <v>0</v>
          </cell>
          <cell r="D189">
            <v>1610</v>
          </cell>
          <cell r="E189">
            <v>0</v>
          </cell>
          <cell r="F189">
            <v>1610</v>
          </cell>
          <cell r="G189">
            <v>0</v>
          </cell>
          <cell r="H189">
            <v>1610</v>
          </cell>
        </row>
        <row r="190">
          <cell r="A190">
            <v>43066020</v>
          </cell>
          <cell r="B190" t="str">
            <v>Printing &amp; Stationery</v>
          </cell>
          <cell r="C190">
            <v>0</v>
          </cell>
          <cell r="D190">
            <v>155939</v>
          </cell>
          <cell r="E190">
            <v>40080</v>
          </cell>
          <cell r="F190">
            <v>115859</v>
          </cell>
          <cell r="G190">
            <v>0</v>
          </cell>
          <cell r="H190">
            <v>115859</v>
          </cell>
        </row>
        <row r="191">
          <cell r="A191">
            <v>43068010</v>
          </cell>
          <cell r="B191" t="str">
            <v>Donation</v>
          </cell>
          <cell r="C191">
            <v>0</v>
          </cell>
          <cell r="D191">
            <v>2000</v>
          </cell>
          <cell r="E191">
            <v>0</v>
          </cell>
          <cell r="F191">
            <v>2000</v>
          </cell>
          <cell r="G191">
            <v>0</v>
          </cell>
          <cell r="H191">
            <v>2000</v>
          </cell>
        </row>
        <row r="192">
          <cell r="A192">
            <v>43070080</v>
          </cell>
          <cell r="B192" t="str">
            <v>Advertisement Expenses</v>
          </cell>
          <cell r="C192">
            <v>0</v>
          </cell>
          <cell r="D192">
            <v>10000</v>
          </cell>
          <cell r="E192">
            <v>0</v>
          </cell>
          <cell r="F192">
            <v>10000</v>
          </cell>
          <cell r="G192">
            <v>0</v>
          </cell>
          <cell r="H192">
            <v>10000</v>
          </cell>
        </row>
        <row r="193">
          <cell r="A193">
            <v>43070090</v>
          </cell>
          <cell r="B193" t="str">
            <v>Gifts &amp; Presents - FBT</v>
          </cell>
          <cell r="C193">
            <v>0</v>
          </cell>
          <cell r="D193">
            <v>730</v>
          </cell>
          <cell r="E193">
            <v>0</v>
          </cell>
          <cell r="F193">
            <v>730</v>
          </cell>
          <cell r="G193">
            <v>0</v>
          </cell>
          <cell r="H193">
            <v>730</v>
          </cell>
        </row>
        <row r="194">
          <cell r="A194">
            <v>43074010</v>
          </cell>
          <cell r="B194" t="str">
            <v>Provision For Bad &amp; Doubtful Debts W/Off</v>
          </cell>
          <cell r="C194">
            <v>0</v>
          </cell>
          <cell r="D194">
            <v>1000000</v>
          </cell>
          <cell r="E194">
            <v>0</v>
          </cell>
          <cell r="F194">
            <v>1000000</v>
          </cell>
          <cell r="G194">
            <v>0</v>
          </cell>
          <cell r="H194">
            <v>1000000</v>
          </cell>
        </row>
        <row r="195">
          <cell r="A195">
            <v>43084010</v>
          </cell>
          <cell r="B195" t="str">
            <v>Miscellaneous Expenses</v>
          </cell>
          <cell r="C195">
            <v>0</v>
          </cell>
          <cell r="D195">
            <v>389840</v>
          </cell>
          <cell r="E195">
            <v>148700</v>
          </cell>
          <cell r="F195">
            <v>241140</v>
          </cell>
          <cell r="G195">
            <v>0</v>
          </cell>
          <cell r="H195">
            <v>241140</v>
          </cell>
        </row>
        <row r="196">
          <cell r="A196">
            <v>43084020</v>
          </cell>
          <cell r="B196" t="str">
            <v>Testing Charges</v>
          </cell>
          <cell r="C196">
            <v>0</v>
          </cell>
          <cell r="D196">
            <v>123298</v>
          </cell>
          <cell r="E196">
            <v>0</v>
          </cell>
          <cell r="F196">
            <v>123298</v>
          </cell>
          <cell r="G196">
            <v>0</v>
          </cell>
          <cell r="H196">
            <v>123298</v>
          </cell>
        </row>
        <row r="197">
          <cell r="A197">
            <v>43084030</v>
          </cell>
          <cell r="B197" t="str">
            <v>Rounding Off</v>
          </cell>
          <cell r="C197">
            <v>0</v>
          </cell>
          <cell r="D197">
            <v>721.1</v>
          </cell>
          <cell r="E197">
            <v>267.98</v>
          </cell>
          <cell r="F197">
            <v>453.12</v>
          </cell>
          <cell r="G197">
            <v>0</v>
          </cell>
          <cell r="H197">
            <v>453.12</v>
          </cell>
        </row>
        <row r="198">
          <cell r="A198">
            <v>44010040</v>
          </cell>
          <cell r="B198" t="str">
            <v>Bank Charges</v>
          </cell>
          <cell r="C198">
            <v>0</v>
          </cell>
          <cell r="D198">
            <v>3397.41</v>
          </cell>
          <cell r="E198">
            <v>450</v>
          </cell>
          <cell r="F198">
            <v>2947.41</v>
          </cell>
          <cell r="G198">
            <v>0</v>
          </cell>
          <cell r="H198">
            <v>2947.41</v>
          </cell>
        </row>
        <row r="199">
          <cell r="A199">
            <v>45010010</v>
          </cell>
          <cell r="B199" t="str">
            <v>Depreciation</v>
          </cell>
          <cell r="C199">
            <v>0</v>
          </cell>
          <cell r="D199">
            <v>4120092.76</v>
          </cell>
          <cell r="E199">
            <v>0</v>
          </cell>
          <cell r="F199">
            <v>4120092.76</v>
          </cell>
          <cell r="G199">
            <v>0</v>
          </cell>
          <cell r="H199">
            <v>4120092.76</v>
          </cell>
        </row>
        <row r="200">
          <cell r="A200">
            <v>52000000</v>
          </cell>
          <cell r="B200" t="str">
            <v>Inter Branch Control Account</v>
          </cell>
          <cell r="C200">
            <v>-82577233.180000007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-82577233.180000007</v>
          </cell>
        </row>
        <row r="201">
          <cell r="A201">
            <v>52000809</v>
          </cell>
          <cell r="B201" t="str">
            <v>Inter branch control account for 08-09</v>
          </cell>
          <cell r="C201">
            <v>21981550.399999999</v>
          </cell>
          <cell r="D201">
            <v>11838243</v>
          </cell>
          <cell r="E201">
            <v>1033380</v>
          </cell>
          <cell r="F201">
            <v>10804863</v>
          </cell>
          <cell r="G201">
            <v>0</v>
          </cell>
          <cell r="H201">
            <v>32786413.399999999</v>
          </cell>
        </row>
        <row r="202">
          <cell r="A202">
            <v>61000200</v>
          </cell>
          <cell r="B202" t="str">
            <v>Stock Transfer Control Account</v>
          </cell>
          <cell r="C202">
            <v>0</v>
          </cell>
          <cell r="D202">
            <v>11678410.279999999</v>
          </cell>
          <cell r="E202">
            <v>11678409.08</v>
          </cell>
          <cell r="F202">
            <v>1.2</v>
          </cell>
          <cell r="G202">
            <v>0</v>
          </cell>
          <cell r="H202">
            <v>1.2</v>
          </cell>
        </row>
        <row r="203">
          <cell r="A203">
            <v>61000400</v>
          </cell>
          <cell r="B203" t="str">
            <v>Control Account Haulage Income</v>
          </cell>
          <cell r="C203">
            <v>0</v>
          </cell>
          <cell r="D203">
            <v>9551692</v>
          </cell>
          <cell r="E203">
            <v>9551692</v>
          </cell>
          <cell r="F203">
            <v>0</v>
          </cell>
          <cell r="G203">
            <v>0</v>
          </cell>
          <cell r="H203">
            <v>0</v>
          </cell>
        </row>
        <row r="204">
          <cell r="A204">
            <v>61000500</v>
          </cell>
          <cell r="B204" t="str">
            <v>Control Account for Pumping</v>
          </cell>
          <cell r="C204">
            <v>0</v>
          </cell>
          <cell r="D204">
            <v>5608599</v>
          </cell>
          <cell r="E204">
            <v>5608599</v>
          </cell>
          <cell r="F204">
            <v>0</v>
          </cell>
          <cell r="G204">
            <v>0</v>
          </cell>
          <cell r="H204">
            <v>0</v>
          </cell>
        </row>
        <row r="205">
          <cell r="A205">
            <v>62000000</v>
          </cell>
          <cell r="B205" t="str">
            <v>Inter branch Clearing account</v>
          </cell>
          <cell r="C205">
            <v>0</v>
          </cell>
          <cell r="D205">
            <v>1679296</v>
          </cell>
          <cell r="E205">
            <v>1679296</v>
          </cell>
          <cell r="F205">
            <v>0</v>
          </cell>
          <cell r="G205">
            <v>0</v>
          </cell>
          <cell r="H205">
            <v>0</v>
          </cell>
        </row>
        <row r="206">
          <cell r="B206" t="str">
            <v>Total</v>
          </cell>
          <cell r="D206">
            <v>0</v>
          </cell>
          <cell r="E206">
            <v>1194422431.3499999</v>
          </cell>
          <cell r="F206">
            <v>1194422431.3499999</v>
          </cell>
          <cell r="G206">
            <v>0</v>
          </cell>
          <cell r="H206">
            <v>0</v>
          </cell>
        </row>
      </sheetData>
      <sheetData sheetId="6" refreshError="1">
        <row r="1">
          <cell r="A1" t="str">
            <v>RMC Readymix (I) Pvt. Ltd.,</v>
          </cell>
          <cell r="B1" t="str">
            <v>Trial balance</v>
          </cell>
          <cell r="C1">
            <v>39969</v>
          </cell>
          <cell r="D1">
            <v>0.66879629629629633</v>
          </cell>
          <cell r="E1" t="str">
            <v>Page 1</v>
          </cell>
          <cell r="F1" t="str">
            <v>Coimbatore</v>
          </cell>
        </row>
        <row r="2">
          <cell r="A2" t="str">
            <v>Period</v>
          </cell>
          <cell r="B2">
            <v>39904</v>
          </cell>
          <cell r="C2">
            <v>39964</v>
          </cell>
        </row>
        <row r="3">
          <cell r="A3" t="str">
            <v>Ledger account</v>
          </cell>
          <cell r="B3" t="str">
            <v>Account name</v>
          </cell>
          <cell r="C3" t="str">
            <v>Opening balance</v>
          </cell>
          <cell r="D3" t="str">
            <v>Debit</v>
          </cell>
          <cell r="E3" t="str">
            <v>Credit</v>
          </cell>
          <cell r="F3" t="str">
            <v>Net difference</v>
          </cell>
          <cell r="G3" t="str">
            <v>Closing transactions</v>
          </cell>
          <cell r="H3" t="str">
            <v>Closing balance</v>
          </cell>
        </row>
        <row r="4">
          <cell r="A4">
            <v>11015010</v>
          </cell>
          <cell r="B4" t="str">
            <v>Buildings</v>
          </cell>
          <cell r="C4">
            <v>6752029.7999999998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6752029.7999999998</v>
          </cell>
        </row>
        <row r="5">
          <cell r="A5">
            <v>11025010</v>
          </cell>
          <cell r="B5" t="str">
            <v>Plant and Machinery</v>
          </cell>
          <cell r="C5">
            <v>29946464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29946464</v>
          </cell>
        </row>
        <row r="6">
          <cell r="A6">
            <v>11030010</v>
          </cell>
          <cell r="B6" t="str">
            <v>Electrical Installations</v>
          </cell>
          <cell r="C6">
            <v>2224023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2224023</v>
          </cell>
        </row>
        <row r="7">
          <cell r="A7">
            <v>11035010</v>
          </cell>
          <cell r="B7" t="str">
            <v>Furniture &amp; Fixtures</v>
          </cell>
          <cell r="C7">
            <v>1373363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1373363</v>
          </cell>
        </row>
        <row r="8">
          <cell r="A8">
            <v>11040010</v>
          </cell>
          <cell r="B8" t="str">
            <v>Office &amp; Electrical Appliances</v>
          </cell>
          <cell r="C8">
            <v>412461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412461</v>
          </cell>
        </row>
        <row r="9">
          <cell r="A9">
            <v>11045010</v>
          </cell>
          <cell r="B9" t="str">
            <v>Truck Mixers, Loaders &amp; Truck Dumpers</v>
          </cell>
          <cell r="C9">
            <v>12006595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12006595</v>
          </cell>
        </row>
        <row r="10">
          <cell r="A10">
            <v>11060010</v>
          </cell>
          <cell r="B10" t="str">
            <v>Capital W.I.P</v>
          </cell>
          <cell r="C10">
            <v>2460833.09</v>
          </cell>
          <cell r="D10">
            <v>15352</v>
          </cell>
          <cell r="E10">
            <v>0</v>
          </cell>
          <cell r="F10">
            <v>15352</v>
          </cell>
          <cell r="G10">
            <v>0</v>
          </cell>
          <cell r="H10">
            <v>2476185.09</v>
          </cell>
        </row>
        <row r="11">
          <cell r="A11">
            <v>13005010</v>
          </cell>
          <cell r="B11" t="str">
            <v>Stores and spare  Local</v>
          </cell>
          <cell r="C11">
            <v>8487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8487</v>
          </cell>
        </row>
        <row r="12">
          <cell r="A12">
            <v>13010010</v>
          </cell>
          <cell r="B12" t="str">
            <v>Tools &amp; Equipments</v>
          </cell>
          <cell r="C12">
            <v>8414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8414</v>
          </cell>
        </row>
        <row r="13">
          <cell r="A13">
            <v>13015010</v>
          </cell>
          <cell r="B13" t="str">
            <v>Balance Sheet Stock of Raw material - RMC</v>
          </cell>
          <cell r="C13">
            <v>1435096.76</v>
          </cell>
          <cell r="D13">
            <v>1270806.1100000001</v>
          </cell>
          <cell r="E13">
            <v>1435096.76</v>
          </cell>
          <cell r="F13">
            <v>-164290.65</v>
          </cell>
          <cell r="G13">
            <v>0</v>
          </cell>
          <cell r="H13">
            <v>1270806.1100000001</v>
          </cell>
        </row>
        <row r="14">
          <cell r="A14">
            <v>13020010</v>
          </cell>
          <cell r="B14" t="str">
            <v>Sundry Debtors Account</v>
          </cell>
          <cell r="C14">
            <v>7114422</v>
          </cell>
          <cell r="D14">
            <v>21925457</v>
          </cell>
          <cell r="E14">
            <v>20037540</v>
          </cell>
          <cell r="F14">
            <v>1887917</v>
          </cell>
          <cell r="G14">
            <v>0</v>
          </cell>
          <cell r="H14">
            <v>9002339</v>
          </cell>
        </row>
        <row r="15">
          <cell r="A15">
            <v>13025010</v>
          </cell>
          <cell r="B15" t="str">
            <v>Cash In Hand</v>
          </cell>
          <cell r="C15">
            <v>2459.75</v>
          </cell>
          <cell r="D15">
            <v>361374</v>
          </cell>
          <cell r="E15">
            <v>343320</v>
          </cell>
          <cell r="F15">
            <v>18054</v>
          </cell>
          <cell r="G15">
            <v>0</v>
          </cell>
          <cell r="H15">
            <v>20513.75</v>
          </cell>
        </row>
        <row r="16">
          <cell r="A16">
            <v>13035010</v>
          </cell>
          <cell r="B16" t="str">
            <v>Bank Account</v>
          </cell>
          <cell r="C16">
            <v>645843.6</v>
          </cell>
          <cell r="D16">
            <v>18928521</v>
          </cell>
          <cell r="E16">
            <v>18777065</v>
          </cell>
          <cell r="F16">
            <v>151456</v>
          </cell>
          <cell r="G16">
            <v>0</v>
          </cell>
          <cell r="H16">
            <v>797299.6</v>
          </cell>
        </row>
        <row r="17">
          <cell r="A17">
            <v>13045020</v>
          </cell>
          <cell r="B17" t="str">
            <v>Loans and advances to employees</v>
          </cell>
          <cell r="C17">
            <v>120981</v>
          </cell>
          <cell r="D17">
            <v>218442</v>
          </cell>
          <cell r="E17">
            <v>267523</v>
          </cell>
          <cell r="F17">
            <v>-49081</v>
          </cell>
          <cell r="G17">
            <v>0</v>
          </cell>
          <cell r="H17">
            <v>71900</v>
          </cell>
        </row>
        <row r="18">
          <cell r="A18">
            <v>13045030</v>
          </cell>
          <cell r="B18" t="str">
            <v>Other Advances</v>
          </cell>
          <cell r="C18">
            <v>0</v>
          </cell>
          <cell r="D18">
            <v>63000</v>
          </cell>
          <cell r="E18">
            <v>63000</v>
          </cell>
          <cell r="F18">
            <v>0</v>
          </cell>
          <cell r="G18">
            <v>0</v>
          </cell>
          <cell r="H18">
            <v>0</v>
          </cell>
        </row>
        <row r="19">
          <cell r="A19">
            <v>13050016</v>
          </cell>
          <cell r="B19" t="str">
            <v>TDS ON RECEIPTS - 05-06</v>
          </cell>
          <cell r="C19">
            <v>34183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34183</v>
          </cell>
        </row>
        <row r="20">
          <cell r="A20">
            <v>13050018</v>
          </cell>
          <cell r="B20" t="str">
            <v>TDS ON RECEIPTS - 06-07</v>
          </cell>
          <cell r="C20">
            <v>651012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651012</v>
          </cell>
        </row>
        <row r="21">
          <cell r="A21">
            <v>13050020</v>
          </cell>
          <cell r="B21" t="str">
            <v>TDS ON RECEIPTS - 08-09</v>
          </cell>
          <cell r="C21">
            <v>82262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82262</v>
          </cell>
        </row>
        <row r="22">
          <cell r="A22">
            <v>13055020</v>
          </cell>
          <cell r="B22" t="str">
            <v>Prepaid Expenses</v>
          </cell>
          <cell r="C22">
            <v>0</v>
          </cell>
          <cell r="D22">
            <v>660000</v>
          </cell>
          <cell r="E22">
            <v>450000</v>
          </cell>
          <cell r="F22">
            <v>210000</v>
          </cell>
          <cell r="G22">
            <v>0</v>
          </cell>
          <cell r="H22">
            <v>210000</v>
          </cell>
        </row>
        <row r="23">
          <cell r="A23">
            <v>13055060</v>
          </cell>
          <cell r="B23" t="str">
            <v>VAT Credit Receivable (Inputs)</v>
          </cell>
          <cell r="C23">
            <v>442035.37</v>
          </cell>
          <cell r="D23">
            <v>920782</v>
          </cell>
          <cell r="E23">
            <v>1025509</v>
          </cell>
          <cell r="F23">
            <v>-104727</v>
          </cell>
          <cell r="G23">
            <v>0</v>
          </cell>
          <cell r="H23">
            <v>337308.37</v>
          </cell>
        </row>
        <row r="24">
          <cell r="A24">
            <v>13055070</v>
          </cell>
          <cell r="B24" t="str">
            <v>Vat Credit Receivable (Capital Goods)</v>
          </cell>
          <cell r="C24">
            <v>486901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486901</v>
          </cell>
        </row>
        <row r="25">
          <cell r="A25">
            <v>13055090</v>
          </cell>
          <cell r="B25" t="str">
            <v>Sundry Deposits</v>
          </cell>
          <cell r="C25">
            <v>1410261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1410261</v>
          </cell>
        </row>
        <row r="26">
          <cell r="A26">
            <v>25005010</v>
          </cell>
          <cell r="B26" t="str">
            <v>Creditors Control</v>
          </cell>
          <cell r="C26">
            <v>-8958098.0700000003</v>
          </cell>
          <cell r="D26">
            <v>16651693</v>
          </cell>
          <cell r="E26">
            <v>16469473.039999999</v>
          </cell>
          <cell r="F26">
            <v>182219.96</v>
          </cell>
          <cell r="G26">
            <v>0</v>
          </cell>
          <cell r="H26">
            <v>-8775878.1099999994</v>
          </cell>
        </row>
        <row r="27">
          <cell r="A27">
            <v>25005050</v>
          </cell>
          <cell r="B27" t="str">
            <v>Creditors liability for material received but bill not recei</v>
          </cell>
          <cell r="C27">
            <v>-42881</v>
          </cell>
          <cell r="D27">
            <v>14281453.300000001</v>
          </cell>
          <cell r="E27">
            <v>14946043.51</v>
          </cell>
          <cell r="F27">
            <v>-664590.21</v>
          </cell>
          <cell r="G27">
            <v>0</v>
          </cell>
          <cell r="H27">
            <v>-707471.21</v>
          </cell>
        </row>
        <row r="28">
          <cell r="A28">
            <v>25010020</v>
          </cell>
          <cell r="B28" t="str">
            <v>Outstanding Liabilities For Expenses</v>
          </cell>
          <cell r="C28">
            <v>0</v>
          </cell>
          <cell r="D28">
            <v>138658</v>
          </cell>
          <cell r="E28">
            <v>198658</v>
          </cell>
          <cell r="F28">
            <v>-60000</v>
          </cell>
          <cell r="G28">
            <v>0</v>
          </cell>
          <cell r="H28">
            <v>-60000</v>
          </cell>
        </row>
        <row r="29">
          <cell r="A29">
            <v>25010050</v>
          </cell>
          <cell r="B29" t="str">
            <v>Salary Payable</v>
          </cell>
          <cell r="C29">
            <v>-3639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-3639</v>
          </cell>
        </row>
        <row r="30">
          <cell r="A30">
            <v>25010060</v>
          </cell>
          <cell r="B30" t="str">
            <v>T.D.S.payable account</v>
          </cell>
          <cell r="C30">
            <v>-105777.53</v>
          </cell>
          <cell r="D30">
            <v>229754</v>
          </cell>
          <cell r="E30">
            <v>173177</v>
          </cell>
          <cell r="F30">
            <v>56577</v>
          </cell>
          <cell r="G30">
            <v>0</v>
          </cell>
          <cell r="H30">
            <v>-49200.53</v>
          </cell>
        </row>
        <row r="31">
          <cell r="A31">
            <v>25010120</v>
          </cell>
          <cell r="B31" t="str">
            <v>Service Tax Payable</v>
          </cell>
          <cell r="C31">
            <v>-32129.78</v>
          </cell>
          <cell r="D31">
            <v>124505</v>
          </cell>
          <cell r="E31">
            <v>109691.03</v>
          </cell>
          <cell r="F31">
            <v>14813.97</v>
          </cell>
          <cell r="G31">
            <v>0</v>
          </cell>
          <cell r="H31">
            <v>-17315.810000000001</v>
          </cell>
        </row>
        <row r="32">
          <cell r="A32">
            <v>25010190</v>
          </cell>
          <cell r="B32" t="str">
            <v>VAT  Payable account</v>
          </cell>
          <cell r="C32">
            <v>-941699</v>
          </cell>
          <cell r="D32">
            <v>2108800</v>
          </cell>
          <cell r="E32">
            <v>2178479</v>
          </cell>
          <cell r="F32">
            <v>-69679</v>
          </cell>
          <cell r="G32">
            <v>0</v>
          </cell>
          <cell r="H32">
            <v>-1011378</v>
          </cell>
        </row>
        <row r="33">
          <cell r="A33">
            <v>25010200</v>
          </cell>
          <cell r="B33" t="str">
            <v>Provision for Expenses in MIS</v>
          </cell>
          <cell r="C33">
            <v>-10000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-10000</v>
          </cell>
        </row>
        <row r="34">
          <cell r="A34">
            <v>25020010</v>
          </cell>
          <cell r="B34" t="str">
            <v>E.S.I.C. Payable account</v>
          </cell>
          <cell r="C34">
            <v>-2675</v>
          </cell>
          <cell r="D34">
            <v>20063</v>
          </cell>
          <cell r="E34">
            <v>20082</v>
          </cell>
          <cell r="F34">
            <v>-19</v>
          </cell>
          <cell r="G34">
            <v>0</v>
          </cell>
          <cell r="H34">
            <v>-2694</v>
          </cell>
        </row>
        <row r="35">
          <cell r="A35">
            <v>25020040</v>
          </cell>
          <cell r="B35" t="str">
            <v>Profession Tax payable</v>
          </cell>
          <cell r="C35">
            <v>-11524</v>
          </cell>
          <cell r="D35">
            <v>1976</v>
          </cell>
          <cell r="E35">
            <v>3976</v>
          </cell>
          <cell r="F35">
            <v>-2000</v>
          </cell>
          <cell r="G35">
            <v>0</v>
          </cell>
          <cell r="H35">
            <v>-13524</v>
          </cell>
        </row>
        <row r="36">
          <cell r="A36">
            <v>26015010</v>
          </cell>
          <cell r="B36" t="str">
            <v>Prov For Dep.-  Buildings</v>
          </cell>
          <cell r="C36">
            <v>-3754385</v>
          </cell>
          <cell r="D36">
            <v>0</v>
          </cell>
          <cell r="E36">
            <v>186785</v>
          </cell>
          <cell r="F36">
            <v>-186785</v>
          </cell>
          <cell r="G36">
            <v>0</v>
          </cell>
          <cell r="H36">
            <v>-3941170</v>
          </cell>
        </row>
        <row r="37">
          <cell r="A37">
            <v>26025010</v>
          </cell>
          <cell r="B37" t="str">
            <v>Provision for Depreciation Plant &amp; Machinery</v>
          </cell>
          <cell r="C37">
            <v>-6711394.7599999998</v>
          </cell>
          <cell r="D37">
            <v>0</v>
          </cell>
          <cell r="E37">
            <v>422445</v>
          </cell>
          <cell r="F37">
            <v>-422445</v>
          </cell>
          <cell r="G37">
            <v>0</v>
          </cell>
          <cell r="H37">
            <v>-7133839.7599999998</v>
          </cell>
        </row>
        <row r="38">
          <cell r="A38">
            <v>26030010</v>
          </cell>
          <cell r="B38" t="str">
            <v>Provision For Dep.-Electrical Installations</v>
          </cell>
          <cell r="C38">
            <v>-625794</v>
          </cell>
          <cell r="D38">
            <v>0</v>
          </cell>
          <cell r="E38">
            <v>36767</v>
          </cell>
          <cell r="F38">
            <v>-36767</v>
          </cell>
          <cell r="G38">
            <v>0</v>
          </cell>
          <cell r="H38">
            <v>-662561</v>
          </cell>
        </row>
        <row r="39">
          <cell r="A39">
            <v>26035010</v>
          </cell>
          <cell r="B39" t="str">
            <v>Provision For Dep.-Furniture and Fixtures</v>
          </cell>
          <cell r="C39">
            <v>-200540.5</v>
          </cell>
          <cell r="D39">
            <v>0</v>
          </cell>
          <cell r="E39">
            <v>22614</v>
          </cell>
          <cell r="F39">
            <v>-22614</v>
          </cell>
          <cell r="G39">
            <v>0</v>
          </cell>
          <cell r="H39">
            <v>-223154.5</v>
          </cell>
        </row>
        <row r="40">
          <cell r="A40">
            <v>26040010</v>
          </cell>
          <cell r="B40" t="str">
            <v>Provision for Depreciation- Office and Electrical Appliances</v>
          </cell>
          <cell r="C40">
            <v>-226111.5</v>
          </cell>
          <cell r="D40">
            <v>0</v>
          </cell>
          <cell r="E40">
            <v>13676</v>
          </cell>
          <cell r="F40">
            <v>-13676</v>
          </cell>
          <cell r="G40">
            <v>0</v>
          </cell>
          <cell r="H40">
            <v>-239787.5</v>
          </cell>
        </row>
        <row r="41">
          <cell r="A41">
            <v>26045010</v>
          </cell>
          <cell r="B41" t="str">
            <v>Provision for Depreciation- Truck Mixers, Loaders &amp; Dumpers</v>
          </cell>
          <cell r="C41">
            <v>-9845698.8399999999</v>
          </cell>
          <cell r="D41">
            <v>0</v>
          </cell>
          <cell r="E41">
            <v>76414.399999999994</v>
          </cell>
          <cell r="F41">
            <v>-76414.399999999994</v>
          </cell>
          <cell r="G41">
            <v>0</v>
          </cell>
          <cell r="H41">
            <v>-9922113.2400000002</v>
          </cell>
        </row>
        <row r="42">
          <cell r="A42">
            <v>26055020</v>
          </cell>
          <cell r="B42" t="str">
            <v>Profit &amp; Loss A/c</v>
          </cell>
          <cell r="C42">
            <v>-22644678.289999999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-22644678.289999999</v>
          </cell>
        </row>
        <row r="43">
          <cell r="A43">
            <v>31010010</v>
          </cell>
          <cell r="B43" t="str">
            <v>Sales</v>
          </cell>
          <cell r="C43">
            <v>0</v>
          </cell>
          <cell r="D43">
            <v>1071400.77</v>
          </cell>
          <cell r="E43">
            <v>18451100.440000001</v>
          </cell>
          <cell r="F43">
            <v>-17379699.670000002</v>
          </cell>
          <cell r="G43">
            <v>0</v>
          </cell>
          <cell r="H43">
            <v>-17379699.670000002</v>
          </cell>
        </row>
        <row r="44">
          <cell r="A44">
            <v>41010010</v>
          </cell>
          <cell r="B44" t="str">
            <v>Opening Stock - Cement</v>
          </cell>
          <cell r="C44">
            <v>0</v>
          </cell>
          <cell r="D44">
            <v>263091.53999999998</v>
          </cell>
          <cell r="E44">
            <v>0</v>
          </cell>
          <cell r="F44">
            <v>263091.53999999998</v>
          </cell>
          <cell r="G44">
            <v>0</v>
          </cell>
          <cell r="H44">
            <v>263091.53999999998</v>
          </cell>
        </row>
        <row r="45">
          <cell r="A45">
            <v>41010020</v>
          </cell>
          <cell r="B45" t="str">
            <v>Opening Stock - Sand</v>
          </cell>
          <cell r="C45">
            <v>0</v>
          </cell>
          <cell r="D45">
            <v>150278.01999999999</v>
          </cell>
          <cell r="E45">
            <v>0</v>
          </cell>
          <cell r="F45">
            <v>150278.01999999999</v>
          </cell>
          <cell r="G45">
            <v>0</v>
          </cell>
          <cell r="H45">
            <v>150278.01999999999</v>
          </cell>
        </row>
        <row r="46">
          <cell r="A46">
            <v>41010030</v>
          </cell>
          <cell r="B46" t="str">
            <v>Opening Stock - CRF</v>
          </cell>
          <cell r="C46">
            <v>0</v>
          </cell>
          <cell r="D46">
            <v>10709.38</v>
          </cell>
          <cell r="E46">
            <v>0</v>
          </cell>
          <cell r="F46">
            <v>10709.38</v>
          </cell>
          <cell r="G46">
            <v>0</v>
          </cell>
          <cell r="H46">
            <v>10709.38</v>
          </cell>
        </row>
        <row r="47">
          <cell r="A47">
            <v>41010040</v>
          </cell>
          <cell r="B47" t="str">
            <v>Opening Stock - RMC Aggregates</v>
          </cell>
          <cell r="C47">
            <v>0</v>
          </cell>
          <cell r="D47">
            <v>170552.39</v>
          </cell>
          <cell r="E47">
            <v>0</v>
          </cell>
          <cell r="F47">
            <v>170552.39</v>
          </cell>
          <cell r="G47">
            <v>0</v>
          </cell>
          <cell r="H47">
            <v>170552.39</v>
          </cell>
        </row>
        <row r="48">
          <cell r="A48">
            <v>41010050</v>
          </cell>
          <cell r="B48" t="str">
            <v>Opening Stock - Admixtures</v>
          </cell>
          <cell r="C48">
            <v>0</v>
          </cell>
          <cell r="D48">
            <v>460081.28</v>
          </cell>
          <cell r="E48">
            <v>0</v>
          </cell>
          <cell r="F48">
            <v>460081.28</v>
          </cell>
          <cell r="G48">
            <v>0</v>
          </cell>
          <cell r="H48">
            <v>460081.28</v>
          </cell>
        </row>
        <row r="49">
          <cell r="A49">
            <v>41010060</v>
          </cell>
          <cell r="B49" t="str">
            <v>Opening Stock - Fibres</v>
          </cell>
          <cell r="C49">
            <v>0</v>
          </cell>
          <cell r="D49">
            <v>9104.4</v>
          </cell>
          <cell r="E49">
            <v>0</v>
          </cell>
          <cell r="F49">
            <v>9104.4</v>
          </cell>
          <cell r="G49">
            <v>0</v>
          </cell>
          <cell r="H49">
            <v>9104.4</v>
          </cell>
        </row>
        <row r="50">
          <cell r="A50">
            <v>41010070</v>
          </cell>
          <cell r="B50" t="str">
            <v>Opening Stock - Flyash</v>
          </cell>
          <cell r="C50">
            <v>0</v>
          </cell>
          <cell r="D50">
            <v>38.31</v>
          </cell>
          <cell r="E50">
            <v>0</v>
          </cell>
          <cell r="F50">
            <v>38.31</v>
          </cell>
          <cell r="G50">
            <v>0</v>
          </cell>
          <cell r="H50">
            <v>38.31</v>
          </cell>
        </row>
        <row r="51">
          <cell r="A51">
            <v>41010080</v>
          </cell>
          <cell r="B51" t="str">
            <v>Opening Stock - Diesel</v>
          </cell>
          <cell r="C51">
            <v>0</v>
          </cell>
          <cell r="D51">
            <v>11784.7</v>
          </cell>
          <cell r="E51">
            <v>0</v>
          </cell>
          <cell r="F51">
            <v>11784.7</v>
          </cell>
          <cell r="G51">
            <v>0</v>
          </cell>
          <cell r="H51">
            <v>11784.7</v>
          </cell>
        </row>
        <row r="52">
          <cell r="A52">
            <v>41010110</v>
          </cell>
          <cell r="B52" t="str">
            <v>Opening Stock GGBS</v>
          </cell>
          <cell r="C52">
            <v>0</v>
          </cell>
          <cell r="D52">
            <v>359456.74</v>
          </cell>
          <cell r="E52">
            <v>0</v>
          </cell>
          <cell r="F52">
            <v>359456.74</v>
          </cell>
          <cell r="G52">
            <v>0</v>
          </cell>
          <cell r="H52">
            <v>359456.74</v>
          </cell>
        </row>
        <row r="53">
          <cell r="A53">
            <v>41020010</v>
          </cell>
          <cell r="B53" t="str">
            <v>Raw Material Purchase - Cement</v>
          </cell>
          <cell r="C53">
            <v>0</v>
          </cell>
          <cell r="D53">
            <v>7539642.6500000004</v>
          </cell>
          <cell r="E53">
            <v>7554375.3300000001</v>
          </cell>
          <cell r="F53">
            <v>-14732.68</v>
          </cell>
          <cell r="G53">
            <v>0</v>
          </cell>
          <cell r="H53">
            <v>-14732.68</v>
          </cell>
        </row>
        <row r="54">
          <cell r="A54">
            <v>41020015</v>
          </cell>
          <cell r="B54" t="str">
            <v>Interim account cement received</v>
          </cell>
          <cell r="C54">
            <v>0</v>
          </cell>
          <cell r="D54">
            <v>7082164.5599999996</v>
          </cell>
          <cell r="E54">
            <v>7082164.5499999998</v>
          </cell>
          <cell r="F54">
            <v>0.01</v>
          </cell>
          <cell r="G54">
            <v>0</v>
          </cell>
          <cell r="H54">
            <v>0.01</v>
          </cell>
        </row>
        <row r="55">
          <cell r="A55">
            <v>41020020</v>
          </cell>
          <cell r="B55" t="str">
            <v>Cement Consumption account</v>
          </cell>
          <cell r="C55">
            <v>0</v>
          </cell>
          <cell r="D55">
            <v>6515611.5999999996</v>
          </cell>
          <cell r="E55">
            <v>563540.46</v>
          </cell>
          <cell r="F55">
            <v>5952071.1399999997</v>
          </cell>
          <cell r="G55">
            <v>0</v>
          </cell>
          <cell r="H55">
            <v>5952071.1399999997</v>
          </cell>
        </row>
        <row r="56">
          <cell r="A56">
            <v>41020030</v>
          </cell>
          <cell r="B56" t="str">
            <v>Raw Material Purchase - Aggregates</v>
          </cell>
          <cell r="C56">
            <v>0</v>
          </cell>
          <cell r="D56">
            <v>3301145.64</v>
          </cell>
          <cell r="E56">
            <v>3312554.35</v>
          </cell>
          <cell r="F56">
            <v>-11408.71</v>
          </cell>
          <cell r="G56">
            <v>0</v>
          </cell>
          <cell r="H56">
            <v>-11408.71</v>
          </cell>
        </row>
        <row r="57">
          <cell r="A57">
            <v>41020035</v>
          </cell>
          <cell r="B57" t="str">
            <v>Interim account Aggregate received</v>
          </cell>
          <cell r="C57">
            <v>0</v>
          </cell>
          <cell r="D57">
            <v>2842115.92</v>
          </cell>
          <cell r="E57">
            <v>2842115.92</v>
          </cell>
          <cell r="F57">
            <v>0</v>
          </cell>
          <cell r="G57">
            <v>0</v>
          </cell>
          <cell r="H57">
            <v>0</v>
          </cell>
        </row>
        <row r="58">
          <cell r="A58">
            <v>41020040</v>
          </cell>
          <cell r="B58" t="str">
            <v>Aggregate Consumption account</v>
          </cell>
          <cell r="C58">
            <v>0</v>
          </cell>
          <cell r="D58">
            <v>3013823.08</v>
          </cell>
          <cell r="E58">
            <v>308415.07</v>
          </cell>
          <cell r="F58">
            <v>2705408.01</v>
          </cell>
          <cell r="G58">
            <v>0</v>
          </cell>
          <cell r="H58">
            <v>2705408.01</v>
          </cell>
        </row>
        <row r="59">
          <cell r="A59">
            <v>41020050</v>
          </cell>
          <cell r="B59" t="str">
            <v>Raw Material Purchase - Sand</v>
          </cell>
          <cell r="C59">
            <v>0</v>
          </cell>
          <cell r="D59">
            <v>1451690.77</v>
          </cell>
          <cell r="E59">
            <v>1485010.03</v>
          </cell>
          <cell r="F59">
            <v>-33319.26</v>
          </cell>
          <cell r="G59">
            <v>0</v>
          </cell>
          <cell r="H59">
            <v>-33319.26</v>
          </cell>
        </row>
        <row r="60">
          <cell r="A60">
            <v>41020055</v>
          </cell>
          <cell r="B60" t="str">
            <v>Interim account Sand Received</v>
          </cell>
          <cell r="C60">
            <v>0</v>
          </cell>
          <cell r="D60">
            <v>1232715.29</v>
          </cell>
          <cell r="E60">
            <v>1232715.29</v>
          </cell>
          <cell r="F60">
            <v>0</v>
          </cell>
          <cell r="G60">
            <v>0</v>
          </cell>
          <cell r="H60">
            <v>0</v>
          </cell>
        </row>
        <row r="61">
          <cell r="A61">
            <v>41020060</v>
          </cell>
          <cell r="B61" t="str">
            <v>Sand Consumption account</v>
          </cell>
          <cell r="C61">
            <v>0</v>
          </cell>
          <cell r="D61">
            <v>1389084.15</v>
          </cell>
          <cell r="E61">
            <v>151308.93</v>
          </cell>
          <cell r="F61">
            <v>1237775.22</v>
          </cell>
          <cell r="G61">
            <v>0</v>
          </cell>
          <cell r="H61">
            <v>1237775.22</v>
          </cell>
        </row>
        <row r="62">
          <cell r="A62">
            <v>41020070</v>
          </cell>
          <cell r="B62" t="str">
            <v>Raw Material Purchase - Admixture</v>
          </cell>
          <cell r="C62">
            <v>0</v>
          </cell>
          <cell r="D62">
            <v>1303705.6100000001</v>
          </cell>
          <cell r="E62">
            <v>1496702.93</v>
          </cell>
          <cell r="F62">
            <v>-192997.32</v>
          </cell>
          <cell r="G62">
            <v>0</v>
          </cell>
          <cell r="H62">
            <v>-192997.32</v>
          </cell>
        </row>
        <row r="63">
          <cell r="A63">
            <v>41020075</v>
          </cell>
          <cell r="B63" t="str">
            <v>Interim account Admixture received</v>
          </cell>
          <cell r="C63">
            <v>0</v>
          </cell>
          <cell r="D63">
            <v>522772.85</v>
          </cell>
          <cell r="E63">
            <v>259872.8</v>
          </cell>
          <cell r="F63">
            <v>262900.05</v>
          </cell>
          <cell r="G63">
            <v>0</v>
          </cell>
          <cell r="H63">
            <v>262900.05</v>
          </cell>
        </row>
        <row r="64">
          <cell r="A64">
            <v>41020080</v>
          </cell>
          <cell r="B64" t="str">
            <v>Admixture Consumption account</v>
          </cell>
          <cell r="C64">
            <v>0</v>
          </cell>
          <cell r="D64">
            <v>1043278.91</v>
          </cell>
          <cell r="E64">
            <v>600645.31999999995</v>
          </cell>
          <cell r="F64">
            <v>442633.59</v>
          </cell>
          <cell r="G64">
            <v>0</v>
          </cell>
          <cell r="H64">
            <v>442633.59</v>
          </cell>
        </row>
        <row r="65">
          <cell r="A65">
            <v>41020090</v>
          </cell>
          <cell r="B65" t="str">
            <v>Raw Material  Purchase - Fly Ash</v>
          </cell>
          <cell r="C65">
            <v>0</v>
          </cell>
          <cell r="D65">
            <v>627502.54</v>
          </cell>
          <cell r="E65">
            <v>574951.88</v>
          </cell>
          <cell r="F65">
            <v>52550.66</v>
          </cell>
          <cell r="G65">
            <v>0</v>
          </cell>
          <cell r="H65">
            <v>52550.66</v>
          </cell>
        </row>
        <row r="66">
          <cell r="A66">
            <v>41020095</v>
          </cell>
          <cell r="B66" t="str">
            <v>Interim account fly ash received</v>
          </cell>
          <cell r="C66">
            <v>0</v>
          </cell>
          <cell r="D66">
            <v>545749.65</v>
          </cell>
          <cell r="E66">
            <v>545749.65</v>
          </cell>
          <cell r="F66">
            <v>0</v>
          </cell>
          <cell r="G66">
            <v>0</v>
          </cell>
          <cell r="H66">
            <v>0</v>
          </cell>
        </row>
        <row r="67">
          <cell r="A67">
            <v>41020100</v>
          </cell>
          <cell r="B67" t="str">
            <v>Fly Ash Consumption account</v>
          </cell>
          <cell r="C67">
            <v>0</v>
          </cell>
          <cell r="D67">
            <v>557878.92000000004</v>
          </cell>
          <cell r="E67">
            <v>48159.4</v>
          </cell>
          <cell r="F67">
            <v>509719.52</v>
          </cell>
          <cell r="G67">
            <v>0</v>
          </cell>
          <cell r="H67">
            <v>509719.52</v>
          </cell>
        </row>
        <row r="68">
          <cell r="A68">
            <v>41020110</v>
          </cell>
          <cell r="B68" t="str">
            <v>Raw Material Purchase GGBS</v>
          </cell>
          <cell r="C68">
            <v>0</v>
          </cell>
          <cell r="D68">
            <v>959479.43</v>
          </cell>
          <cell r="E68">
            <v>1204034.33</v>
          </cell>
          <cell r="F68">
            <v>-244554.9</v>
          </cell>
          <cell r="G68">
            <v>0</v>
          </cell>
          <cell r="H68">
            <v>-244554.9</v>
          </cell>
        </row>
        <row r="69">
          <cell r="A69">
            <v>41020115</v>
          </cell>
          <cell r="B69" t="str">
            <v>Interim account for GGBS received</v>
          </cell>
          <cell r="C69">
            <v>0</v>
          </cell>
          <cell r="D69">
            <v>737385.15</v>
          </cell>
          <cell r="E69">
            <v>737386.31</v>
          </cell>
          <cell r="F69">
            <v>-1.1599999999999999</v>
          </cell>
          <cell r="G69">
            <v>0</v>
          </cell>
          <cell r="H69">
            <v>-1.1599999999999999</v>
          </cell>
        </row>
        <row r="70">
          <cell r="A70">
            <v>41020120</v>
          </cell>
          <cell r="B70" t="str">
            <v>GGBS Consumption account</v>
          </cell>
          <cell r="C70">
            <v>0</v>
          </cell>
          <cell r="D70">
            <v>1032484.97</v>
          </cell>
          <cell r="E70">
            <v>145669.82999999999</v>
          </cell>
          <cell r="F70">
            <v>886815.14</v>
          </cell>
          <cell r="G70">
            <v>0</v>
          </cell>
          <cell r="H70">
            <v>886815.14</v>
          </cell>
        </row>
        <row r="71">
          <cell r="A71">
            <v>41020130</v>
          </cell>
          <cell r="B71" t="str">
            <v>Raw Materials Purchase - CRF</v>
          </cell>
          <cell r="C71">
            <v>0</v>
          </cell>
          <cell r="D71">
            <v>194498.32</v>
          </cell>
          <cell r="E71">
            <v>190249.28</v>
          </cell>
          <cell r="F71">
            <v>4249.04</v>
          </cell>
          <cell r="G71">
            <v>0</v>
          </cell>
          <cell r="H71">
            <v>4249.04</v>
          </cell>
        </row>
        <row r="72">
          <cell r="A72">
            <v>41020135</v>
          </cell>
          <cell r="B72" t="str">
            <v>Interim account for CRF received</v>
          </cell>
          <cell r="C72">
            <v>0</v>
          </cell>
          <cell r="D72">
            <v>169794.23</v>
          </cell>
          <cell r="E72">
            <v>169794.23</v>
          </cell>
          <cell r="F72">
            <v>0</v>
          </cell>
          <cell r="G72">
            <v>0</v>
          </cell>
          <cell r="H72">
            <v>0</v>
          </cell>
        </row>
        <row r="73">
          <cell r="A73">
            <v>41020140</v>
          </cell>
          <cell r="B73" t="str">
            <v>CRF Consumption account</v>
          </cell>
          <cell r="C73">
            <v>0</v>
          </cell>
          <cell r="D73">
            <v>177645.72</v>
          </cell>
          <cell r="E73">
            <v>16462.8</v>
          </cell>
          <cell r="F73">
            <v>161182.92000000001</v>
          </cell>
          <cell r="G73">
            <v>0</v>
          </cell>
          <cell r="H73">
            <v>161182.92000000001</v>
          </cell>
        </row>
        <row r="74">
          <cell r="A74">
            <v>41020150</v>
          </cell>
          <cell r="B74" t="str">
            <v>Loss/ gain on Stock</v>
          </cell>
          <cell r="C74">
            <v>0</v>
          </cell>
          <cell r="D74">
            <v>145562.41</v>
          </cell>
          <cell r="E74">
            <v>116685.43</v>
          </cell>
          <cell r="F74">
            <v>28876.98</v>
          </cell>
          <cell r="G74">
            <v>0</v>
          </cell>
          <cell r="H74">
            <v>28876.98</v>
          </cell>
        </row>
        <row r="75">
          <cell r="A75">
            <v>41020195</v>
          </cell>
          <cell r="B75" t="str">
            <v>Purchase of Diesel</v>
          </cell>
          <cell r="C75">
            <v>0</v>
          </cell>
          <cell r="D75">
            <v>707758.98</v>
          </cell>
          <cell r="E75">
            <v>688690.95</v>
          </cell>
          <cell r="F75">
            <v>19068.03</v>
          </cell>
          <cell r="G75">
            <v>0</v>
          </cell>
          <cell r="H75">
            <v>19068.03</v>
          </cell>
        </row>
        <row r="76">
          <cell r="A76">
            <v>41020200</v>
          </cell>
          <cell r="B76" t="str">
            <v>Interim account for diesel received</v>
          </cell>
          <cell r="C76">
            <v>0</v>
          </cell>
          <cell r="D76">
            <v>525547.68999999994</v>
          </cell>
          <cell r="E76">
            <v>525547.68999999994</v>
          </cell>
          <cell r="F76">
            <v>0</v>
          </cell>
          <cell r="G76">
            <v>0</v>
          </cell>
          <cell r="H76">
            <v>0</v>
          </cell>
        </row>
        <row r="77">
          <cell r="A77">
            <v>41020205</v>
          </cell>
          <cell r="B77" t="str">
            <v>Diesel Consumption account</v>
          </cell>
          <cell r="C77">
            <v>0</v>
          </cell>
          <cell r="D77">
            <v>679140.81</v>
          </cell>
          <cell r="E77">
            <v>678950.12</v>
          </cell>
          <cell r="F77">
            <v>190.69</v>
          </cell>
          <cell r="G77">
            <v>0</v>
          </cell>
          <cell r="H77">
            <v>190.69</v>
          </cell>
        </row>
        <row r="78">
          <cell r="A78">
            <v>41020230</v>
          </cell>
          <cell r="B78" t="str">
            <v>Raw Material Purchasae- Fibre</v>
          </cell>
          <cell r="C78">
            <v>0</v>
          </cell>
          <cell r="D78">
            <v>18275.59</v>
          </cell>
          <cell r="E78">
            <v>24320</v>
          </cell>
          <cell r="F78">
            <v>-6044.41</v>
          </cell>
          <cell r="G78">
            <v>0</v>
          </cell>
          <cell r="H78">
            <v>-6044.41</v>
          </cell>
        </row>
        <row r="79">
          <cell r="A79">
            <v>41020235</v>
          </cell>
          <cell r="B79" t="str">
            <v>Interim account for Fibre received</v>
          </cell>
          <cell r="C79">
            <v>0</v>
          </cell>
          <cell r="D79">
            <v>18040.21</v>
          </cell>
          <cell r="E79">
            <v>18040.21</v>
          </cell>
          <cell r="F79">
            <v>0</v>
          </cell>
          <cell r="G79">
            <v>0</v>
          </cell>
          <cell r="H79">
            <v>0</v>
          </cell>
        </row>
        <row r="80">
          <cell r="A80">
            <v>41020240</v>
          </cell>
          <cell r="B80" t="str">
            <v>Fibre Consumption account</v>
          </cell>
          <cell r="C80">
            <v>0</v>
          </cell>
          <cell r="D80">
            <v>15221.54</v>
          </cell>
          <cell r="E80">
            <v>78.459999999999994</v>
          </cell>
          <cell r="F80">
            <v>15143.08</v>
          </cell>
          <cell r="G80">
            <v>0</v>
          </cell>
          <cell r="H80">
            <v>15143.08</v>
          </cell>
        </row>
        <row r="81">
          <cell r="A81">
            <v>41050010</v>
          </cell>
          <cell r="B81" t="str">
            <v>Closing Stock - Cement</v>
          </cell>
          <cell r="C81">
            <v>0</v>
          </cell>
          <cell r="D81">
            <v>0</v>
          </cell>
          <cell r="E81">
            <v>248358.87</v>
          </cell>
          <cell r="F81">
            <v>-248358.87</v>
          </cell>
          <cell r="G81">
            <v>0</v>
          </cell>
          <cell r="H81">
            <v>-248358.87</v>
          </cell>
        </row>
        <row r="82">
          <cell r="A82">
            <v>41050020</v>
          </cell>
          <cell r="B82" t="str">
            <v>Closing Stock - Sand</v>
          </cell>
          <cell r="C82">
            <v>0</v>
          </cell>
          <cell r="D82">
            <v>0</v>
          </cell>
          <cell r="E82">
            <v>116958.76</v>
          </cell>
          <cell r="F82">
            <v>-116958.76</v>
          </cell>
          <cell r="G82">
            <v>0</v>
          </cell>
          <cell r="H82">
            <v>-116958.76</v>
          </cell>
        </row>
        <row r="83">
          <cell r="A83">
            <v>41050030</v>
          </cell>
          <cell r="B83" t="str">
            <v>Closing Stock - CRF</v>
          </cell>
          <cell r="C83">
            <v>0</v>
          </cell>
          <cell r="D83">
            <v>0</v>
          </cell>
          <cell r="E83">
            <v>14958.42</v>
          </cell>
          <cell r="F83">
            <v>-14958.42</v>
          </cell>
          <cell r="G83">
            <v>0</v>
          </cell>
          <cell r="H83">
            <v>-14958.42</v>
          </cell>
        </row>
        <row r="84">
          <cell r="A84">
            <v>41050040</v>
          </cell>
          <cell r="B84" t="str">
            <v>Closing Stock - RMC Aggregates</v>
          </cell>
          <cell r="C84">
            <v>0</v>
          </cell>
          <cell r="D84">
            <v>0</v>
          </cell>
          <cell r="E84">
            <v>159143.67999999999</v>
          </cell>
          <cell r="F84">
            <v>-159143.67999999999</v>
          </cell>
          <cell r="G84">
            <v>0</v>
          </cell>
          <cell r="H84">
            <v>-159143.67999999999</v>
          </cell>
        </row>
        <row r="85">
          <cell r="A85">
            <v>41050050</v>
          </cell>
          <cell r="B85" t="str">
            <v>Closing Stock - Admixtures</v>
          </cell>
          <cell r="C85">
            <v>0</v>
          </cell>
          <cell r="D85">
            <v>0</v>
          </cell>
          <cell r="E85">
            <v>529984.01</v>
          </cell>
          <cell r="F85">
            <v>-529984.01</v>
          </cell>
          <cell r="G85">
            <v>0</v>
          </cell>
          <cell r="H85">
            <v>-529984.01</v>
          </cell>
        </row>
        <row r="86">
          <cell r="A86">
            <v>41050060</v>
          </cell>
          <cell r="B86" t="str">
            <v>Closing Stock - Fibres</v>
          </cell>
          <cell r="C86">
            <v>0</v>
          </cell>
          <cell r="D86">
            <v>0</v>
          </cell>
          <cell r="E86">
            <v>3059.99</v>
          </cell>
          <cell r="F86">
            <v>-3059.99</v>
          </cell>
          <cell r="G86">
            <v>0</v>
          </cell>
          <cell r="H86">
            <v>-3059.99</v>
          </cell>
        </row>
        <row r="87">
          <cell r="A87">
            <v>41050070</v>
          </cell>
          <cell r="B87" t="str">
            <v>Closing Stock - Flyash</v>
          </cell>
          <cell r="C87">
            <v>0</v>
          </cell>
          <cell r="D87">
            <v>0</v>
          </cell>
          <cell r="E87">
            <v>52588.97</v>
          </cell>
          <cell r="F87">
            <v>-52588.97</v>
          </cell>
          <cell r="G87">
            <v>0</v>
          </cell>
          <cell r="H87">
            <v>-52588.97</v>
          </cell>
        </row>
        <row r="88">
          <cell r="A88">
            <v>41050080</v>
          </cell>
          <cell r="B88" t="str">
            <v>Closing Stock - Diesel</v>
          </cell>
          <cell r="C88">
            <v>0</v>
          </cell>
          <cell r="D88">
            <v>0</v>
          </cell>
          <cell r="E88">
            <v>30852.73</v>
          </cell>
          <cell r="F88">
            <v>-30852.73</v>
          </cell>
          <cell r="G88">
            <v>0</v>
          </cell>
          <cell r="H88">
            <v>-30852.73</v>
          </cell>
        </row>
        <row r="89">
          <cell r="A89">
            <v>41050110</v>
          </cell>
          <cell r="B89" t="str">
            <v>Closing Stock GGBS</v>
          </cell>
          <cell r="C89">
            <v>0</v>
          </cell>
          <cell r="D89">
            <v>0</v>
          </cell>
          <cell r="E89">
            <v>114900.68</v>
          </cell>
          <cell r="F89">
            <v>-114900.68</v>
          </cell>
          <cell r="G89">
            <v>0</v>
          </cell>
          <cell r="H89">
            <v>-114900.68</v>
          </cell>
        </row>
        <row r="90">
          <cell r="A90">
            <v>42010010</v>
          </cell>
          <cell r="B90" t="str">
            <v>Salary - Basic</v>
          </cell>
          <cell r="C90">
            <v>0</v>
          </cell>
          <cell r="D90">
            <v>284389</v>
          </cell>
          <cell r="E90">
            <v>0</v>
          </cell>
          <cell r="F90">
            <v>284389</v>
          </cell>
          <cell r="G90">
            <v>0</v>
          </cell>
          <cell r="H90">
            <v>284389</v>
          </cell>
        </row>
        <row r="91">
          <cell r="A91">
            <v>42010020</v>
          </cell>
          <cell r="B91" t="str">
            <v>House Rent Allowance</v>
          </cell>
          <cell r="C91">
            <v>0</v>
          </cell>
          <cell r="D91">
            <v>137210</v>
          </cell>
          <cell r="E91">
            <v>0</v>
          </cell>
          <cell r="F91">
            <v>137210</v>
          </cell>
          <cell r="G91">
            <v>0</v>
          </cell>
          <cell r="H91">
            <v>137210</v>
          </cell>
        </row>
        <row r="92">
          <cell r="A92">
            <v>42010030</v>
          </cell>
          <cell r="B92" t="str">
            <v>Education Allowance</v>
          </cell>
          <cell r="C92">
            <v>0</v>
          </cell>
          <cell r="D92">
            <v>27431.5</v>
          </cell>
          <cell r="E92">
            <v>0</v>
          </cell>
          <cell r="F92">
            <v>27431.5</v>
          </cell>
          <cell r="G92">
            <v>0</v>
          </cell>
          <cell r="H92">
            <v>27431.5</v>
          </cell>
        </row>
        <row r="93">
          <cell r="A93">
            <v>42010040</v>
          </cell>
          <cell r="B93" t="str">
            <v>Special Allowance</v>
          </cell>
          <cell r="C93">
            <v>0</v>
          </cell>
          <cell r="D93">
            <v>36410</v>
          </cell>
          <cell r="E93">
            <v>0</v>
          </cell>
          <cell r="F93">
            <v>36410</v>
          </cell>
          <cell r="G93">
            <v>0</v>
          </cell>
          <cell r="H93">
            <v>36410</v>
          </cell>
        </row>
        <row r="94">
          <cell r="A94">
            <v>42010050</v>
          </cell>
          <cell r="B94" t="str">
            <v>Medical Expense Reimbursement</v>
          </cell>
          <cell r="C94">
            <v>0</v>
          </cell>
          <cell r="D94">
            <v>74672</v>
          </cell>
          <cell r="E94">
            <v>0</v>
          </cell>
          <cell r="F94">
            <v>74672</v>
          </cell>
          <cell r="G94">
            <v>0</v>
          </cell>
          <cell r="H94">
            <v>74672</v>
          </cell>
        </row>
        <row r="95">
          <cell r="A95">
            <v>42010090</v>
          </cell>
          <cell r="B95" t="str">
            <v>Overtime Payment</v>
          </cell>
          <cell r="C95">
            <v>0</v>
          </cell>
          <cell r="D95">
            <v>27328</v>
          </cell>
          <cell r="E95">
            <v>0</v>
          </cell>
          <cell r="F95">
            <v>27328</v>
          </cell>
          <cell r="G95">
            <v>0</v>
          </cell>
          <cell r="H95">
            <v>27328</v>
          </cell>
        </row>
        <row r="96">
          <cell r="A96">
            <v>42010100</v>
          </cell>
          <cell r="B96" t="str">
            <v>Transport Allowance</v>
          </cell>
          <cell r="C96">
            <v>0</v>
          </cell>
          <cell r="D96">
            <v>39440</v>
          </cell>
          <cell r="E96">
            <v>0</v>
          </cell>
          <cell r="F96">
            <v>39440</v>
          </cell>
          <cell r="G96">
            <v>0</v>
          </cell>
          <cell r="H96">
            <v>39440</v>
          </cell>
        </row>
        <row r="97">
          <cell r="A97">
            <v>42010110</v>
          </cell>
          <cell r="B97" t="str">
            <v>Lunch Allowance</v>
          </cell>
          <cell r="C97">
            <v>0</v>
          </cell>
          <cell r="D97">
            <v>6300</v>
          </cell>
          <cell r="E97">
            <v>0</v>
          </cell>
          <cell r="F97">
            <v>6300</v>
          </cell>
          <cell r="G97">
            <v>0</v>
          </cell>
          <cell r="H97">
            <v>6300</v>
          </cell>
        </row>
        <row r="98">
          <cell r="A98">
            <v>42010130</v>
          </cell>
          <cell r="B98" t="str">
            <v>Production Linked Incentive</v>
          </cell>
          <cell r="C98">
            <v>0</v>
          </cell>
          <cell r="D98">
            <v>198658</v>
          </cell>
          <cell r="E98">
            <v>138658</v>
          </cell>
          <cell r="F98">
            <v>60000</v>
          </cell>
          <cell r="G98">
            <v>0</v>
          </cell>
          <cell r="H98">
            <v>60000</v>
          </cell>
        </row>
        <row r="99">
          <cell r="A99">
            <v>42010200</v>
          </cell>
          <cell r="B99" t="str">
            <v>Stipend</v>
          </cell>
          <cell r="C99">
            <v>0</v>
          </cell>
          <cell r="D99">
            <v>27000</v>
          </cell>
          <cell r="E99">
            <v>0</v>
          </cell>
          <cell r="F99">
            <v>27000</v>
          </cell>
          <cell r="G99">
            <v>0</v>
          </cell>
          <cell r="H99">
            <v>27000</v>
          </cell>
        </row>
        <row r="100">
          <cell r="A100">
            <v>42010220</v>
          </cell>
          <cell r="B100" t="str">
            <v>Adhoc Allowance</v>
          </cell>
          <cell r="C100">
            <v>0</v>
          </cell>
          <cell r="D100">
            <v>9560</v>
          </cell>
          <cell r="E100">
            <v>0</v>
          </cell>
          <cell r="F100">
            <v>9560</v>
          </cell>
          <cell r="G100">
            <v>0</v>
          </cell>
          <cell r="H100">
            <v>9560</v>
          </cell>
        </row>
        <row r="101">
          <cell r="A101">
            <v>42010230</v>
          </cell>
          <cell r="B101" t="str">
            <v>Car Allowance</v>
          </cell>
          <cell r="C101">
            <v>0</v>
          </cell>
          <cell r="D101">
            <v>18000</v>
          </cell>
          <cell r="E101">
            <v>0</v>
          </cell>
          <cell r="F101">
            <v>18000</v>
          </cell>
          <cell r="G101">
            <v>0</v>
          </cell>
          <cell r="H101">
            <v>18000</v>
          </cell>
        </row>
        <row r="102">
          <cell r="A102">
            <v>42010240</v>
          </cell>
          <cell r="B102" t="str">
            <v>Driver Allowance</v>
          </cell>
          <cell r="C102">
            <v>0</v>
          </cell>
          <cell r="D102">
            <v>12000</v>
          </cell>
          <cell r="E102">
            <v>0</v>
          </cell>
          <cell r="F102">
            <v>12000</v>
          </cell>
          <cell r="G102">
            <v>0</v>
          </cell>
          <cell r="H102">
            <v>12000</v>
          </cell>
        </row>
        <row r="103">
          <cell r="A103">
            <v>42010260</v>
          </cell>
          <cell r="B103" t="str">
            <v>Dearness Allowance</v>
          </cell>
          <cell r="C103">
            <v>0</v>
          </cell>
          <cell r="D103">
            <v>5067</v>
          </cell>
          <cell r="E103">
            <v>0</v>
          </cell>
          <cell r="F103">
            <v>5067</v>
          </cell>
          <cell r="G103">
            <v>0</v>
          </cell>
          <cell r="H103">
            <v>5067</v>
          </cell>
        </row>
        <row r="104">
          <cell r="A104">
            <v>42020070</v>
          </cell>
          <cell r="B104" t="str">
            <v>E.S.I.S. - Employer's Contribution</v>
          </cell>
          <cell r="C104">
            <v>0</v>
          </cell>
          <cell r="D104">
            <v>14708</v>
          </cell>
          <cell r="E104">
            <v>0</v>
          </cell>
          <cell r="F104">
            <v>14708</v>
          </cell>
          <cell r="G104">
            <v>0</v>
          </cell>
          <cell r="H104">
            <v>14708</v>
          </cell>
        </row>
        <row r="105">
          <cell r="A105">
            <v>42030010</v>
          </cell>
          <cell r="B105" t="str">
            <v>Purchases of Safety &amp; Welfare Items - FBT</v>
          </cell>
          <cell r="C105">
            <v>0</v>
          </cell>
          <cell r="D105">
            <v>2660</v>
          </cell>
          <cell r="E105">
            <v>1330</v>
          </cell>
          <cell r="F105">
            <v>1330</v>
          </cell>
          <cell r="G105">
            <v>0</v>
          </cell>
          <cell r="H105">
            <v>1330</v>
          </cell>
        </row>
        <row r="106">
          <cell r="A106">
            <v>42030040</v>
          </cell>
          <cell r="B106" t="str">
            <v>Staff Welfare Expenses - FBT</v>
          </cell>
          <cell r="C106">
            <v>0</v>
          </cell>
          <cell r="D106">
            <v>35300</v>
          </cell>
          <cell r="E106">
            <v>0</v>
          </cell>
          <cell r="F106">
            <v>35300</v>
          </cell>
          <cell r="G106">
            <v>0</v>
          </cell>
          <cell r="H106">
            <v>35300</v>
          </cell>
        </row>
        <row r="107">
          <cell r="A107">
            <v>42030090</v>
          </cell>
          <cell r="B107" t="str">
            <v>Pooja &amp; Festival Celebration Expenses - FBT</v>
          </cell>
          <cell r="C107">
            <v>0</v>
          </cell>
          <cell r="D107">
            <v>800</v>
          </cell>
          <cell r="E107">
            <v>0</v>
          </cell>
          <cell r="F107">
            <v>800</v>
          </cell>
          <cell r="G107">
            <v>0</v>
          </cell>
          <cell r="H107">
            <v>800</v>
          </cell>
        </row>
        <row r="108">
          <cell r="A108">
            <v>43001010</v>
          </cell>
          <cell r="B108" t="str">
            <v>Electricity Charges</v>
          </cell>
          <cell r="C108">
            <v>0</v>
          </cell>
          <cell r="D108">
            <v>153828</v>
          </cell>
          <cell r="E108">
            <v>0</v>
          </cell>
          <cell r="F108">
            <v>153828</v>
          </cell>
          <cell r="G108">
            <v>0</v>
          </cell>
          <cell r="H108">
            <v>153828</v>
          </cell>
        </row>
        <row r="109">
          <cell r="A109">
            <v>43001020</v>
          </cell>
          <cell r="B109" t="str">
            <v>Water Charges</v>
          </cell>
          <cell r="C109">
            <v>0</v>
          </cell>
          <cell r="D109">
            <v>53580</v>
          </cell>
          <cell r="E109">
            <v>0</v>
          </cell>
          <cell r="F109">
            <v>53580</v>
          </cell>
          <cell r="G109">
            <v>0</v>
          </cell>
          <cell r="H109">
            <v>53580</v>
          </cell>
        </row>
        <row r="110">
          <cell r="A110">
            <v>43001030</v>
          </cell>
          <cell r="B110" t="str">
            <v>Fuel For Diesel Generator Set</v>
          </cell>
          <cell r="C110">
            <v>0</v>
          </cell>
          <cell r="D110">
            <v>138069.82999999999</v>
          </cell>
          <cell r="E110">
            <v>0</v>
          </cell>
          <cell r="F110">
            <v>138069.82999999999</v>
          </cell>
          <cell r="G110">
            <v>0</v>
          </cell>
          <cell r="H110">
            <v>138069.82999999999</v>
          </cell>
        </row>
        <row r="111">
          <cell r="A111">
            <v>43012010</v>
          </cell>
          <cell r="B111" t="str">
            <v>Lab Consumables</v>
          </cell>
          <cell r="C111">
            <v>0</v>
          </cell>
          <cell r="D111">
            <v>16492</v>
          </cell>
          <cell r="E111">
            <v>0</v>
          </cell>
          <cell r="F111">
            <v>16492</v>
          </cell>
          <cell r="G111">
            <v>0</v>
          </cell>
          <cell r="H111">
            <v>16492</v>
          </cell>
        </row>
        <row r="112">
          <cell r="A112">
            <v>43018010</v>
          </cell>
          <cell r="B112" t="str">
            <v>Repairs &amp; Maintenance</v>
          </cell>
          <cell r="C112">
            <v>0</v>
          </cell>
          <cell r="D112">
            <v>380032.1</v>
          </cell>
          <cell r="E112">
            <v>370000</v>
          </cell>
          <cell r="F112">
            <v>10032.1</v>
          </cell>
          <cell r="G112">
            <v>0</v>
          </cell>
          <cell r="H112">
            <v>10032.1</v>
          </cell>
        </row>
        <row r="113">
          <cell r="A113">
            <v>43018020</v>
          </cell>
          <cell r="B113" t="str">
            <v>Oil &amp; Grease</v>
          </cell>
          <cell r="C113">
            <v>0</v>
          </cell>
          <cell r="D113">
            <v>184942</v>
          </cell>
          <cell r="E113">
            <v>125000</v>
          </cell>
          <cell r="F113">
            <v>59942</v>
          </cell>
          <cell r="G113">
            <v>0</v>
          </cell>
          <cell r="H113">
            <v>59942</v>
          </cell>
        </row>
        <row r="114">
          <cell r="A114">
            <v>43020030</v>
          </cell>
          <cell r="B114" t="str">
            <v>Tyres</v>
          </cell>
          <cell r="C114">
            <v>0</v>
          </cell>
          <cell r="D114">
            <v>16879</v>
          </cell>
          <cell r="E114">
            <v>0</v>
          </cell>
          <cell r="F114">
            <v>16879</v>
          </cell>
          <cell r="G114">
            <v>0</v>
          </cell>
          <cell r="H114">
            <v>16879</v>
          </cell>
        </row>
        <row r="115">
          <cell r="A115">
            <v>43022010</v>
          </cell>
          <cell r="B115" t="str">
            <v>Plant / Office Up Keep Exps</v>
          </cell>
          <cell r="C115">
            <v>0</v>
          </cell>
          <cell r="D115">
            <v>414301.5</v>
          </cell>
          <cell r="E115">
            <v>278400</v>
          </cell>
          <cell r="F115">
            <v>135901.5</v>
          </cell>
          <cell r="G115">
            <v>0</v>
          </cell>
          <cell r="H115">
            <v>135901.5</v>
          </cell>
        </row>
        <row r="116">
          <cell r="A116">
            <v>43030010</v>
          </cell>
          <cell r="B116" t="str">
            <v>Transportation Exps-Labour</v>
          </cell>
          <cell r="C116">
            <v>0</v>
          </cell>
          <cell r="D116">
            <v>26675</v>
          </cell>
          <cell r="E116">
            <v>0</v>
          </cell>
          <cell r="F116">
            <v>26675</v>
          </cell>
          <cell r="G116">
            <v>0</v>
          </cell>
          <cell r="H116">
            <v>26675</v>
          </cell>
        </row>
        <row r="117">
          <cell r="A117">
            <v>43032010</v>
          </cell>
          <cell r="B117" t="str">
            <v>Rent - Plant</v>
          </cell>
          <cell r="C117">
            <v>0</v>
          </cell>
          <cell r="D117">
            <v>217920</v>
          </cell>
          <cell r="E117">
            <v>48000</v>
          </cell>
          <cell r="F117">
            <v>169920</v>
          </cell>
          <cell r="G117">
            <v>0</v>
          </cell>
          <cell r="H117">
            <v>169920</v>
          </cell>
        </row>
        <row r="118">
          <cell r="A118">
            <v>43032045</v>
          </cell>
          <cell r="B118" t="str">
            <v>Towing Expenses</v>
          </cell>
          <cell r="C118">
            <v>0</v>
          </cell>
          <cell r="D118">
            <v>55841</v>
          </cell>
          <cell r="E118">
            <v>0</v>
          </cell>
          <cell r="F118">
            <v>55841</v>
          </cell>
          <cell r="G118">
            <v>0</v>
          </cell>
          <cell r="H118">
            <v>55841</v>
          </cell>
        </row>
        <row r="119">
          <cell r="A119">
            <v>43038020</v>
          </cell>
          <cell r="B119" t="str">
            <v>Courier Expenses</v>
          </cell>
          <cell r="C119">
            <v>0</v>
          </cell>
          <cell r="D119">
            <v>1851</v>
          </cell>
          <cell r="E119">
            <v>0</v>
          </cell>
          <cell r="F119">
            <v>1851</v>
          </cell>
          <cell r="G119">
            <v>0</v>
          </cell>
          <cell r="H119">
            <v>1851</v>
          </cell>
        </row>
        <row r="120">
          <cell r="A120">
            <v>43038030</v>
          </cell>
          <cell r="B120" t="str">
            <v>Telephone Expenses</v>
          </cell>
          <cell r="C120">
            <v>0</v>
          </cell>
          <cell r="D120">
            <v>47956</v>
          </cell>
          <cell r="E120">
            <v>10500</v>
          </cell>
          <cell r="F120">
            <v>37456</v>
          </cell>
          <cell r="G120">
            <v>0</v>
          </cell>
          <cell r="H120">
            <v>37456</v>
          </cell>
        </row>
        <row r="121">
          <cell r="A121">
            <v>43038050</v>
          </cell>
          <cell r="B121" t="str">
            <v>Telephone Chgs - Mobile  FBT</v>
          </cell>
          <cell r="C121">
            <v>0</v>
          </cell>
          <cell r="D121">
            <v>42415.42</v>
          </cell>
          <cell r="E121">
            <v>1500</v>
          </cell>
          <cell r="F121">
            <v>40915.42</v>
          </cell>
          <cell r="G121">
            <v>0</v>
          </cell>
          <cell r="H121">
            <v>40915.42</v>
          </cell>
        </row>
        <row r="122">
          <cell r="A122">
            <v>43040010</v>
          </cell>
          <cell r="B122" t="str">
            <v>Conveyance Expenses - FBT</v>
          </cell>
          <cell r="C122">
            <v>0</v>
          </cell>
          <cell r="D122">
            <v>93553</v>
          </cell>
          <cell r="E122">
            <v>1432</v>
          </cell>
          <cell r="F122">
            <v>92121</v>
          </cell>
          <cell r="G122">
            <v>0</v>
          </cell>
          <cell r="H122">
            <v>92121</v>
          </cell>
        </row>
        <row r="123">
          <cell r="A123">
            <v>43040030</v>
          </cell>
          <cell r="B123" t="str">
            <v>Motor Car Hire Expenses - FBT</v>
          </cell>
          <cell r="C123">
            <v>0</v>
          </cell>
          <cell r="D123">
            <v>13230</v>
          </cell>
          <cell r="E123">
            <v>0</v>
          </cell>
          <cell r="F123">
            <v>13230</v>
          </cell>
          <cell r="G123">
            <v>0</v>
          </cell>
          <cell r="H123">
            <v>13230</v>
          </cell>
        </row>
        <row r="124">
          <cell r="A124">
            <v>43040100</v>
          </cell>
          <cell r="B124" t="str">
            <v>Hotel Expenses  - FBT</v>
          </cell>
          <cell r="C124">
            <v>0</v>
          </cell>
          <cell r="D124">
            <v>11965</v>
          </cell>
          <cell r="E124">
            <v>0</v>
          </cell>
          <cell r="F124">
            <v>11965</v>
          </cell>
          <cell r="G124">
            <v>0</v>
          </cell>
          <cell r="H124">
            <v>11965</v>
          </cell>
        </row>
        <row r="125">
          <cell r="A125">
            <v>43042010</v>
          </cell>
          <cell r="B125" t="str">
            <v>Fuel - Truck Mixers</v>
          </cell>
          <cell r="C125">
            <v>0</v>
          </cell>
          <cell r="D125">
            <v>168147.25</v>
          </cell>
          <cell r="E125">
            <v>0</v>
          </cell>
          <cell r="F125">
            <v>168147.25</v>
          </cell>
          <cell r="G125">
            <v>0</v>
          </cell>
          <cell r="H125">
            <v>168147.25</v>
          </cell>
        </row>
        <row r="126">
          <cell r="A126">
            <v>43042020</v>
          </cell>
          <cell r="B126" t="str">
            <v>Fuel - Loader</v>
          </cell>
          <cell r="C126">
            <v>0</v>
          </cell>
          <cell r="D126">
            <v>44904.87</v>
          </cell>
          <cell r="E126">
            <v>0</v>
          </cell>
          <cell r="F126">
            <v>44904.87</v>
          </cell>
          <cell r="G126">
            <v>0</v>
          </cell>
          <cell r="H126">
            <v>44904.87</v>
          </cell>
        </row>
        <row r="127">
          <cell r="A127">
            <v>43042060</v>
          </cell>
          <cell r="B127" t="str">
            <v>Fuel - Concrete Pumps</v>
          </cell>
          <cell r="C127">
            <v>0</v>
          </cell>
          <cell r="D127">
            <v>145616.88</v>
          </cell>
          <cell r="E127">
            <v>0</v>
          </cell>
          <cell r="F127">
            <v>145616.88</v>
          </cell>
          <cell r="G127">
            <v>0</v>
          </cell>
          <cell r="H127">
            <v>145616.88</v>
          </cell>
        </row>
        <row r="128">
          <cell r="A128">
            <v>43046020</v>
          </cell>
          <cell r="B128" t="str">
            <v>Toll Charges- Truck Mixer</v>
          </cell>
          <cell r="C128">
            <v>0</v>
          </cell>
          <cell r="D128">
            <v>49227</v>
          </cell>
          <cell r="E128">
            <v>0</v>
          </cell>
          <cell r="F128">
            <v>49227</v>
          </cell>
          <cell r="G128">
            <v>0</v>
          </cell>
          <cell r="H128">
            <v>49227</v>
          </cell>
        </row>
        <row r="129">
          <cell r="A129">
            <v>43052010</v>
          </cell>
          <cell r="B129" t="str">
            <v>Security Service Charges</v>
          </cell>
          <cell r="C129">
            <v>0</v>
          </cell>
          <cell r="D129">
            <v>84491</v>
          </cell>
          <cell r="E129">
            <v>0</v>
          </cell>
          <cell r="F129">
            <v>84491</v>
          </cell>
          <cell r="G129">
            <v>0</v>
          </cell>
          <cell r="H129">
            <v>84491</v>
          </cell>
        </row>
        <row r="130">
          <cell r="A130">
            <v>43054020</v>
          </cell>
          <cell r="B130" t="str">
            <v>Concrete Carrying Charges - TM</v>
          </cell>
          <cell r="C130">
            <v>0</v>
          </cell>
          <cell r="D130">
            <v>1746444</v>
          </cell>
          <cell r="E130">
            <v>171000</v>
          </cell>
          <cell r="F130">
            <v>1575444</v>
          </cell>
          <cell r="G130">
            <v>0</v>
          </cell>
          <cell r="H130">
            <v>1575444</v>
          </cell>
        </row>
        <row r="131">
          <cell r="A131">
            <v>43054030</v>
          </cell>
          <cell r="B131" t="str">
            <v>Concrete Placing Charges Pump</v>
          </cell>
          <cell r="C131">
            <v>0</v>
          </cell>
          <cell r="D131">
            <v>184892</v>
          </cell>
          <cell r="E131">
            <v>0</v>
          </cell>
          <cell r="F131">
            <v>184892</v>
          </cell>
          <cell r="G131">
            <v>0</v>
          </cell>
          <cell r="H131">
            <v>184892</v>
          </cell>
        </row>
        <row r="132">
          <cell r="A132">
            <v>43054040</v>
          </cell>
          <cell r="B132" t="str">
            <v>Hire Charges - Vehicle</v>
          </cell>
          <cell r="C132">
            <v>0</v>
          </cell>
          <cell r="D132">
            <v>16900</v>
          </cell>
          <cell r="E132">
            <v>0</v>
          </cell>
          <cell r="F132">
            <v>16900</v>
          </cell>
          <cell r="G132">
            <v>0</v>
          </cell>
          <cell r="H132">
            <v>16900</v>
          </cell>
        </row>
        <row r="133">
          <cell r="A133">
            <v>43056010</v>
          </cell>
          <cell r="B133" t="str">
            <v>Professional &amp; Consultancy Fees</v>
          </cell>
          <cell r="C133">
            <v>0</v>
          </cell>
          <cell r="D133">
            <v>3102</v>
          </cell>
          <cell r="E133">
            <v>0</v>
          </cell>
          <cell r="F133">
            <v>3102</v>
          </cell>
          <cell r="G133">
            <v>0</v>
          </cell>
          <cell r="H133">
            <v>3102</v>
          </cell>
        </row>
        <row r="134">
          <cell r="A134">
            <v>43062010</v>
          </cell>
          <cell r="B134" t="str">
            <v>Computer Expenses</v>
          </cell>
          <cell r="C134">
            <v>0</v>
          </cell>
          <cell r="D134">
            <v>770</v>
          </cell>
          <cell r="E134">
            <v>0</v>
          </cell>
          <cell r="F134">
            <v>770</v>
          </cell>
          <cell r="G134">
            <v>0</v>
          </cell>
          <cell r="H134">
            <v>770</v>
          </cell>
        </row>
        <row r="135">
          <cell r="A135">
            <v>43066010</v>
          </cell>
          <cell r="B135" t="str">
            <v>Books &amp; Periodicals</v>
          </cell>
          <cell r="C135">
            <v>0</v>
          </cell>
          <cell r="D135">
            <v>309</v>
          </cell>
          <cell r="E135">
            <v>0</v>
          </cell>
          <cell r="F135">
            <v>309</v>
          </cell>
          <cell r="G135">
            <v>0</v>
          </cell>
          <cell r="H135">
            <v>309</v>
          </cell>
        </row>
        <row r="136">
          <cell r="A136">
            <v>43066020</v>
          </cell>
          <cell r="B136" t="str">
            <v>Printing &amp; Stationery</v>
          </cell>
          <cell r="C136">
            <v>0</v>
          </cell>
          <cell r="D136">
            <v>17342</v>
          </cell>
          <cell r="E136">
            <v>4500</v>
          </cell>
          <cell r="F136">
            <v>12842</v>
          </cell>
          <cell r="G136">
            <v>0</v>
          </cell>
          <cell r="H136">
            <v>12842</v>
          </cell>
        </row>
        <row r="137">
          <cell r="A137">
            <v>43084010</v>
          </cell>
          <cell r="B137" t="str">
            <v>Miscellaneous Expenses</v>
          </cell>
          <cell r="C137">
            <v>0</v>
          </cell>
          <cell r="D137">
            <v>54141</v>
          </cell>
          <cell r="E137">
            <v>0</v>
          </cell>
          <cell r="F137">
            <v>54141</v>
          </cell>
          <cell r="G137">
            <v>0</v>
          </cell>
          <cell r="H137">
            <v>54141</v>
          </cell>
        </row>
        <row r="138">
          <cell r="A138">
            <v>43084020</v>
          </cell>
          <cell r="B138" t="str">
            <v>Testing Charges</v>
          </cell>
          <cell r="C138">
            <v>0</v>
          </cell>
          <cell r="D138">
            <v>18932</v>
          </cell>
          <cell r="E138">
            <v>0</v>
          </cell>
          <cell r="F138">
            <v>18932</v>
          </cell>
          <cell r="G138">
            <v>0</v>
          </cell>
          <cell r="H138">
            <v>18932</v>
          </cell>
        </row>
        <row r="139">
          <cell r="A139">
            <v>43084030</v>
          </cell>
          <cell r="B139" t="str">
            <v>Rounding Off</v>
          </cell>
          <cell r="C139">
            <v>0</v>
          </cell>
          <cell r="D139">
            <v>138.78</v>
          </cell>
          <cell r="E139">
            <v>60.42</v>
          </cell>
          <cell r="F139">
            <v>78.36</v>
          </cell>
          <cell r="G139">
            <v>0</v>
          </cell>
          <cell r="H139">
            <v>78.36</v>
          </cell>
        </row>
        <row r="140">
          <cell r="A140">
            <v>44010040</v>
          </cell>
          <cell r="B140" t="str">
            <v>Bank Charges</v>
          </cell>
          <cell r="C140">
            <v>0</v>
          </cell>
          <cell r="D140">
            <v>3142</v>
          </cell>
          <cell r="E140">
            <v>0</v>
          </cell>
          <cell r="F140">
            <v>3142</v>
          </cell>
          <cell r="G140">
            <v>0</v>
          </cell>
          <cell r="H140">
            <v>3142</v>
          </cell>
        </row>
        <row r="141">
          <cell r="A141">
            <v>45010010</v>
          </cell>
          <cell r="B141" t="str">
            <v>Depreciation</v>
          </cell>
          <cell r="C141">
            <v>0</v>
          </cell>
          <cell r="D141">
            <v>758701</v>
          </cell>
          <cell r="E141">
            <v>0</v>
          </cell>
          <cell r="F141">
            <v>758701</v>
          </cell>
          <cell r="G141">
            <v>0</v>
          </cell>
          <cell r="H141">
            <v>758701</v>
          </cell>
        </row>
        <row r="142">
          <cell r="A142">
            <v>52000000</v>
          </cell>
          <cell r="B142" t="str">
            <v>Inter Branch Control Account</v>
          </cell>
          <cell r="C142">
            <v>-5911352.5499999998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-5911352.5499999998</v>
          </cell>
        </row>
        <row r="143">
          <cell r="A143">
            <v>52000809</v>
          </cell>
          <cell r="B143" t="str">
            <v>Inter branch control account for 08-09</v>
          </cell>
          <cell r="C143">
            <v>-7589748.5499999998</v>
          </cell>
          <cell r="D143">
            <v>1109328</v>
          </cell>
          <cell r="E143">
            <v>1312187</v>
          </cell>
          <cell r="F143">
            <v>-202859</v>
          </cell>
          <cell r="G143">
            <v>0</v>
          </cell>
          <cell r="H143">
            <v>-7792607.5499999998</v>
          </cell>
        </row>
        <row r="144">
          <cell r="A144">
            <v>61000200</v>
          </cell>
          <cell r="B144" t="str">
            <v>Stock Transfer Control Account</v>
          </cell>
          <cell r="C144">
            <v>0</v>
          </cell>
          <cell r="D144">
            <v>1344205.64</v>
          </cell>
          <cell r="E144">
            <v>1344205.64</v>
          </cell>
          <cell r="F144">
            <v>0</v>
          </cell>
          <cell r="G144">
            <v>0</v>
          </cell>
          <cell r="H144">
            <v>0</v>
          </cell>
        </row>
        <row r="145">
          <cell r="A145">
            <v>61000400</v>
          </cell>
          <cell r="B145" t="str">
            <v>Control Account Haulage Income</v>
          </cell>
          <cell r="C145">
            <v>0</v>
          </cell>
          <cell r="D145">
            <v>3672094</v>
          </cell>
          <cell r="E145">
            <v>3672094</v>
          </cell>
          <cell r="F145">
            <v>0</v>
          </cell>
          <cell r="G145">
            <v>0</v>
          </cell>
          <cell r="H145">
            <v>0</v>
          </cell>
        </row>
        <row r="146">
          <cell r="A146">
            <v>61000500</v>
          </cell>
          <cell r="B146" t="str">
            <v>Control Account for Pumping</v>
          </cell>
          <cell r="C146">
            <v>0</v>
          </cell>
          <cell r="D146">
            <v>2210300</v>
          </cell>
          <cell r="E146">
            <v>2210300</v>
          </cell>
          <cell r="F146">
            <v>0</v>
          </cell>
          <cell r="G146">
            <v>0</v>
          </cell>
          <cell r="H146">
            <v>0</v>
          </cell>
        </row>
        <row r="147">
          <cell r="A147">
            <v>62000000</v>
          </cell>
          <cell r="B147" t="str">
            <v>Inter branch Clearing account</v>
          </cell>
          <cell r="C147">
            <v>0</v>
          </cell>
          <cell r="D147">
            <v>2487769</v>
          </cell>
          <cell r="E147">
            <v>2481613</v>
          </cell>
          <cell r="F147">
            <v>6156</v>
          </cell>
          <cell r="G147">
            <v>0</v>
          </cell>
          <cell r="H147">
            <v>6156</v>
          </cell>
        </row>
        <row r="148">
          <cell r="B148" t="str">
            <v>Total</v>
          </cell>
          <cell r="D148">
            <v>0</v>
          </cell>
          <cell r="E148">
            <v>141724212.90000001</v>
          </cell>
          <cell r="F148">
            <v>141724212.90000001</v>
          </cell>
          <cell r="G148">
            <v>0</v>
          </cell>
          <cell r="H148">
            <v>0</v>
          </cell>
        </row>
      </sheetData>
      <sheetData sheetId="7" refreshError="1">
        <row r="1">
          <cell r="A1" t="str">
            <v>RMC Readymix (I) Pvt. Ltd.,</v>
          </cell>
          <cell r="B1" t="str">
            <v>Trial balance</v>
          </cell>
          <cell r="C1">
            <v>39969</v>
          </cell>
          <cell r="D1">
            <v>0.6868171296296296</v>
          </cell>
          <cell r="E1" t="str">
            <v>Page 1</v>
          </cell>
          <cell r="F1" t="str">
            <v>Chennai</v>
          </cell>
        </row>
        <row r="2">
          <cell r="A2" t="str">
            <v>Period</v>
          </cell>
          <cell r="B2">
            <v>39904</v>
          </cell>
          <cell r="C2">
            <v>39964</v>
          </cell>
        </row>
        <row r="3">
          <cell r="A3" t="str">
            <v>Ledger account</v>
          </cell>
          <cell r="B3" t="str">
            <v>Account name</v>
          </cell>
          <cell r="C3" t="str">
            <v>Opening balance</v>
          </cell>
          <cell r="D3" t="str">
            <v>Debit</v>
          </cell>
          <cell r="E3" t="str">
            <v>Credit</v>
          </cell>
          <cell r="F3" t="str">
            <v>Net difference</v>
          </cell>
          <cell r="G3" t="str">
            <v>Closing transactions</v>
          </cell>
          <cell r="H3" t="str">
            <v>Closing balance</v>
          </cell>
        </row>
        <row r="4">
          <cell r="A4">
            <v>11010010</v>
          </cell>
          <cell r="B4" t="str">
            <v>Freehold Land</v>
          </cell>
          <cell r="C4">
            <v>12105040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12105040</v>
          </cell>
        </row>
        <row r="5">
          <cell r="A5">
            <v>11015010</v>
          </cell>
          <cell r="B5" t="str">
            <v>Buildings</v>
          </cell>
          <cell r="C5">
            <v>38555122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38555122</v>
          </cell>
        </row>
        <row r="6">
          <cell r="A6">
            <v>11025010</v>
          </cell>
          <cell r="B6" t="str">
            <v>Plant and Machinery</v>
          </cell>
          <cell r="C6">
            <v>89262199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89262199</v>
          </cell>
        </row>
        <row r="7">
          <cell r="A7">
            <v>11030010</v>
          </cell>
          <cell r="B7" t="str">
            <v>Electrical Installations</v>
          </cell>
          <cell r="C7">
            <v>5061187</v>
          </cell>
          <cell r="D7">
            <v>1523671.97</v>
          </cell>
          <cell r="E7">
            <v>0</v>
          </cell>
          <cell r="F7">
            <v>1523671.97</v>
          </cell>
          <cell r="G7">
            <v>0</v>
          </cell>
          <cell r="H7">
            <v>6584858.9699999997</v>
          </cell>
        </row>
        <row r="8">
          <cell r="A8">
            <v>11035010</v>
          </cell>
          <cell r="B8" t="str">
            <v>Furniture &amp; Fixtures</v>
          </cell>
          <cell r="C8">
            <v>4750825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4750825</v>
          </cell>
        </row>
        <row r="9">
          <cell r="A9">
            <v>11040010</v>
          </cell>
          <cell r="B9" t="str">
            <v>Office &amp; Electrical Appliances</v>
          </cell>
          <cell r="C9">
            <v>3183909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3183909</v>
          </cell>
        </row>
        <row r="10">
          <cell r="A10">
            <v>11045010</v>
          </cell>
          <cell r="B10" t="str">
            <v>Truck Mixers, Loaders &amp; Truck Dumpers</v>
          </cell>
          <cell r="C10">
            <v>57388700.030000001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57388700.030000001</v>
          </cell>
        </row>
        <row r="11">
          <cell r="A11">
            <v>11060010</v>
          </cell>
          <cell r="B11" t="str">
            <v>Capital W.I.P</v>
          </cell>
          <cell r="C11">
            <v>1518296.97</v>
          </cell>
          <cell r="D11">
            <v>5375</v>
          </cell>
          <cell r="E11">
            <v>1523671.97</v>
          </cell>
          <cell r="F11">
            <v>-1518296.97</v>
          </cell>
          <cell r="G11">
            <v>0</v>
          </cell>
          <cell r="H11">
            <v>0</v>
          </cell>
        </row>
        <row r="12">
          <cell r="A12">
            <v>13015010</v>
          </cell>
          <cell r="B12" t="str">
            <v>Balance Sheet Stock of Raw material - RMC</v>
          </cell>
          <cell r="C12">
            <v>3628734.66</v>
          </cell>
          <cell r="D12">
            <v>5964526.3799999999</v>
          </cell>
          <cell r="E12">
            <v>5697439.7000000002</v>
          </cell>
          <cell r="F12">
            <v>267086.68</v>
          </cell>
          <cell r="G12">
            <v>0</v>
          </cell>
          <cell r="H12">
            <v>3895821.34</v>
          </cell>
        </row>
        <row r="13">
          <cell r="A13">
            <v>13020010</v>
          </cell>
          <cell r="B13" t="str">
            <v>Sundry Debtors Account</v>
          </cell>
          <cell r="C13">
            <v>88230168.969999999</v>
          </cell>
          <cell r="D13">
            <v>102336497</v>
          </cell>
          <cell r="E13">
            <v>91726453.5</v>
          </cell>
          <cell r="F13">
            <v>10610043.5</v>
          </cell>
          <cell r="G13">
            <v>0</v>
          </cell>
          <cell r="H13">
            <v>98840212.469999999</v>
          </cell>
        </row>
        <row r="14">
          <cell r="A14">
            <v>13025010</v>
          </cell>
          <cell r="B14" t="str">
            <v>Cash In Hand</v>
          </cell>
          <cell r="C14">
            <v>10546</v>
          </cell>
          <cell r="D14">
            <v>909575</v>
          </cell>
          <cell r="E14">
            <v>720078</v>
          </cell>
          <cell r="F14">
            <v>189497</v>
          </cell>
          <cell r="G14">
            <v>0</v>
          </cell>
          <cell r="H14">
            <v>200043</v>
          </cell>
        </row>
        <row r="15">
          <cell r="A15">
            <v>13035010</v>
          </cell>
          <cell r="B15" t="str">
            <v>Bank Account</v>
          </cell>
          <cell r="C15">
            <v>3007924.84</v>
          </cell>
          <cell r="D15">
            <v>92158418.5</v>
          </cell>
          <cell r="E15">
            <v>112590007</v>
          </cell>
          <cell r="F15">
            <v>-20431588.5</v>
          </cell>
          <cell r="G15">
            <v>0</v>
          </cell>
          <cell r="H15">
            <v>-17423663.66</v>
          </cell>
        </row>
        <row r="16">
          <cell r="A16">
            <v>13040010</v>
          </cell>
          <cell r="B16" t="str">
            <v>Fixed Deposit With Banks</v>
          </cell>
          <cell r="C16">
            <v>10000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10000</v>
          </cell>
        </row>
        <row r="17">
          <cell r="A17">
            <v>13045020</v>
          </cell>
          <cell r="B17" t="str">
            <v>Loans and advances to employees</v>
          </cell>
          <cell r="C17">
            <v>23700</v>
          </cell>
          <cell r="D17">
            <v>95700</v>
          </cell>
          <cell r="E17">
            <v>94700</v>
          </cell>
          <cell r="F17">
            <v>1000</v>
          </cell>
          <cell r="G17">
            <v>0</v>
          </cell>
          <cell r="H17">
            <v>24700</v>
          </cell>
        </row>
        <row r="18">
          <cell r="A18">
            <v>13045030</v>
          </cell>
          <cell r="B18" t="str">
            <v>Other Advances</v>
          </cell>
          <cell r="C18">
            <v>736877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736877</v>
          </cell>
        </row>
        <row r="19">
          <cell r="A19">
            <v>13050008</v>
          </cell>
          <cell r="B19" t="str">
            <v>T.D.S. ON RECEIPTS 01-02</v>
          </cell>
          <cell r="C19">
            <v>10988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10988</v>
          </cell>
        </row>
        <row r="20">
          <cell r="A20">
            <v>13050018</v>
          </cell>
          <cell r="B20" t="str">
            <v>TDS ON RECEIPTS - 06-07</v>
          </cell>
          <cell r="C20">
            <v>3304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3304</v>
          </cell>
        </row>
        <row r="21">
          <cell r="A21">
            <v>13050020</v>
          </cell>
          <cell r="B21" t="str">
            <v>TDS ON RECEIPTS - 08-09</v>
          </cell>
          <cell r="C21">
            <v>1008990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1008990</v>
          </cell>
        </row>
        <row r="22">
          <cell r="A22">
            <v>13050021</v>
          </cell>
          <cell r="B22" t="str">
            <v>TDS ON RECEIPTS - 09-10</v>
          </cell>
          <cell r="C22">
            <v>0</v>
          </cell>
          <cell r="D22">
            <v>148674</v>
          </cell>
          <cell r="E22">
            <v>0</v>
          </cell>
          <cell r="F22">
            <v>148674</v>
          </cell>
          <cell r="G22">
            <v>0</v>
          </cell>
          <cell r="H22">
            <v>148674</v>
          </cell>
        </row>
        <row r="23">
          <cell r="A23">
            <v>13055020</v>
          </cell>
          <cell r="B23" t="str">
            <v>Prepaid Expenses</v>
          </cell>
          <cell r="C23">
            <v>284846</v>
          </cell>
          <cell r="D23">
            <v>1043497</v>
          </cell>
          <cell r="E23">
            <v>523283</v>
          </cell>
          <cell r="F23">
            <v>520214</v>
          </cell>
          <cell r="G23">
            <v>0</v>
          </cell>
          <cell r="H23">
            <v>805060</v>
          </cell>
        </row>
        <row r="24">
          <cell r="A24">
            <v>13055030</v>
          </cell>
          <cell r="B24" t="str">
            <v>Interest Receivable</v>
          </cell>
          <cell r="C24">
            <v>5338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5338</v>
          </cell>
        </row>
        <row r="25">
          <cell r="A25">
            <v>13055040</v>
          </cell>
          <cell r="B25" t="str">
            <v>Insurance Recoverable</v>
          </cell>
          <cell r="C25">
            <v>22970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22970</v>
          </cell>
        </row>
        <row r="26">
          <cell r="A26">
            <v>13055060</v>
          </cell>
          <cell r="B26" t="str">
            <v>VAT Credit Receivable (Inputs)</v>
          </cell>
          <cell r="C26">
            <v>712471.24</v>
          </cell>
          <cell r="D26">
            <v>1222289</v>
          </cell>
          <cell r="E26">
            <v>1348618</v>
          </cell>
          <cell r="F26">
            <v>-126329</v>
          </cell>
          <cell r="G26">
            <v>0</v>
          </cell>
          <cell r="H26">
            <v>586142.24</v>
          </cell>
        </row>
        <row r="27">
          <cell r="A27">
            <v>13055070</v>
          </cell>
          <cell r="B27" t="str">
            <v>Vat Credit Receivable (Capital Goods)</v>
          </cell>
          <cell r="C27">
            <v>926766</v>
          </cell>
          <cell r="D27">
            <v>0</v>
          </cell>
          <cell r="E27">
            <v>926766</v>
          </cell>
          <cell r="F27">
            <v>-926766</v>
          </cell>
          <cell r="G27">
            <v>0</v>
          </cell>
          <cell r="H27">
            <v>0</v>
          </cell>
        </row>
        <row r="28">
          <cell r="A28">
            <v>13055090</v>
          </cell>
          <cell r="B28" t="str">
            <v>Sundry Deposits</v>
          </cell>
          <cell r="C28">
            <v>1948522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1948522</v>
          </cell>
        </row>
        <row r="29">
          <cell r="A29">
            <v>23015010</v>
          </cell>
          <cell r="B29" t="str">
            <v>Sales Tax Deferrement</v>
          </cell>
          <cell r="C29">
            <v>-45396000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-45396000</v>
          </cell>
        </row>
        <row r="30">
          <cell r="A30">
            <v>25005010</v>
          </cell>
          <cell r="B30" t="str">
            <v>Creditors Control</v>
          </cell>
          <cell r="C30">
            <v>-50874869.049999997</v>
          </cell>
          <cell r="D30">
            <v>84535722</v>
          </cell>
          <cell r="E30">
            <v>76546136</v>
          </cell>
          <cell r="F30">
            <v>7989586</v>
          </cell>
          <cell r="G30">
            <v>0</v>
          </cell>
          <cell r="H30">
            <v>-42885283.049999997</v>
          </cell>
        </row>
        <row r="31">
          <cell r="A31">
            <v>25005050</v>
          </cell>
          <cell r="B31" t="str">
            <v>Creditors liability for material received but bill not recei</v>
          </cell>
          <cell r="C31">
            <v>2049.46</v>
          </cell>
          <cell r="D31">
            <v>69978148.450000003</v>
          </cell>
          <cell r="E31">
            <v>69978149.549999997</v>
          </cell>
          <cell r="F31">
            <v>-1.1000000000000001</v>
          </cell>
          <cell r="G31">
            <v>0</v>
          </cell>
          <cell r="H31">
            <v>2048.36</v>
          </cell>
        </row>
        <row r="32">
          <cell r="A32">
            <v>25010020</v>
          </cell>
          <cell r="B32" t="str">
            <v>Outstanding Liabilities For Expenses</v>
          </cell>
          <cell r="C32">
            <v>-875888</v>
          </cell>
          <cell r="D32">
            <v>625889</v>
          </cell>
          <cell r="E32">
            <v>450000</v>
          </cell>
          <cell r="F32">
            <v>175889</v>
          </cell>
          <cell r="G32">
            <v>0</v>
          </cell>
          <cell r="H32">
            <v>-699999</v>
          </cell>
        </row>
        <row r="33">
          <cell r="A33">
            <v>25010050</v>
          </cell>
          <cell r="B33" t="str">
            <v>Salary Payable</v>
          </cell>
          <cell r="C33">
            <v>-26683</v>
          </cell>
          <cell r="D33">
            <v>3576816</v>
          </cell>
          <cell r="E33">
            <v>3576816</v>
          </cell>
          <cell r="F33">
            <v>0</v>
          </cell>
          <cell r="G33">
            <v>0</v>
          </cell>
          <cell r="H33">
            <v>-26683</v>
          </cell>
        </row>
        <row r="34">
          <cell r="A34">
            <v>25010055</v>
          </cell>
          <cell r="B34" t="str">
            <v>Unclaimed Salary / Bonus Account</v>
          </cell>
          <cell r="C34">
            <v>-10733</v>
          </cell>
          <cell r="D34">
            <v>0</v>
          </cell>
          <cell r="E34">
            <v>22710</v>
          </cell>
          <cell r="F34">
            <v>-22710</v>
          </cell>
          <cell r="G34">
            <v>0</v>
          </cell>
          <cell r="H34">
            <v>-33443</v>
          </cell>
        </row>
        <row r="35">
          <cell r="A35">
            <v>25010060</v>
          </cell>
          <cell r="B35" t="str">
            <v>T.D.S.payable account</v>
          </cell>
          <cell r="C35">
            <v>-426139</v>
          </cell>
          <cell r="D35">
            <v>646653</v>
          </cell>
          <cell r="E35">
            <v>498289</v>
          </cell>
          <cell r="F35">
            <v>148364</v>
          </cell>
          <cell r="G35">
            <v>0</v>
          </cell>
          <cell r="H35">
            <v>-277775</v>
          </cell>
        </row>
        <row r="36">
          <cell r="A36">
            <v>25010120</v>
          </cell>
          <cell r="B36" t="str">
            <v>Service Tax Payable</v>
          </cell>
          <cell r="C36">
            <v>18244</v>
          </cell>
          <cell r="D36">
            <v>76254</v>
          </cell>
          <cell r="E36">
            <v>172679</v>
          </cell>
          <cell r="F36">
            <v>-96425</v>
          </cell>
          <cell r="G36">
            <v>0</v>
          </cell>
          <cell r="H36">
            <v>-78181</v>
          </cell>
        </row>
        <row r="37">
          <cell r="A37">
            <v>25010130</v>
          </cell>
          <cell r="B37" t="str">
            <v>Earnest Money Deposit</v>
          </cell>
          <cell r="C37">
            <v>134400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134400</v>
          </cell>
        </row>
        <row r="38">
          <cell r="A38">
            <v>25010190</v>
          </cell>
          <cell r="B38" t="str">
            <v>VAT  Payable account</v>
          </cell>
          <cell r="C38">
            <v>-6671772.5199999996</v>
          </cell>
          <cell r="D38">
            <v>12135857</v>
          </cell>
          <cell r="E38">
            <v>10433905</v>
          </cell>
          <cell r="F38">
            <v>1701952</v>
          </cell>
          <cell r="G38">
            <v>0</v>
          </cell>
          <cell r="H38">
            <v>-4969820.5199999996</v>
          </cell>
        </row>
        <row r="39">
          <cell r="A39">
            <v>25010200</v>
          </cell>
          <cell r="B39" t="str">
            <v>Provision for Expenses in MIS</v>
          </cell>
          <cell r="C39">
            <v>0</v>
          </cell>
          <cell r="D39">
            <v>3708783</v>
          </cell>
          <cell r="E39">
            <v>4371926</v>
          </cell>
          <cell r="F39">
            <v>-663143</v>
          </cell>
          <cell r="G39">
            <v>0</v>
          </cell>
          <cell r="H39">
            <v>-663143</v>
          </cell>
        </row>
        <row r="40">
          <cell r="A40">
            <v>25015010</v>
          </cell>
          <cell r="B40" t="str">
            <v>PF Payable account</v>
          </cell>
          <cell r="C40">
            <v>-96900</v>
          </cell>
          <cell r="D40">
            <v>385130</v>
          </cell>
          <cell r="E40">
            <v>384063</v>
          </cell>
          <cell r="F40">
            <v>1067</v>
          </cell>
          <cell r="G40">
            <v>0</v>
          </cell>
          <cell r="H40">
            <v>-95833</v>
          </cell>
        </row>
        <row r="41">
          <cell r="A41">
            <v>25020010</v>
          </cell>
          <cell r="B41" t="str">
            <v>E.S.I.C. Payable account</v>
          </cell>
          <cell r="C41">
            <v>-10306</v>
          </cell>
          <cell r="D41">
            <v>74943</v>
          </cell>
          <cell r="E41">
            <v>74029</v>
          </cell>
          <cell r="F41">
            <v>914</v>
          </cell>
          <cell r="G41">
            <v>0</v>
          </cell>
          <cell r="H41">
            <v>-9392</v>
          </cell>
        </row>
        <row r="42">
          <cell r="A42">
            <v>25020040</v>
          </cell>
          <cell r="B42" t="str">
            <v>Profession Tax payable</v>
          </cell>
          <cell r="C42">
            <v>-7939</v>
          </cell>
          <cell r="D42">
            <v>3976</v>
          </cell>
          <cell r="E42">
            <v>19715</v>
          </cell>
          <cell r="F42">
            <v>-15739</v>
          </cell>
          <cell r="G42">
            <v>0</v>
          </cell>
          <cell r="H42">
            <v>-23678</v>
          </cell>
        </row>
        <row r="43">
          <cell r="A43">
            <v>26005020</v>
          </cell>
          <cell r="B43" t="str">
            <v>Provision For Bad &amp; Doubtful Debts</v>
          </cell>
          <cell r="C43">
            <v>-10444940</v>
          </cell>
          <cell r="D43">
            <v>200000</v>
          </cell>
          <cell r="E43">
            <v>800000</v>
          </cell>
          <cell r="F43">
            <v>-600000</v>
          </cell>
          <cell r="G43">
            <v>0</v>
          </cell>
          <cell r="H43">
            <v>-11044940</v>
          </cell>
        </row>
        <row r="44">
          <cell r="A44">
            <v>26015010</v>
          </cell>
          <cell r="B44" t="str">
            <v>Prov For Dep.-  Buildings</v>
          </cell>
          <cell r="C44">
            <v>-6369097</v>
          </cell>
          <cell r="D44">
            <v>0</v>
          </cell>
          <cell r="E44">
            <v>309297</v>
          </cell>
          <cell r="F44">
            <v>-309297</v>
          </cell>
          <cell r="G44">
            <v>0</v>
          </cell>
          <cell r="H44">
            <v>-6678394</v>
          </cell>
        </row>
        <row r="45">
          <cell r="A45">
            <v>26025010</v>
          </cell>
          <cell r="B45" t="str">
            <v>Provision for Depreciation Plant &amp; Machinery</v>
          </cell>
          <cell r="C45">
            <v>-40223446.049999997</v>
          </cell>
          <cell r="D45">
            <v>0</v>
          </cell>
          <cell r="E45">
            <v>1235910</v>
          </cell>
          <cell r="F45">
            <v>-1235910</v>
          </cell>
          <cell r="G45">
            <v>0</v>
          </cell>
          <cell r="H45">
            <v>-41459356.049999997</v>
          </cell>
        </row>
        <row r="46">
          <cell r="A46">
            <v>26030010</v>
          </cell>
          <cell r="B46" t="str">
            <v>Provision For Dep.-Electrical Installations</v>
          </cell>
          <cell r="C46">
            <v>-2392675</v>
          </cell>
          <cell r="D46">
            <v>0</v>
          </cell>
          <cell r="E46">
            <v>101703</v>
          </cell>
          <cell r="F46">
            <v>-101703</v>
          </cell>
          <cell r="G46">
            <v>0</v>
          </cell>
          <cell r="H46">
            <v>-2494378</v>
          </cell>
        </row>
        <row r="47">
          <cell r="A47">
            <v>26035010</v>
          </cell>
          <cell r="B47" t="str">
            <v>Provision For Dep.-Furniture and Fixtures</v>
          </cell>
          <cell r="C47">
            <v>-3161315</v>
          </cell>
          <cell r="D47">
            <v>0</v>
          </cell>
          <cell r="E47">
            <v>78381</v>
          </cell>
          <cell r="F47">
            <v>-78381</v>
          </cell>
          <cell r="G47">
            <v>0</v>
          </cell>
          <cell r="H47">
            <v>-3239696</v>
          </cell>
        </row>
        <row r="48">
          <cell r="A48">
            <v>26040010</v>
          </cell>
          <cell r="B48" t="str">
            <v>Provision for Depreciation- Office and Electrical Appliances</v>
          </cell>
          <cell r="C48">
            <v>-2441735.73</v>
          </cell>
          <cell r="D48">
            <v>0</v>
          </cell>
          <cell r="E48">
            <v>50703</v>
          </cell>
          <cell r="F48">
            <v>-50703</v>
          </cell>
          <cell r="G48">
            <v>0</v>
          </cell>
          <cell r="H48">
            <v>-2492438.73</v>
          </cell>
        </row>
        <row r="49">
          <cell r="A49">
            <v>26045010</v>
          </cell>
          <cell r="B49" t="str">
            <v>Provision for Depreciation- Truck Mixers, Loaders &amp; Dumpers</v>
          </cell>
          <cell r="C49">
            <v>-40549935</v>
          </cell>
          <cell r="D49">
            <v>0</v>
          </cell>
          <cell r="E49">
            <v>547444</v>
          </cell>
          <cell r="F49">
            <v>-547444</v>
          </cell>
          <cell r="G49">
            <v>0</v>
          </cell>
          <cell r="H49">
            <v>-41097379</v>
          </cell>
        </row>
        <row r="50">
          <cell r="A50">
            <v>26055020</v>
          </cell>
          <cell r="B50" t="str">
            <v>Profit &amp; Loss A/c</v>
          </cell>
          <cell r="C50">
            <v>-72773030.159999996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-72773030.159999996</v>
          </cell>
        </row>
        <row r="51">
          <cell r="A51">
            <v>26055030</v>
          </cell>
          <cell r="B51" t="str">
            <v>Provision for Leave encashment</v>
          </cell>
          <cell r="C51">
            <v>0</v>
          </cell>
          <cell r="D51">
            <v>0</v>
          </cell>
          <cell r="E51">
            <v>50000</v>
          </cell>
          <cell r="F51">
            <v>-50000</v>
          </cell>
          <cell r="G51">
            <v>0</v>
          </cell>
          <cell r="H51">
            <v>-50000</v>
          </cell>
        </row>
        <row r="52">
          <cell r="A52">
            <v>26055050</v>
          </cell>
          <cell r="B52" t="str">
            <v>Provision for Production linked incentive (KRA)</v>
          </cell>
          <cell r="C52">
            <v>0</v>
          </cell>
          <cell r="D52">
            <v>0</v>
          </cell>
          <cell r="E52">
            <v>276744</v>
          </cell>
          <cell r="F52">
            <v>-276744</v>
          </cell>
          <cell r="G52">
            <v>0</v>
          </cell>
          <cell r="H52">
            <v>-276744</v>
          </cell>
        </row>
        <row r="53">
          <cell r="A53">
            <v>31010010</v>
          </cell>
          <cell r="B53" t="str">
            <v>Sales</v>
          </cell>
          <cell r="C53">
            <v>0</v>
          </cell>
          <cell r="D53">
            <v>252777.81</v>
          </cell>
          <cell r="E53">
            <v>87818892.019999996</v>
          </cell>
          <cell r="F53">
            <v>-87566114.209999993</v>
          </cell>
          <cell r="G53">
            <v>0</v>
          </cell>
          <cell r="H53">
            <v>-87566114.209999993</v>
          </cell>
        </row>
        <row r="54">
          <cell r="A54">
            <v>32020020</v>
          </cell>
          <cell r="B54" t="str">
            <v>Misc Income - Scrap sales</v>
          </cell>
          <cell r="C54">
            <v>0</v>
          </cell>
          <cell r="D54">
            <v>0</v>
          </cell>
          <cell r="E54">
            <v>112666.67</v>
          </cell>
          <cell r="F54">
            <v>-112666.67</v>
          </cell>
          <cell r="G54">
            <v>0</v>
          </cell>
          <cell r="H54">
            <v>-112666.67</v>
          </cell>
        </row>
        <row r="55">
          <cell r="A55">
            <v>41010010</v>
          </cell>
          <cell r="B55" t="str">
            <v>Opening Stock - Cement</v>
          </cell>
          <cell r="C55">
            <v>0</v>
          </cell>
          <cell r="D55">
            <v>585043.85</v>
          </cell>
          <cell r="E55">
            <v>0</v>
          </cell>
          <cell r="F55">
            <v>585043.85</v>
          </cell>
          <cell r="G55">
            <v>0</v>
          </cell>
          <cell r="H55">
            <v>585043.85</v>
          </cell>
        </row>
        <row r="56">
          <cell r="A56">
            <v>41010020</v>
          </cell>
          <cell r="B56" t="str">
            <v>Opening Stock - Sand</v>
          </cell>
          <cell r="C56">
            <v>0</v>
          </cell>
          <cell r="D56">
            <v>281156.57</v>
          </cell>
          <cell r="E56">
            <v>0</v>
          </cell>
          <cell r="F56">
            <v>281156.57</v>
          </cell>
          <cell r="G56">
            <v>0</v>
          </cell>
          <cell r="H56">
            <v>281156.57</v>
          </cell>
        </row>
        <row r="57">
          <cell r="A57">
            <v>41010030</v>
          </cell>
          <cell r="B57" t="str">
            <v>Opening Stock - CRF</v>
          </cell>
          <cell r="C57">
            <v>0</v>
          </cell>
          <cell r="D57">
            <v>164954.29999999999</v>
          </cell>
          <cell r="E57">
            <v>0</v>
          </cell>
          <cell r="F57">
            <v>164954.29999999999</v>
          </cell>
          <cell r="G57">
            <v>0</v>
          </cell>
          <cell r="H57">
            <v>164954.29999999999</v>
          </cell>
        </row>
        <row r="58">
          <cell r="A58">
            <v>41010040</v>
          </cell>
          <cell r="B58" t="str">
            <v>Opening Stock - RMC Aggregates</v>
          </cell>
          <cell r="C58">
            <v>0</v>
          </cell>
          <cell r="D58">
            <v>810347.48</v>
          </cell>
          <cell r="E58">
            <v>0</v>
          </cell>
          <cell r="F58">
            <v>810347.48</v>
          </cell>
          <cell r="G58">
            <v>0</v>
          </cell>
          <cell r="H58">
            <v>810347.48</v>
          </cell>
        </row>
        <row r="59">
          <cell r="A59">
            <v>41010050</v>
          </cell>
          <cell r="B59" t="str">
            <v>Opening Stock - Admixtures</v>
          </cell>
          <cell r="C59">
            <v>0</v>
          </cell>
          <cell r="D59">
            <v>1019995.22</v>
          </cell>
          <cell r="E59">
            <v>0</v>
          </cell>
          <cell r="F59">
            <v>1019995.22</v>
          </cell>
          <cell r="G59">
            <v>0</v>
          </cell>
          <cell r="H59">
            <v>1019995.22</v>
          </cell>
        </row>
        <row r="60">
          <cell r="A60">
            <v>41010060</v>
          </cell>
          <cell r="B60" t="str">
            <v>Opening Stock - Fibres</v>
          </cell>
          <cell r="C60">
            <v>0</v>
          </cell>
          <cell r="D60">
            <v>78049.5</v>
          </cell>
          <cell r="E60">
            <v>0</v>
          </cell>
          <cell r="F60">
            <v>78049.5</v>
          </cell>
          <cell r="G60">
            <v>0</v>
          </cell>
          <cell r="H60">
            <v>78049.5</v>
          </cell>
        </row>
        <row r="61">
          <cell r="A61">
            <v>41010070</v>
          </cell>
          <cell r="B61" t="str">
            <v>Opening Stock - Flyash</v>
          </cell>
          <cell r="C61">
            <v>0</v>
          </cell>
          <cell r="D61">
            <v>112558.74</v>
          </cell>
          <cell r="E61">
            <v>0</v>
          </cell>
          <cell r="F61">
            <v>112558.74</v>
          </cell>
          <cell r="G61">
            <v>0</v>
          </cell>
          <cell r="H61">
            <v>112558.74</v>
          </cell>
        </row>
        <row r="62">
          <cell r="A62">
            <v>41010080</v>
          </cell>
          <cell r="B62" t="str">
            <v>Opening Stock - Diesel</v>
          </cell>
          <cell r="C62">
            <v>0</v>
          </cell>
          <cell r="D62">
            <v>142221.60999999999</v>
          </cell>
          <cell r="E62">
            <v>0</v>
          </cell>
          <cell r="F62">
            <v>142221.60999999999</v>
          </cell>
          <cell r="G62">
            <v>0</v>
          </cell>
          <cell r="H62">
            <v>142221.60999999999</v>
          </cell>
        </row>
        <row r="63">
          <cell r="A63">
            <v>41010110</v>
          </cell>
          <cell r="B63" t="str">
            <v>Opening Stock GGBS</v>
          </cell>
          <cell r="C63">
            <v>0</v>
          </cell>
          <cell r="D63">
            <v>434407.39</v>
          </cell>
          <cell r="E63">
            <v>0</v>
          </cell>
          <cell r="F63">
            <v>434407.39</v>
          </cell>
          <cell r="G63">
            <v>0</v>
          </cell>
          <cell r="H63">
            <v>434407.39</v>
          </cell>
        </row>
        <row r="64">
          <cell r="A64">
            <v>41020010</v>
          </cell>
          <cell r="B64" t="str">
            <v>Raw Material Purchase - Cement</v>
          </cell>
          <cell r="C64">
            <v>0</v>
          </cell>
          <cell r="D64">
            <v>34564598.549999997</v>
          </cell>
          <cell r="E64">
            <v>34493947.439999998</v>
          </cell>
          <cell r="F64">
            <v>70651.11</v>
          </cell>
          <cell r="G64">
            <v>0</v>
          </cell>
          <cell r="H64">
            <v>70651.11</v>
          </cell>
        </row>
        <row r="65">
          <cell r="A65">
            <v>41020015</v>
          </cell>
          <cell r="B65" t="str">
            <v>Interim account cement received</v>
          </cell>
          <cell r="C65">
            <v>0</v>
          </cell>
          <cell r="D65">
            <v>33812938.979999997</v>
          </cell>
          <cell r="E65">
            <v>33812937.020000003</v>
          </cell>
          <cell r="F65">
            <v>1.96</v>
          </cell>
          <cell r="G65">
            <v>0</v>
          </cell>
          <cell r="H65">
            <v>1.96</v>
          </cell>
        </row>
        <row r="66">
          <cell r="A66">
            <v>41020020</v>
          </cell>
          <cell r="B66" t="str">
            <v>Cement Consumption account</v>
          </cell>
          <cell r="C66">
            <v>0</v>
          </cell>
          <cell r="D66">
            <v>34447846.399999999</v>
          </cell>
          <cell r="E66">
            <v>543132.37</v>
          </cell>
          <cell r="F66">
            <v>33904714.030000001</v>
          </cell>
          <cell r="G66">
            <v>0</v>
          </cell>
          <cell r="H66">
            <v>33904714.030000001</v>
          </cell>
        </row>
        <row r="67">
          <cell r="A67">
            <v>41020030</v>
          </cell>
          <cell r="B67" t="str">
            <v>Raw Material Purchase - Aggregates</v>
          </cell>
          <cell r="C67">
            <v>0</v>
          </cell>
          <cell r="D67">
            <v>16654069.310000001</v>
          </cell>
          <cell r="E67">
            <v>16661182.9</v>
          </cell>
          <cell r="F67">
            <v>-7113.59</v>
          </cell>
          <cell r="G67">
            <v>0</v>
          </cell>
          <cell r="H67">
            <v>-7113.59</v>
          </cell>
        </row>
        <row r="68">
          <cell r="A68">
            <v>41020035</v>
          </cell>
          <cell r="B68" t="str">
            <v>Interim account Aggregate received</v>
          </cell>
          <cell r="C68">
            <v>0</v>
          </cell>
          <cell r="D68">
            <v>16502759.609999999</v>
          </cell>
          <cell r="E68">
            <v>16502759.609999999</v>
          </cell>
          <cell r="F68">
            <v>0</v>
          </cell>
          <cell r="G68">
            <v>0</v>
          </cell>
          <cell r="H68">
            <v>0</v>
          </cell>
        </row>
        <row r="69">
          <cell r="A69">
            <v>41020040</v>
          </cell>
          <cell r="B69" t="str">
            <v>Aggregate Consumption account</v>
          </cell>
          <cell r="C69">
            <v>0</v>
          </cell>
          <cell r="D69">
            <v>16621482.470000001</v>
          </cell>
          <cell r="E69">
            <v>45693.33</v>
          </cell>
          <cell r="F69">
            <v>16575789.140000001</v>
          </cell>
          <cell r="G69">
            <v>0</v>
          </cell>
          <cell r="H69">
            <v>16575789.140000001</v>
          </cell>
        </row>
        <row r="70">
          <cell r="A70">
            <v>41020050</v>
          </cell>
          <cell r="B70" t="str">
            <v>Raw Material Purchase - Sand</v>
          </cell>
          <cell r="C70">
            <v>0</v>
          </cell>
          <cell r="D70">
            <v>4903936.2300000004</v>
          </cell>
          <cell r="E70">
            <v>4778615.34</v>
          </cell>
          <cell r="F70">
            <v>125320.89</v>
          </cell>
          <cell r="G70">
            <v>0</v>
          </cell>
          <cell r="H70">
            <v>125320.89</v>
          </cell>
        </row>
        <row r="71">
          <cell r="A71">
            <v>41020055</v>
          </cell>
          <cell r="B71" t="str">
            <v>Interim account Sand Received</v>
          </cell>
          <cell r="C71">
            <v>0</v>
          </cell>
          <cell r="D71">
            <v>4624163.1900000004</v>
          </cell>
          <cell r="E71">
            <v>4624163.1900000004</v>
          </cell>
          <cell r="F71">
            <v>0</v>
          </cell>
          <cell r="G71">
            <v>0</v>
          </cell>
          <cell r="H71">
            <v>0</v>
          </cell>
        </row>
        <row r="72">
          <cell r="A72">
            <v>41020060</v>
          </cell>
          <cell r="B72" t="str">
            <v>Sand Consumption account</v>
          </cell>
          <cell r="C72">
            <v>0</v>
          </cell>
          <cell r="D72">
            <v>4746253.1900000004</v>
          </cell>
          <cell r="E72">
            <v>266275.14</v>
          </cell>
          <cell r="F72">
            <v>4479978.05</v>
          </cell>
          <cell r="G72">
            <v>0</v>
          </cell>
          <cell r="H72">
            <v>4479978.05</v>
          </cell>
        </row>
        <row r="73">
          <cell r="A73">
            <v>41020070</v>
          </cell>
          <cell r="B73" t="str">
            <v>Raw Material Purchase - Admixture</v>
          </cell>
          <cell r="C73">
            <v>0</v>
          </cell>
          <cell r="D73">
            <v>2037316.75</v>
          </cell>
          <cell r="E73">
            <v>2197040.15</v>
          </cell>
          <cell r="F73">
            <v>-159723.4</v>
          </cell>
          <cell r="G73">
            <v>0</v>
          </cell>
          <cell r="H73">
            <v>-159723.4</v>
          </cell>
        </row>
        <row r="74">
          <cell r="A74">
            <v>41020075</v>
          </cell>
          <cell r="B74" t="str">
            <v>Interim account Admixture received</v>
          </cell>
          <cell r="C74">
            <v>0</v>
          </cell>
          <cell r="D74">
            <v>1930912.7</v>
          </cell>
          <cell r="E74">
            <v>1930912.7</v>
          </cell>
          <cell r="F74">
            <v>0</v>
          </cell>
          <cell r="G74">
            <v>0</v>
          </cell>
          <cell r="H74">
            <v>0</v>
          </cell>
        </row>
        <row r="75">
          <cell r="A75">
            <v>41020080</v>
          </cell>
          <cell r="B75" t="str">
            <v>Admixture Consumption account</v>
          </cell>
          <cell r="C75">
            <v>0</v>
          </cell>
          <cell r="D75">
            <v>2102240.04</v>
          </cell>
          <cell r="E75">
            <v>10846.4</v>
          </cell>
          <cell r="F75">
            <v>2091393.64</v>
          </cell>
          <cell r="G75">
            <v>0</v>
          </cell>
          <cell r="H75">
            <v>2091393.64</v>
          </cell>
        </row>
        <row r="76">
          <cell r="A76">
            <v>41020090</v>
          </cell>
          <cell r="B76" t="str">
            <v>Raw Material  Purchase - Fly Ash</v>
          </cell>
          <cell r="C76">
            <v>0</v>
          </cell>
          <cell r="D76">
            <v>893936.46</v>
          </cell>
          <cell r="E76">
            <v>929988.64</v>
          </cell>
          <cell r="F76">
            <v>-36052.18</v>
          </cell>
          <cell r="G76">
            <v>0</v>
          </cell>
          <cell r="H76">
            <v>-36052.18</v>
          </cell>
        </row>
        <row r="77">
          <cell r="A77">
            <v>41020095</v>
          </cell>
          <cell r="B77" t="str">
            <v>Interim account fly ash received</v>
          </cell>
          <cell r="C77">
            <v>0</v>
          </cell>
          <cell r="D77">
            <v>881901.39</v>
          </cell>
          <cell r="E77">
            <v>881901.39</v>
          </cell>
          <cell r="F77">
            <v>0</v>
          </cell>
          <cell r="G77">
            <v>0</v>
          </cell>
          <cell r="H77">
            <v>0</v>
          </cell>
        </row>
        <row r="78">
          <cell r="A78">
            <v>41020100</v>
          </cell>
          <cell r="B78" t="str">
            <v>Fly Ash Consumption account</v>
          </cell>
          <cell r="C78">
            <v>0</v>
          </cell>
          <cell r="D78">
            <v>921657.94</v>
          </cell>
          <cell r="E78">
            <v>2098.13</v>
          </cell>
          <cell r="F78">
            <v>919559.81</v>
          </cell>
          <cell r="G78">
            <v>0</v>
          </cell>
          <cell r="H78">
            <v>919559.81</v>
          </cell>
        </row>
        <row r="79">
          <cell r="A79">
            <v>41020110</v>
          </cell>
          <cell r="B79" t="str">
            <v>Raw Material Purchase GGBS</v>
          </cell>
          <cell r="C79">
            <v>0</v>
          </cell>
          <cell r="D79">
            <v>1069934.97</v>
          </cell>
          <cell r="E79">
            <v>899602.39</v>
          </cell>
          <cell r="F79">
            <v>170332.58</v>
          </cell>
          <cell r="G79">
            <v>0</v>
          </cell>
          <cell r="H79">
            <v>170332.58</v>
          </cell>
        </row>
        <row r="80">
          <cell r="A80">
            <v>41020115</v>
          </cell>
          <cell r="B80" t="str">
            <v>Interim account for GGBS received</v>
          </cell>
          <cell r="C80">
            <v>0</v>
          </cell>
          <cell r="D80">
            <v>984246.44</v>
          </cell>
          <cell r="E80">
            <v>984247.3</v>
          </cell>
          <cell r="F80">
            <v>-0.86</v>
          </cell>
          <cell r="G80">
            <v>0</v>
          </cell>
          <cell r="H80">
            <v>-0.86</v>
          </cell>
        </row>
        <row r="81">
          <cell r="A81">
            <v>41020120</v>
          </cell>
          <cell r="B81" t="str">
            <v>GGBS Consumption account</v>
          </cell>
          <cell r="C81">
            <v>0</v>
          </cell>
          <cell r="D81">
            <v>831142.89</v>
          </cell>
          <cell r="E81">
            <v>2741.33</v>
          </cell>
          <cell r="F81">
            <v>828401.56</v>
          </cell>
          <cell r="G81">
            <v>0</v>
          </cell>
          <cell r="H81">
            <v>828401.56</v>
          </cell>
        </row>
        <row r="82">
          <cell r="A82">
            <v>41020130</v>
          </cell>
          <cell r="B82" t="str">
            <v>Raw Materials Purchase - CRF</v>
          </cell>
          <cell r="C82">
            <v>0</v>
          </cell>
          <cell r="D82">
            <v>1952274.86</v>
          </cell>
          <cell r="E82">
            <v>1932404.01</v>
          </cell>
          <cell r="F82">
            <v>19870.849999999999</v>
          </cell>
          <cell r="G82">
            <v>0</v>
          </cell>
          <cell r="H82">
            <v>19870.849999999999</v>
          </cell>
        </row>
        <row r="83">
          <cell r="A83">
            <v>41020135</v>
          </cell>
          <cell r="B83" t="str">
            <v>Interim account for CRF received</v>
          </cell>
          <cell r="C83">
            <v>0</v>
          </cell>
          <cell r="D83">
            <v>1841138.84</v>
          </cell>
          <cell r="E83">
            <v>1841138.84</v>
          </cell>
          <cell r="F83">
            <v>0</v>
          </cell>
          <cell r="G83">
            <v>0</v>
          </cell>
          <cell r="H83">
            <v>0</v>
          </cell>
        </row>
        <row r="84">
          <cell r="A84">
            <v>41020140</v>
          </cell>
          <cell r="B84" t="str">
            <v>CRF Consumption account</v>
          </cell>
          <cell r="C84">
            <v>0</v>
          </cell>
          <cell r="D84">
            <v>1921315.75</v>
          </cell>
          <cell r="E84">
            <v>97245.9</v>
          </cell>
          <cell r="F84">
            <v>1824069.85</v>
          </cell>
          <cell r="G84">
            <v>0</v>
          </cell>
          <cell r="H84">
            <v>1824069.85</v>
          </cell>
        </row>
        <row r="85">
          <cell r="A85">
            <v>41020145</v>
          </cell>
          <cell r="B85" t="str">
            <v>Raw Material Purchase - Ice</v>
          </cell>
          <cell r="C85">
            <v>0</v>
          </cell>
          <cell r="D85">
            <v>10500</v>
          </cell>
          <cell r="E85">
            <v>10500</v>
          </cell>
          <cell r="F85">
            <v>0</v>
          </cell>
          <cell r="G85">
            <v>0</v>
          </cell>
          <cell r="H85">
            <v>0</v>
          </cell>
        </row>
        <row r="86">
          <cell r="A86">
            <v>41020150</v>
          </cell>
          <cell r="B86" t="str">
            <v>Loss/ gain on Stock</v>
          </cell>
          <cell r="C86">
            <v>0</v>
          </cell>
          <cell r="D86">
            <v>192787.35</v>
          </cell>
          <cell r="E86">
            <v>400383.83</v>
          </cell>
          <cell r="F86">
            <v>-207596.48</v>
          </cell>
          <cell r="G86">
            <v>0</v>
          </cell>
          <cell r="H86">
            <v>-207596.48</v>
          </cell>
        </row>
        <row r="87">
          <cell r="A87">
            <v>41020195</v>
          </cell>
          <cell r="B87" t="str">
            <v>Purchase of Diesel</v>
          </cell>
          <cell r="C87">
            <v>0</v>
          </cell>
          <cell r="D87">
            <v>2327323.4</v>
          </cell>
          <cell r="E87">
            <v>2229613.11</v>
          </cell>
          <cell r="F87">
            <v>97710.29</v>
          </cell>
          <cell r="G87">
            <v>0</v>
          </cell>
          <cell r="H87">
            <v>97710.29</v>
          </cell>
        </row>
        <row r="88">
          <cell r="A88">
            <v>41020200</v>
          </cell>
          <cell r="B88" t="str">
            <v>Interim account for diesel received</v>
          </cell>
          <cell r="C88">
            <v>0</v>
          </cell>
          <cell r="D88">
            <v>2327323.4</v>
          </cell>
          <cell r="E88">
            <v>2327323.4</v>
          </cell>
          <cell r="F88">
            <v>0</v>
          </cell>
          <cell r="G88">
            <v>0</v>
          </cell>
          <cell r="H88">
            <v>0</v>
          </cell>
        </row>
        <row r="89">
          <cell r="A89">
            <v>41020205</v>
          </cell>
          <cell r="B89" t="str">
            <v>Diesel Consumption account</v>
          </cell>
          <cell r="C89">
            <v>0</v>
          </cell>
          <cell r="D89">
            <v>2208236.7999999998</v>
          </cell>
          <cell r="E89">
            <v>2208236.7999999998</v>
          </cell>
          <cell r="F89">
            <v>0</v>
          </cell>
          <cell r="G89">
            <v>0</v>
          </cell>
          <cell r="H89">
            <v>0</v>
          </cell>
        </row>
        <row r="90">
          <cell r="A90">
            <v>41020230</v>
          </cell>
          <cell r="B90" t="str">
            <v>Raw Material Purchasae- Fibre</v>
          </cell>
          <cell r="C90">
            <v>0</v>
          </cell>
          <cell r="D90">
            <v>21952.17</v>
          </cell>
          <cell r="E90">
            <v>35863.14</v>
          </cell>
          <cell r="F90">
            <v>-13910.97</v>
          </cell>
          <cell r="G90">
            <v>0</v>
          </cell>
          <cell r="H90">
            <v>-13910.97</v>
          </cell>
        </row>
        <row r="91">
          <cell r="A91">
            <v>41020240</v>
          </cell>
          <cell r="B91" t="str">
            <v>Fibre Consumption account</v>
          </cell>
          <cell r="C91">
            <v>0</v>
          </cell>
          <cell r="D91">
            <v>13837.39</v>
          </cell>
          <cell r="E91">
            <v>0</v>
          </cell>
          <cell r="F91">
            <v>13837.39</v>
          </cell>
          <cell r="G91">
            <v>0</v>
          </cell>
          <cell r="H91">
            <v>13837.39</v>
          </cell>
        </row>
        <row r="92">
          <cell r="A92">
            <v>41020265</v>
          </cell>
          <cell r="B92" t="str">
            <v>Interim account for Ice received</v>
          </cell>
          <cell r="C92">
            <v>0</v>
          </cell>
          <cell r="D92">
            <v>10500</v>
          </cell>
          <cell r="E92">
            <v>10500</v>
          </cell>
          <cell r="F92">
            <v>0</v>
          </cell>
          <cell r="G92">
            <v>0</v>
          </cell>
          <cell r="H92">
            <v>0</v>
          </cell>
        </row>
        <row r="93">
          <cell r="A93">
            <v>41020270</v>
          </cell>
          <cell r="B93" t="str">
            <v>Ice Consumption account</v>
          </cell>
          <cell r="C93">
            <v>0</v>
          </cell>
          <cell r="D93">
            <v>10500</v>
          </cell>
          <cell r="E93">
            <v>0</v>
          </cell>
          <cell r="F93">
            <v>10500</v>
          </cell>
          <cell r="G93">
            <v>0</v>
          </cell>
          <cell r="H93">
            <v>10500</v>
          </cell>
        </row>
        <row r="94">
          <cell r="A94">
            <v>41050010</v>
          </cell>
          <cell r="B94" t="str">
            <v>Closing Stock - Cement</v>
          </cell>
          <cell r="C94">
            <v>0</v>
          </cell>
          <cell r="D94">
            <v>0</v>
          </cell>
          <cell r="E94">
            <v>655696.92000000004</v>
          </cell>
          <cell r="F94">
            <v>-655696.92000000004</v>
          </cell>
          <cell r="G94">
            <v>0</v>
          </cell>
          <cell r="H94">
            <v>-655696.92000000004</v>
          </cell>
        </row>
        <row r="95">
          <cell r="A95">
            <v>41050020</v>
          </cell>
          <cell r="B95" t="str">
            <v>Closing Stock - Sand</v>
          </cell>
          <cell r="C95">
            <v>0</v>
          </cell>
          <cell r="D95">
            <v>0</v>
          </cell>
          <cell r="E95">
            <v>406477.46</v>
          </cell>
          <cell r="F95">
            <v>-406477.46</v>
          </cell>
          <cell r="G95">
            <v>0</v>
          </cell>
          <cell r="H95">
            <v>-406477.46</v>
          </cell>
        </row>
        <row r="96">
          <cell r="A96">
            <v>41050030</v>
          </cell>
          <cell r="B96" t="str">
            <v>Closing Stock - CRF</v>
          </cell>
          <cell r="C96">
            <v>0</v>
          </cell>
          <cell r="D96">
            <v>0</v>
          </cell>
          <cell r="E96">
            <v>184825.15</v>
          </cell>
          <cell r="F96">
            <v>-184825.15</v>
          </cell>
          <cell r="G96">
            <v>0</v>
          </cell>
          <cell r="H96">
            <v>-184825.15</v>
          </cell>
        </row>
        <row r="97">
          <cell r="A97">
            <v>41050040</v>
          </cell>
          <cell r="B97" t="str">
            <v>Closing Stock - RMC Aggregates</v>
          </cell>
          <cell r="C97">
            <v>0</v>
          </cell>
          <cell r="D97">
            <v>0</v>
          </cell>
          <cell r="E97">
            <v>803233.89</v>
          </cell>
          <cell r="F97">
            <v>-803233.89</v>
          </cell>
          <cell r="G97">
            <v>0</v>
          </cell>
          <cell r="H97">
            <v>-803233.89</v>
          </cell>
        </row>
        <row r="98">
          <cell r="A98">
            <v>41050050</v>
          </cell>
          <cell r="B98" t="str">
            <v>Closing Stock - Admixtures</v>
          </cell>
          <cell r="C98">
            <v>0</v>
          </cell>
          <cell r="D98">
            <v>0</v>
          </cell>
          <cell r="E98">
            <v>860271.82</v>
          </cell>
          <cell r="F98">
            <v>-860271.82</v>
          </cell>
          <cell r="G98">
            <v>0</v>
          </cell>
          <cell r="H98">
            <v>-860271.82</v>
          </cell>
        </row>
        <row r="99">
          <cell r="A99">
            <v>41050060</v>
          </cell>
          <cell r="B99" t="str">
            <v>Closing Stock - Fibres</v>
          </cell>
          <cell r="C99">
            <v>0</v>
          </cell>
          <cell r="D99">
            <v>0</v>
          </cell>
          <cell r="E99">
            <v>64138.53</v>
          </cell>
          <cell r="F99">
            <v>-64138.53</v>
          </cell>
          <cell r="G99">
            <v>0</v>
          </cell>
          <cell r="H99">
            <v>-64138.53</v>
          </cell>
        </row>
        <row r="100">
          <cell r="A100">
            <v>41050070</v>
          </cell>
          <cell r="B100" t="str">
            <v>Closing Stock - Flyash</v>
          </cell>
          <cell r="C100">
            <v>0</v>
          </cell>
          <cell r="D100">
            <v>0</v>
          </cell>
          <cell r="E100">
            <v>76506.559999999998</v>
          </cell>
          <cell r="F100">
            <v>-76506.559999999998</v>
          </cell>
          <cell r="G100">
            <v>0</v>
          </cell>
          <cell r="H100">
            <v>-76506.559999999998</v>
          </cell>
        </row>
        <row r="101">
          <cell r="A101">
            <v>41050080</v>
          </cell>
          <cell r="B101" t="str">
            <v>Closing Stock - Diesel</v>
          </cell>
          <cell r="C101">
            <v>0</v>
          </cell>
          <cell r="D101">
            <v>0</v>
          </cell>
          <cell r="E101">
            <v>239931.9</v>
          </cell>
          <cell r="F101">
            <v>-239931.9</v>
          </cell>
          <cell r="G101">
            <v>0</v>
          </cell>
          <cell r="H101">
            <v>-239931.9</v>
          </cell>
        </row>
        <row r="102">
          <cell r="A102">
            <v>41050110</v>
          </cell>
          <cell r="B102" t="str">
            <v>Closing Stock GGBS</v>
          </cell>
          <cell r="C102">
            <v>0</v>
          </cell>
          <cell r="D102">
            <v>0</v>
          </cell>
          <cell r="E102">
            <v>604739.11</v>
          </cell>
          <cell r="F102">
            <v>-604739.11</v>
          </cell>
          <cell r="G102">
            <v>0</v>
          </cell>
          <cell r="H102">
            <v>-604739.11</v>
          </cell>
        </row>
        <row r="103">
          <cell r="A103">
            <v>42010010</v>
          </cell>
          <cell r="B103" t="str">
            <v>Salary - Basic</v>
          </cell>
          <cell r="C103">
            <v>0</v>
          </cell>
          <cell r="D103">
            <v>1560226</v>
          </cell>
          <cell r="E103">
            <v>284389</v>
          </cell>
          <cell r="F103">
            <v>1275837</v>
          </cell>
          <cell r="G103">
            <v>0</v>
          </cell>
          <cell r="H103">
            <v>1275837</v>
          </cell>
        </row>
        <row r="104">
          <cell r="A104">
            <v>42010020</v>
          </cell>
          <cell r="B104" t="str">
            <v>House Rent Allowance</v>
          </cell>
          <cell r="C104">
            <v>0</v>
          </cell>
          <cell r="D104">
            <v>750417</v>
          </cell>
          <cell r="E104">
            <v>137210</v>
          </cell>
          <cell r="F104">
            <v>613207</v>
          </cell>
          <cell r="G104">
            <v>0</v>
          </cell>
          <cell r="H104">
            <v>613207</v>
          </cell>
        </row>
        <row r="105">
          <cell r="A105">
            <v>42010030</v>
          </cell>
          <cell r="B105" t="str">
            <v>Education Allowance</v>
          </cell>
          <cell r="C105">
            <v>0</v>
          </cell>
          <cell r="D105">
            <v>129374</v>
          </cell>
          <cell r="E105">
            <v>27427</v>
          </cell>
          <cell r="F105">
            <v>101947</v>
          </cell>
          <cell r="G105">
            <v>0</v>
          </cell>
          <cell r="H105">
            <v>101947</v>
          </cell>
        </row>
        <row r="106">
          <cell r="A106">
            <v>42010040</v>
          </cell>
          <cell r="B106" t="str">
            <v>Special Allowance</v>
          </cell>
          <cell r="C106">
            <v>0</v>
          </cell>
          <cell r="D106">
            <v>211126</v>
          </cell>
          <cell r="E106">
            <v>36410</v>
          </cell>
          <cell r="F106">
            <v>174716</v>
          </cell>
          <cell r="G106">
            <v>0</v>
          </cell>
          <cell r="H106">
            <v>174716</v>
          </cell>
        </row>
        <row r="107">
          <cell r="A107">
            <v>42010050</v>
          </cell>
          <cell r="B107" t="str">
            <v>Medical Expense Reimbursement</v>
          </cell>
          <cell r="C107">
            <v>0</v>
          </cell>
          <cell r="D107">
            <v>414820</v>
          </cell>
          <cell r="E107">
            <v>74672</v>
          </cell>
          <cell r="F107">
            <v>340148</v>
          </cell>
          <cell r="G107">
            <v>0</v>
          </cell>
          <cell r="H107">
            <v>340148</v>
          </cell>
        </row>
        <row r="108">
          <cell r="A108">
            <v>42010060</v>
          </cell>
          <cell r="B108" t="str">
            <v>Leave Travel Allowance</v>
          </cell>
          <cell r="C108">
            <v>0</v>
          </cell>
          <cell r="D108">
            <v>617217</v>
          </cell>
          <cell r="E108">
            <v>0</v>
          </cell>
          <cell r="F108">
            <v>617217</v>
          </cell>
          <cell r="G108">
            <v>0</v>
          </cell>
          <cell r="H108">
            <v>617217</v>
          </cell>
        </row>
        <row r="109">
          <cell r="A109">
            <v>42010070</v>
          </cell>
          <cell r="B109" t="str">
            <v>Leave Encashment</v>
          </cell>
          <cell r="C109">
            <v>0</v>
          </cell>
          <cell r="D109">
            <v>114285</v>
          </cell>
          <cell r="E109">
            <v>0</v>
          </cell>
          <cell r="F109">
            <v>114285</v>
          </cell>
          <cell r="G109">
            <v>0</v>
          </cell>
          <cell r="H109">
            <v>114285</v>
          </cell>
        </row>
        <row r="110">
          <cell r="A110">
            <v>42010090</v>
          </cell>
          <cell r="B110" t="str">
            <v>Overtime Payment</v>
          </cell>
          <cell r="C110">
            <v>0</v>
          </cell>
          <cell r="D110">
            <v>160493</v>
          </cell>
          <cell r="E110">
            <v>27328</v>
          </cell>
          <cell r="F110">
            <v>133165</v>
          </cell>
          <cell r="G110">
            <v>0</v>
          </cell>
          <cell r="H110">
            <v>133165</v>
          </cell>
        </row>
        <row r="111">
          <cell r="A111">
            <v>42010100</v>
          </cell>
          <cell r="B111" t="str">
            <v>Transport Allowance</v>
          </cell>
          <cell r="C111">
            <v>0</v>
          </cell>
          <cell r="D111">
            <v>248547</v>
          </cell>
          <cell r="E111">
            <v>39440</v>
          </cell>
          <cell r="F111">
            <v>209107</v>
          </cell>
          <cell r="G111">
            <v>0</v>
          </cell>
          <cell r="H111">
            <v>209107</v>
          </cell>
        </row>
        <row r="112">
          <cell r="A112">
            <v>42010110</v>
          </cell>
          <cell r="B112" t="str">
            <v>Lunch Allowance</v>
          </cell>
          <cell r="C112">
            <v>0</v>
          </cell>
          <cell r="D112">
            <v>44000</v>
          </cell>
          <cell r="E112">
            <v>6300</v>
          </cell>
          <cell r="F112">
            <v>37700</v>
          </cell>
          <cell r="G112">
            <v>0</v>
          </cell>
          <cell r="H112">
            <v>37700</v>
          </cell>
        </row>
        <row r="113">
          <cell r="A113">
            <v>42010130</v>
          </cell>
          <cell r="B113" t="str">
            <v>Production Linked Incentive</v>
          </cell>
          <cell r="C113">
            <v>0</v>
          </cell>
          <cell r="D113">
            <v>276744</v>
          </cell>
          <cell r="E113">
            <v>0</v>
          </cell>
          <cell r="F113">
            <v>276744</v>
          </cell>
          <cell r="G113">
            <v>0</v>
          </cell>
          <cell r="H113">
            <v>276744</v>
          </cell>
        </row>
        <row r="114">
          <cell r="A114">
            <v>42010180</v>
          </cell>
          <cell r="B114" t="str">
            <v>Bonus</v>
          </cell>
          <cell r="C114">
            <v>0</v>
          </cell>
          <cell r="D114">
            <v>100000</v>
          </cell>
          <cell r="E114">
            <v>0</v>
          </cell>
          <cell r="F114">
            <v>100000</v>
          </cell>
          <cell r="G114">
            <v>0</v>
          </cell>
          <cell r="H114">
            <v>100000</v>
          </cell>
        </row>
        <row r="115">
          <cell r="A115">
            <v>42010210</v>
          </cell>
          <cell r="B115" t="str">
            <v>Ex-Gratia</v>
          </cell>
          <cell r="C115">
            <v>0</v>
          </cell>
          <cell r="D115">
            <v>150000</v>
          </cell>
          <cell r="E115">
            <v>0</v>
          </cell>
          <cell r="F115">
            <v>150000</v>
          </cell>
          <cell r="G115">
            <v>0</v>
          </cell>
          <cell r="H115">
            <v>150000</v>
          </cell>
        </row>
        <row r="116">
          <cell r="A116">
            <v>42010220</v>
          </cell>
          <cell r="B116" t="str">
            <v>Adhoc Allowance</v>
          </cell>
          <cell r="C116">
            <v>0</v>
          </cell>
          <cell r="D116">
            <v>66350</v>
          </cell>
          <cell r="E116">
            <v>9560</v>
          </cell>
          <cell r="F116">
            <v>56790</v>
          </cell>
          <cell r="G116">
            <v>0</v>
          </cell>
          <cell r="H116">
            <v>56790</v>
          </cell>
        </row>
        <row r="117">
          <cell r="A117">
            <v>42010230</v>
          </cell>
          <cell r="B117" t="str">
            <v>Car Allowance</v>
          </cell>
          <cell r="C117">
            <v>0</v>
          </cell>
          <cell r="D117">
            <v>108000</v>
          </cell>
          <cell r="E117">
            <v>18000</v>
          </cell>
          <cell r="F117">
            <v>90000</v>
          </cell>
          <cell r="G117">
            <v>0</v>
          </cell>
          <cell r="H117">
            <v>90000</v>
          </cell>
        </row>
        <row r="118">
          <cell r="A118">
            <v>42010240</v>
          </cell>
          <cell r="B118" t="str">
            <v>Driver Allowance</v>
          </cell>
          <cell r="C118">
            <v>0</v>
          </cell>
          <cell r="D118">
            <v>72000</v>
          </cell>
          <cell r="E118">
            <v>12000</v>
          </cell>
          <cell r="F118">
            <v>60000</v>
          </cell>
          <cell r="G118">
            <v>0</v>
          </cell>
          <cell r="H118">
            <v>60000</v>
          </cell>
        </row>
        <row r="119">
          <cell r="A119">
            <v>42010260</v>
          </cell>
          <cell r="B119" t="str">
            <v>Dearness Allowance</v>
          </cell>
          <cell r="C119">
            <v>0</v>
          </cell>
          <cell r="D119">
            <v>35398</v>
          </cell>
          <cell r="E119">
            <v>5067</v>
          </cell>
          <cell r="F119">
            <v>30331</v>
          </cell>
          <cell r="G119">
            <v>0</v>
          </cell>
          <cell r="H119">
            <v>30331</v>
          </cell>
        </row>
        <row r="120">
          <cell r="A120">
            <v>42020010</v>
          </cell>
          <cell r="B120" t="str">
            <v>Provident Funds - Employer's Conribution</v>
          </cell>
          <cell r="C120">
            <v>0</v>
          </cell>
          <cell r="D120">
            <v>95844</v>
          </cell>
          <cell r="E120">
            <v>48257</v>
          </cell>
          <cell r="F120">
            <v>47587</v>
          </cell>
          <cell r="G120">
            <v>0</v>
          </cell>
          <cell r="H120">
            <v>47587</v>
          </cell>
        </row>
        <row r="121">
          <cell r="A121">
            <v>42020020</v>
          </cell>
          <cell r="B121" t="str">
            <v>Pension Fund - Employer's Contribution</v>
          </cell>
          <cell r="C121">
            <v>0</v>
          </cell>
          <cell r="D121">
            <v>96721</v>
          </cell>
          <cell r="E121">
            <v>48643</v>
          </cell>
          <cell r="F121">
            <v>48078</v>
          </cell>
          <cell r="G121">
            <v>0</v>
          </cell>
          <cell r="H121">
            <v>48078</v>
          </cell>
        </row>
        <row r="122">
          <cell r="A122">
            <v>42020030</v>
          </cell>
          <cell r="B122" t="str">
            <v>Provident Fund - Admn.Charges</v>
          </cell>
          <cell r="C122">
            <v>0</v>
          </cell>
          <cell r="D122">
            <v>25833</v>
          </cell>
          <cell r="E122">
            <v>13290</v>
          </cell>
          <cell r="F122">
            <v>12543</v>
          </cell>
          <cell r="G122">
            <v>0</v>
          </cell>
          <cell r="H122">
            <v>12543</v>
          </cell>
        </row>
        <row r="123">
          <cell r="A123">
            <v>42020070</v>
          </cell>
          <cell r="B123" t="str">
            <v>E.S.I.S. - Employer's Contribution</v>
          </cell>
          <cell r="C123">
            <v>0</v>
          </cell>
          <cell r="D123">
            <v>49997</v>
          </cell>
          <cell r="E123">
            <v>31080</v>
          </cell>
          <cell r="F123">
            <v>18917</v>
          </cell>
          <cell r="G123">
            <v>0</v>
          </cell>
          <cell r="H123">
            <v>18917</v>
          </cell>
        </row>
        <row r="124">
          <cell r="A124">
            <v>42030020</v>
          </cell>
          <cell r="B124" t="str">
            <v>Purchases of Safety &amp; Welfare Items</v>
          </cell>
          <cell r="C124">
            <v>0</v>
          </cell>
          <cell r="D124">
            <v>26441.9</v>
          </cell>
          <cell r="E124">
            <v>0</v>
          </cell>
          <cell r="F124">
            <v>26441.9</v>
          </cell>
          <cell r="G124">
            <v>0</v>
          </cell>
          <cell r="H124">
            <v>26441.9</v>
          </cell>
        </row>
        <row r="125">
          <cell r="A125">
            <v>42030040</v>
          </cell>
          <cell r="B125" t="str">
            <v>Staff Welfare Expenses - FBT</v>
          </cell>
          <cell r="C125">
            <v>0</v>
          </cell>
          <cell r="D125">
            <v>242307</v>
          </cell>
          <cell r="E125">
            <v>6306</v>
          </cell>
          <cell r="F125">
            <v>236001</v>
          </cell>
          <cell r="G125">
            <v>0</v>
          </cell>
          <cell r="H125">
            <v>236001</v>
          </cell>
        </row>
        <row r="126">
          <cell r="A126">
            <v>42030050</v>
          </cell>
          <cell r="B126" t="str">
            <v>Staff Welfare Expenses</v>
          </cell>
          <cell r="C126">
            <v>0</v>
          </cell>
          <cell r="D126">
            <v>48935</v>
          </cell>
          <cell r="E126">
            <v>0</v>
          </cell>
          <cell r="F126">
            <v>48935</v>
          </cell>
          <cell r="G126">
            <v>0</v>
          </cell>
          <cell r="H126">
            <v>48935</v>
          </cell>
        </row>
        <row r="127">
          <cell r="A127">
            <v>42030090</v>
          </cell>
          <cell r="B127" t="str">
            <v>Pooja &amp; Festival Celebration Expenses - FBT</v>
          </cell>
          <cell r="C127">
            <v>0</v>
          </cell>
          <cell r="D127">
            <v>5237</v>
          </cell>
          <cell r="E127">
            <v>0</v>
          </cell>
          <cell r="F127">
            <v>5237</v>
          </cell>
          <cell r="G127">
            <v>0</v>
          </cell>
          <cell r="H127">
            <v>5237</v>
          </cell>
        </row>
        <row r="128">
          <cell r="A128">
            <v>43001010</v>
          </cell>
          <cell r="B128" t="str">
            <v>Electricity Charges</v>
          </cell>
          <cell r="C128">
            <v>0</v>
          </cell>
          <cell r="D128">
            <v>799647</v>
          </cell>
          <cell r="E128">
            <v>264178</v>
          </cell>
          <cell r="F128">
            <v>535469</v>
          </cell>
          <cell r="G128">
            <v>0</v>
          </cell>
          <cell r="H128">
            <v>535469</v>
          </cell>
        </row>
        <row r="129">
          <cell r="A129">
            <v>43001020</v>
          </cell>
          <cell r="B129" t="str">
            <v>Water Charges</v>
          </cell>
          <cell r="C129">
            <v>0</v>
          </cell>
          <cell r="D129">
            <v>99570</v>
          </cell>
          <cell r="E129">
            <v>0</v>
          </cell>
          <cell r="F129">
            <v>99570</v>
          </cell>
          <cell r="G129">
            <v>0</v>
          </cell>
          <cell r="H129">
            <v>99570</v>
          </cell>
        </row>
        <row r="130">
          <cell r="A130">
            <v>43001030</v>
          </cell>
          <cell r="B130" t="str">
            <v>Fuel For Diesel Generator Set</v>
          </cell>
          <cell r="C130">
            <v>0</v>
          </cell>
          <cell r="D130">
            <v>385041</v>
          </cell>
          <cell r="E130">
            <v>0</v>
          </cell>
          <cell r="F130">
            <v>385041</v>
          </cell>
          <cell r="G130">
            <v>0</v>
          </cell>
          <cell r="H130">
            <v>385041</v>
          </cell>
        </row>
        <row r="131">
          <cell r="A131">
            <v>43012010</v>
          </cell>
          <cell r="B131" t="str">
            <v>Lab Consumables</v>
          </cell>
          <cell r="C131">
            <v>0</v>
          </cell>
          <cell r="D131">
            <v>36771</v>
          </cell>
          <cell r="E131">
            <v>300</v>
          </cell>
          <cell r="F131">
            <v>36471</v>
          </cell>
          <cell r="G131">
            <v>0</v>
          </cell>
          <cell r="H131">
            <v>36471</v>
          </cell>
        </row>
        <row r="132">
          <cell r="A132">
            <v>43018010</v>
          </cell>
          <cell r="B132" t="str">
            <v>Repairs &amp; Maintenance</v>
          </cell>
          <cell r="C132">
            <v>0</v>
          </cell>
          <cell r="D132">
            <v>2191856.31</v>
          </cell>
          <cell r="E132">
            <v>514774.96</v>
          </cell>
          <cell r="F132">
            <v>1677081.35</v>
          </cell>
          <cell r="G132">
            <v>0</v>
          </cell>
          <cell r="H132">
            <v>1677081.35</v>
          </cell>
        </row>
        <row r="133">
          <cell r="A133">
            <v>43018020</v>
          </cell>
          <cell r="B133" t="str">
            <v>Oil &amp; Grease</v>
          </cell>
          <cell r="C133">
            <v>0</v>
          </cell>
          <cell r="D133">
            <v>365891.57</v>
          </cell>
          <cell r="E133">
            <v>200000</v>
          </cell>
          <cell r="F133">
            <v>165891.57</v>
          </cell>
          <cell r="G133">
            <v>0</v>
          </cell>
          <cell r="H133">
            <v>165891.57</v>
          </cell>
        </row>
        <row r="134">
          <cell r="A134">
            <v>43020030</v>
          </cell>
          <cell r="B134" t="str">
            <v>Tyres</v>
          </cell>
          <cell r="C134">
            <v>0</v>
          </cell>
          <cell r="D134">
            <v>77672</v>
          </cell>
          <cell r="E134">
            <v>0</v>
          </cell>
          <cell r="F134">
            <v>77672</v>
          </cell>
          <cell r="G134">
            <v>0</v>
          </cell>
          <cell r="H134">
            <v>77672</v>
          </cell>
        </row>
        <row r="135">
          <cell r="A135">
            <v>43022010</v>
          </cell>
          <cell r="B135" t="str">
            <v>Plant / Office Up Keep Exps</v>
          </cell>
          <cell r="C135">
            <v>0</v>
          </cell>
          <cell r="D135">
            <v>1011257</v>
          </cell>
          <cell r="E135">
            <v>277</v>
          </cell>
          <cell r="F135">
            <v>1010980</v>
          </cell>
          <cell r="G135">
            <v>0</v>
          </cell>
          <cell r="H135">
            <v>1010980</v>
          </cell>
        </row>
        <row r="136">
          <cell r="A136">
            <v>43030010</v>
          </cell>
          <cell r="B136" t="str">
            <v>Transportation Exps-Labour</v>
          </cell>
          <cell r="C136">
            <v>0</v>
          </cell>
          <cell r="D136">
            <v>277244</v>
          </cell>
          <cell r="E136">
            <v>0</v>
          </cell>
          <cell r="F136">
            <v>277244</v>
          </cell>
          <cell r="G136">
            <v>0</v>
          </cell>
          <cell r="H136">
            <v>277244</v>
          </cell>
        </row>
        <row r="137">
          <cell r="A137">
            <v>43032010</v>
          </cell>
          <cell r="B137" t="str">
            <v>Rent - Plant</v>
          </cell>
          <cell r="C137">
            <v>0</v>
          </cell>
          <cell r="D137">
            <v>287000</v>
          </cell>
          <cell r="E137">
            <v>120000</v>
          </cell>
          <cell r="F137">
            <v>167000</v>
          </cell>
          <cell r="G137">
            <v>0</v>
          </cell>
          <cell r="H137">
            <v>167000</v>
          </cell>
        </row>
        <row r="138">
          <cell r="A138">
            <v>43032040</v>
          </cell>
          <cell r="B138" t="str">
            <v>Lease Rentals- Machinery</v>
          </cell>
          <cell r="C138">
            <v>0</v>
          </cell>
          <cell r="D138">
            <v>242284</v>
          </cell>
          <cell r="E138">
            <v>26920</v>
          </cell>
          <cell r="F138">
            <v>215364</v>
          </cell>
          <cell r="G138">
            <v>0</v>
          </cell>
          <cell r="H138">
            <v>215364</v>
          </cell>
        </row>
        <row r="139">
          <cell r="A139">
            <v>43032045</v>
          </cell>
          <cell r="B139" t="str">
            <v>Towing Expenses</v>
          </cell>
          <cell r="C139">
            <v>0</v>
          </cell>
          <cell r="D139">
            <v>398454</v>
          </cell>
          <cell r="E139">
            <v>5750</v>
          </cell>
          <cell r="F139">
            <v>392704</v>
          </cell>
          <cell r="G139">
            <v>0</v>
          </cell>
          <cell r="H139">
            <v>392704</v>
          </cell>
        </row>
        <row r="140">
          <cell r="A140">
            <v>43036010</v>
          </cell>
          <cell r="B140" t="str">
            <v>Insurance Expenses</v>
          </cell>
          <cell r="C140">
            <v>0</v>
          </cell>
          <cell r="D140">
            <v>42191</v>
          </cell>
          <cell r="E140">
            <v>42850</v>
          </cell>
          <cell r="F140">
            <v>-659</v>
          </cell>
          <cell r="G140">
            <v>0</v>
          </cell>
          <cell r="H140">
            <v>-659</v>
          </cell>
        </row>
        <row r="141">
          <cell r="A141">
            <v>43038010</v>
          </cell>
          <cell r="B141" t="str">
            <v>Postage Expenses</v>
          </cell>
          <cell r="C141">
            <v>0</v>
          </cell>
          <cell r="D141">
            <v>653</v>
          </cell>
          <cell r="E141">
            <v>0</v>
          </cell>
          <cell r="F141">
            <v>653</v>
          </cell>
          <cell r="G141">
            <v>0</v>
          </cell>
          <cell r="H141">
            <v>653</v>
          </cell>
        </row>
        <row r="142">
          <cell r="A142">
            <v>43038020</v>
          </cell>
          <cell r="B142" t="str">
            <v>Courier Expenses</v>
          </cell>
          <cell r="C142">
            <v>0</v>
          </cell>
          <cell r="D142">
            <v>18124</v>
          </cell>
          <cell r="E142">
            <v>0</v>
          </cell>
          <cell r="F142">
            <v>18124</v>
          </cell>
          <cell r="G142">
            <v>0</v>
          </cell>
          <cell r="H142">
            <v>18124</v>
          </cell>
        </row>
        <row r="143">
          <cell r="A143">
            <v>43038030</v>
          </cell>
          <cell r="B143" t="str">
            <v>Telephone Expenses</v>
          </cell>
          <cell r="C143">
            <v>0</v>
          </cell>
          <cell r="D143">
            <v>70845</v>
          </cell>
          <cell r="E143">
            <v>23517</v>
          </cell>
          <cell r="F143">
            <v>47328</v>
          </cell>
          <cell r="G143">
            <v>0</v>
          </cell>
          <cell r="H143">
            <v>47328</v>
          </cell>
        </row>
        <row r="144">
          <cell r="A144">
            <v>43038040</v>
          </cell>
          <cell r="B144" t="str">
            <v>Fax Expenses</v>
          </cell>
          <cell r="C144">
            <v>0</v>
          </cell>
          <cell r="D144">
            <v>8159</v>
          </cell>
          <cell r="E144">
            <v>744</v>
          </cell>
          <cell r="F144">
            <v>7415</v>
          </cell>
          <cell r="G144">
            <v>0</v>
          </cell>
          <cell r="H144">
            <v>7415</v>
          </cell>
        </row>
        <row r="145">
          <cell r="A145">
            <v>43038050</v>
          </cell>
          <cell r="B145" t="str">
            <v>Telephone Chgs - Mobile  FBT</v>
          </cell>
          <cell r="C145">
            <v>0</v>
          </cell>
          <cell r="D145">
            <v>169030</v>
          </cell>
          <cell r="E145">
            <v>84301</v>
          </cell>
          <cell r="F145">
            <v>84729</v>
          </cell>
          <cell r="G145">
            <v>0</v>
          </cell>
          <cell r="H145">
            <v>84729</v>
          </cell>
        </row>
        <row r="146">
          <cell r="A146">
            <v>43038060</v>
          </cell>
          <cell r="B146" t="str">
            <v>Telephone  Employee - Residence - FBT</v>
          </cell>
          <cell r="C146">
            <v>0</v>
          </cell>
          <cell r="D146">
            <v>1576</v>
          </cell>
          <cell r="E146">
            <v>0</v>
          </cell>
          <cell r="F146">
            <v>1576</v>
          </cell>
          <cell r="G146">
            <v>0</v>
          </cell>
          <cell r="H146">
            <v>1576</v>
          </cell>
        </row>
        <row r="147">
          <cell r="A147">
            <v>43040010</v>
          </cell>
          <cell r="B147" t="str">
            <v>Conveyance Expenses - FBT</v>
          </cell>
          <cell r="C147">
            <v>0</v>
          </cell>
          <cell r="D147">
            <v>290440</v>
          </cell>
          <cell r="E147">
            <v>85412</v>
          </cell>
          <cell r="F147">
            <v>205028</v>
          </cell>
          <cell r="G147">
            <v>0</v>
          </cell>
          <cell r="H147">
            <v>205028</v>
          </cell>
        </row>
        <row r="148">
          <cell r="A148">
            <v>43040030</v>
          </cell>
          <cell r="B148" t="str">
            <v>Motor Car Hire Expenses - FBT</v>
          </cell>
          <cell r="C148">
            <v>0</v>
          </cell>
          <cell r="D148">
            <v>112566</v>
          </cell>
          <cell r="E148">
            <v>0</v>
          </cell>
          <cell r="F148">
            <v>112566</v>
          </cell>
          <cell r="G148">
            <v>0</v>
          </cell>
          <cell r="H148">
            <v>112566</v>
          </cell>
        </row>
        <row r="149">
          <cell r="A149">
            <v>43040040</v>
          </cell>
          <cell r="B149" t="str">
            <v>Motor Car Hire Expenses</v>
          </cell>
          <cell r="C149">
            <v>0</v>
          </cell>
          <cell r="D149">
            <v>206437</v>
          </cell>
          <cell r="E149">
            <v>0</v>
          </cell>
          <cell r="F149">
            <v>206437</v>
          </cell>
          <cell r="G149">
            <v>0</v>
          </cell>
          <cell r="H149">
            <v>206437</v>
          </cell>
        </row>
        <row r="150">
          <cell r="A150">
            <v>43040080</v>
          </cell>
          <cell r="B150" t="str">
            <v>Travelling Expenses - Domestic - FBT</v>
          </cell>
          <cell r="C150">
            <v>0</v>
          </cell>
          <cell r="D150">
            <v>11399</v>
          </cell>
          <cell r="E150">
            <v>0</v>
          </cell>
          <cell r="F150">
            <v>11399</v>
          </cell>
          <cell r="G150">
            <v>0</v>
          </cell>
          <cell r="H150">
            <v>11399</v>
          </cell>
        </row>
        <row r="151">
          <cell r="A151">
            <v>43040100</v>
          </cell>
          <cell r="B151" t="str">
            <v>Hotel Expenses  - FBT</v>
          </cell>
          <cell r="C151">
            <v>0</v>
          </cell>
          <cell r="D151">
            <v>9315</v>
          </cell>
          <cell r="E151">
            <v>0</v>
          </cell>
          <cell r="F151">
            <v>9315</v>
          </cell>
          <cell r="G151">
            <v>0</v>
          </cell>
          <cell r="H151">
            <v>9315</v>
          </cell>
        </row>
        <row r="152">
          <cell r="A152">
            <v>43042010</v>
          </cell>
          <cell r="B152" t="str">
            <v>Fuel - Truck Mixers</v>
          </cell>
          <cell r="C152">
            <v>0</v>
          </cell>
          <cell r="D152">
            <v>1087280.8</v>
          </cell>
          <cell r="E152">
            <v>0</v>
          </cell>
          <cell r="F152">
            <v>1087280.8</v>
          </cell>
          <cell r="G152">
            <v>0</v>
          </cell>
          <cell r="H152">
            <v>1087280.8</v>
          </cell>
        </row>
        <row r="153">
          <cell r="A153">
            <v>43042020</v>
          </cell>
          <cell r="B153" t="str">
            <v>Fuel - Loader</v>
          </cell>
          <cell r="C153">
            <v>0</v>
          </cell>
          <cell r="D153">
            <v>203192</v>
          </cell>
          <cell r="E153">
            <v>0</v>
          </cell>
          <cell r="F153">
            <v>203192</v>
          </cell>
          <cell r="G153">
            <v>0</v>
          </cell>
          <cell r="H153">
            <v>203192</v>
          </cell>
        </row>
        <row r="154">
          <cell r="A154">
            <v>43042060</v>
          </cell>
          <cell r="B154" t="str">
            <v>Fuel - Concrete Pumps</v>
          </cell>
          <cell r="C154">
            <v>0</v>
          </cell>
          <cell r="D154">
            <v>289830</v>
          </cell>
          <cell r="E154">
            <v>0</v>
          </cell>
          <cell r="F154">
            <v>289830</v>
          </cell>
          <cell r="G154">
            <v>0</v>
          </cell>
          <cell r="H154">
            <v>289830</v>
          </cell>
        </row>
        <row r="155">
          <cell r="A155">
            <v>43046010</v>
          </cell>
          <cell r="B155" t="str">
            <v>Rates &amp; Taxes</v>
          </cell>
          <cell r="C155">
            <v>0</v>
          </cell>
          <cell r="D155">
            <v>113903</v>
          </cell>
          <cell r="E155">
            <v>0</v>
          </cell>
          <cell r="F155">
            <v>113903</v>
          </cell>
          <cell r="G155">
            <v>0</v>
          </cell>
          <cell r="H155">
            <v>113903</v>
          </cell>
        </row>
        <row r="156">
          <cell r="A156">
            <v>43046020</v>
          </cell>
          <cell r="B156" t="str">
            <v>Toll Charges- Truck Mixer</v>
          </cell>
          <cell r="C156">
            <v>0</v>
          </cell>
          <cell r="D156">
            <v>273571</v>
          </cell>
          <cell r="E156">
            <v>0</v>
          </cell>
          <cell r="F156">
            <v>273571</v>
          </cell>
          <cell r="G156">
            <v>0</v>
          </cell>
          <cell r="H156">
            <v>273571</v>
          </cell>
        </row>
        <row r="157">
          <cell r="A157">
            <v>43052010</v>
          </cell>
          <cell r="B157" t="str">
            <v>Security Service Charges</v>
          </cell>
          <cell r="C157">
            <v>0</v>
          </cell>
          <cell r="D157">
            <v>356554</v>
          </cell>
          <cell r="E157">
            <v>0</v>
          </cell>
          <cell r="F157">
            <v>356554</v>
          </cell>
          <cell r="G157">
            <v>0</v>
          </cell>
          <cell r="H157">
            <v>356554</v>
          </cell>
        </row>
        <row r="158">
          <cell r="A158">
            <v>43054010</v>
          </cell>
          <cell r="B158" t="str">
            <v>Hire Charges - Machine</v>
          </cell>
          <cell r="C158">
            <v>0</v>
          </cell>
          <cell r="D158">
            <v>17622</v>
          </cell>
          <cell r="E158">
            <v>3410</v>
          </cell>
          <cell r="F158">
            <v>14212</v>
          </cell>
          <cell r="G158">
            <v>0</v>
          </cell>
          <cell r="H158">
            <v>14212</v>
          </cell>
        </row>
        <row r="159">
          <cell r="A159">
            <v>43054020</v>
          </cell>
          <cell r="B159" t="str">
            <v>Concrete Carrying Charges - TM</v>
          </cell>
          <cell r="C159">
            <v>0</v>
          </cell>
          <cell r="D159">
            <v>9052176</v>
          </cell>
          <cell r="E159">
            <v>3249620</v>
          </cell>
          <cell r="F159">
            <v>5802556</v>
          </cell>
          <cell r="G159">
            <v>0</v>
          </cell>
          <cell r="H159">
            <v>5802556</v>
          </cell>
        </row>
        <row r="160">
          <cell r="A160">
            <v>43054030</v>
          </cell>
          <cell r="B160" t="str">
            <v>Concrete Placing Charges Pump</v>
          </cell>
          <cell r="C160">
            <v>0</v>
          </cell>
          <cell r="D160">
            <v>1176435</v>
          </cell>
          <cell r="E160">
            <v>187200</v>
          </cell>
          <cell r="F160">
            <v>989235</v>
          </cell>
          <cell r="G160">
            <v>0</v>
          </cell>
          <cell r="H160">
            <v>989235</v>
          </cell>
        </row>
        <row r="161">
          <cell r="A161">
            <v>43056010</v>
          </cell>
          <cell r="B161" t="str">
            <v>Professional &amp; Consultancy Fees</v>
          </cell>
          <cell r="C161">
            <v>0</v>
          </cell>
          <cell r="D161">
            <v>234063</v>
          </cell>
          <cell r="E161">
            <v>11000</v>
          </cell>
          <cell r="F161">
            <v>223063</v>
          </cell>
          <cell r="G161">
            <v>0</v>
          </cell>
          <cell r="H161">
            <v>223063</v>
          </cell>
        </row>
        <row r="162">
          <cell r="A162">
            <v>43062010</v>
          </cell>
          <cell r="B162" t="str">
            <v>Computer Expenses</v>
          </cell>
          <cell r="C162">
            <v>0</v>
          </cell>
          <cell r="D162">
            <v>37552</v>
          </cell>
          <cell r="E162">
            <v>0</v>
          </cell>
          <cell r="F162">
            <v>37552</v>
          </cell>
          <cell r="G162">
            <v>0</v>
          </cell>
          <cell r="H162">
            <v>37552</v>
          </cell>
        </row>
        <row r="163">
          <cell r="A163">
            <v>43064010</v>
          </cell>
          <cell r="B163" t="str">
            <v>Membership &amp; Subscription - Fees</v>
          </cell>
          <cell r="C163">
            <v>0</v>
          </cell>
          <cell r="D163">
            <v>1500</v>
          </cell>
          <cell r="E163">
            <v>0</v>
          </cell>
          <cell r="F163">
            <v>1500</v>
          </cell>
          <cell r="G163">
            <v>0</v>
          </cell>
          <cell r="H163">
            <v>1500</v>
          </cell>
        </row>
        <row r="164">
          <cell r="A164">
            <v>43066010</v>
          </cell>
          <cell r="B164" t="str">
            <v>Books &amp; Periodicals</v>
          </cell>
          <cell r="C164">
            <v>0</v>
          </cell>
          <cell r="D164">
            <v>846</v>
          </cell>
          <cell r="E164">
            <v>0</v>
          </cell>
          <cell r="F164">
            <v>846</v>
          </cell>
          <cell r="G164">
            <v>0</v>
          </cell>
          <cell r="H164">
            <v>846</v>
          </cell>
        </row>
        <row r="165">
          <cell r="A165">
            <v>43066020</v>
          </cell>
          <cell r="B165" t="str">
            <v>Printing &amp; Stationery</v>
          </cell>
          <cell r="C165">
            <v>0</v>
          </cell>
          <cell r="D165">
            <v>52930</v>
          </cell>
          <cell r="E165">
            <v>0</v>
          </cell>
          <cell r="F165">
            <v>52930</v>
          </cell>
          <cell r="G165">
            <v>0</v>
          </cell>
          <cell r="H165">
            <v>52930</v>
          </cell>
        </row>
        <row r="166">
          <cell r="A166">
            <v>43070060</v>
          </cell>
          <cell r="B166" t="str">
            <v>Seminars &amp; Conferences - FBT</v>
          </cell>
          <cell r="C166">
            <v>0</v>
          </cell>
          <cell r="D166">
            <v>13052</v>
          </cell>
          <cell r="E166">
            <v>0</v>
          </cell>
          <cell r="F166">
            <v>13052</v>
          </cell>
          <cell r="G166">
            <v>0</v>
          </cell>
          <cell r="H166">
            <v>13052</v>
          </cell>
        </row>
        <row r="167">
          <cell r="A167">
            <v>43074010</v>
          </cell>
          <cell r="B167" t="str">
            <v>Provision For Bad &amp; Doubtful Debts W/Off</v>
          </cell>
          <cell r="C167">
            <v>0</v>
          </cell>
          <cell r="D167">
            <v>800000</v>
          </cell>
          <cell r="E167">
            <v>200000</v>
          </cell>
          <cell r="F167">
            <v>600000</v>
          </cell>
          <cell r="G167">
            <v>0</v>
          </cell>
          <cell r="H167">
            <v>600000</v>
          </cell>
        </row>
        <row r="168">
          <cell r="A168">
            <v>43084010</v>
          </cell>
          <cell r="B168" t="str">
            <v>Miscellaneous Expenses</v>
          </cell>
          <cell r="C168">
            <v>0</v>
          </cell>
          <cell r="D168">
            <v>200000</v>
          </cell>
          <cell r="E168">
            <v>0</v>
          </cell>
          <cell r="F168">
            <v>200000</v>
          </cell>
          <cell r="G168">
            <v>0</v>
          </cell>
          <cell r="H168">
            <v>200000</v>
          </cell>
        </row>
        <row r="169">
          <cell r="A169">
            <v>43084020</v>
          </cell>
          <cell r="B169" t="str">
            <v>Testing Charges</v>
          </cell>
          <cell r="C169">
            <v>0</v>
          </cell>
          <cell r="D169">
            <v>21178</v>
          </cell>
          <cell r="E169">
            <v>0</v>
          </cell>
          <cell r="F169">
            <v>21178</v>
          </cell>
          <cell r="G169">
            <v>0</v>
          </cell>
          <cell r="H169">
            <v>21178</v>
          </cell>
        </row>
        <row r="170">
          <cell r="A170">
            <v>43084030</v>
          </cell>
          <cell r="B170" t="str">
            <v>Rounding Off</v>
          </cell>
          <cell r="C170">
            <v>0</v>
          </cell>
          <cell r="D170">
            <v>188.15</v>
          </cell>
          <cell r="E170">
            <v>294.45999999999998</v>
          </cell>
          <cell r="F170">
            <v>-106.31</v>
          </cell>
          <cell r="G170">
            <v>0</v>
          </cell>
          <cell r="H170">
            <v>-106.31</v>
          </cell>
        </row>
        <row r="171">
          <cell r="A171">
            <v>44010040</v>
          </cell>
          <cell r="B171" t="str">
            <v>Bank Charges</v>
          </cell>
          <cell r="C171">
            <v>0</v>
          </cell>
          <cell r="D171">
            <v>1812</v>
          </cell>
          <cell r="E171">
            <v>0</v>
          </cell>
          <cell r="F171">
            <v>1812</v>
          </cell>
          <cell r="G171">
            <v>0</v>
          </cell>
          <cell r="H171">
            <v>1812</v>
          </cell>
        </row>
        <row r="172">
          <cell r="A172">
            <v>45010010</v>
          </cell>
          <cell r="B172" t="str">
            <v>Depreciation</v>
          </cell>
          <cell r="C172">
            <v>0</v>
          </cell>
          <cell r="D172">
            <v>2323438</v>
          </cell>
          <cell r="E172">
            <v>0</v>
          </cell>
          <cell r="F172">
            <v>2323438</v>
          </cell>
          <cell r="G172">
            <v>0</v>
          </cell>
          <cell r="H172">
            <v>2323438</v>
          </cell>
        </row>
        <row r="173">
          <cell r="A173">
            <v>52000000</v>
          </cell>
          <cell r="B173" t="str">
            <v>Inter Branch Control Account</v>
          </cell>
          <cell r="C173">
            <v>-56033930.659999996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-56033930.659999996</v>
          </cell>
        </row>
        <row r="174">
          <cell r="A174">
            <v>52000809</v>
          </cell>
          <cell r="B174" t="str">
            <v>Inter branch control account for 08-09</v>
          </cell>
          <cell r="C174">
            <v>26235215</v>
          </cell>
          <cell r="D174">
            <v>8517959</v>
          </cell>
          <cell r="E174">
            <v>681535</v>
          </cell>
          <cell r="F174">
            <v>7836424</v>
          </cell>
          <cell r="G174">
            <v>0</v>
          </cell>
          <cell r="H174">
            <v>34071639</v>
          </cell>
        </row>
        <row r="175">
          <cell r="A175">
            <v>61000200</v>
          </cell>
          <cell r="B175" t="str">
            <v>Stock Transfer Control Account</v>
          </cell>
          <cell r="C175">
            <v>0</v>
          </cell>
          <cell r="D175">
            <v>302999.71999999997</v>
          </cell>
          <cell r="E175">
            <v>302999.71999999997</v>
          </cell>
          <cell r="F175">
            <v>0</v>
          </cell>
          <cell r="G175">
            <v>0</v>
          </cell>
          <cell r="H175">
            <v>0</v>
          </cell>
        </row>
        <row r="176">
          <cell r="A176">
            <v>61000400</v>
          </cell>
          <cell r="B176" t="str">
            <v>Control Account Haulage Income</v>
          </cell>
          <cell r="C176">
            <v>0</v>
          </cell>
          <cell r="D176">
            <v>21675300</v>
          </cell>
          <cell r="E176">
            <v>21675300</v>
          </cell>
          <cell r="F176">
            <v>0</v>
          </cell>
          <cell r="G176">
            <v>0</v>
          </cell>
          <cell r="H176">
            <v>0</v>
          </cell>
        </row>
        <row r="177">
          <cell r="A177">
            <v>61000500</v>
          </cell>
          <cell r="B177" t="str">
            <v>Control Account for Pumping</v>
          </cell>
          <cell r="C177">
            <v>0</v>
          </cell>
          <cell r="D177">
            <v>3082125</v>
          </cell>
          <cell r="E177">
            <v>3082125</v>
          </cell>
          <cell r="F177">
            <v>0</v>
          </cell>
          <cell r="G177">
            <v>0</v>
          </cell>
          <cell r="H177">
            <v>0</v>
          </cell>
        </row>
        <row r="178">
          <cell r="A178">
            <v>62000000</v>
          </cell>
          <cell r="B178" t="str">
            <v>Inter branch Clearing account</v>
          </cell>
          <cell r="C178">
            <v>0</v>
          </cell>
          <cell r="D178">
            <v>1141329</v>
          </cell>
          <cell r="E178">
            <v>1141329</v>
          </cell>
          <cell r="F178">
            <v>0</v>
          </cell>
          <cell r="G178">
            <v>0</v>
          </cell>
          <cell r="H178">
            <v>0</v>
          </cell>
        </row>
        <row r="179">
          <cell r="B179" t="str">
            <v>Total</v>
          </cell>
          <cell r="D179">
            <v>0</v>
          </cell>
          <cell r="E179">
            <v>640347506.69000006</v>
          </cell>
          <cell r="F179">
            <v>640347506.69000006</v>
          </cell>
          <cell r="G179">
            <v>0</v>
          </cell>
          <cell r="H179">
            <v>0</v>
          </cell>
        </row>
      </sheetData>
      <sheetData sheetId="8" refreshError="1">
        <row r="1">
          <cell r="A1" t="str">
            <v>RMC Readymix (I) Pvt. Ltd.,</v>
          </cell>
          <cell r="B1" t="str">
            <v>Trial balance</v>
          </cell>
          <cell r="C1">
            <v>39969</v>
          </cell>
          <cell r="D1">
            <v>0.6896296296296297</v>
          </cell>
          <cell r="E1" t="str">
            <v>Page 1</v>
          </cell>
          <cell r="F1" t="str">
            <v>Cochin</v>
          </cell>
        </row>
        <row r="2">
          <cell r="A2" t="str">
            <v>Period</v>
          </cell>
          <cell r="B2">
            <v>39904</v>
          </cell>
          <cell r="C2">
            <v>39964</v>
          </cell>
        </row>
        <row r="3">
          <cell r="A3" t="str">
            <v>Ledger account</v>
          </cell>
          <cell r="B3" t="str">
            <v>Account name</v>
          </cell>
          <cell r="C3" t="str">
            <v>Opening balance</v>
          </cell>
          <cell r="D3" t="str">
            <v>Debit</v>
          </cell>
          <cell r="E3" t="str">
            <v>Credit</v>
          </cell>
          <cell r="F3" t="str">
            <v>Net difference</v>
          </cell>
          <cell r="G3" t="str">
            <v>Closing transactions</v>
          </cell>
          <cell r="H3" t="str">
            <v>Closing balance</v>
          </cell>
        </row>
        <row r="4">
          <cell r="A4">
            <v>11010010</v>
          </cell>
          <cell r="B4" t="str">
            <v>Freehold Land</v>
          </cell>
          <cell r="C4">
            <v>5221807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5221807</v>
          </cell>
        </row>
        <row r="5">
          <cell r="A5">
            <v>11015010</v>
          </cell>
          <cell r="B5" t="str">
            <v>Buildings</v>
          </cell>
          <cell r="C5">
            <v>18820759.289999999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18820759.289999999</v>
          </cell>
        </row>
        <row r="6">
          <cell r="A6">
            <v>11025010</v>
          </cell>
          <cell r="B6" t="str">
            <v>Plant and Machinery</v>
          </cell>
          <cell r="C6">
            <v>29239919.899999999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29239919.899999999</v>
          </cell>
        </row>
        <row r="7">
          <cell r="A7">
            <v>11030010</v>
          </cell>
          <cell r="B7" t="str">
            <v>Electrical Installations</v>
          </cell>
          <cell r="C7">
            <v>3049231.37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3049231.37</v>
          </cell>
        </row>
        <row r="8">
          <cell r="A8">
            <v>11035010</v>
          </cell>
          <cell r="B8" t="str">
            <v>Furniture &amp; Fixtures</v>
          </cell>
          <cell r="C8">
            <v>2541752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2541752</v>
          </cell>
        </row>
        <row r="9">
          <cell r="A9">
            <v>11040010</v>
          </cell>
          <cell r="B9" t="str">
            <v>Office &amp; Electrical Appliances</v>
          </cell>
          <cell r="C9">
            <v>1023609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1023609</v>
          </cell>
        </row>
        <row r="10">
          <cell r="A10">
            <v>11045010</v>
          </cell>
          <cell r="B10" t="str">
            <v>Truck Mixers, Loaders &amp; Truck Dumpers</v>
          </cell>
          <cell r="C10">
            <v>2596933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2596933</v>
          </cell>
        </row>
        <row r="11">
          <cell r="A11">
            <v>13005010</v>
          </cell>
          <cell r="B11" t="str">
            <v>Stores and spare  Local</v>
          </cell>
          <cell r="C11">
            <v>88527.8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88527.8</v>
          </cell>
        </row>
        <row r="12">
          <cell r="A12">
            <v>13015010</v>
          </cell>
          <cell r="B12" t="str">
            <v>Balance Sheet Stock of Raw material - RMC</v>
          </cell>
          <cell r="C12">
            <v>984549.82</v>
          </cell>
          <cell r="D12">
            <v>1216887.28</v>
          </cell>
          <cell r="E12">
            <v>984549.82</v>
          </cell>
          <cell r="F12">
            <v>232337.46</v>
          </cell>
          <cell r="G12">
            <v>0</v>
          </cell>
          <cell r="H12">
            <v>1216887.28</v>
          </cell>
        </row>
        <row r="13">
          <cell r="A13">
            <v>13020010</v>
          </cell>
          <cell r="B13" t="str">
            <v>Sundry Debtors Account</v>
          </cell>
          <cell r="C13">
            <v>7452998.5</v>
          </cell>
          <cell r="D13">
            <v>13640649</v>
          </cell>
          <cell r="E13">
            <v>14117076.5</v>
          </cell>
          <cell r="F13">
            <v>-476427.5</v>
          </cell>
          <cell r="G13">
            <v>0</v>
          </cell>
          <cell r="H13">
            <v>6976571</v>
          </cell>
        </row>
        <row r="14">
          <cell r="A14">
            <v>13025010</v>
          </cell>
          <cell r="B14" t="str">
            <v>Cash In Hand</v>
          </cell>
          <cell r="C14">
            <v>3013.8</v>
          </cell>
          <cell r="D14">
            <v>102105</v>
          </cell>
          <cell r="E14">
            <v>95754</v>
          </cell>
          <cell r="F14">
            <v>6351</v>
          </cell>
          <cell r="G14">
            <v>0</v>
          </cell>
          <cell r="H14">
            <v>9364.7999999999993</v>
          </cell>
        </row>
        <row r="15">
          <cell r="A15">
            <v>13035010</v>
          </cell>
          <cell r="B15" t="str">
            <v>Bank Account</v>
          </cell>
          <cell r="C15">
            <v>538196.09</v>
          </cell>
          <cell r="D15">
            <v>15812672.800000001</v>
          </cell>
          <cell r="E15">
            <v>17542075.800000001</v>
          </cell>
          <cell r="F15">
            <v>-1729403</v>
          </cell>
          <cell r="G15">
            <v>0</v>
          </cell>
          <cell r="H15">
            <v>-1191206.9099999999</v>
          </cell>
        </row>
        <row r="16">
          <cell r="A16">
            <v>13045020</v>
          </cell>
          <cell r="B16" t="str">
            <v>Loans and advances to employees</v>
          </cell>
          <cell r="C16">
            <v>0</v>
          </cell>
          <cell r="D16">
            <v>81790.5</v>
          </cell>
          <cell r="E16">
            <v>60668.5</v>
          </cell>
          <cell r="F16">
            <v>21122</v>
          </cell>
          <cell r="G16">
            <v>0</v>
          </cell>
          <cell r="H16">
            <v>21122</v>
          </cell>
        </row>
        <row r="17">
          <cell r="A17">
            <v>13050020</v>
          </cell>
          <cell r="B17" t="str">
            <v>TDS ON RECEIPTS - 08-09</v>
          </cell>
          <cell r="C17">
            <v>111650</v>
          </cell>
          <cell r="D17">
            <v>195718</v>
          </cell>
          <cell r="E17">
            <v>0</v>
          </cell>
          <cell r="F17">
            <v>195718</v>
          </cell>
          <cell r="G17">
            <v>0</v>
          </cell>
          <cell r="H17">
            <v>307368</v>
          </cell>
        </row>
        <row r="18">
          <cell r="A18">
            <v>13055020</v>
          </cell>
          <cell r="B18" t="str">
            <v>Prepaid Expenses</v>
          </cell>
          <cell r="C18">
            <v>83640</v>
          </cell>
          <cell r="D18">
            <v>369021</v>
          </cell>
          <cell r="E18">
            <v>4008.17</v>
          </cell>
          <cell r="F18">
            <v>365012.83</v>
          </cell>
          <cell r="G18">
            <v>0</v>
          </cell>
          <cell r="H18">
            <v>448652.83</v>
          </cell>
        </row>
        <row r="19">
          <cell r="A19">
            <v>13055060</v>
          </cell>
          <cell r="B19" t="str">
            <v>VAT Credit Receivable (Inputs)</v>
          </cell>
          <cell r="C19">
            <v>153317.94</v>
          </cell>
          <cell r="D19">
            <v>371285</v>
          </cell>
          <cell r="E19">
            <v>255048</v>
          </cell>
          <cell r="F19">
            <v>116237</v>
          </cell>
          <cell r="G19">
            <v>0</v>
          </cell>
          <cell r="H19">
            <v>269554.94</v>
          </cell>
        </row>
        <row r="20">
          <cell r="A20">
            <v>13055070</v>
          </cell>
          <cell r="B20" t="str">
            <v>Vat Credit Receivable (Capital Goods)</v>
          </cell>
          <cell r="C20">
            <v>3584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3584</v>
          </cell>
        </row>
        <row r="21">
          <cell r="A21">
            <v>13055081</v>
          </cell>
          <cell r="B21" t="str">
            <v>CESS ON VAT Purchases</v>
          </cell>
          <cell r="C21">
            <v>1494.39</v>
          </cell>
          <cell r="D21">
            <v>3706</v>
          </cell>
          <cell r="E21">
            <v>2543</v>
          </cell>
          <cell r="F21">
            <v>1163</v>
          </cell>
          <cell r="G21">
            <v>0</v>
          </cell>
          <cell r="H21">
            <v>2657.39</v>
          </cell>
        </row>
        <row r="22">
          <cell r="A22">
            <v>13055090</v>
          </cell>
          <cell r="B22" t="str">
            <v>Sundry Deposits</v>
          </cell>
          <cell r="C22">
            <v>64572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64572</v>
          </cell>
        </row>
        <row r="23">
          <cell r="A23">
            <v>25005010</v>
          </cell>
          <cell r="B23" t="str">
            <v>Creditors Control</v>
          </cell>
          <cell r="C23">
            <v>-9704117.2799999993</v>
          </cell>
          <cell r="D23">
            <v>14187372</v>
          </cell>
          <cell r="E23">
            <v>10860772</v>
          </cell>
          <cell r="F23">
            <v>3326600</v>
          </cell>
          <cell r="G23">
            <v>0</v>
          </cell>
          <cell r="H23">
            <v>-6377517.2800000003</v>
          </cell>
        </row>
        <row r="24">
          <cell r="A24">
            <v>25005050</v>
          </cell>
          <cell r="B24" t="str">
            <v>Creditors liability for material received but bill not recei</v>
          </cell>
          <cell r="C24">
            <v>-303971.17</v>
          </cell>
          <cell r="D24">
            <v>8408232.2599999998</v>
          </cell>
          <cell r="E24">
            <v>10135129.59</v>
          </cell>
          <cell r="F24">
            <v>-1726897.33</v>
          </cell>
          <cell r="G24">
            <v>0</v>
          </cell>
          <cell r="H24">
            <v>-2030868.5</v>
          </cell>
        </row>
        <row r="25">
          <cell r="A25">
            <v>25010060</v>
          </cell>
          <cell r="B25" t="str">
            <v>T.D.S.payable account</v>
          </cell>
          <cell r="C25">
            <v>-182913</v>
          </cell>
          <cell r="D25">
            <v>260071</v>
          </cell>
          <cell r="E25">
            <v>164361</v>
          </cell>
          <cell r="F25">
            <v>95710</v>
          </cell>
          <cell r="G25">
            <v>0</v>
          </cell>
          <cell r="H25">
            <v>-87203</v>
          </cell>
        </row>
        <row r="26">
          <cell r="A26">
            <v>25010120</v>
          </cell>
          <cell r="B26" t="str">
            <v>Service Tax Payable</v>
          </cell>
          <cell r="C26">
            <v>-5980.17</v>
          </cell>
          <cell r="D26">
            <v>25421</v>
          </cell>
          <cell r="E26">
            <v>29754.639999999999</v>
          </cell>
          <cell r="F26">
            <v>-4333.6400000000003</v>
          </cell>
          <cell r="G26">
            <v>0</v>
          </cell>
          <cell r="H26">
            <v>-10313.81</v>
          </cell>
        </row>
        <row r="27">
          <cell r="A27">
            <v>25010122</v>
          </cell>
          <cell r="B27" t="str">
            <v>Job Order Service tax Payable</v>
          </cell>
          <cell r="C27">
            <v>-93821.5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-93821.5</v>
          </cell>
        </row>
        <row r="28">
          <cell r="A28">
            <v>25010190</v>
          </cell>
          <cell r="B28" t="str">
            <v>VAT  Payable account</v>
          </cell>
          <cell r="C28">
            <v>-947186</v>
          </cell>
          <cell r="D28">
            <v>1557239</v>
          </cell>
          <cell r="E28">
            <v>1441987</v>
          </cell>
          <cell r="F28">
            <v>115252</v>
          </cell>
          <cell r="G28">
            <v>0</v>
          </cell>
          <cell r="H28">
            <v>-831934</v>
          </cell>
        </row>
        <row r="29">
          <cell r="A29">
            <v>25010198</v>
          </cell>
          <cell r="B29" t="str">
            <v>CESS ON VAT Payable</v>
          </cell>
          <cell r="C29">
            <v>-9636.25</v>
          </cell>
          <cell r="D29">
            <v>15752</v>
          </cell>
          <cell r="E29">
            <v>14699</v>
          </cell>
          <cell r="F29">
            <v>1053</v>
          </cell>
          <cell r="G29">
            <v>0</v>
          </cell>
          <cell r="H29">
            <v>-8583.25</v>
          </cell>
        </row>
        <row r="30">
          <cell r="A30">
            <v>25010200</v>
          </cell>
          <cell r="B30" t="str">
            <v>Provision for Expenses in MIS</v>
          </cell>
          <cell r="C30">
            <v>0</v>
          </cell>
          <cell r="D30">
            <v>489500</v>
          </cell>
          <cell r="E30">
            <v>732200</v>
          </cell>
          <cell r="F30">
            <v>-242700</v>
          </cell>
          <cell r="G30">
            <v>0</v>
          </cell>
          <cell r="H30">
            <v>-242700</v>
          </cell>
        </row>
        <row r="31">
          <cell r="A31">
            <v>25020010</v>
          </cell>
          <cell r="B31" t="str">
            <v>E.S.I.C. Payable account</v>
          </cell>
          <cell r="C31">
            <v>-16867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-16867</v>
          </cell>
        </row>
        <row r="32">
          <cell r="A32">
            <v>26005020</v>
          </cell>
          <cell r="B32" t="str">
            <v>Provision For Bad &amp; Doubtful Debts</v>
          </cell>
          <cell r="C32">
            <v>-991049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-991049</v>
          </cell>
        </row>
        <row r="33">
          <cell r="A33">
            <v>26015010</v>
          </cell>
          <cell r="B33" t="str">
            <v>Prov For Dep.-  Buildings</v>
          </cell>
          <cell r="C33">
            <v>-753559.28</v>
          </cell>
          <cell r="D33">
            <v>0</v>
          </cell>
          <cell r="E33">
            <v>372966</v>
          </cell>
          <cell r="F33">
            <v>-372966</v>
          </cell>
          <cell r="G33">
            <v>0</v>
          </cell>
          <cell r="H33">
            <v>-1126525.28</v>
          </cell>
        </row>
        <row r="34">
          <cell r="A34">
            <v>26025010</v>
          </cell>
          <cell r="B34" t="str">
            <v>Provision for Depreciation Plant &amp; Machinery</v>
          </cell>
          <cell r="C34">
            <v>-7456895.2599999998</v>
          </cell>
          <cell r="D34">
            <v>0</v>
          </cell>
          <cell r="E34">
            <v>511276.25</v>
          </cell>
          <cell r="F34">
            <v>-511276.25</v>
          </cell>
          <cell r="G34">
            <v>0</v>
          </cell>
          <cell r="H34">
            <v>-7968171.5099999998</v>
          </cell>
        </row>
        <row r="35">
          <cell r="A35">
            <v>26030010</v>
          </cell>
          <cell r="B35" t="str">
            <v>Provision For Dep.-Electrical Installations</v>
          </cell>
          <cell r="C35">
            <v>-317924.08</v>
          </cell>
          <cell r="D35">
            <v>0</v>
          </cell>
          <cell r="E35">
            <v>55168</v>
          </cell>
          <cell r="F35">
            <v>-55168</v>
          </cell>
          <cell r="G35">
            <v>0</v>
          </cell>
          <cell r="H35">
            <v>-373092.08</v>
          </cell>
        </row>
        <row r="36">
          <cell r="A36">
            <v>26035010</v>
          </cell>
          <cell r="B36" t="str">
            <v>Provision For Dep.-Furniture and Fixtures</v>
          </cell>
          <cell r="C36">
            <v>-232338.63</v>
          </cell>
          <cell r="D36">
            <v>0</v>
          </cell>
          <cell r="E36">
            <v>42365</v>
          </cell>
          <cell r="F36">
            <v>-42365</v>
          </cell>
          <cell r="G36">
            <v>0</v>
          </cell>
          <cell r="H36">
            <v>-274703.63</v>
          </cell>
        </row>
        <row r="37">
          <cell r="A37">
            <v>26040010</v>
          </cell>
          <cell r="B37" t="str">
            <v>Provision for Depreciation- Office and Electrical Appliances</v>
          </cell>
          <cell r="C37">
            <v>-148513.43</v>
          </cell>
          <cell r="D37">
            <v>0</v>
          </cell>
          <cell r="E37">
            <v>29094.25</v>
          </cell>
          <cell r="F37">
            <v>-29094.25</v>
          </cell>
          <cell r="G37">
            <v>0</v>
          </cell>
          <cell r="H37">
            <v>-177607.67999999999</v>
          </cell>
        </row>
        <row r="38">
          <cell r="A38">
            <v>26045010</v>
          </cell>
          <cell r="B38" t="str">
            <v>Provision for Depreciation- Truck Mixers, Loaders &amp; Dumpers</v>
          </cell>
          <cell r="C38">
            <v>-405765</v>
          </cell>
          <cell r="D38">
            <v>0</v>
          </cell>
          <cell r="E38">
            <v>54102</v>
          </cell>
          <cell r="F38">
            <v>-54102</v>
          </cell>
          <cell r="G38">
            <v>0</v>
          </cell>
          <cell r="H38">
            <v>-459867</v>
          </cell>
        </row>
        <row r="39">
          <cell r="A39">
            <v>26055020</v>
          </cell>
          <cell r="B39" t="str">
            <v>Profit &amp; Loss A/c</v>
          </cell>
          <cell r="C39">
            <v>16671302.77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16671302.77</v>
          </cell>
        </row>
        <row r="40">
          <cell r="A40">
            <v>26055050</v>
          </cell>
          <cell r="B40" t="str">
            <v>Provision for Production linked incentive (KRA)</v>
          </cell>
          <cell r="C40">
            <v>0</v>
          </cell>
          <cell r="D40">
            <v>21000</v>
          </cell>
          <cell r="E40">
            <v>65680</v>
          </cell>
          <cell r="F40">
            <v>-44680</v>
          </cell>
          <cell r="G40">
            <v>0</v>
          </cell>
          <cell r="H40">
            <v>-44680</v>
          </cell>
        </row>
        <row r="41">
          <cell r="A41">
            <v>31010010</v>
          </cell>
          <cell r="B41" t="str">
            <v>Sales</v>
          </cell>
          <cell r="C41">
            <v>0</v>
          </cell>
          <cell r="D41">
            <v>21842.400000000001</v>
          </cell>
          <cell r="E41">
            <v>11517800.67</v>
          </cell>
          <cell r="F41">
            <v>-11495958.27</v>
          </cell>
          <cell r="G41">
            <v>0</v>
          </cell>
          <cell r="H41">
            <v>-11495958.27</v>
          </cell>
        </row>
        <row r="42">
          <cell r="A42">
            <v>32020020</v>
          </cell>
          <cell r="B42" t="str">
            <v>Misc Income - Scrap sales</v>
          </cell>
          <cell r="C42">
            <v>0</v>
          </cell>
          <cell r="D42">
            <v>0</v>
          </cell>
          <cell r="E42">
            <v>15746.93</v>
          </cell>
          <cell r="F42">
            <v>-15746.93</v>
          </cell>
          <cell r="G42">
            <v>0</v>
          </cell>
          <cell r="H42">
            <v>-15746.93</v>
          </cell>
        </row>
        <row r="43">
          <cell r="A43">
            <v>41010010</v>
          </cell>
          <cell r="B43" t="str">
            <v>Opening Stock - Cement</v>
          </cell>
          <cell r="C43">
            <v>0</v>
          </cell>
          <cell r="D43">
            <v>237171.05</v>
          </cell>
          <cell r="E43">
            <v>0</v>
          </cell>
          <cell r="F43">
            <v>237171.05</v>
          </cell>
          <cell r="G43">
            <v>0</v>
          </cell>
          <cell r="H43">
            <v>237171.05</v>
          </cell>
        </row>
        <row r="44">
          <cell r="A44">
            <v>41010020</v>
          </cell>
          <cell r="B44" t="str">
            <v>Opening Stock - Sand</v>
          </cell>
          <cell r="C44">
            <v>0</v>
          </cell>
          <cell r="D44">
            <v>127374.73</v>
          </cell>
          <cell r="E44">
            <v>0</v>
          </cell>
          <cell r="F44">
            <v>127374.73</v>
          </cell>
          <cell r="G44">
            <v>0</v>
          </cell>
          <cell r="H44">
            <v>127374.73</v>
          </cell>
        </row>
        <row r="45">
          <cell r="A45">
            <v>41010040</v>
          </cell>
          <cell r="B45" t="str">
            <v>Opening Stock - RMC Aggregates</v>
          </cell>
          <cell r="C45">
            <v>0</v>
          </cell>
          <cell r="D45">
            <v>91906</v>
          </cell>
          <cell r="E45">
            <v>0</v>
          </cell>
          <cell r="F45">
            <v>91906</v>
          </cell>
          <cell r="G45">
            <v>0</v>
          </cell>
          <cell r="H45">
            <v>91906</v>
          </cell>
        </row>
        <row r="46">
          <cell r="A46">
            <v>41010050</v>
          </cell>
          <cell r="B46" t="str">
            <v>Opening Stock - Admixtures</v>
          </cell>
          <cell r="C46">
            <v>0</v>
          </cell>
          <cell r="D46">
            <v>305314.62</v>
          </cell>
          <cell r="E46">
            <v>0</v>
          </cell>
          <cell r="F46">
            <v>305314.62</v>
          </cell>
          <cell r="G46">
            <v>0</v>
          </cell>
          <cell r="H46">
            <v>305314.62</v>
          </cell>
        </row>
        <row r="47">
          <cell r="A47">
            <v>41010070</v>
          </cell>
          <cell r="B47" t="str">
            <v>Opening Stock - Flyash</v>
          </cell>
          <cell r="C47">
            <v>0</v>
          </cell>
          <cell r="D47">
            <v>33707.120000000003</v>
          </cell>
          <cell r="E47">
            <v>0</v>
          </cell>
          <cell r="F47">
            <v>33707.120000000003</v>
          </cell>
          <cell r="G47">
            <v>0</v>
          </cell>
          <cell r="H47">
            <v>33707.120000000003</v>
          </cell>
        </row>
        <row r="48">
          <cell r="A48">
            <v>41010080</v>
          </cell>
          <cell r="B48" t="str">
            <v>Opening Stock - Diesel</v>
          </cell>
          <cell r="C48">
            <v>0</v>
          </cell>
          <cell r="D48">
            <v>50481.83</v>
          </cell>
          <cell r="E48">
            <v>0</v>
          </cell>
          <cell r="F48">
            <v>50481.83</v>
          </cell>
          <cell r="G48">
            <v>0</v>
          </cell>
          <cell r="H48">
            <v>50481.83</v>
          </cell>
        </row>
        <row r="49">
          <cell r="A49">
            <v>41010110</v>
          </cell>
          <cell r="B49" t="str">
            <v>Opening Stock GGBS</v>
          </cell>
          <cell r="C49">
            <v>0</v>
          </cell>
          <cell r="D49">
            <v>138594.47</v>
          </cell>
          <cell r="E49">
            <v>0</v>
          </cell>
          <cell r="F49">
            <v>138594.47</v>
          </cell>
          <cell r="G49">
            <v>0</v>
          </cell>
          <cell r="H49">
            <v>138594.47</v>
          </cell>
        </row>
        <row r="50">
          <cell r="A50">
            <v>41020010</v>
          </cell>
          <cell r="B50" t="str">
            <v>Raw Material Purchase - Cement</v>
          </cell>
          <cell r="C50">
            <v>0</v>
          </cell>
          <cell r="D50">
            <v>3809987.19</v>
          </cell>
          <cell r="E50">
            <v>3643563.87</v>
          </cell>
          <cell r="F50">
            <v>166423.32</v>
          </cell>
          <cell r="G50">
            <v>0</v>
          </cell>
          <cell r="H50">
            <v>166423.32</v>
          </cell>
        </row>
        <row r="51">
          <cell r="A51">
            <v>41020015</v>
          </cell>
          <cell r="B51" t="str">
            <v>Interim account cement received</v>
          </cell>
          <cell r="C51">
            <v>0</v>
          </cell>
          <cell r="D51">
            <v>3765169.39</v>
          </cell>
          <cell r="E51">
            <v>3765170.46</v>
          </cell>
          <cell r="F51">
            <v>-1.07</v>
          </cell>
          <cell r="G51">
            <v>0</v>
          </cell>
          <cell r="H51">
            <v>-1.07</v>
          </cell>
        </row>
        <row r="52">
          <cell r="A52">
            <v>41020020</v>
          </cell>
          <cell r="B52" t="str">
            <v>Cement Consumption account</v>
          </cell>
          <cell r="C52">
            <v>0</v>
          </cell>
          <cell r="D52">
            <v>3609852.24</v>
          </cell>
          <cell r="E52">
            <v>33805.379999999997</v>
          </cell>
          <cell r="F52">
            <v>3576046.86</v>
          </cell>
          <cell r="G52">
            <v>0</v>
          </cell>
          <cell r="H52">
            <v>3576046.86</v>
          </cell>
        </row>
        <row r="53">
          <cell r="A53">
            <v>41020030</v>
          </cell>
          <cell r="B53" t="str">
            <v>Raw Material Purchase - Aggregates</v>
          </cell>
          <cell r="C53">
            <v>0</v>
          </cell>
          <cell r="D53">
            <v>732016.54</v>
          </cell>
          <cell r="E53">
            <v>1590171.2</v>
          </cell>
          <cell r="F53">
            <v>-858154.66</v>
          </cell>
          <cell r="G53">
            <v>0</v>
          </cell>
          <cell r="H53">
            <v>-858154.66</v>
          </cell>
        </row>
        <row r="54">
          <cell r="A54">
            <v>41020035</v>
          </cell>
          <cell r="B54" t="str">
            <v>Interim account Aggregate received</v>
          </cell>
          <cell r="C54">
            <v>0</v>
          </cell>
          <cell r="D54">
            <v>1583796.15</v>
          </cell>
          <cell r="E54">
            <v>723350.7</v>
          </cell>
          <cell r="F54">
            <v>860445.45</v>
          </cell>
          <cell r="G54">
            <v>0</v>
          </cell>
          <cell r="H54">
            <v>860445.45</v>
          </cell>
        </row>
        <row r="55">
          <cell r="A55">
            <v>41020040</v>
          </cell>
          <cell r="B55" t="str">
            <v>Aggregate Consumption account</v>
          </cell>
          <cell r="C55">
            <v>0</v>
          </cell>
          <cell r="D55">
            <v>1589125.7</v>
          </cell>
          <cell r="E55">
            <v>0</v>
          </cell>
          <cell r="F55">
            <v>1589125.7</v>
          </cell>
          <cell r="G55">
            <v>0</v>
          </cell>
          <cell r="H55">
            <v>1589125.7</v>
          </cell>
        </row>
        <row r="56">
          <cell r="A56">
            <v>41020050</v>
          </cell>
          <cell r="B56" t="str">
            <v>Raw Material Purchase - Sand</v>
          </cell>
          <cell r="C56">
            <v>0</v>
          </cell>
          <cell r="D56">
            <v>635310.1</v>
          </cell>
          <cell r="E56">
            <v>1460651.3</v>
          </cell>
          <cell r="F56">
            <v>-825341.2</v>
          </cell>
          <cell r="G56">
            <v>0</v>
          </cell>
          <cell r="H56">
            <v>-825341.2</v>
          </cell>
        </row>
        <row r="57">
          <cell r="A57">
            <v>41020055</v>
          </cell>
          <cell r="B57" t="str">
            <v>Interim account Sand Received</v>
          </cell>
          <cell r="C57">
            <v>0</v>
          </cell>
          <cell r="D57">
            <v>1487584.4</v>
          </cell>
          <cell r="E57">
            <v>621130.17000000004</v>
          </cell>
          <cell r="F57">
            <v>866454.23</v>
          </cell>
          <cell r="G57">
            <v>0</v>
          </cell>
          <cell r="H57">
            <v>866454.23</v>
          </cell>
        </row>
        <row r="58">
          <cell r="A58">
            <v>41020060</v>
          </cell>
          <cell r="B58" t="str">
            <v>Sand Consumption account</v>
          </cell>
          <cell r="C58">
            <v>0</v>
          </cell>
          <cell r="D58">
            <v>1460651.3</v>
          </cell>
          <cell r="E58">
            <v>0</v>
          </cell>
          <cell r="F58">
            <v>1460651.3</v>
          </cell>
          <cell r="G58">
            <v>0</v>
          </cell>
          <cell r="H58">
            <v>1460651.3</v>
          </cell>
        </row>
        <row r="59">
          <cell r="A59">
            <v>41020070</v>
          </cell>
          <cell r="B59" t="str">
            <v>Raw Material Purchase - Admixture</v>
          </cell>
          <cell r="C59">
            <v>0</v>
          </cell>
          <cell r="D59">
            <v>231598.71</v>
          </cell>
          <cell r="E59">
            <v>271954.76</v>
          </cell>
          <cell r="F59">
            <v>-40356.050000000003</v>
          </cell>
          <cell r="G59">
            <v>0</v>
          </cell>
          <cell r="H59">
            <v>-40356.050000000003</v>
          </cell>
        </row>
        <row r="60">
          <cell r="A60">
            <v>41020075</v>
          </cell>
          <cell r="B60" t="str">
            <v>Interim account Admixture received</v>
          </cell>
          <cell r="C60">
            <v>0</v>
          </cell>
          <cell r="D60">
            <v>230310</v>
          </cell>
          <cell r="E60">
            <v>230310</v>
          </cell>
          <cell r="F60">
            <v>0</v>
          </cell>
          <cell r="G60">
            <v>0</v>
          </cell>
          <cell r="H60">
            <v>0</v>
          </cell>
        </row>
        <row r="61">
          <cell r="A61">
            <v>41020080</v>
          </cell>
          <cell r="B61" t="str">
            <v>Admixture Consumption account</v>
          </cell>
          <cell r="C61">
            <v>0</v>
          </cell>
          <cell r="D61">
            <v>270419.09999999998</v>
          </cell>
          <cell r="E61">
            <v>0</v>
          </cell>
          <cell r="F61">
            <v>270419.09999999998</v>
          </cell>
          <cell r="G61">
            <v>0</v>
          </cell>
          <cell r="H61">
            <v>270419.09999999998</v>
          </cell>
        </row>
        <row r="62">
          <cell r="A62">
            <v>41020090</v>
          </cell>
          <cell r="B62" t="str">
            <v>Raw Material  Purchase - Fly Ash</v>
          </cell>
          <cell r="C62">
            <v>0</v>
          </cell>
          <cell r="D62">
            <v>557225.38</v>
          </cell>
          <cell r="E62">
            <v>495799.59</v>
          </cell>
          <cell r="F62">
            <v>61425.79</v>
          </cell>
          <cell r="G62">
            <v>0</v>
          </cell>
          <cell r="H62">
            <v>61425.79</v>
          </cell>
        </row>
        <row r="63">
          <cell r="A63">
            <v>41020095</v>
          </cell>
          <cell r="B63" t="str">
            <v>Interim account fly ash received</v>
          </cell>
          <cell r="C63">
            <v>0</v>
          </cell>
          <cell r="D63">
            <v>556311.41</v>
          </cell>
          <cell r="E63">
            <v>556312.09</v>
          </cell>
          <cell r="F63">
            <v>-0.68</v>
          </cell>
          <cell r="G63">
            <v>0</v>
          </cell>
          <cell r="H63">
            <v>-0.68</v>
          </cell>
        </row>
        <row r="64">
          <cell r="A64">
            <v>41020100</v>
          </cell>
          <cell r="B64" t="str">
            <v>Fly Ash Consumption account</v>
          </cell>
          <cell r="C64">
            <v>0</v>
          </cell>
          <cell r="D64">
            <v>483634.78</v>
          </cell>
          <cell r="E64">
            <v>0</v>
          </cell>
          <cell r="F64">
            <v>483634.78</v>
          </cell>
          <cell r="G64">
            <v>0</v>
          </cell>
          <cell r="H64">
            <v>483634.78</v>
          </cell>
        </row>
        <row r="65">
          <cell r="A65">
            <v>41020110</v>
          </cell>
          <cell r="B65" t="str">
            <v>Raw Material Purchase GGBS</v>
          </cell>
          <cell r="C65">
            <v>0</v>
          </cell>
          <cell r="D65">
            <v>567742.35</v>
          </cell>
          <cell r="E65">
            <v>541897.94999999995</v>
          </cell>
          <cell r="F65">
            <v>25844.400000000001</v>
          </cell>
          <cell r="G65">
            <v>0</v>
          </cell>
          <cell r="H65">
            <v>25844.400000000001</v>
          </cell>
        </row>
        <row r="66">
          <cell r="A66">
            <v>41020115</v>
          </cell>
          <cell r="B66" t="str">
            <v>Interim account for GGBS received</v>
          </cell>
          <cell r="C66">
            <v>0</v>
          </cell>
          <cell r="D66">
            <v>555818.9</v>
          </cell>
          <cell r="E66">
            <v>555819.5</v>
          </cell>
          <cell r="F66">
            <v>-0.6</v>
          </cell>
          <cell r="G66">
            <v>0</v>
          </cell>
          <cell r="H66">
            <v>-0.6</v>
          </cell>
        </row>
        <row r="67">
          <cell r="A67">
            <v>41020120</v>
          </cell>
          <cell r="B67" t="str">
            <v>GGBS Consumption account</v>
          </cell>
          <cell r="C67">
            <v>0</v>
          </cell>
          <cell r="D67">
            <v>516668.76</v>
          </cell>
          <cell r="E67">
            <v>0</v>
          </cell>
          <cell r="F67">
            <v>516668.76</v>
          </cell>
          <cell r="G67">
            <v>0</v>
          </cell>
          <cell r="H67">
            <v>516668.76</v>
          </cell>
        </row>
        <row r="68">
          <cell r="A68">
            <v>41020150</v>
          </cell>
          <cell r="B68" t="str">
            <v>Loss/ gain on Stock</v>
          </cell>
          <cell r="C68">
            <v>0</v>
          </cell>
          <cell r="D68">
            <v>73686.789999999994</v>
          </cell>
          <cell r="E68">
            <v>47981.97</v>
          </cell>
          <cell r="F68">
            <v>25704.82</v>
          </cell>
          <cell r="G68">
            <v>0</v>
          </cell>
          <cell r="H68">
            <v>25704.82</v>
          </cell>
        </row>
        <row r="69">
          <cell r="A69">
            <v>41020195</v>
          </cell>
          <cell r="B69" t="str">
            <v>Purchase of Diesel</v>
          </cell>
          <cell r="C69">
            <v>0</v>
          </cell>
          <cell r="D69">
            <v>764327.7</v>
          </cell>
          <cell r="E69">
            <v>788729.17</v>
          </cell>
          <cell r="F69">
            <v>-24401.47</v>
          </cell>
          <cell r="G69">
            <v>0</v>
          </cell>
          <cell r="H69">
            <v>-24401.47</v>
          </cell>
        </row>
        <row r="70">
          <cell r="A70">
            <v>41020200</v>
          </cell>
          <cell r="B70" t="str">
            <v>Interim account for diesel received</v>
          </cell>
          <cell r="C70">
            <v>0</v>
          </cell>
          <cell r="D70">
            <v>764327.7</v>
          </cell>
          <cell r="E70">
            <v>764327.7</v>
          </cell>
          <cell r="F70">
            <v>0</v>
          </cell>
          <cell r="G70">
            <v>0</v>
          </cell>
          <cell r="H70">
            <v>0</v>
          </cell>
        </row>
        <row r="71">
          <cell r="A71">
            <v>41020205</v>
          </cell>
          <cell r="B71" t="str">
            <v>Diesel Consumption account</v>
          </cell>
          <cell r="C71">
            <v>0</v>
          </cell>
          <cell r="D71">
            <v>788729.17</v>
          </cell>
          <cell r="E71">
            <v>788729.17</v>
          </cell>
          <cell r="F71">
            <v>0</v>
          </cell>
          <cell r="G71">
            <v>0</v>
          </cell>
          <cell r="H71">
            <v>0</v>
          </cell>
        </row>
        <row r="72">
          <cell r="A72">
            <v>41050010</v>
          </cell>
          <cell r="B72" t="str">
            <v>Closing Stock - Cement</v>
          </cell>
          <cell r="C72">
            <v>0</v>
          </cell>
          <cell r="D72">
            <v>0</v>
          </cell>
          <cell r="E72">
            <v>403593.3</v>
          </cell>
          <cell r="F72">
            <v>-403593.3</v>
          </cell>
          <cell r="G72">
            <v>0</v>
          </cell>
          <cell r="H72">
            <v>-403593.3</v>
          </cell>
        </row>
        <row r="73">
          <cell r="A73">
            <v>41050020</v>
          </cell>
          <cell r="B73" t="str">
            <v>Closing Stock - Sand</v>
          </cell>
          <cell r="C73">
            <v>0</v>
          </cell>
          <cell r="D73">
            <v>0</v>
          </cell>
          <cell r="E73">
            <v>168487.76</v>
          </cell>
          <cell r="F73">
            <v>-168487.76</v>
          </cell>
          <cell r="G73">
            <v>0</v>
          </cell>
          <cell r="H73">
            <v>-168487.76</v>
          </cell>
        </row>
        <row r="74">
          <cell r="A74">
            <v>41050040</v>
          </cell>
          <cell r="B74" t="str">
            <v>Closing Stock - RMC Aggregates</v>
          </cell>
          <cell r="C74">
            <v>0</v>
          </cell>
          <cell r="D74">
            <v>0</v>
          </cell>
          <cell r="E74">
            <v>94196.79</v>
          </cell>
          <cell r="F74">
            <v>-94196.79</v>
          </cell>
          <cell r="G74">
            <v>0</v>
          </cell>
          <cell r="H74">
            <v>-94196.79</v>
          </cell>
        </row>
        <row r="75">
          <cell r="A75">
            <v>41050050</v>
          </cell>
          <cell r="B75" t="str">
            <v>Closing Stock - Admixtures</v>
          </cell>
          <cell r="C75">
            <v>0</v>
          </cell>
          <cell r="D75">
            <v>0</v>
          </cell>
          <cell r="E75">
            <v>264958.57</v>
          </cell>
          <cell r="F75">
            <v>-264958.57</v>
          </cell>
          <cell r="G75">
            <v>0</v>
          </cell>
          <cell r="H75">
            <v>-264958.57</v>
          </cell>
        </row>
        <row r="76">
          <cell r="A76">
            <v>41050070</v>
          </cell>
          <cell r="B76" t="str">
            <v>Closing Stock - Flyash</v>
          </cell>
          <cell r="C76">
            <v>0</v>
          </cell>
          <cell r="D76">
            <v>0</v>
          </cell>
          <cell r="E76">
            <v>95132.23</v>
          </cell>
          <cell r="F76">
            <v>-95132.23</v>
          </cell>
          <cell r="G76">
            <v>0</v>
          </cell>
          <cell r="H76">
            <v>-95132.23</v>
          </cell>
        </row>
        <row r="77">
          <cell r="A77">
            <v>41050080</v>
          </cell>
          <cell r="B77" t="str">
            <v>Closing Stock - Diesel</v>
          </cell>
          <cell r="C77">
            <v>0</v>
          </cell>
          <cell r="D77">
            <v>0</v>
          </cell>
          <cell r="E77">
            <v>26080.36</v>
          </cell>
          <cell r="F77">
            <v>-26080.36</v>
          </cell>
          <cell r="G77">
            <v>0</v>
          </cell>
          <cell r="H77">
            <v>-26080.36</v>
          </cell>
        </row>
        <row r="78">
          <cell r="A78">
            <v>41050110</v>
          </cell>
          <cell r="B78" t="str">
            <v>Closing Stock GGBS</v>
          </cell>
          <cell r="C78">
            <v>0</v>
          </cell>
          <cell r="D78">
            <v>0</v>
          </cell>
          <cell r="E78">
            <v>164438.26999999999</v>
          </cell>
          <cell r="F78">
            <v>-164438.26999999999</v>
          </cell>
          <cell r="G78">
            <v>0</v>
          </cell>
          <cell r="H78">
            <v>-164438.26999999999</v>
          </cell>
        </row>
        <row r="79">
          <cell r="A79">
            <v>42010010</v>
          </cell>
          <cell r="B79" t="str">
            <v>Salary - Basic</v>
          </cell>
          <cell r="C79">
            <v>0</v>
          </cell>
          <cell r="D79">
            <v>471217</v>
          </cell>
          <cell r="E79">
            <v>232580</v>
          </cell>
          <cell r="F79">
            <v>238637</v>
          </cell>
          <cell r="G79">
            <v>0</v>
          </cell>
          <cell r="H79">
            <v>238637</v>
          </cell>
        </row>
        <row r="80">
          <cell r="A80">
            <v>42010020</v>
          </cell>
          <cell r="B80" t="str">
            <v>House Rent Allowance</v>
          </cell>
          <cell r="C80">
            <v>0</v>
          </cell>
          <cell r="D80">
            <v>210610</v>
          </cell>
          <cell r="E80">
            <v>114665</v>
          </cell>
          <cell r="F80">
            <v>95945</v>
          </cell>
          <cell r="G80">
            <v>0</v>
          </cell>
          <cell r="H80">
            <v>95945</v>
          </cell>
        </row>
        <row r="81">
          <cell r="A81">
            <v>42010030</v>
          </cell>
          <cell r="B81" t="str">
            <v>Education Allowance</v>
          </cell>
          <cell r="C81">
            <v>0</v>
          </cell>
          <cell r="D81">
            <v>42208</v>
          </cell>
          <cell r="E81">
            <v>22807</v>
          </cell>
          <cell r="F81">
            <v>19401</v>
          </cell>
          <cell r="G81">
            <v>0</v>
          </cell>
          <cell r="H81">
            <v>19401</v>
          </cell>
        </row>
        <row r="82">
          <cell r="A82">
            <v>42010040</v>
          </cell>
          <cell r="B82" t="str">
            <v>Special Allowance</v>
          </cell>
          <cell r="C82">
            <v>0</v>
          </cell>
          <cell r="D82">
            <v>65650</v>
          </cell>
          <cell r="E82">
            <v>36283</v>
          </cell>
          <cell r="F82">
            <v>29367</v>
          </cell>
          <cell r="G82">
            <v>0</v>
          </cell>
          <cell r="H82">
            <v>29367</v>
          </cell>
        </row>
        <row r="83">
          <cell r="A83">
            <v>42010050</v>
          </cell>
          <cell r="B83" t="str">
            <v>Medical Expense Reimbursement</v>
          </cell>
          <cell r="C83">
            <v>0</v>
          </cell>
          <cell r="D83">
            <v>55320</v>
          </cell>
          <cell r="E83">
            <v>28331</v>
          </cell>
          <cell r="F83">
            <v>26989</v>
          </cell>
          <cell r="G83">
            <v>0</v>
          </cell>
          <cell r="H83">
            <v>26989</v>
          </cell>
        </row>
        <row r="84">
          <cell r="A84">
            <v>42010070</v>
          </cell>
          <cell r="B84" t="str">
            <v>Leave Encashment</v>
          </cell>
          <cell r="C84">
            <v>0</v>
          </cell>
          <cell r="D84">
            <v>21000</v>
          </cell>
          <cell r="E84">
            <v>0</v>
          </cell>
          <cell r="F84">
            <v>21000</v>
          </cell>
          <cell r="G84">
            <v>0</v>
          </cell>
          <cell r="H84">
            <v>21000</v>
          </cell>
        </row>
        <row r="85">
          <cell r="A85">
            <v>42010090</v>
          </cell>
          <cell r="B85" t="str">
            <v>Overtime Payment</v>
          </cell>
          <cell r="C85">
            <v>0</v>
          </cell>
          <cell r="D85">
            <v>10314</v>
          </cell>
          <cell r="E85">
            <v>5157</v>
          </cell>
          <cell r="F85">
            <v>5157</v>
          </cell>
          <cell r="G85">
            <v>0</v>
          </cell>
          <cell r="H85">
            <v>5157</v>
          </cell>
        </row>
        <row r="86">
          <cell r="A86">
            <v>42010100</v>
          </cell>
          <cell r="B86" t="str">
            <v>Transport Allowance</v>
          </cell>
          <cell r="C86">
            <v>0</v>
          </cell>
          <cell r="D86">
            <v>97050</v>
          </cell>
          <cell r="E86">
            <v>53325</v>
          </cell>
          <cell r="F86">
            <v>43725</v>
          </cell>
          <cell r="G86">
            <v>0</v>
          </cell>
          <cell r="H86">
            <v>43725</v>
          </cell>
        </row>
        <row r="87">
          <cell r="A87">
            <v>42010110</v>
          </cell>
          <cell r="B87" t="str">
            <v>Lunch Allowance</v>
          </cell>
          <cell r="C87">
            <v>0</v>
          </cell>
          <cell r="D87">
            <v>600</v>
          </cell>
          <cell r="E87">
            <v>300</v>
          </cell>
          <cell r="F87">
            <v>300</v>
          </cell>
          <cell r="G87">
            <v>0</v>
          </cell>
          <cell r="H87">
            <v>300</v>
          </cell>
        </row>
        <row r="88">
          <cell r="A88">
            <v>42010130</v>
          </cell>
          <cell r="B88" t="str">
            <v>Production Linked Incentive</v>
          </cell>
          <cell r="C88">
            <v>0</v>
          </cell>
          <cell r="D88">
            <v>44680</v>
          </cell>
          <cell r="E88">
            <v>0</v>
          </cell>
          <cell r="F88">
            <v>44680</v>
          </cell>
          <cell r="G88">
            <v>0</v>
          </cell>
          <cell r="H88">
            <v>44680</v>
          </cell>
        </row>
        <row r="89">
          <cell r="A89">
            <v>42010200</v>
          </cell>
          <cell r="B89" t="str">
            <v>Stipend</v>
          </cell>
          <cell r="C89">
            <v>0</v>
          </cell>
          <cell r="D89">
            <v>43039</v>
          </cell>
          <cell r="E89">
            <v>0</v>
          </cell>
          <cell r="F89">
            <v>43039</v>
          </cell>
          <cell r="G89">
            <v>0</v>
          </cell>
          <cell r="H89">
            <v>43039</v>
          </cell>
        </row>
        <row r="90">
          <cell r="A90">
            <v>42010210</v>
          </cell>
          <cell r="B90" t="str">
            <v>Ex-Gratia</v>
          </cell>
          <cell r="C90">
            <v>0</v>
          </cell>
          <cell r="D90">
            <v>11085</v>
          </cell>
          <cell r="E90">
            <v>0</v>
          </cell>
          <cell r="F90">
            <v>11085</v>
          </cell>
          <cell r="G90">
            <v>0</v>
          </cell>
          <cell r="H90">
            <v>11085</v>
          </cell>
        </row>
        <row r="91">
          <cell r="A91">
            <v>42010220</v>
          </cell>
          <cell r="B91" t="str">
            <v>Adhoc Allowance</v>
          </cell>
          <cell r="C91">
            <v>0</v>
          </cell>
          <cell r="D91">
            <v>11680</v>
          </cell>
          <cell r="E91">
            <v>7140</v>
          </cell>
          <cell r="F91">
            <v>4540</v>
          </cell>
          <cell r="G91">
            <v>0</v>
          </cell>
          <cell r="H91">
            <v>4540</v>
          </cell>
        </row>
        <row r="92">
          <cell r="A92">
            <v>42020010</v>
          </cell>
          <cell r="B92" t="str">
            <v>Provident Funds - Employer's Conribution</v>
          </cell>
          <cell r="C92">
            <v>0</v>
          </cell>
          <cell r="D92">
            <v>40028</v>
          </cell>
          <cell r="E92">
            <v>18276</v>
          </cell>
          <cell r="F92">
            <v>21752</v>
          </cell>
          <cell r="G92">
            <v>0</v>
          </cell>
          <cell r="H92">
            <v>21752</v>
          </cell>
        </row>
        <row r="93">
          <cell r="A93">
            <v>42020020</v>
          </cell>
          <cell r="B93" t="str">
            <v>Pension Fund - Employer's Contribution</v>
          </cell>
          <cell r="C93">
            <v>0</v>
          </cell>
          <cell r="D93">
            <v>25869</v>
          </cell>
          <cell r="E93">
            <v>12804</v>
          </cell>
          <cell r="F93">
            <v>13065</v>
          </cell>
          <cell r="G93">
            <v>0</v>
          </cell>
          <cell r="H93">
            <v>13065</v>
          </cell>
        </row>
        <row r="94">
          <cell r="A94">
            <v>42020070</v>
          </cell>
          <cell r="B94" t="str">
            <v>E.S.I.S. - Employer's Contribution</v>
          </cell>
          <cell r="C94">
            <v>0</v>
          </cell>
          <cell r="D94">
            <v>10312</v>
          </cell>
          <cell r="E94">
            <v>0</v>
          </cell>
          <cell r="F94">
            <v>10312</v>
          </cell>
          <cell r="G94">
            <v>0</v>
          </cell>
          <cell r="H94">
            <v>10312</v>
          </cell>
        </row>
        <row r="95">
          <cell r="A95">
            <v>42030010</v>
          </cell>
          <cell r="B95" t="str">
            <v>Purchases of Safety &amp; Welfare Items - FBT</v>
          </cell>
          <cell r="C95">
            <v>0</v>
          </cell>
          <cell r="D95">
            <v>310</v>
          </cell>
          <cell r="E95">
            <v>0</v>
          </cell>
          <cell r="F95">
            <v>310</v>
          </cell>
          <cell r="G95">
            <v>0</v>
          </cell>
          <cell r="H95">
            <v>310</v>
          </cell>
        </row>
        <row r="96">
          <cell r="A96">
            <v>42030020</v>
          </cell>
          <cell r="B96" t="str">
            <v>Purchases of Safety &amp; Welfare Items</v>
          </cell>
          <cell r="C96">
            <v>0</v>
          </cell>
          <cell r="D96">
            <v>30197</v>
          </cell>
          <cell r="E96">
            <v>13613</v>
          </cell>
          <cell r="F96">
            <v>16584</v>
          </cell>
          <cell r="G96">
            <v>0</v>
          </cell>
          <cell r="H96">
            <v>16584</v>
          </cell>
        </row>
        <row r="97">
          <cell r="A97">
            <v>42030060</v>
          </cell>
          <cell r="B97" t="str">
            <v>Food &amp; Beverage Exps - FBT</v>
          </cell>
          <cell r="C97">
            <v>0</v>
          </cell>
          <cell r="D97">
            <v>260</v>
          </cell>
          <cell r="E97">
            <v>0</v>
          </cell>
          <cell r="F97">
            <v>260</v>
          </cell>
          <cell r="G97">
            <v>0</v>
          </cell>
          <cell r="H97">
            <v>260</v>
          </cell>
        </row>
        <row r="98">
          <cell r="A98">
            <v>42030070</v>
          </cell>
          <cell r="B98" t="str">
            <v>Food &amp; Beverage Exps</v>
          </cell>
          <cell r="C98">
            <v>0</v>
          </cell>
          <cell r="D98">
            <v>1216</v>
          </cell>
          <cell r="E98">
            <v>0</v>
          </cell>
          <cell r="F98">
            <v>1216</v>
          </cell>
          <cell r="G98">
            <v>0</v>
          </cell>
          <cell r="H98">
            <v>1216</v>
          </cell>
        </row>
        <row r="99">
          <cell r="A99">
            <v>42030090</v>
          </cell>
          <cell r="B99" t="str">
            <v>Pooja &amp; Festival Celebration Expenses - FBT</v>
          </cell>
          <cell r="C99">
            <v>0</v>
          </cell>
          <cell r="D99">
            <v>609</v>
          </cell>
          <cell r="E99">
            <v>0</v>
          </cell>
          <cell r="F99">
            <v>609</v>
          </cell>
          <cell r="G99">
            <v>0</v>
          </cell>
          <cell r="H99">
            <v>609</v>
          </cell>
        </row>
        <row r="100">
          <cell r="A100">
            <v>43001020</v>
          </cell>
          <cell r="B100" t="str">
            <v>Water Charges</v>
          </cell>
          <cell r="C100">
            <v>0</v>
          </cell>
          <cell r="D100">
            <v>55366</v>
          </cell>
          <cell r="E100">
            <v>5000</v>
          </cell>
          <cell r="F100">
            <v>50366</v>
          </cell>
          <cell r="G100">
            <v>0</v>
          </cell>
          <cell r="H100">
            <v>50366</v>
          </cell>
        </row>
        <row r="101">
          <cell r="A101">
            <v>43001030</v>
          </cell>
          <cell r="B101" t="str">
            <v>Fuel For Diesel Generator Set</v>
          </cell>
          <cell r="C101">
            <v>0</v>
          </cell>
          <cell r="D101">
            <v>274055.94</v>
          </cell>
          <cell r="E101">
            <v>0</v>
          </cell>
          <cell r="F101">
            <v>274055.94</v>
          </cell>
          <cell r="G101">
            <v>0</v>
          </cell>
          <cell r="H101">
            <v>274055.94</v>
          </cell>
        </row>
        <row r="102">
          <cell r="A102">
            <v>43010010</v>
          </cell>
          <cell r="B102" t="str">
            <v>Consumables</v>
          </cell>
          <cell r="C102">
            <v>0</v>
          </cell>
          <cell r="D102">
            <v>120</v>
          </cell>
          <cell r="E102">
            <v>0</v>
          </cell>
          <cell r="F102">
            <v>120</v>
          </cell>
          <cell r="G102">
            <v>0</v>
          </cell>
          <cell r="H102">
            <v>120</v>
          </cell>
        </row>
        <row r="103">
          <cell r="A103">
            <v>43012010</v>
          </cell>
          <cell r="B103" t="str">
            <v>Lab Consumables</v>
          </cell>
          <cell r="C103">
            <v>0</v>
          </cell>
          <cell r="D103">
            <v>2400</v>
          </cell>
          <cell r="E103">
            <v>0</v>
          </cell>
          <cell r="F103">
            <v>2400</v>
          </cell>
          <cell r="G103">
            <v>0</v>
          </cell>
          <cell r="H103">
            <v>2400</v>
          </cell>
        </row>
        <row r="104">
          <cell r="A104">
            <v>43012020</v>
          </cell>
          <cell r="B104" t="str">
            <v>Labour / sub contractor for - Pumping Expenses Incurred</v>
          </cell>
          <cell r="C104">
            <v>0</v>
          </cell>
          <cell r="D104">
            <v>401660</v>
          </cell>
          <cell r="E104">
            <v>40238</v>
          </cell>
          <cell r="F104">
            <v>361422</v>
          </cell>
          <cell r="G104">
            <v>0</v>
          </cell>
          <cell r="H104">
            <v>361422</v>
          </cell>
        </row>
        <row r="105">
          <cell r="A105">
            <v>43016010</v>
          </cell>
          <cell r="B105" t="str">
            <v>Transportation Charges</v>
          </cell>
          <cell r="C105">
            <v>0</v>
          </cell>
          <cell r="D105">
            <v>3045</v>
          </cell>
          <cell r="E105">
            <v>0</v>
          </cell>
          <cell r="F105">
            <v>3045</v>
          </cell>
          <cell r="G105">
            <v>0</v>
          </cell>
          <cell r="H105">
            <v>3045</v>
          </cell>
        </row>
        <row r="106">
          <cell r="A106">
            <v>43018010</v>
          </cell>
          <cell r="B106" t="str">
            <v>Repairs &amp; Maintenance</v>
          </cell>
          <cell r="C106">
            <v>0</v>
          </cell>
          <cell r="D106">
            <v>111925</v>
          </cell>
          <cell r="E106">
            <v>41906</v>
          </cell>
          <cell r="F106">
            <v>70019</v>
          </cell>
          <cell r="G106">
            <v>0</v>
          </cell>
          <cell r="H106">
            <v>70019</v>
          </cell>
        </row>
        <row r="107">
          <cell r="A107">
            <v>43018020</v>
          </cell>
          <cell r="B107" t="str">
            <v>Oil &amp; Grease</v>
          </cell>
          <cell r="C107">
            <v>0</v>
          </cell>
          <cell r="D107">
            <v>61730</v>
          </cell>
          <cell r="E107">
            <v>41152</v>
          </cell>
          <cell r="F107">
            <v>20578</v>
          </cell>
          <cell r="G107">
            <v>0</v>
          </cell>
          <cell r="H107">
            <v>20578</v>
          </cell>
        </row>
        <row r="108">
          <cell r="A108">
            <v>43022010</v>
          </cell>
          <cell r="B108" t="str">
            <v>Plant / Office Up Keep Exps</v>
          </cell>
          <cell r="C108">
            <v>0</v>
          </cell>
          <cell r="D108">
            <v>11158</v>
          </cell>
          <cell r="E108">
            <v>0</v>
          </cell>
          <cell r="F108">
            <v>11158</v>
          </cell>
          <cell r="G108">
            <v>0</v>
          </cell>
          <cell r="H108">
            <v>11158</v>
          </cell>
        </row>
        <row r="109">
          <cell r="A109">
            <v>43032040</v>
          </cell>
          <cell r="B109" t="str">
            <v>Lease Rentals- Machinery</v>
          </cell>
          <cell r="C109">
            <v>0</v>
          </cell>
          <cell r="D109">
            <v>146454</v>
          </cell>
          <cell r="E109">
            <v>73226</v>
          </cell>
          <cell r="F109">
            <v>73228</v>
          </cell>
          <cell r="G109">
            <v>0</v>
          </cell>
          <cell r="H109">
            <v>73228</v>
          </cell>
        </row>
        <row r="110">
          <cell r="A110">
            <v>43032045</v>
          </cell>
          <cell r="B110" t="str">
            <v>Towing Expenses</v>
          </cell>
          <cell r="C110">
            <v>0</v>
          </cell>
          <cell r="D110">
            <v>150000</v>
          </cell>
          <cell r="E110">
            <v>7000</v>
          </cell>
          <cell r="F110">
            <v>143000</v>
          </cell>
          <cell r="G110">
            <v>0</v>
          </cell>
          <cell r="H110">
            <v>143000</v>
          </cell>
        </row>
        <row r="111">
          <cell r="A111">
            <v>43036010</v>
          </cell>
          <cell r="B111" t="str">
            <v>Insurance Expenses</v>
          </cell>
          <cell r="C111">
            <v>0</v>
          </cell>
          <cell r="D111">
            <v>4008.17</v>
          </cell>
          <cell r="E111">
            <v>0</v>
          </cell>
          <cell r="F111">
            <v>4008.17</v>
          </cell>
          <cell r="G111">
            <v>0</v>
          </cell>
          <cell r="H111">
            <v>4008.17</v>
          </cell>
        </row>
        <row r="112">
          <cell r="A112">
            <v>43038010</v>
          </cell>
          <cell r="B112" t="str">
            <v>Postage Expenses</v>
          </cell>
          <cell r="C112">
            <v>0</v>
          </cell>
          <cell r="D112">
            <v>25</v>
          </cell>
          <cell r="E112">
            <v>0</v>
          </cell>
          <cell r="F112">
            <v>25</v>
          </cell>
          <cell r="G112">
            <v>0</v>
          </cell>
          <cell r="H112">
            <v>25</v>
          </cell>
        </row>
        <row r="113">
          <cell r="A113">
            <v>43038020</v>
          </cell>
          <cell r="B113" t="str">
            <v>Courier Expenses</v>
          </cell>
          <cell r="C113">
            <v>0</v>
          </cell>
          <cell r="D113">
            <v>7356</v>
          </cell>
          <cell r="E113">
            <v>2500</v>
          </cell>
          <cell r="F113">
            <v>4856</v>
          </cell>
          <cell r="G113">
            <v>0</v>
          </cell>
          <cell r="H113">
            <v>4856</v>
          </cell>
        </row>
        <row r="114">
          <cell r="A114">
            <v>43038030</v>
          </cell>
          <cell r="B114" t="str">
            <v>Telephone Expenses</v>
          </cell>
          <cell r="C114">
            <v>0</v>
          </cell>
          <cell r="D114">
            <v>11482</v>
          </cell>
          <cell r="E114">
            <v>0</v>
          </cell>
          <cell r="F114">
            <v>11482</v>
          </cell>
          <cell r="G114">
            <v>0</v>
          </cell>
          <cell r="H114">
            <v>11482</v>
          </cell>
        </row>
        <row r="115">
          <cell r="A115">
            <v>43038050</v>
          </cell>
          <cell r="B115" t="str">
            <v>Telephone Chgs - Mobile  FBT</v>
          </cell>
          <cell r="C115">
            <v>0</v>
          </cell>
          <cell r="D115">
            <v>31496</v>
          </cell>
          <cell r="E115">
            <v>11903</v>
          </cell>
          <cell r="F115">
            <v>19593</v>
          </cell>
          <cell r="G115">
            <v>0</v>
          </cell>
          <cell r="H115">
            <v>19593</v>
          </cell>
        </row>
        <row r="116">
          <cell r="A116">
            <v>43040010</v>
          </cell>
          <cell r="B116" t="str">
            <v>Conveyance Expenses - FBT</v>
          </cell>
          <cell r="C116">
            <v>0</v>
          </cell>
          <cell r="D116">
            <v>26097.5</v>
          </cell>
          <cell r="E116">
            <v>1000</v>
          </cell>
          <cell r="F116">
            <v>25097.5</v>
          </cell>
          <cell r="G116">
            <v>0</v>
          </cell>
          <cell r="H116">
            <v>25097.5</v>
          </cell>
        </row>
        <row r="117">
          <cell r="A117">
            <v>43040040</v>
          </cell>
          <cell r="B117" t="str">
            <v>Motor Car Hire Expenses</v>
          </cell>
          <cell r="C117">
            <v>0</v>
          </cell>
          <cell r="D117">
            <v>66500</v>
          </cell>
          <cell r="E117">
            <v>32000</v>
          </cell>
          <cell r="F117">
            <v>34500</v>
          </cell>
          <cell r="G117">
            <v>0</v>
          </cell>
          <cell r="H117">
            <v>34500</v>
          </cell>
        </row>
        <row r="118">
          <cell r="A118">
            <v>43040080</v>
          </cell>
          <cell r="B118" t="str">
            <v>Travelling Expenses - Domestic - FBT</v>
          </cell>
          <cell r="C118">
            <v>0</v>
          </cell>
          <cell r="D118">
            <v>52390</v>
          </cell>
          <cell r="E118">
            <v>21442</v>
          </cell>
          <cell r="F118">
            <v>30948</v>
          </cell>
          <cell r="G118">
            <v>0</v>
          </cell>
          <cell r="H118">
            <v>30948</v>
          </cell>
        </row>
        <row r="119">
          <cell r="A119">
            <v>43040100</v>
          </cell>
          <cell r="B119" t="str">
            <v>Hotel Expenses  - FBT</v>
          </cell>
          <cell r="C119">
            <v>0</v>
          </cell>
          <cell r="D119">
            <v>8860</v>
          </cell>
          <cell r="E119">
            <v>5500</v>
          </cell>
          <cell r="F119">
            <v>3360</v>
          </cell>
          <cell r="G119">
            <v>0</v>
          </cell>
          <cell r="H119">
            <v>3360</v>
          </cell>
        </row>
        <row r="120">
          <cell r="A120">
            <v>43042010</v>
          </cell>
          <cell r="B120" t="str">
            <v>Fuel - Truck Mixers</v>
          </cell>
          <cell r="C120">
            <v>0</v>
          </cell>
          <cell r="D120">
            <v>433840.84</v>
          </cell>
          <cell r="E120">
            <v>0</v>
          </cell>
          <cell r="F120">
            <v>433840.84</v>
          </cell>
          <cell r="G120">
            <v>0</v>
          </cell>
          <cell r="H120">
            <v>433840.84</v>
          </cell>
        </row>
        <row r="121">
          <cell r="A121">
            <v>43042020</v>
          </cell>
          <cell r="B121" t="str">
            <v>Fuel - Loader</v>
          </cell>
          <cell r="C121">
            <v>0</v>
          </cell>
          <cell r="D121">
            <v>22182.6</v>
          </cell>
          <cell r="E121">
            <v>0</v>
          </cell>
          <cell r="F121">
            <v>22182.6</v>
          </cell>
          <cell r="G121">
            <v>0</v>
          </cell>
          <cell r="H121">
            <v>22182.6</v>
          </cell>
        </row>
        <row r="122">
          <cell r="A122">
            <v>43042050</v>
          </cell>
          <cell r="B122" t="str">
            <v>Fuel -  External Trucks/Pumps</v>
          </cell>
          <cell r="C122">
            <v>0</v>
          </cell>
          <cell r="D122">
            <v>10184.17</v>
          </cell>
          <cell r="E122">
            <v>0</v>
          </cell>
          <cell r="F122">
            <v>10184.17</v>
          </cell>
          <cell r="G122">
            <v>0</v>
          </cell>
          <cell r="H122">
            <v>10184.17</v>
          </cell>
        </row>
        <row r="123">
          <cell r="A123">
            <v>43042060</v>
          </cell>
          <cell r="B123" t="str">
            <v>Fuel - Concrete Pumps</v>
          </cell>
          <cell r="C123">
            <v>0</v>
          </cell>
          <cell r="D123">
            <v>48465.62</v>
          </cell>
          <cell r="E123">
            <v>0</v>
          </cell>
          <cell r="F123">
            <v>48465.62</v>
          </cell>
          <cell r="G123">
            <v>0</v>
          </cell>
          <cell r="H123">
            <v>48465.62</v>
          </cell>
        </row>
        <row r="124">
          <cell r="A124">
            <v>43046010</v>
          </cell>
          <cell r="B124" t="str">
            <v>Rates &amp; Taxes</v>
          </cell>
          <cell r="C124">
            <v>0</v>
          </cell>
          <cell r="D124">
            <v>30780</v>
          </cell>
          <cell r="E124">
            <v>29130</v>
          </cell>
          <cell r="F124">
            <v>1650</v>
          </cell>
          <cell r="G124">
            <v>0</v>
          </cell>
          <cell r="H124">
            <v>1650</v>
          </cell>
        </row>
        <row r="125">
          <cell r="A125">
            <v>43046020</v>
          </cell>
          <cell r="B125" t="str">
            <v>Toll Charges- Truck Mixer</v>
          </cell>
          <cell r="C125">
            <v>0</v>
          </cell>
          <cell r="D125">
            <v>2181</v>
          </cell>
          <cell r="E125">
            <v>0</v>
          </cell>
          <cell r="F125">
            <v>2181</v>
          </cell>
          <cell r="G125">
            <v>0</v>
          </cell>
          <cell r="H125">
            <v>2181</v>
          </cell>
        </row>
        <row r="126">
          <cell r="A126">
            <v>43046030</v>
          </cell>
          <cell r="B126" t="str">
            <v>Fines &amp; Penalties</v>
          </cell>
          <cell r="C126">
            <v>0</v>
          </cell>
          <cell r="D126">
            <v>2800</v>
          </cell>
          <cell r="E126">
            <v>0</v>
          </cell>
          <cell r="F126">
            <v>2800</v>
          </cell>
          <cell r="G126">
            <v>0</v>
          </cell>
          <cell r="H126">
            <v>2800</v>
          </cell>
        </row>
        <row r="127">
          <cell r="A127">
            <v>43052010</v>
          </cell>
          <cell r="B127" t="str">
            <v>Security Service Charges</v>
          </cell>
          <cell r="C127">
            <v>0</v>
          </cell>
          <cell r="D127">
            <v>83459</v>
          </cell>
          <cell r="E127">
            <v>0</v>
          </cell>
          <cell r="F127">
            <v>83459</v>
          </cell>
          <cell r="G127">
            <v>0</v>
          </cell>
          <cell r="H127">
            <v>83459</v>
          </cell>
        </row>
        <row r="128">
          <cell r="A128">
            <v>43054010</v>
          </cell>
          <cell r="B128" t="str">
            <v>Hire Charges - Machine</v>
          </cell>
          <cell r="C128">
            <v>0</v>
          </cell>
          <cell r="D128">
            <v>2500</v>
          </cell>
          <cell r="E128">
            <v>0</v>
          </cell>
          <cell r="F128">
            <v>2500</v>
          </cell>
          <cell r="G128">
            <v>0</v>
          </cell>
          <cell r="H128">
            <v>2500</v>
          </cell>
        </row>
        <row r="129">
          <cell r="A129">
            <v>43054020</v>
          </cell>
          <cell r="B129" t="str">
            <v>Concrete Carrying Charges - TM</v>
          </cell>
          <cell r="C129">
            <v>0</v>
          </cell>
          <cell r="D129">
            <v>2486307</v>
          </cell>
          <cell r="E129">
            <v>1086885</v>
          </cell>
          <cell r="F129">
            <v>1399422</v>
          </cell>
          <cell r="G129">
            <v>0</v>
          </cell>
          <cell r="H129">
            <v>1399422</v>
          </cell>
        </row>
        <row r="130">
          <cell r="A130">
            <v>43054040</v>
          </cell>
          <cell r="B130" t="str">
            <v>Hire Charges - Vehicle</v>
          </cell>
          <cell r="C130">
            <v>0</v>
          </cell>
          <cell r="D130">
            <v>42017</v>
          </cell>
          <cell r="E130">
            <v>10000</v>
          </cell>
          <cell r="F130">
            <v>32017</v>
          </cell>
          <cell r="G130">
            <v>0</v>
          </cell>
          <cell r="H130">
            <v>32017</v>
          </cell>
        </row>
        <row r="131">
          <cell r="A131">
            <v>43056010</v>
          </cell>
          <cell r="B131" t="str">
            <v>Professional &amp; Consultancy Fees</v>
          </cell>
          <cell r="C131">
            <v>0</v>
          </cell>
          <cell r="D131">
            <v>18139</v>
          </cell>
          <cell r="E131">
            <v>13330</v>
          </cell>
          <cell r="F131">
            <v>4809</v>
          </cell>
          <cell r="G131">
            <v>0</v>
          </cell>
          <cell r="H131">
            <v>4809</v>
          </cell>
        </row>
        <row r="132">
          <cell r="A132">
            <v>43066020</v>
          </cell>
          <cell r="B132" t="str">
            <v>Printing &amp; Stationery</v>
          </cell>
          <cell r="C132">
            <v>0</v>
          </cell>
          <cell r="D132">
            <v>9683.5</v>
          </cell>
          <cell r="E132">
            <v>0</v>
          </cell>
          <cell r="F132">
            <v>9683.5</v>
          </cell>
          <cell r="G132">
            <v>0</v>
          </cell>
          <cell r="H132">
            <v>9683.5</v>
          </cell>
        </row>
        <row r="133">
          <cell r="A133">
            <v>43084020</v>
          </cell>
          <cell r="B133" t="str">
            <v>Testing Charges</v>
          </cell>
          <cell r="C133">
            <v>0</v>
          </cell>
          <cell r="D133">
            <v>5525</v>
          </cell>
          <cell r="E133">
            <v>0</v>
          </cell>
          <cell r="F133">
            <v>5525</v>
          </cell>
          <cell r="G133">
            <v>0</v>
          </cell>
          <cell r="H133">
            <v>5525</v>
          </cell>
        </row>
        <row r="134">
          <cell r="A134">
            <v>43084030</v>
          </cell>
          <cell r="B134" t="str">
            <v>Rounding Off</v>
          </cell>
          <cell r="C134">
            <v>0</v>
          </cell>
          <cell r="D134">
            <v>92.85</v>
          </cell>
          <cell r="E134">
            <v>77.13</v>
          </cell>
          <cell r="F134">
            <v>15.72</v>
          </cell>
          <cell r="G134">
            <v>0</v>
          </cell>
          <cell r="H134">
            <v>15.72</v>
          </cell>
        </row>
        <row r="135">
          <cell r="A135">
            <v>44010040</v>
          </cell>
          <cell r="B135" t="str">
            <v>Bank Charges</v>
          </cell>
          <cell r="C135">
            <v>0</v>
          </cell>
          <cell r="D135">
            <v>161.80000000000001</v>
          </cell>
          <cell r="E135">
            <v>10.3</v>
          </cell>
          <cell r="F135">
            <v>151.5</v>
          </cell>
          <cell r="G135">
            <v>0</v>
          </cell>
          <cell r="H135">
            <v>151.5</v>
          </cell>
        </row>
        <row r="136">
          <cell r="A136">
            <v>44010050</v>
          </cell>
          <cell r="B136" t="str">
            <v>Interest Paid</v>
          </cell>
          <cell r="C136">
            <v>0</v>
          </cell>
          <cell r="D136">
            <v>34</v>
          </cell>
          <cell r="E136">
            <v>0</v>
          </cell>
          <cell r="F136">
            <v>34</v>
          </cell>
          <cell r="G136">
            <v>0</v>
          </cell>
          <cell r="H136">
            <v>34</v>
          </cell>
        </row>
        <row r="137">
          <cell r="A137">
            <v>45010010</v>
          </cell>
          <cell r="B137" t="str">
            <v>Depreciation</v>
          </cell>
          <cell r="C137">
            <v>0</v>
          </cell>
          <cell r="D137">
            <v>1064971</v>
          </cell>
          <cell r="E137">
            <v>103351</v>
          </cell>
          <cell r="F137">
            <v>961620</v>
          </cell>
          <cell r="G137">
            <v>0</v>
          </cell>
          <cell r="H137">
            <v>961620</v>
          </cell>
        </row>
        <row r="138">
          <cell r="A138">
            <v>52000000</v>
          </cell>
          <cell r="B138" t="str">
            <v>Inter Branch Control Account</v>
          </cell>
          <cell r="C138">
            <v>-54388744.240000002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-54388744.240000002</v>
          </cell>
        </row>
        <row r="139">
          <cell r="A139">
            <v>52000809</v>
          </cell>
          <cell r="B139" t="str">
            <v>Inter branch control account for 08-09</v>
          </cell>
          <cell r="C139">
            <v>-12691577.380000001</v>
          </cell>
          <cell r="D139">
            <v>2130675</v>
          </cell>
          <cell r="E139">
            <v>2540140</v>
          </cell>
          <cell r="F139">
            <v>-409465</v>
          </cell>
          <cell r="G139">
            <v>0</v>
          </cell>
          <cell r="H139">
            <v>-13101042.380000001</v>
          </cell>
        </row>
        <row r="140">
          <cell r="A140">
            <v>61000400</v>
          </cell>
          <cell r="B140" t="str">
            <v>Control Account Haulage Income</v>
          </cell>
          <cell r="C140">
            <v>0</v>
          </cell>
          <cell r="D140">
            <v>1038240</v>
          </cell>
          <cell r="E140">
            <v>1038240</v>
          </cell>
          <cell r="F140">
            <v>0</v>
          </cell>
          <cell r="G140">
            <v>0</v>
          </cell>
          <cell r="H140">
            <v>0</v>
          </cell>
        </row>
        <row r="141">
          <cell r="A141">
            <v>61000500</v>
          </cell>
          <cell r="B141" t="str">
            <v>Control Account for Pumping</v>
          </cell>
          <cell r="C141">
            <v>0</v>
          </cell>
          <cell r="D141">
            <v>492750</v>
          </cell>
          <cell r="E141">
            <v>492750</v>
          </cell>
          <cell r="F141">
            <v>0</v>
          </cell>
          <cell r="G141">
            <v>0</v>
          </cell>
          <cell r="H141">
            <v>0</v>
          </cell>
        </row>
        <row r="142">
          <cell r="A142">
            <v>62000000</v>
          </cell>
          <cell r="B142" t="str">
            <v>Inter branch Clearing account</v>
          </cell>
          <cell r="C142">
            <v>0</v>
          </cell>
          <cell r="D142">
            <v>2038315</v>
          </cell>
          <cell r="E142">
            <v>2038315</v>
          </cell>
          <cell r="F142">
            <v>0</v>
          </cell>
          <cell r="G142">
            <v>0</v>
          </cell>
          <cell r="H142">
            <v>0</v>
          </cell>
        </row>
        <row r="143">
          <cell r="B143" t="str">
            <v>Total</v>
          </cell>
          <cell r="D143">
            <v>0</v>
          </cell>
          <cell r="E143">
            <v>95381794.810000002</v>
          </cell>
          <cell r="F143">
            <v>95381794.810000002</v>
          </cell>
          <cell r="G143">
            <v>0</v>
          </cell>
          <cell r="H143">
            <v>0</v>
          </cell>
        </row>
      </sheetData>
      <sheetData sheetId="9" refreshError="1">
        <row r="1">
          <cell r="A1" t="str">
            <v>RMC Readymix (I) Pvt. Ltd.,</v>
          </cell>
          <cell r="B1" t="str">
            <v>Trial balance</v>
          </cell>
          <cell r="C1">
            <v>39969</v>
          </cell>
          <cell r="D1">
            <v>0.73591435185185183</v>
          </cell>
          <cell r="E1" t="str">
            <v>Page 1</v>
          </cell>
          <cell r="F1" t="str">
            <v>Goa</v>
          </cell>
        </row>
        <row r="2">
          <cell r="A2" t="str">
            <v>Period</v>
          </cell>
          <cell r="B2">
            <v>39904</v>
          </cell>
          <cell r="C2">
            <v>39964</v>
          </cell>
        </row>
        <row r="3">
          <cell r="A3" t="str">
            <v>Ledger account</v>
          </cell>
          <cell r="B3" t="str">
            <v>Account name</v>
          </cell>
          <cell r="C3" t="str">
            <v>Opening balance</v>
          </cell>
          <cell r="D3" t="str">
            <v>Debit</v>
          </cell>
          <cell r="E3" t="str">
            <v>Credit</v>
          </cell>
          <cell r="F3" t="str">
            <v>Net difference</v>
          </cell>
          <cell r="G3" t="str">
            <v>Closing transactions</v>
          </cell>
          <cell r="H3" t="str">
            <v>Closing balance</v>
          </cell>
        </row>
        <row r="4">
          <cell r="A4">
            <v>11010010</v>
          </cell>
          <cell r="B4" t="str">
            <v>Freehold Land</v>
          </cell>
          <cell r="C4">
            <v>10320584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10320584</v>
          </cell>
        </row>
        <row r="5">
          <cell r="A5">
            <v>11015010</v>
          </cell>
          <cell r="B5" t="str">
            <v>Buildings</v>
          </cell>
          <cell r="C5">
            <v>20361872.300000001</v>
          </cell>
          <cell r="D5">
            <v>4433</v>
          </cell>
          <cell r="E5">
            <v>0</v>
          </cell>
          <cell r="F5">
            <v>4433</v>
          </cell>
          <cell r="G5">
            <v>0</v>
          </cell>
          <cell r="H5">
            <v>20366305.300000001</v>
          </cell>
        </row>
        <row r="6">
          <cell r="A6">
            <v>11025010</v>
          </cell>
          <cell r="B6" t="str">
            <v>Plant and Machinery</v>
          </cell>
          <cell r="C6">
            <v>37591348.049999997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37591348.049999997</v>
          </cell>
        </row>
        <row r="7">
          <cell r="A7">
            <v>11030010</v>
          </cell>
          <cell r="B7" t="str">
            <v>Electrical Installations</v>
          </cell>
          <cell r="C7">
            <v>3563923.24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3563923.24</v>
          </cell>
        </row>
        <row r="8">
          <cell r="A8">
            <v>11035010</v>
          </cell>
          <cell r="B8" t="str">
            <v>Furniture &amp; Fixtures</v>
          </cell>
          <cell r="C8">
            <v>1535296</v>
          </cell>
          <cell r="D8">
            <v>36695</v>
          </cell>
          <cell r="E8">
            <v>36694</v>
          </cell>
          <cell r="F8">
            <v>1</v>
          </cell>
          <cell r="G8">
            <v>0</v>
          </cell>
          <cell r="H8">
            <v>1535297</v>
          </cell>
        </row>
        <row r="9">
          <cell r="A9">
            <v>11040010</v>
          </cell>
          <cell r="B9" t="str">
            <v>Office &amp; Electrical Appliances</v>
          </cell>
          <cell r="C9">
            <v>897646.74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897646.74</v>
          </cell>
        </row>
        <row r="10">
          <cell r="A10">
            <v>11045010</v>
          </cell>
          <cell r="B10" t="str">
            <v>Truck Mixers, Loaders &amp; Truck Dumpers</v>
          </cell>
          <cell r="C10">
            <v>19010169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19010169</v>
          </cell>
        </row>
        <row r="11">
          <cell r="A11">
            <v>11060010</v>
          </cell>
          <cell r="B11" t="str">
            <v>Capital W.I.P</v>
          </cell>
          <cell r="C11">
            <v>0</v>
          </cell>
          <cell r="D11">
            <v>41127</v>
          </cell>
          <cell r="E11">
            <v>41128</v>
          </cell>
          <cell r="F11">
            <v>-1</v>
          </cell>
          <cell r="G11">
            <v>0</v>
          </cell>
          <cell r="H11">
            <v>-1</v>
          </cell>
        </row>
        <row r="12">
          <cell r="A12">
            <v>13015010</v>
          </cell>
          <cell r="B12" t="str">
            <v>Balance Sheet Stock of Raw material - RMC</v>
          </cell>
          <cell r="C12">
            <v>5354710.9800000004</v>
          </cell>
          <cell r="D12">
            <v>5760288.1799999997</v>
          </cell>
          <cell r="E12">
            <v>5354710.9800000004</v>
          </cell>
          <cell r="F12">
            <v>405577.2</v>
          </cell>
          <cell r="G12">
            <v>0</v>
          </cell>
          <cell r="H12">
            <v>5760288.1799999997</v>
          </cell>
        </row>
        <row r="13">
          <cell r="A13">
            <v>13020010</v>
          </cell>
          <cell r="B13" t="str">
            <v>Sundry Debtors Account</v>
          </cell>
          <cell r="C13">
            <v>24013812</v>
          </cell>
          <cell r="D13">
            <v>47077713</v>
          </cell>
          <cell r="E13">
            <v>48313350.719999999</v>
          </cell>
          <cell r="F13">
            <v>-1235637.72</v>
          </cell>
          <cell r="G13">
            <v>0</v>
          </cell>
          <cell r="H13">
            <v>22778174.280000001</v>
          </cell>
        </row>
        <row r="14">
          <cell r="A14">
            <v>13025010</v>
          </cell>
          <cell r="B14" t="str">
            <v>Cash In Hand</v>
          </cell>
          <cell r="C14">
            <v>17673</v>
          </cell>
          <cell r="D14">
            <v>300000</v>
          </cell>
          <cell r="E14">
            <v>295860</v>
          </cell>
          <cell r="F14">
            <v>4140</v>
          </cell>
          <cell r="G14">
            <v>0</v>
          </cell>
          <cell r="H14">
            <v>21813</v>
          </cell>
        </row>
        <row r="15">
          <cell r="A15">
            <v>13035010</v>
          </cell>
          <cell r="B15" t="str">
            <v>Bank Account</v>
          </cell>
          <cell r="C15">
            <v>20445.439999999999</v>
          </cell>
          <cell r="D15">
            <v>49258841.719999999</v>
          </cell>
          <cell r="E15">
            <v>57387965.920000002</v>
          </cell>
          <cell r="F15">
            <v>-8129124.2000000002</v>
          </cell>
          <cell r="G15">
            <v>0</v>
          </cell>
          <cell r="H15">
            <v>-8108678.7599999998</v>
          </cell>
        </row>
        <row r="16">
          <cell r="A16">
            <v>13040030</v>
          </cell>
          <cell r="B16" t="str">
            <v>Cheques in Hand collected from parties as on 31.03</v>
          </cell>
          <cell r="C16">
            <v>509166</v>
          </cell>
          <cell r="D16">
            <v>0</v>
          </cell>
          <cell r="E16">
            <v>509166</v>
          </cell>
          <cell r="F16">
            <v>-509166</v>
          </cell>
          <cell r="G16">
            <v>0</v>
          </cell>
          <cell r="H16">
            <v>0</v>
          </cell>
        </row>
        <row r="17">
          <cell r="A17">
            <v>13055020</v>
          </cell>
          <cell r="B17" t="str">
            <v>Prepaid Expenses</v>
          </cell>
          <cell r="C17">
            <v>99583</v>
          </cell>
          <cell r="D17">
            <v>150509</v>
          </cell>
          <cell r="E17">
            <v>57731</v>
          </cell>
          <cell r="F17">
            <v>92778</v>
          </cell>
          <cell r="G17">
            <v>0</v>
          </cell>
          <cell r="H17">
            <v>192361</v>
          </cell>
        </row>
        <row r="18">
          <cell r="A18">
            <v>13055090</v>
          </cell>
          <cell r="B18" t="str">
            <v>Sundry Deposits</v>
          </cell>
          <cell r="C18">
            <v>592000</v>
          </cell>
          <cell r="D18">
            <v>100000</v>
          </cell>
          <cell r="E18">
            <v>70803</v>
          </cell>
          <cell r="F18">
            <v>29197</v>
          </cell>
          <cell r="G18">
            <v>0</v>
          </cell>
          <cell r="H18">
            <v>621197</v>
          </cell>
        </row>
        <row r="19">
          <cell r="A19">
            <v>25005010</v>
          </cell>
          <cell r="B19" t="str">
            <v>Creditors Control</v>
          </cell>
          <cell r="C19">
            <v>-20409507.77</v>
          </cell>
          <cell r="D19">
            <v>41028230</v>
          </cell>
          <cell r="E19">
            <v>29320099.800000001</v>
          </cell>
          <cell r="F19">
            <v>11708130.199999999</v>
          </cell>
          <cell r="G19">
            <v>0</v>
          </cell>
          <cell r="H19">
            <v>-8701377.5700000003</v>
          </cell>
        </row>
        <row r="20">
          <cell r="A20">
            <v>25005050</v>
          </cell>
          <cell r="B20" t="str">
            <v>Creditors liability for material received but bill not recei</v>
          </cell>
          <cell r="C20">
            <v>-861150.5</v>
          </cell>
          <cell r="D20">
            <v>29055447</v>
          </cell>
          <cell r="E20">
            <v>34777460.149999999</v>
          </cell>
          <cell r="F20">
            <v>-5722013.1500000004</v>
          </cell>
          <cell r="G20">
            <v>0</v>
          </cell>
          <cell r="H20">
            <v>-6583163.6500000004</v>
          </cell>
        </row>
        <row r="21">
          <cell r="A21">
            <v>25010020</v>
          </cell>
          <cell r="B21" t="str">
            <v>Outstanding Liabilities For Expenses</v>
          </cell>
          <cell r="C21">
            <v>-178500</v>
          </cell>
          <cell r="D21">
            <v>178500</v>
          </cell>
          <cell r="E21">
            <v>0</v>
          </cell>
          <cell r="F21">
            <v>178500</v>
          </cell>
          <cell r="G21">
            <v>0</v>
          </cell>
          <cell r="H21">
            <v>0</v>
          </cell>
        </row>
        <row r="22">
          <cell r="A22">
            <v>25010060</v>
          </cell>
          <cell r="B22" t="str">
            <v>T.D.S.payable account</v>
          </cell>
          <cell r="C22">
            <v>-99408</v>
          </cell>
          <cell r="D22">
            <v>136615</v>
          </cell>
          <cell r="E22">
            <v>188530</v>
          </cell>
          <cell r="F22">
            <v>-51915</v>
          </cell>
          <cell r="G22">
            <v>0</v>
          </cell>
          <cell r="H22">
            <v>-151323</v>
          </cell>
        </row>
        <row r="23">
          <cell r="A23">
            <v>25010120</v>
          </cell>
          <cell r="B23" t="str">
            <v>Service Tax Payable</v>
          </cell>
          <cell r="C23">
            <v>0</v>
          </cell>
          <cell r="D23">
            <v>37037</v>
          </cell>
          <cell r="E23">
            <v>70274.820000000007</v>
          </cell>
          <cell r="F23">
            <v>-33237.82</v>
          </cell>
          <cell r="G23">
            <v>0</v>
          </cell>
          <cell r="H23">
            <v>-33237.82</v>
          </cell>
        </row>
        <row r="24">
          <cell r="A24">
            <v>25010190</v>
          </cell>
          <cell r="B24" t="str">
            <v>VAT  Payable account</v>
          </cell>
          <cell r="C24">
            <v>-854680</v>
          </cell>
          <cell r="D24">
            <v>1713731</v>
          </cell>
          <cell r="E24">
            <v>1739330</v>
          </cell>
          <cell r="F24">
            <v>-25599</v>
          </cell>
          <cell r="G24">
            <v>0</v>
          </cell>
          <cell r="H24">
            <v>-880279</v>
          </cell>
        </row>
        <row r="25">
          <cell r="A25">
            <v>25010200</v>
          </cell>
          <cell r="B25" t="str">
            <v>Provision for Expenses in MIS</v>
          </cell>
          <cell r="C25">
            <v>0</v>
          </cell>
          <cell r="D25">
            <v>2480910</v>
          </cell>
          <cell r="E25">
            <v>3794257</v>
          </cell>
          <cell r="F25">
            <v>-1313347</v>
          </cell>
          <cell r="G25">
            <v>0</v>
          </cell>
          <cell r="H25">
            <v>-1313347</v>
          </cell>
        </row>
        <row r="26">
          <cell r="A26">
            <v>25010210</v>
          </cell>
          <cell r="B26" t="str">
            <v>Provision for Expenses Cumulative in Nature</v>
          </cell>
          <cell r="C26">
            <v>0</v>
          </cell>
          <cell r="D26">
            <v>542000</v>
          </cell>
          <cell r="E26">
            <v>1964000</v>
          </cell>
          <cell r="F26">
            <v>-1422000</v>
          </cell>
          <cell r="G26">
            <v>0</v>
          </cell>
          <cell r="H26">
            <v>-1422000</v>
          </cell>
        </row>
        <row r="27">
          <cell r="A27">
            <v>26015010</v>
          </cell>
          <cell r="B27" t="str">
            <v>Prov For Dep.-  Buildings</v>
          </cell>
          <cell r="C27">
            <v>-675180.68</v>
          </cell>
          <cell r="D27">
            <v>0</v>
          </cell>
          <cell r="E27">
            <v>59713</v>
          </cell>
          <cell r="F27">
            <v>-59713</v>
          </cell>
          <cell r="G27">
            <v>0</v>
          </cell>
          <cell r="H27">
            <v>-734893.68</v>
          </cell>
        </row>
        <row r="28">
          <cell r="A28">
            <v>26025010</v>
          </cell>
          <cell r="B28" t="str">
            <v>Provision for Depreciation Plant &amp; Machinery</v>
          </cell>
          <cell r="C28">
            <v>-6539071</v>
          </cell>
          <cell r="D28">
            <v>0</v>
          </cell>
          <cell r="E28">
            <v>558660</v>
          </cell>
          <cell r="F28">
            <v>-558660</v>
          </cell>
          <cell r="G28">
            <v>0</v>
          </cell>
          <cell r="H28">
            <v>-7097731</v>
          </cell>
        </row>
        <row r="29">
          <cell r="A29">
            <v>26030010</v>
          </cell>
          <cell r="B29" t="str">
            <v>Provision For Dep.-Electrical Installations</v>
          </cell>
          <cell r="C29">
            <v>-671531.12</v>
          </cell>
          <cell r="D29">
            <v>0</v>
          </cell>
          <cell r="E29">
            <v>58947</v>
          </cell>
          <cell r="F29">
            <v>-58947</v>
          </cell>
          <cell r="G29">
            <v>0</v>
          </cell>
          <cell r="H29">
            <v>-730478.12</v>
          </cell>
        </row>
        <row r="30">
          <cell r="A30">
            <v>26035010</v>
          </cell>
          <cell r="B30" t="str">
            <v>Provision For Dep.-Furniture and Fixtures</v>
          </cell>
          <cell r="C30">
            <v>-352605</v>
          </cell>
          <cell r="D30">
            <v>36695.33</v>
          </cell>
          <cell r="E30">
            <v>60817.1</v>
          </cell>
          <cell r="F30">
            <v>-24121.77</v>
          </cell>
          <cell r="G30">
            <v>0</v>
          </cell>
          <cell r="H30">
            <v>-376726.77</v>
          </cell>
        </row>
        <row r="31">
          <cell r="A31">
            <v>26040010</v>
          </cell>
          <cell r="B31" t="str">
            <v>Provision for Depreciation- Office and Electrical Appliances</v>
          </cell>
          <cell r="C31">
            <v>-304116.03000000003</v>
          </cell>
          <cell r="D31">
            <v>0</v>
          </cell>
          <cell r="E31">
            <v>23355</v>
          </cell>
          <cell r="F31">
            <v>-23355</v>
          </cell>
          <cell r="G31">
            <v>0</v>
          </cell>
          <cell r="H31">
            <v>-327471.03000000003</v>
          </cell>
        </row>
        <row r="32">
          <cell r="A32">
            <v>26045010</v>
          </cell>
          <cell r="B32" t="str">
            <v>Provision for Depreciation- Truck Mixers, Loaders &amp; Dumpers</v>
          </cell>
          <cell r="C32">
            <v>-4599501</v>
          </cell>
          <cell r="D32">
            <v>0</v>
          </cell>
          <cell r="E32">
            <v>396044</v>
          </cell>
          <cell r="F32">
            <v>-396044</v>
          </cell>
          <cell r="G32">
            <v>0</v>
          </cell>
          <cell r="H32">
            <v>-4995545</v>
          </cell>
        </row>
        <row r="33">
          <cell r="A33">
            <v>26055020</v>
          </cell>
          <cell r="B33" t="str">
            <v>Profit &amp; Loss A/c</v>
          </cell>
          <cell r="C33">
            <v>-32164714.399999999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-32164714.399999999</v>
          </cell>
        </row>
        <row r="34">
          <cell r="A34">
            <v>26055050</v>
          </cell>
          <cell r="B34" t="str">
            <v>Provision for Production linked incentive (KRA)</v>
          </cell>
          <cell r="C34">
            <v>0</v>
          </cell>
          <cell r="D34">
            <v>0</v>
          </cell>
          <cell r="E34">
            <v>57933</v>
          </cell>
          <cell r="F34">
            <v>-57933</v>
          </cell>
          <cell r="G34">
            <v>0</v>
          </cell>
          <cell r="H34">
            <v>-57933</v>
          </cell>
        </row>
        <row r="35">
          <cell r="A35">
            <v>31010010</v>
          </cell>
          <cell r="B35" t="str">
            <v>Sales</v>
          </cell>
          <cell r="C35">
            <v>0</v>
          </cell>
          <cell r="D35">
            <v>19374</v>
          </cell>
          <cell r="E35">
            <v>43379234.590000004</v>
          </cell>
          <cell r="F35">
            <v>-43359860.590000004</v>
          </cell>
          <cell r="G35">
            <v>0</v>
          </cell>
          <cell r="H35">
            <v>-43359860.590000004</v>
          </cell>
        </row>
        <row r="36">
          <cell r="A36">
            <v>32010010</v>
          </cell>
          <cell r="B36" t="str">
            <v>Interest Income - Other Deposits</v>
          </cell>
          <cell r="C36">
            <v>0</v>
          </cell>
          <cell r="D36">
            <v>0</v>
          </cell>
          <cell r="E36">
            <v>5040</v>
          </cell>
          <cell r="F36">
            <v>-5040</v>
          </cell>
          <cell r="G36">
            <v>0</v>
          </cell>
          <cell r="H36">
            <v>-5040</v>
          </cell>
        </row>
        <row r="37">
          <cell r="A37">
            <v>32020020</v>
          </cell>
          <cell r="B37" t="str">
            <v>Misc Income - Scrap sales</v>
          </cell>
          <cell r="C37">
            <v>0</v>
          </cell>
          <cell r="D37">
            <v>0</v>
          </cell>
          <cell r="E37">
            <v>31777.69</v>
          </cell>
          <cell r="F37">
            <v>-31777.69</v>
          </cell>
          <cell r="G37">
            <v>0</v>
          </cell>
          <cell r="H37">
            <v>-31777.69</v>
          </cell>
        </row>
        <row r="38">
          <cell r="A38">
            <v>41010010</v>
          </cell>
          <cell r="B38" t="str">
            <v>Opening Stock - Cement</v>
          </cell>
          <cell r="C38">
            <v>0</v>
          </cell>
          <cell r="D38">
            <v>3807024.38</v>
          </cell>
          <cell r="E38">
            <v>0</v>
          </cell>
          <cell r="F38">
            <v>3807024.38</v>
          </cell>
          <cell r="G38">
            <v>0</v>
          </cell>
          <cell r="H38">
            <v>3807024.38</v>
          </cell>
        </row>
        <row r="39">
          <cell r="A39">
            <v>41010020</v>
          </cell>
          <cell r="B39" t="str">
            <v>Opening Stock - Sand</v>
          </cell>
          <cell r="C39">
            <v>0</v>
          </cell>
          <cell r="D39">
            <v>349166.05</v>
          </cell>
          <cell r="E39">
            <v>0</v>
          </cell>
          <cell r="F39">
            <v>349166.05</v>
          </cell>
          <cell r="G39">
            <v>0</v>
          </cell>
          <cell r="H39">
            <v>349166.05</v>
          </cell>
        </row>
        <row r="40">
          <cell r="A40">
            <v>41010030</v>
          </cell>
          <cell r="B40" t="str">
            <v>Opening Stock - CRF</v>
          </cell>
          <cell r="C40">
            <v>0</v>
          </cell>
          <cell r="D40">
            <v>33327.61</v>
          </cell>
          <cell r="E40">
            <v>0</v>
          </cell>
          <cell r="F40">
            <v>33327.61</v>
          </cell>
          <cell r="G40">
            <v>0</v>
          </cell>
          <cell r="H40">
            <v>33327.61</v>
          </cell>
        </row>
        <row r="41">
          <cell r="A41">
            <v>41010040</v>
          </cell>
          <cell r="B41" t="str">
            <v>Opening Stock - RMC Aggregates</v>
          </cell>
          <cell r="C41">
            <v>0</v>
          </cell>
          <cell r="D41">
            <v>412381.8</v>
          </cell>
          <cell r="E41">
            <v>0</v>
          </cell>
          <cell r="F41">
            <v>412381.8</v>
          </cell>
          <cell r="G41">
            <v>0</v>
          </cell>
          <cell r="H41">
            <v>412381.8</v>
          </cell>
        </row>
        <row r="42">
          <cell r="A42">
            <v>41010050</v>
          </cell>
          <cell r="B42" t="str">
            <v>Opening Stock - Admixtures</v>
          </cell>
          <cell r="C42">
            <v>0</v>
          </cell>
          <cell r="D42">
            <v>345739.99</v>
          </cell>
          <cell r="E42">
            <v>0</v>
          </cell>
          <cell r="F42">
            <v>345739.99</v>
          </cell>
          <cell r="G42">
            <v>0</v>
          </cell>
          <cell r="H42">
            <v>345739.99</v>
          </cell>
        </row>
        <row r="43">
          <cell r="A43">
            <v>41010070</v>
          </cell>
          <cell r="B43" t="str">
            <v>Opening Stock - Flyash</v>
          </cell>
          <cell r="C43">
            <v>0</v>
          </cell>
          <cell r="D43">
            <v>9.91</v>
          </cell>
          <cell r="E43">
            <v>0</v>
          </cell>
          <cell r="F43">
            <v>9.91</v>
          </cell>
          <cell r="G43">
            <v>0</v>
          </cell>
          <cell r="H43">
            <v>9.91</v>
          </cell>
        </row>
        <row r="44">
          <cell r="A44">
            <v>41010080</v>
          </cell>
          <cell r="B44" t="str">
            <v>Opening Stock - Diesel</v>
          </cell>
          <cell r="C44">
            <v>0</v>
          </cell>
          <cell r="D44">
            <v>150191.31</v>
          </cell>
          <cell r="E44">
            <v>0</v>
          </cell>
          <cell r="F44">
            <v>150191.31</v>
          </cell>
          <cell r="G44">
            <v>0</v>
          </cell>
          <cell r="H44">
            <v>150191.31</v>
          </cell>
        </row>
        <row r="45">
          <cell r="A45">
            <v>41010110</v>
          </cell>
          <cell r="B45" t="str">
            <v>Opening Stock GGBS</v>
          </cell>
          <cell r="C45">
            <v>0</v>
          </cell>
          <cell r="D45">
            <v>256869.93</v>
          </cell>
          <cell r="E45">
            <v>0</v>
          </cell>
          <cell r="F45">
            <v>256869.93</v>
          </cell>
          <cell r="G45">
            <v>0</v>
          </cell>
          <cell r="H45">
            <v>256869.93</v>
          </cell>
        </row>
        <row r="46">
          <cell r="A46">
            <v>41020010</v>
          </cell>
          <cell r="B46" t="str">
            <v>Raw Material Purchase - Cement</v>
          </cell>
          <cell r="C46">
            <v>0</v>
          </cell>
          <cell r="D46">
            <v>13786488.9</v>
          </cell>
          <cell r="E46">
            <v>13843373.880000001</v>
          </cell>
          <cell r="F46">
            <v>-56884.98</v>
          </cell>
          <cell r="G46">
            <v>0</v>
          </cell>
          <cell r="H46">
            <v>-56884.98</v>
          </cell>
        </row>
        <row r="47">
          <cell r="A47">
            <v>41020015</v>
          </cell>
          <cell r="B47" t="str">
            <v>Interim account cement received</v>
          </cell>
          <cell r="C47">
            <v>0</v>
          </cell>
          <cell r="D47">
            <v>13704721.539999999</v>
          </cell>
          <cell r="E47">
            <v>13704720.9</v>
          </cell>
          <cell r="F47">
            <v>0.64</v>
          </cell>
          <cell r="G47">
            <v>0</v>
          </cell>
          <cell r="H47">
            <v>0.64</v>
          </cell>
        </row>
        <row r="48">
          <cell r="A48">
            <v>41020020</v>
          </cell>
          <cell r="B48" t="str">
            <v>Cement Consumption account</v>
          </cell>
          <cell r="C48">
            <v>0</v>
          </cell>
          <cell r="D48">
            <v>13697324.34</v>
          </cell>
          <cell r="E48">
            <v>809.1</v>
          </cell>
          <cell r="F48">
            <v>13696515.24</v>
          </cell>
          <cell r="G48">
            <v>0</v>
          </cell>
          <cell r="H48">
            <v>13696515.24</v>
          </cell>
        </row>
        <row r="49">
          <cell r="A49">
            <v>41020030</v>
          </cell>
          <cell r="B49" t="str">
            <v>Raw Material Purchase - Aggregates</v>
          </cell>
          <cell r="C49">
            <v>0</v>
          </cell>
          <cell r="D49">
            <v>6981874.9500000002</v>
          </cell>
          <cell r="E49">
            <v>8342019.1799999997</v>
          </cell>
          <cell r="F49">
            <v>-1360144.23</v>
          </cell>
          <cell r="G49">
            <v>0</v>
          </cell>
          <cell r="H49">
            <v>-1360144.23</v>
          </cell>
        </row>
        <row r="50">
          <cell r="A50">
            <v>41020035</v>
          </cell>
          <cell r="B50" t="str">
            <v>Interim account Aggregate received</v>
          </cell>
          <cell r="C50">
            <v>0</v>
          </cell>
          <cell r="D50">
            <v>8382899.5099999998</v>
          </cell>
          <cell r="E50">
            <v>6838512.2599999998</v>
          </cell>
          <cell r="F50">
            <v>1544387.25</v>
          </cell>
          <cell r="G50">
            <v>0</v>
          </cell>
          <cell r="H50">
            <v>1544387.25</v>
          </cell>
        </row>
        <row r="51">
          <cell r="A51">
            <v>41020040</v>
          </cell>
          <cell r="B51" t="str">
            <v>Aggregate Consumption account</v>
          </cell>
          <cell r="C51">
            <v>0</v>
          </cell>
          <cell r="D51">
            <v>8233140.6600000001</v>
          </cell>
          <cell r="E51">
            <v>10137.549999999999</v>
          </cell>
          <cell r="F51">
            <v>8223003.1100000003</v>
          </cell>
          <cell r="G51">
            <v>0</v>
          </cell>
          <cell r="H51">
            <v>8223003.1100000003</v>
          </cell>
        </row>
        <row r="52">
          <cell r="A52">
            <v>41020050</v>
          </cell>
          <cell r="B52" t="str">
            <v>Raw Material Purchase - Sand</v>
          </cell>
          <cell r="C52">
            <v>0</v>
          </cell>
          <cell r="D52">
            <v>2132690.64</v>
          </cell>
          <cell r="E52">
            <v>4204413.9800000004</v>
          </cell>
          <cell r="F52">
            <v>-2071723.34</v>
          </cell>
          <cell r="G52">
            <v>0</v>
          </cell>
          <cell r="H52">
            <v>-2071723.34</v>
          </cell>
        </row>
        <row r="53">
          <cell r="A53">
            <v>41020055</v>
          </cell>
          <cell r="B53" t="str">
            <v>Interim account Sand Received</v>
          </cell>
          <cell r="C53">
            <v>0</v>
          </cell>
          <cell r="D53">
            <v>4121714.88</v>
          </cell>
          <cell r="E53">
            <v>2069617.87</v>
          </cell>
          <cell r="F53">
            <v>2052097.01</v>
          </cell>
          <cell r="G53">
            <v>0</v>
          </cell>
          <cell r="H53">
            <v>2052097.01</v>
          </cell>
        </row>
        <row r="54">
          <cell r="A54">
            <v>41020060</v>
          </cell>
          <cell r="B54" t="str">
            <v>Sand Consumption account</v>
          </cell>
          <cell r="C54">
            <v>0</v>
          </cell>
          <cell r="D54">
            <v>4015237.05</v>
          </cell>
          <cell r="E54">
            <v>2929.13</v>
          </cell>
          <cell r="F54">
            <v>4012307.92</v>
          </cell>
          <cell r="G54">
            <v>0</v>
          </cell>
          <cell r="H54">
            <v>4012307.92</v>
          </cell>
        </row>
        <row r="55">
          <cell r="A55">
            <v>41020070</v>
          </cell>
          <cell r="B55" t="str">
            <v>Raw Material Purchase - Admixture</v>
          </cell>
          <cell r="C55">
            <v>0</v>
          </cell>
          <cell r="D55">
            <v>1081135.33</v>
          </cell>
          <cell r="E55">
            <v>1342694.94</v>
          </cell>
          <cell r="F55">
            <v>-261559.61</v>
          </cell>
          <cell r="G55">
            <v>0</v>
          </cell>
          <cell r="H55">
            <v>-261559.61</v>
          </cell>
        </row>
        <row r="56">
          <cell r="A56">
            <v>41020075</v>
          </cell>
          <cell r="B56" t="str">
            <v>Interim account Admixture received</v>
          </cell>
          <cell r="C56">
            <v>0</v>
          </cell>
          <cell r="D56">
            <v>1369161.6</v>
          </cell>
          <cell r="E56">
            <v>912776</v>
          </cell>
          <cell r="F56">
            <v>456385.6</v>
          </cell>
          <cell r="G56">
            <v>0</v>
          </cell>
          <cell r="H56">
            <v>456385.6</v>
          </cell>
        </row>
        <row r="57">
          <cell r="A57">
            <v>41020080</v>
          </cell>
          <cell r="B57" t="str">
            <v>Admixture Consumption account</v>
          </cell>
          <cell r="C57">
            <v>0</v>
          </cell>
          <cell r="D57">
            <v>1205551.93</v>
          </cell>
          <cell r="E57">
            <v>1135.49</v>
          </cell>
          <cell r="F57">
            <v>1204416.44</v>
          </cell>
          <cell r="G57">
            <v>0</v>
          </cell>
          <cell r="H57">
            <v>1204416.44</v>
          </cell>
        </row>
        <row r="58">
          <cell r="A58">
            <v>41020110</v>
          </cell>
          <cell r="B58" t="str">
            <v>Raw Material Purchase GGBS</v>
          </cell>
          <cell r="C58">
            <v>0</v>
          </cell>
          <cell r="D58">
            <v>2237471.9</v>
          </cell>
          <cell r="E58">
            <v>3204237.22</v>
          </cell>
          <cell r="F58">
            <v>-966765.32</v>
          </cell>
          <cell r="G58">
            <v>0</v>
          </cell>
          <cell r="H58">
            <v>-966765.32</v>
          </cell>
        </row>
        <row r="59">
          <cell r="A59">
            <v>41020115</v>
          </cell>
          <cell r="B59" t="str">
            <v>Interim account for GGBS received</v>
          </cell>
          <cell r="C59">
            <v>0</v>
          </cell>
          <cell r="D59">
            <v>2626520.44</v>
          </cell>
          <cell r="E59">
            <v>1619044.1</v>
          </cell>
          <cell r="F59">
            <v>1007476.34</v>
          </cell>
          <cell r="G59">
            <v>0</v>
          </cell>
          <cell r="H59">
            <v>1007476.34</v>
          </cell>
        </row>
        <row r="60">
          <cell r="A60">
            <v>41020120</v>
          </cell>
          <cell r="B60" t="str">
            <v>GGBS Consumption account</v>
          </cell>
          <cell r="C60">
            <v>0</v>
          </cell>
          <cell r="D60">
            <v>2878980.96</v>
          </cell>
          <cell r="E60">
            <v>337068.82</v>
          </cell>
          <cell r="F60">
            <v>2541912.14</v>
          </cell>
          <cell r="G60">
            <v>0</v>
          </cell>
          <cell r="H60">
            <v>2541912.14</v>
          </cell>
        </row>
        <row r="61">
          <cell r="A61">
            <v>41020130</v>
          </cell>
          <cell r="B61" t="str">
            <v>Raw Materials Purchase - CRF</v>
          </cell>
          <cell r="C61">
            <v>0</v>
          </cell>
          <cell r="D61">
            <v>246244.92</v>
          </cell>
          <cell r="E61">
            <v>284562.55</v>
          </cell>
          <cell r="F61">
            <v>-38317.629999999997</v>
          </cell>
          <cell r="G61">
            <v>0</v>
          </cell>
          <cell r="H61">
            <v>-38317.629999999997</v>
          </cell>
        </row>
        <row r="62">
          <cell r="A62">
            <v>41020135</v>
          </cell>
          <cell r="B62" t="str">
            <v>Interim account for CRF received</v>
          </cell>
          <cell r="C62">
            <v>0</v>
          </cell>
          <cell r="D62">
            <v>363331.38</v>
          </cell>
          <cell r="E62">
            <v>245361.7</v>
          </cell>
          <cell r="F62">
            <v>117969.68</v>
          </cell>
          <cell r="G62">
            <v>0</v>
          </cell>
          <cell r="H62">
            <v>117969.68</v>
          </cell>
        </row>
        <row r="63">
          <cell r="A63">
            <v>41020140</v>
          </cell>
          <cell r="B63" t="str">
            <v>CRF Consumption account</v>
          </cell>
          <cell r="C63">
            <v>0</v>
          </cell>
          <cell r="D63">
            <v>273854.28999999998</v>
          </cell>
          <cell r="E63">
            <v>883.22</v>
          </cell>
          <cell r="F63">
            <v>272971.07</v>
          </cell>
          <cell r="G63">
            <v>0</v>
          </cell>
          <cell r="H63">
            <v>272971.07</v>
          </cell>
        </row>
        <row r="64">
          <cell r="A64">
            <v>41020150</v>
          </cell>
          <cell r="B64" t="str">
            <v>Loss/ gain on Stock</v>
          </cell>
          <cell r="C64">
            <v>0</v>
          </cell>
          <cell r="D64">
            <v>681412.1</v>
          </cell>
          <cell r="E64">
            <v>521006.84</v>
          </cell>
          <cell r="F64">
            <v>160405.26</v>
          </cell>
          <cell r="G64">
            <v>0</v>
          </cell>
          <cell r="H64">
            <v>160405.26</v>
          </cell>
        </row>
        <row r="65">
          <cell r="A65">
            <v>41020195</v>
          </cell>
          <cell r="B65" t="str">
            <v>Purchase of Diesel</v>
          </cell>
          <cell r="C65">
            <v>0</v>
          </cell>
          <cell r="D65">
            <v>2720178.08</v>
          </cell>
          <cell r="E65">
            <v>3082094.32</v>
          </cell>
          <cell r="F65">
            <v>-361916.24</v>
          </cell>
          <cell r="G65">
            <v>0</v>
          </cell>
          <cell r="H65">
            <v>-361916.24</v>
          </cell>
        </row>
        <row r="66">
          <cell r="A66">
            <v>41020200</v>
          </cell>
          <cell r="B66" t="str">
            <v>Interim account for diesel received</v>
          </cell>
          <cell r="C66">
            <v>0</v>
          </cell>
          <cell r="D66">
            <v>1750804.58</v>
          </cell>
          <cell r="E66">
            <v>1406232.55</v>
          </cell>
          <cell r="F66">
            <v>344572.03</v>
          </cell>
          <cell r="G66">
            <v>0</v>
          </cell>
          <cell r="H66">
            <v>344572.03</v>
          </cell>
        </row>
        <row r="67">
          <cell r="A67">
            <v>41050010</v>
          </cell>
          <cell r="B67" t="str">
            <v>Closing Stock - Cement</v>
          </cell>
          <cell r="C67">
            <v>0</v>
          </cell>
          <cell r="D67">
            <v>0</v>
          </cell>
          <cell r="E67">
            <v>3750140.04</v>
          </cell>
          <cell r="F67">
            <v>-3750140.04</v>
          </cell>
          <cell r="G67">
            <v>0</v>
          </cell>
          <cell r="H67">
            <v>-3750140.04</v>
          </cell>
        </row>
        <row r="68">
          <cell r="A68">
            <v>41050020</v>
          </cell>
          <cell r="B68" t="str">
            <v>Closing Stock - Sand</v>
          </cell>
          <cell r="C68">
            <v>0</v>
          </cell>
          <cell r="D68">
            <v>0</v>
          </cell>
          <cell r="E68">
            <v>329539.71999999997</v>
          </cell>
          <cell r="F68">
            <v>-329539.71999999997</v>
          </cell>
          <cell r="G68">
            <v>0</v>
          </cell>
          <cell r="H68">
            <v>-329539.71999999997</v>
          </cell>
        </row>
        <row r="69">
          <cell r="A69">
            <v>41050030</v>
          </cell>
          <cell r="B69" t="str">
            <v>Closing Stock - CRF</v>
          </cell>
          <cell r="C69">
            <v>0</v>
          </cell>
          <cell r="D69">
            <v>0</v>
          </cell>
          <cell r="E69">
            <v>112979.66</v>
          </cell>
          <cell r="F69">
            <v>-112979.66</v>
          </cell>
          <cell r="G69">
            <v>0</v>
          </cell>
          <cell r="H69">
            <v>-112979.66</v>
          </cell>
        </row>
        <row r="70">
          <cell r="A70">
            <v>41050040</v>
          </cell>
          <cell r="B70" t="str">
            <v>Closing Stock - RMC Aggregates</v>
          </cell>
          <cell r="C70">
            <v>0</v>
          </cell>
          <cell r="D70">
            <v>0</v>
          </cell>
          <cell r="E70">
            <v>596624.81999999995</v>
          </cell>
          <cell r="F70">
            <v>-596624.81999999995</v>
          </cell>
          <cell r="G70">
            <v>0</v>
          </cell>
          <cell r="H70">
            <v>-596624.81999999995</v>
          </cell>
        </row>
        <row r="71">
          <cell r="A71">
            <v>41050050</v>
          </cell>
          <cell r="B71" t="str">
            <v>Closing Stock - Admixtures</v>
          </cell>
          <cell r="C71">
            <v>0</v>
          </cell>
          <cell r="D71">
            <v>0</v>
          </cell>
          <cell r="E71">
            <v>540565.98</v>
          </cell>
          <cell r="F71">
            <v>-540565.98</v>
          </cell>
          <cell r="G71">
            <v>0</v>
          </cell>
          <cell r="H71">
            <v>-540565.98</v>
          </cell>
        </row>
        <row r="72">
          <cell r="A72">
            <v>41050070</v>
          </cell>
          <cell r="B72" t="str">
            <v>Closing Stock - Flyash</v>
          </cell>
          <cell r="C72">
            <v>0</v>
          </cell>
          <cell r="D72">
            <v>0</v>
          </cell>
          <cell r="E72">
            <v>9.91</v>
          </cell>
          <cell r="F72">
            <v>-9.91</v>
          </cell>
          <cell r="G72">
            <v>0</v>
          </cell>
          <cell r="H72">
            <v>-9.91</v>
          </cell>
        </row>
        <row r="73">
          <cell r="A73">
            <v>41050080</v>
          </cell>
          <cell r="B73" t="str">
            <v>Closing Stock - Diesel</v>
          </cell>
          <cell r="C73">
            <v>0</v>
          </cell>
          <cell r="D73">
            <v>0</v>
          </cell>
          <cell r="E73">
            <v>132847.1</v>
          </cell>
          <cell r="F73">
            <v>-132847.1</v>
          </cell>
          <cell r="G73">
            <v>0</v>
          </cell>
          <cell r="H73">
            <v>-132847.1</v>
          </cell>
        </row>
        <row r="74">
          <cell r="A74">
            <v>41050110</v>
          </cell>
          <cell r="B74" t="str">
            <v>Closing Stock GGBS</v>
          </cell>
          <cell r="C74">
            <v>0</v>
          </cell>
          <cell r="D74">
            <v>0</v>
          </cell>
          <cell r="E74">
            <v>297580.95</v>
          </cell>
          <cell r="F74">
            <v>-297580.95</v>
          </cell>
          <cell r="G74">
            <v>0</v>
          </cell>
          <cell r="H74">
            <v>-297580.95</v>
          </cell>
        </row>
        <row r="75">
          <cell r="A75">
            <v>42010010</v>
          </cell>
          <cell r="B75" t="str">
            <v>Salary - Basic</v>
          </cell>
          <cell r="C75">
            <v>0</v>
          </cell>
          <cell r="D75">
            <v>553800</v>
          </cell>
          <cell r="E75">
            <v>276900</v>
          </cell>
          <cell r="F75">
            <v>276900</v>
          </cell>
          <cell r="G75">
            <v>0</v>
          </cell>
          <cell r="H75">
            <v>276900</v>
          </cell>
        </row>
        <row r="76">
          <cell r="A76">
            <v>42010020</v>
          </cell>
          <cell r="B76" t="str">
            <v>House Rent Allowance</v>
          </cell>
          <cell r="C76">
            <v>0</v>
          </cell>
          <cell r="D76">
            <v>271800</v>
          </cell>
          <cell r="E76">
            <v>135900</v>
          </cell>
          <cell r="F76">
            <v>135900</v>
          </cell>
          <cell r="G76">
            <v>0</v>
          </cell>
          <cell r="H76">
            <v>135900</v>
          </cell>
        </row>
        <row r="77">
          <cell r="A77">
            <v>42010030</v>
          </cell>
          <cell r="B77" t="str">
            <v>Education Allowance</v>
          </cell>
          <cell r="C77">
            <v>0</v>
          </cell>
          <cell r="D77">
            <v>62000</v>
          </cell>
          <cell r="E77">
            <v>31000</v>
          </cell>
          <cell r="F77">
            <v>31000</v>
          </cell>
          <cell r="G77">
            <v>0</v>
          </cell>
          <cell r="H77">
            <v>31000</v>
          </cell>
        </row>
        <row r="78">
          <cell r="A78">
            <v>42010040</v>
          </cell>
          <cell r="B78" t="str">
            <v>Special Allowance</v>
          </cell>
          <cell r="C78">
            <v>0</v>
          </cell>
          <cell r="D78">
            <v>76424</v>
          </cell>
          <cell r="E78">
            <v>38212</v>
          </cell>
          <cell r="F78">
            <v>38212</v>
          </cell>
          <cell r="G78">
            <v>0</v>
          </cell>
          <cell r="H78">
            <v>38212</v>
          </cell>
        </row>
        <row r="79">
          <cell r="A79">
            <v>42010050</v>
          </cell>
          <cell r="B79" t="str">
            <v>Medical Expense Reimbursement</v>
          </cell>
          <cell r="C79">
            <v>0</v>
          </cell>
          <cell r="D79">
            <v>117058</v>
          </cell>
          <cell r="E79">
            <v>58529</v>
          </cell>
          <cell r="F79">
            <v>58529</v>
          </cell>
          <cell r="G79">
            <v>0</v>
          </cell>
          <cell r="H79">
            <v>58529</v>
          </cell>
        </row>
        <row r="80">
          <cell r="A80">
            <v>42010090</v>
          </cell>
          <cell r="B80" t="str">
            <v>Overtime Payment</v>
          </cell>
          <cell r="C80">
            <v>0</v>
          </cell>
          <cell r="D80">
            <v>87194</v>
          </cell>
          <cell r="E80">
            <v>43597</v>
          </cell>
          <cell r="F80">
            <v>43597</v>
          </cell>
          <cell r="G80">
            <v>0</v>
          </cell>
          <cell r="H80">
            <v>43597</v>
          </cell>
        </row>
        <row r="81">
          <cell r="A81">
            <v>42010100</v>
          </cell>
          <cell r="B81" t="str">
            <v>Transport Allowance</v>
          </cell>
          <cell r="C81">
            <v>0</v>
          </cell>
          <cell r="D81">
            <v>140640</v>
          </cell>
          <cell r="E81">
            <v>70320</v>
          </cell>
          <cell r="F81">
            <v>70320</v>
          </cell>
          <cell r="G81">
            <v>0</v>
          </cell>
          <cell r="H81">
            <v>70320</v>
          </cell>
        </row>
        <row r="82">
          <cell r="A82">
            <v>42010110</v>
          </cell>
          <cell r="B82" t="str">
            <v>Lunch Allowance</v>
          </cell>
          <cell r="C82">
            <v>0</v>
          </cell>
          <cell r="D82">
            <v>26400</v>
          </cell>
          <cell r="E82">
            <v>13200</v>
          </cell>
          <cell r="F82">
            <v>13200</v>
          </cell>
          <cell r="G82">
            <v>0</v>
          </cell>
          <cell r="H82">
            <v>13200</v>
          </cell>
        </row>
        <row r="83">
          <cell r="A83">
            <v>42010130</v>
          </cell>
          <cell r="B83" t="str">
            <v>Production Linked Incentive</v>
          </cell>
          <cell r="C83">
            <v>0</v>
          </cell>
          <cell r="D83">
            <v>62381</v>
          </cell>
          <cell r="E83">
            <v>4448</v>
          </cell>
          <cell r="F83">
            <v>57933</v>
          </cell>
          <cell r="G83">
            <v>0</v>
          </cell>
          <cell r="H83">
            <v>57933</v>
          </cell>
        </row>
        <row r="84">
          <cell r="A84">
            <v>42010210</v>
          </cell>
          <cell r="B84" t="str">
            <v>Ex-Gratia</v>
          </cell>
          <cell r="C84">
            <v>0</v>
          </cell>
          <cell r="D84">
            <v>17250</v>
          </cell>
          <cell r="E84">
            <v>650</v>
          </cell>
          <cell r="F84">
            <v>16600</v>
          </cell>
          <cell r="G84">
            <v>0</v>
          </cell>
          <cell r="H84">
            <v>16600</v>
          </cell>
        </row>
        <row r="85">
          <cell r="A85">
            <v>42010220</v>
          </cell>
          <cell r="B85" t="str">
            <v>Adhoc Allowance</v>
          </cell>
          <cell r="C85">
            <v>0</v>
          </cell>
          <cell r="D85">
            <v>17000</v>
          </cell>
          <cell r="E85">
            <v>8500</v>
          </cell>
          <cell r="F85">
            <v>8500</v>
          </cell>
          <cell r="G85">
            <v>0</v>
          </cell>
          <cell r="H85">
            <v>8500</v>
          </cell>
        </row>
        <row r="86">
          <cell r="A86">
            <v>42010250</v>
          </cell>
          <cell r="B86" t="str">
            <v>Attendance Bonus</v>
          </cell>
          <cell r="C86">
            <v>0</v>
          </cell>
          <cell r="D86">
            <v>1000</v>
          </cell>
          <cell r="E86">
            <v>500</v>
          </cell>
          <cell r="F86">
            <v>500</v>
          </cell>
          <cell r="G86">
            <v>0</v>
          </cell>
          <cell r="H86">
            <v>500</v>
          </cell>
        </row>
        <row r="87">
          <cell r="A87">
            <v>42020010</v>
          </cell>
          <cell r="B87" t="str">
            <v>Provident Funds - Employer's Conribution</v>
          </cell>
          <cell r="C87">
            <v>0</v>
          </cell>
          <cell r="D87">
            <v>30338</v>
          </cell>
          <cell r="E87">
            <v>15169</v>
          </cell>
          <cell r="F87">
            <v>15169</v>
          </cell>
          <cell r="G87">
            <v>0</v>
          </cell>
          <cell r="H87">
            <v>15169</v>
          </cell>
        </row>
        <row r="88">
          <cell r="A88">
            <v>42020020</v>
          </cell>
          <cell r="B88" t="str">
            <v>Pension Fund - Employer's Contribution</v>
          </cell>
          <cell r="C88">
            <v>0</v>
          </cell>
          <cell r="D88">
            <v>36118</v>
          </cell>
          <cell r="E88">
            <v>18059</v>
          </cell>
          <cell r="F88">
            <v>18059</v>
          </cell>
          <cell r="G88">
            <v>0</v>
          </cell>
          <cell r="H88">
            <v>18059</v>
          </cell>
        </row>
        <row r="89">
          <cell r="A89">
            <v>42020070</v>
          </cell>
          <cell r="B89" t="str">
            <v>E.S.I.S. - Employer's Contribution</v>
          </cell>
          <cell r="C89">
            <v>0</v>
          </cell>
          <cell r="D89">
            <v>14196</v>
          </cell>
          <cell r="E89">
            <v>0</v>
          </cell>
          <cell r="F89">
            <v>14196</v>
          </cell>
          <cell r="G89">
            <v>0</v>
          </cell>
          <cell r="H89">
            <v>14196</v>
          </cell>
        </row>
        <row r="90">
          <cell r="A90">
            <v>42030020</v>
          </cell>
          <cell r="B90" t="str">
            <v>Purchases of Safety &amp; Welfare Items</v>
          </cell>
          <cell r="C90">
            <v>0</v>
          </cell>
          <cell r="D90">
            <v>16505</v>
          </cell>
          <cell r="E90">
            <v>0</v>
          </cell>
          <cell r="F90">
            <v>16505</v>
          </cell>
          <cell r="G90">
            <v>0</v>
          </cell>
          <cell r="H90">
            <v>16505</v>
          </cell>
        </row>
        <row r="91">
          <cell r="A91">
            <v>42030030</v>
          </cell>
          <cell r="B91" t="str">
            <v>Mediclaim Expenses Reimbursement - FBT</v>
          </cell>
          <cell r="C91">
            <v>0</v>
          </cell>
          <cell r="D91">
            <v>2077</v>
          </cell>
          <cell r="E91">
            <v>0</v>
          </cell>
          <cell r="F91">
            <v>2077</v>
          </cell>
          <cell r="G91">
            <v>0</v>
          </cell>
          <cell r="H91">
            <v>2077</v>
          </cell>
        </row>
        <row r="92">
          <cell r="A92">
            <v>42030050</v>
          </cell>
          <cell r="B92" t="str">
            <v>Staff Welfare Expenses</v>
          </cell>
          <cell r="C92">
            <v>0</v>
          </cell>
          <cell r="D92">
            <v>9630</v>
          </cell>
          <cell r="E92">
            <v>3000</v>
          </cell>
          <cell r="F92">
            <v>6630</v>
          </cell>
          <cell r="G92">
            <v>0</v>
          </cell>
          <cell r="H92">
            <v>6630</v>
          </cell>
        </row>
        <row r="93">
          <cell r="A93">
            <v>42030060</v>
          </cell>
          <cell r="B93" t="str">
            <v>Food &amp; Beverage Exps - FBT</v>
          </cell>
          <cell r="C93">
            <v>0</v>
          </cell>
          <cell r="D93">
            <v>24783</v>
          </cell>
          <cell r="E93">
            <v>2828</v>
          </cell>
          <cell r="F93">
            <v>21955</v>
          </cell>
          <cell r="G93">
            <v>0</v>
          </cell>
          <cell r="H93">
            <v>21955</v>
          </cell>
        </row>
        <row r="94">
          <cell r="A94">
            <v>42030070</v>
          </cell>
          <cell r="B94" t="str">
            <v>Food &amp; Beverage Exps</v>
          </cell>
          <cell r="C94">
            <v>0</v>
          </cell>
          <cell r="D94">
            <v>68563</v>
          </cell>
          <cell r="E94">
            <v>27000</v>
          </cell>
          <cell r="F94">
            <v>41563</v>
          </cell>
          <cell r="G94">
            <v>0</v>
          </cell>
          <cell r="H94">
            <v>41563</v>
          </cell>
        </row>
        <row r="95">
          <cell r="A95">
            <v>43001010</v>
          </cell>
          <cell r="B95" t="str">
            <v>Electricity Charges</v>
          </cell>
          <cell r="C95">
            <v>0</v>
          </cell>
          <cell r="D95">
            <v>281762</v>
          </cell>
          <cell r="E95">
            <v>142500</v>
          </cell>
          <cell r="F95">
            <v>139262</v>
          </cell>
          <cell r="G95">
            <v>0</v>
          </cell>
          <cell r="H95">
            <v>139262</v>
          </cell>
        </row>
        <row r="96">
          <cell r="A96">
            <v>43001020</v>
          </cell>
          <cell r="B96" t="str">
            <v>Water Charges</v>
          </cell>
          <cell r="C96">
            <v>0</v>
          </cell>
          <cell r="D96">
            <v>153022</v>
          </cell>
          <cell r="E96">
            <v>80000</v>
          </cell>
          <cell r="F96">
            <v>73022</v>
          </cell>
          <cell r="G96">
            <v>0</v>
          </cell>
          <cell r="H96">
            <v>73022</v>
          </cell>
        </row>
        <row r="97">
          <cell r="A97">
            <v>43001030</v>
          </cell>
          <cell r="B97" t="str">
            <v>Fuel For Diesel Generator Set</v>
          </cell>
          <cell r="C97">
            <v>0</v>
          </cell>
          <cell r="D97">
            <v>387183.45</v>
          </cell>
          <cell r="E97">
            <v>189650.84</v>
          </cell>
          <cell r="F97">
            <v>197532.61</v>
          </cell>
          <cell r="G97">
            <v>0</v>
          </cell>
          <cell r="H97">
            <v>197532.61</v>
          </cell>
        </row>
        <row r="98">
          <cell r="A98">
            <v>43012010</v>
          </cell>
          <cell r="B98" t="str">
            <v>Lab Consumables</v>
          </cell>
          <cell r="C98">
            <v>0</v>
          </cell>
          <cell r="D98">
            <v>7137</v>
          </cell>
          <cell r="E98">
            <v>0</v>
          </cell>
          <cell r="F98">
            <v>7137</v>
          </cell>
          <cell r="G98">
            <v>0</v>
          </cell>
          <cell r="H98">
            <v>7137</v>
          </cell>
        </row>
        <row r="99">
          <cell r="A99">
            <v>43012020</v>
          </cell>
          <cell r="B99" t="str">
            <v>Labour / sub contractor for - Pumping Expenses Incurred</v>
          </cell>
          <cell r="C99">
            <v>0</v>
          </cell>
          <cell r="D99">
            <v>505100</v>
          </cell>
          <cell r="E99">
            <v>167000</v>
          </cell>
          <cell r="F99">
            <v>338100</v>
          </cell>
          <cell r="G99">
            <v>0</v>
          </cell>
          <cell r="H99">
            <v>338100</v>
          </cell>
        </row>
        <row r="100">
          <cell r="A100">
            <v>43016010</v>
          </cell>
          <cell r="B100" t="str">
            <v>Transportation Charges</v>
          </cell>
          <cell r="C100">
            <v>0</v>
          </cell>
          <cell r="D100">
            <v>0</v>
          </cell>
          <cell r="E100">
            <v>715.4</v>
          </cell>
          <cell r="F100">
            <v>-715.4</v>
          </cell>
          <cell r="G100">
            <v>0</v>
          </cell>
          <cell r="H100">
            <v>-715.4</v>
          </cell>
        </row>
        <row r="101">
          <cell r="A101">
            <v>43018010</v>
          </cell>
          <cell r="B101" t="str">
            <v>Repairs &amp; Maintenance</v>
          </cell>
          <cell r="C101">
            <v>0</v>
          </cell>
          <cell r="D101">
            <v>548163.02</v>
          </cell>
          <cell r="E101">
            <v>68316.53</v>
          </cell>
          <cell r="F101">
            <v>479846.49</v>
          </cell>
          <cell r="G101">
            <v>0</v>
          </cell>
          <cell r="H101">
            <v>479846.49</v>
          </cell>
        </row>
        <row r="102">
          <cell r="A102">
            <v>43018020</v>
          </cell>
          <cell r="B102" t="str">
            <v>Oil &amp; Grease</v>
          </cell>
          <cell r="C102">
            <v>0</v>
          </cell>
          <cell r="D102">
            <v>45056</v>
          </cell>
          <cell r="E102">
            <v>15000</v>
          </cell>
          <cell r="F102">
            <v>30056</v>
          </cell>
          <cell r="G102">
            <v>0</v>
          </cell>
          <cell r="H102">
            <v>30056</v>
          </cell>
        </row>
        <row r="103">
          <cell r="A103">
            <v>43020030</v>
          </cell>
          <cell r="B103" t="str">
            <v>Tyres</v>
          </cell>
          <cell r="C103">
            <v>0</v>
          </cell>
          <cell r="D103">
            <v>104948</v>
          </cell>
          <cell r="E103">
            <v>0</v>
          </cell>
          <cell r="F103">
            <v>104948</v>
          </cell>
          <cell r="G103">
            <v>0</v>
          </cell>
          <cell r="H103">
            <v>104948</v>
          </cell>
        </row>
        <row r="104">
          <cell r="A104">
            <v>43022010</v>
          </cell>
          <cell r="B104" t="str">
            <v>Plant / Office Up Keep Exps</v>
          </cell>
          <cell r="C104">
            <v>0</v>
          </cell>
          <cell r="D104">
            <v>307737.53999999998</v>
          </cell>
          <cell r="E104">
            <v>21200</v>
          </cell>
          <cell r="F104">
            <v>286537.53999999998</v>
          </cell>
          <cell r="G104">
            <v>0</v>
          </cell>
          <cell r="H104">
            <v>286537.53999999998</v>
          </cell>
        </row>
        <row r="105">
          <cell r="A105">
            <v>43030010</v>
          </cell>
          <cell r="B105" t="str">
            <v>Transportation Exps-Labour</v>
          </cell>
          <cell r="C105">
            <v>0</v>
          </cell>
          <cell r="D105">
            <v>285656</v>
          </cell>
          <cell r="E105">
            <v>173250</v>
          </cell>
          <cell r="F105">
            <v>112406</v>
          </cell>
          <cell r="G105">
            <v>0</v>
          </cell>
          <cell r="H105">
            <v>112406</v>
          </cell>
        </row>
        <row r="106">
          <cell r="A106">
            <v>43032020</v>
          </cell>
          <cell r="B106" t="str">
            <v>Guest house Lease Rental - FBT</v>
          </cell>
          <cell r="C106">
            <v>0</v>
          </cell>
          <cell r="D106">
            <v>38000</v>
          </cell>
          <cell r="E106">
            <v>0</v>
          </cell>
          <cell r="F106">
            <v>38000</v>
          </cell>
          <cell r="G106">
            <v>0</v>
          </cell>
          <cell r="H106">
            <v>38000</v>
          </cell>
        </row>
        <row r="107">
          <cell r="A107">
            <v>43032040</v>
          </cell>
          <cell r="B107" t="str">
            <v>Lease Rentals- Machinery</v>
          </cell>
          <cell r="C107">
            <v>0</v>
          </cell>
          <cell r="D107">
            <v>2420460</v>
          </cell>
          <cell r="E107">
            <v>806820</v>
          </cell>
          <cell r="F107">
            <v>1613640</v>
          </cell>
          <cell r="G107">
            <v>0</v>
          </cell>
          <cell r="H107">
            <v>1613640</v>
          </cell>
        </row>
        <row r="108">
          <cell r="A108">
            <v>43032045</v>
          </cell>
          <cell r="B108" t="str">
            <v>Towing Expenses</v>
          </cell>
          <cell r="C108">
            <v>0</v>
          </cell>
          <cell r="D108">
            <v>240181</v>
          </cell>
          <cell r="E108">
            <v>80000</v>
          </cell>
          <cell r="F108">
            <v>160181</v>
          </cell>
          <cell r="G108">
            <v>0</v>
          </cell>
          <cell r="H108">
            <v>160181</v>
          </cell>
        </row>
        <row r="109">
          <cell r="A109">
            <v>43036010</v>
          </cell>
          <cell r="B109" t="str">
            <v>Insurance Expenses</v>
          </cell>
          <cell r="C109">
            <v>0</v>
          </cell>
          <cell r="D109">
            <v>78853</v>
          </cell>
          <cell r="E109">
            <v>52009</v>
          </cell>
          <cell r="F109">
            <v>26844</v>
          </cell>
          <cell r="G109">
            <v>0</v>
          </cell>
          <cell r="H109">
            <v>26844</v>
          </cell>
        </row>
        <row r="110">
          <cell r="A110">
            <v>43038020</v>
          </cell>
          <cell r="B110" t="str">
            <v>Courier Expenses</v>
          </cell>
          <cell r="C110">
            <v>0</v>
          </cell>
          <cell r="D110">
            <v>488</v>
          </cell>
          <cell r="E110">
            <v>0</v>
          </cell>
          <cell r="F110">
            <v>488</v>
          </cell>
          <cell r="G110">
            <v>0</v>
          </cell>
          <cell r="H110">
            <v>488</v>
          </cell>
        </row>
        <row r="111">
          <cell r="A111">
            <v>43038030</v>
          </cell>
          <cell r="B111" t="str">
            <v>Telephone Expenses</v>
          </cell>
          <cell r="C111">
            <v>0</v>
          </cell>
          <cell r="D111">
            <v>66323</v>
          </cell>
          <cell r="E111">
            <v>28675</v>
          </cell>
          <cell r="F111">
            <v>37648</v>
          </cell>
          <cell r="G111">
            <v>0</v>
          </cell>
          <cell r="H111">
            <v>37648</v>
          </cell>
        </row>
        <row r="112">
          <cell r="A112">
            <v>43038050</v>
          </cell>
          <cell r="B112" t="str">
            <v>Telephone Chgs - Mobile  FBT</v>
          </cell>
          <cell r="C112">
            <v>0</v>
          </cell>
          <cell r="D112">
            <v>36192</v>
          </cell>
          <cell r="E112">
            <v>10855</v>
          </cell>
          <cell r="F112">
            <v>25337</v>
          </cell>
          <cell r="G112">
            <v>0</v>
          </cell>
          <cell r="H112">
            <v>25337</v>
          </cell>
        </row>
        <row r="113">
          <cell r="A113">
            <v>43040010</v>
          </cell>
          <cell r="B113" t="str">
            <v>Conveyance Expenses - FBT</v>
          </cell>
          <cell r="C113">
            <v>0</v>
          </cell>
          <cell r="D113">
            <v>54234</v>
          </cell>
          <cell r="E113">
            <v>3500</v>
          </cell>
          <cell r="F113">
            <v>50734</v>
          </cell>
          <cell r="G113">
            <v>0</v>
          </cell>
          <cell r="H113">
            <v>50734</v>
          </cell>
        </row>
        <row r="114">
          <cell r="A114">
            <v>43040030</v>
          </cell>
          <cell r="B114" t="str">
            <v>Motor Car Hire Expenses - FBT</v>
          </cell>
          <cell r="C114">
            <v>0</v>
          </cell>
          <cell r="D114">
            <v>43263</v>
          </cell>
          <cell r="E114">
            <v>43263</v>
          </cell>
          <cell r="F114">
            <v>0</v>
          </cell>
          <cell r="G114">
            <v>0</v>
          </cell>
          <cell r="H114">
            <v>0</v>
          </cell>
        </row>
        <row r="115">
          <cell r="A115">
            <v>43040040</v>
          </cell>
          <cell r="B115" t="str">
            <v>Motor Car Hire Expenses</v>
          </cell>
          <cell r="C115">
            <v>0</v>
          </cell>
          <cell r="D115">
            <v>273507</v>
          </cell>
          <cell r="E115">
            <v>40000</v>
          </cell>
          <cell r="F115">
            <v>233507</v>
          </cell>
          <cell r="G115">
            <v>0</v>
          </cell>
          <cell r="H115">
            <v>233507</v>
          </cell>
        </row>
        <row r="116">
          <cell r="A116">
            <v>43040120</v>
          </cell>
          <cell r="B116" t="str">
            <v>Guest House Expenses</v>
          </cell>
          <cell r="C116">
            <v>0</v>
          </cell>
          <cell r="D116">
            <v>28413</v>
          </cell>
          <cell r="E116">
            <v>0</v>
          </cell>
          <cell r="F116">
            <v>28413</v>
          </cell>
          <cell r="G116">
            <v>0</v>
          </cell>
          <cell r="H116">
            <v>28413</v>
          </cell>
        </row>
        <row r="117">
          <cell r="A117">
            <v>43042010</v>
          </cell>
          <cell r="B117" t="str">
            <v>Fuel - Truck Mixers</v>
          </cell>
          <cell r="C117">
            <v>0</v>
          </cell>
          <cell r="D117">
            <v>720479.04</v>
          </cell>
          <cell r="E117">
            <v>360239.52</v>
          </cell>
          <cell r="F117">
            <v>360239.52</v>
          </cell>
          <cell r="G117">
            <v>0</v>
          </cell>
          <cell r="H117">
            <v>360239.52</v>
          </cell>
        </row>
        <row r="118">
          <cell r="A118">
            <v>43042020</v>
          </cell>
          <cell r="B118" t="str">
            <v>Fuel - Loader</v>
          </cell>
          <cell r="C118">
            <v>0</v>
          </cell>
          <cell r="D118">
            <v>159738.94</v>
          </cell>
          <cell r="E118">
            <v>66336.3</v>
          </cell>
          <cell r="F118">
            <v>93402.64</v>
          </cell>
          <cell r="G118">
            <v>0</v>
          </cell>
          <cell r="H118">
            <v>93402.64</v>
          </cell>
        </row>
        <row r="119">
          <cell r="A119">
            <v>43042030</v>
          </cell>
          <cell r="B119" t="str">
            <v>Fuel - Others</v>
          </cell>
          <cell r="C119">
            <v>0</v>
          </cell>
          <cell r="D119">
            <v>167.7</v>
          </cell>
          <cell r="E119">
            <v>167.7</v>
          </cell>
          <cell r="F119">
            <v>0</v>
          </cell>
          <cell r="G119">
            <v>0</v>
          </cell>
          <cell r="H119">
            <v>0</v>
          </cell>
        </row>
        <row r="120">
          <cell r="A120">
            <v>43042050</v>
          </cell>
          <cell r="B120" t="str">
            <v>Fuel -  External Trucks/Pumps</v>
          </cell>
          <cell r="C120">
            <v>0</v>
          </cell>
          <cell r="D120">
            <v>1998380.26</v>
          </cell>
          <cell r="E120">
            <v>999190.13</v>
          </cell>
          <cell r="F120">
            <v>999190.13</v>
          </cell>
          <cell r="G120">
            <v>0</v>
          </cell>
          <cell r="H120">
            <v>999190.13</v>
          </cell>
        </row>
        <row r="121">
          <cell r="A121">
            <v>43042060</v>
          </cell>
          <cell r="B121" t="str">
            <v>Fuel - Concrete Pumps</v>
          </cell>
          <cell r="C121">
            <v>0</v>
          </cell>
          <cell r="D121">
            <v>235079.96</v>
          </cell>
          <cell r="E121">
            <v>117539.98</v>
          </cell>
          <cell r="F121">
            <v>117539.98</v>
          </cell>
          <cell r="G121">
            <v>0</v>
          </cell>
          <cell r="H121">
            <v>117539.98</v>
          </cell>
        </row>
        <row r="122">
          <cell r="A122">
            <v>43046010</v>
          </cell>
          <cell r="B122" t="str">
            <v>Rates &amp; Taxes</v>
          </cell>
          <cell r="C122">
            <v>0</v>
          </cell>
          <cell r="D122">
            <v>1177602</v>
          </cell>
          <cell r="E122">
            <v>144700</v>
          </cell>
          <cell r="F122">
            <v>1032902</v>
          </cell>
          <cell r="G122">
            <v>0</v>
          </cell>
          <cell r="H122">
            <v>1032902</v>
          </cell>
        </row>
        <row r="123">
          <cell r="A123">
            <v>43046030</v>
          </cell>
          <cell r="B123" t="str">
            <v>Fines &amp; Penalties</v>
          </cell>
          <cell r="C123">
            <v>0</v>
          </cell>
          <cell r="D123">
            <v>100</v>
          </cell>
          <cell r="E123">
            <v>0</v>
          </cell>
          <cell r="F123">
            <v>100</v>
          </cell>
          <cell r="G123">
            <v>0</v>
          </cell>
          <cell r="H123">
            <v>100</v>
          </cell>
        </row>
        <row r="124">
          <cell r="A124">
            <v>43052010</v>
          </cell>
          <cell r="B124" t="str">
            <v>Security Service Charges</v>
          </cell>
          <cell r="C124">
            <v>0</v>
          </cell>
          <cell r="D124">
            <v>155566</v>
          </cell>
          <cell r="E124">
            <v>0</v>
          </cell>
          <cell r="F124">
            <v>155566</v>
          </cell>
          <cell r="G124">
            <v>0</v>
          </cell>
          <cell r="H124">
            <v>155566</v>
          </cell>
        </row>
        <row r="125">
          <cell r="A125">
            <v>43054040</v>
          </cell>
          <cell r="B125" t="str">
            <v>Hire Charges - Vehicle</v>
          </cell>
          <cell r="C125">
            <v>0</v>
          </cell>
          <cell r="D125">
            <v>3757</v>
          </cell>
          <cell r="E125">
            <v>0</v>
          </cell>
          <cell r="F125">
            <v>3757</v>
          </cell>
          <cell r="G125">
            <v>0</v>
          </cell>
          <cell r="H125">
            <v>3757</v>
          </cell>
        </row>
        <row r="126">
          <cell r="A126">
            <v>43056010</v>
          </cell>
          <cell r="B126" t="str">
            <v>Professional &amp; Consultancy Fees</v>
          </cell>
          <cell r="C126">
            <v>0</v>
          </cell>
          <cell r="D126">
            <v>122500</v>
          </cell>
          <cell r="E126">
            <v>0</v>
          </cell>
          <cell r="F126">
            <v>122500</v>
          </cell>
          <cell r="G126">
            <v>0</v>
          </cell>
          <cell r="H126">
            <v>122500</v>
          </cell>
        </row>
        <row r="127">
          <cell r="A127">
            <v>43062010</v>
          </cell>
          <cell r="B127" t="str">
            <v>Computer Expenses</v>
          </cell>
          <cell r="C127">
            <v>0</v>
          </cell>
          <cell r="D127">
            <v>12960.15</v>
          </cell>
          <cell r="E127">
            <v>0</v>
          </cell>
          <cell r="F127">
            <v>12960.15</v>
          </cell>
          <cell r="G127">
            <v>0</v>
          </cell>
          <cell r="H127">
            <v>12960.15</v>
          </cell>
        </row>
        <row r="128">
          <cell r="A128">
            <v>43066010</v>
          </cell>
          <cell r="B128" t="str">
            <v>Books &amp; Periodicals</v>
          </cell>
          <cell r="C128">
            <v>0</v>
          </cell>
          <cell r="D128">
            <v>1714</v>
          </cell>
          <cell r="E128">
            <v>440</v>
          </cell>
          <cell r="F128">
            <v>1274</v>
          </cell>
          <cell r="G128">
            <v>0</v>
          </cell>
          <cell r="H128">
            <v>1274</v>
          </cell>
        </row>
        <row r="129">
          <cell r="A129">
            <v>43066020</v>
          </cell>
          <cell r="B129" t="str">
            <v>Printing &amp; Stationery</v>
          </cell>
          <cell r="C129">
            <v>0</v>
          </cell>
          <cell r="D129">
            <v>16346</v>
          </cell>
          <cell r="E129">
            <v>3865</v>
          </cell>
          <cell r="F129">
            <v>12481</v>
          </cell>
          <cell r="G129">
            <v>0</v>
          </cell>
          <cell r="H129">
            <v>12481</v>
          </cell>
        </row>
        <row r="130">
          <cell r="A130">
            <v>43074010</v>
          </cell>
          <cell r="B130" t="str">
            <v>Provision For Bad &amp; Doubtful Debts W/Off</v>
          </cell>
          <cell r="C130">
            <v>0</v>
          </cell>
          <cell r="D130">
            <v>335000</v>
          </cell>
          <cell r="E130">
            <v>110000</v>
          </cell>
          <cell r="F130">
            <v>225000</v>
          </cell>
          <cell r="G130">
            <v>0</v>
          </cell>
          <cell r="H130">
            <v>225000</v>
          </cell>
        </row>
        <row r="131">
          <cell r="A131">
            <v>43084020</v>
          </cell>
          <cell r="B131" t="str">
            <v>Testing Charges</v>
          </cell>
          <cell r="C131">
            <v>0</v>
          </cell>
          <cell r="D131">
            <v>840</v>
          </cell>
          <cell r="E131">
            <v>0</v>
          </cell>
          <cell r="F131">
            <v>840</v>
          </cell>
          <cell r="G131">
            <v>0</v>
          </cell>
          <cell r="H131">
            <v>840</v>
          </cell>
        </row>
        <row r="132">
          <cell r="A132">
            <v>43084030</v>
          </cell>
          <cell r="B132" t="str">
            <v>Rounding Off</v>
          </cell>
          <cell r="C132">
            <v>0</v>
          </cell>
          <cell r="D132">
            <v>119.62</v>
          </cell>
          <cell r="E132">
            <v>186.51</v>
          </cell>
          <cell r="F132">
            <v>-66.89</v>
          </cell>
          <cell r="G132">
            <v>0</v>
          </cell>
          <cell r="H132">
            <v>-66.89</v>
          </cell>
        </row>
        <row r="133">
          <cell r="A133">
            <v>44010040</v>
          </cell>
          <cell r="B133" t="str">
            <v>Bank Charges</v>
          </cell>
          <cell r="C133">
            <v>0</v>
          </cell>
          <cell r="D133">
            <v>6190.92</v>
          </cell>
          <cell r="E133">
            <v>0</v>
          </cell>
          <cell r="F133">
            <v>6190.92</v>
          </cell>
          <cell r="G133">
            <v>0</v>
          </cell>
          <cell r="H133">
            <v>6190.92</v>
          </cell>
        </row>
        <row r="134">
          <cell r="A134">
            <v>45010010</v>
          </cell>
          <cell r="B134" t="str">
            <v>Depreciation</v>
          </cell>
          <cell r="C134">
            <v>0</v>
          </cell>
          <cell r="D134">
            <v>1194231</v>
          </cell>
          <cell r="E134">
            <v>73390.33</v>
          </cell>
          <cell r="F134">
            <v>1120840.67</v>
          </cell>
          <cell r="G134">
            <v>0</v>
          </cell>
          <cell r="H134">
            <v>1120840.67</v>
          </cell>
        </row>
        <row r="135">
          <cell r="A135">
            <v>52000000</v>
          </cell>
          <cell r="B135" t="str">
            <v>Inter Branch Control Account</v>
          </cell>
          <cell r="C135">
            <v>-57278768.609999999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-57278768.609999999</v>
          </cell>
        </row>
        <row r="136">
          <cell r="A136">
            <v>52000809</v>
          </cell>
          <cell r="B136" t="str">
            <v>Inter branch control account for 08-09</v>
          </cell>
          <cell r="C136">
            <v>1100504.3600000001</v>
          </cell>
          <cell r="D136">
            <v>13624310</v>
          </cell>
          <cell r="E136">
            <v>2276091</v>
          </cell>
          <cell r="F136">
            <v>11348219</v>
          </cell>
          <cell r="G136">
            <v>0</v>
          </cell>
          <cell r="H136">
            <v>12448723.359999999</v>
          </cell>
        </row>
        <row r="137">
          <cell r="A137">
            <v>61000200</v>
          </cell>
          <cell r="B137" t="str">
            <v>Stock Transfer Control Account</v>
          </cell>
          <cell r="C137">
            <v>0</v>
          </cell>
          <cell r="D137">
            <v>3002809.86</v>
          </cell>
          <cell r="E137">
            <v>3002809.86</v>
          </cell>
          <cell r="F137">
            <v>0</v>
          </cell>
          <cell r="G137">
            <v>0</v>
          </cell>
          <cell r="H137">
            <v>0</v>
          </cell>
        </row>
        <row r="138">
          <cell r="A138">
            <v>62000000</v>
          </cell>
          <cell r="B138" t="str">
            <v>Inter branch Clearing account</v>
          </cell>
          <cell r="C138">
            <v>0</v>
          </cell>
          <cell r="D138">
            <v>15174660</v>
          </cell>
          <cell r="E138">
            <v>15174660</v>
          </cell>
          <cell r="F138">
            <v>0</v>
          </cell>
          <cell r="G138">
            <v>0</v>
          </cell>
          <cell r="H138">
            <v>0</v>
          </cell>
        </row>
        <row r="139">
          <cell r="B139" t="str">
            <v>Total</v>
          </cell>
          <cell r="D139">
            <v>0</v>
          </cell>
          <cell r="E139">
            <v>321286985.64999998</v>
          </cell>
          <cell r="F139">
            <v>321286985.64999998</v>
          </cell>
          <cell r="G139">
            <v>0</v>
          </cell>
          <cell r="H139">
            <v>0</v>
          </cell>
        </row>
      </sheetData>
      <sheetData sheetId="10" refreshError="1">
        <row r="1">
          <cell r="A1" t="str">
            <v>RMC Readymix (I) Pvt. Ltd.,</v>
          </cell>
          <cell r="B1" t="str">
            <v>Trial balance</v>
          </cell>
          <cell r="C1">
            <v>39969</v>
          </cell>
          <cell r="D1">
            <v>0.7371875</v>
          </cell>
          <cell r="E1" t="str">
            <v>Page 1</v>
          </cell>
          <cell r="F1" t="str">
            <v>Gurgoan</v>
          </cell>
        </row>
        <row r="2">
          <cell r="A2" t="str">
            <v>Period</v>
          </cell>
          <cell r="B2">
            <v>39904</v>
          </cell>
          <cell r="C2">
            <v>39964</v>
          </cell>
        </row>
        <row r="3">
          <cell r="A3" t="str">
            <v>Ledger account</v>
          </cell>
          <cell r="B3" t="str">
            <v>Account name</v>
          </cell>
          <cell r="C3" t="str">
            <v>Opening balance</v>
          </cell>
          <cell r="D3" t="str">
            <v>Debit</v>
          </cell>
          <cell r="E3" t="str">
            <v>Credit</v>
          </cell>
          <cell r="F3" t="str">
            <v>Net difference</v>
          </cell>
          <cell r="G3" t="str">
            <v>Closing transactions</v>
          </cell>
          <cell r="H3" t="str">
            <v>Closing balance</v>
          </cell>
        </row>
        <row r="4">
          <cell r="A4">
            <v>11010010</v>
          </cell>
          <cell r="B4" t="str">
            <v>Freehold Land</v>
          </cell>
          <cell r="C4">
            <v>27420050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27420050</v>
          </cell>
        </row>
        <row r="5">
          <cell r="A5">
            <v>11015010</v>
          </cell>
          <cell r="B5" t="str">
            <v>Buildings</v>
          </cell>
          <cell r="C5">
            <v>26232497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26232497</v>
          </cell>
        </row>
        <row r="6">
          <cell r="A6">
            <v>11025010</v>
          </cell>
          <cell r="B6" t="str">
            <v>Plant and Machinery</v>
          </cell>
          <cell r="C6">
            <v>41437094.659999996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41437094.659999996</v>
          </cell>
        </row>
        <row r="7">
          <cell r="A7">
            <v>11030010</v>
          </cell>
          <cell r="B7" t="str">
            <v>Electrical Installations</v>
          </cell>
          <cell r="C7">
            <v>3132640</v>
          </cell>
          <cell r="D7">
            <v>329500</v>
          </cell>
          <cell r="E7">
            <v>0</v>
          </cell>
          <cell r="F7">
            <v>329500</v>
          </cell>
          <cell r="G7">
            <v>0</v>
          </cell>
          <cell r="H7">
            <v>3462140</v>
          </cell>
        </row>
        <row r="8">
          <cell r="A8">
            <v>11035010</v>
          </cell>
          <cell r="B8" t="str">
            <v>Furniture &amp; Fixtures</v>
          </cell>
          <cell r="C8">
            <v>2720098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2720098</v>
          </cell>
        </row>
        <row r="9">
          <cell r="A9">
            <v>11040010</v>
          </cell>
          <cell r="B9" t="str">
            <v>Office &amp; Electrical Appliances</v>
          </cell>
          <cell r="C9">
            <v>1071706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1071706</v>
          </cell>
        </row>
        <row r="10">
          <cell r="A10">
            <v>11045010</v>
          </cell>
          <cell r="B10" t="str">
            <v>Truck Mixers, Loaders &amp; Truck Dumpers</v>
          </cell>
          <cell r="C10">
            <v>11392854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11392854</v>
          </cell>
        </row>
        <row r="11">
          <cell r="A11">
            <v>11060010</v>
          </cell>
          <cell r="B11" t="str">
            <v>Capital W.I.P</v>
          </cell>
          <cell r="C11">
            <v>0</v>
          </cell>
          <cell r="D11">
            <v>38064</v>
          </cell>
          <cell r="E11">
            <v>0</v>
          </cell>
          <cell r="F11">
            <v>38064</v>
          </cell>
          <cell r="G11">
            <v>0</v>
          </cell>
          <cell r="H11">
            <v>38064</v>
          </cell>
        </row>
        <row r="12">
          <cell r="A12">
            <v>13015010</v>
          </cell>
          <cell r="B12" t="str">
            <v>Balance Sheet Stock of Raw material - RMC</v>
          </cell>
          <cell r="C12">
            <v>3628925.93</v>
          </cell>
          <cell r="D12">
            <v>2336159.59</v>
          </cell>
          <cell r="E12">
            <v>3628925.93</v>
          </cell>
          <cell r="F12">
            <v>-1292766.3400000001</v>
          </cell>
          <cell r="G12">
            <v>0</v>
          </cell>
          <cell r="H12">
            <v>2336159.59</v>
          </cell>
        </row>
        <row r="13">
          <cell r="A13">
            <v>13020010</v>
          </cell>
          <cell r="B13" t="str">
            <v>Sundry Debtors Account</v>
          </cell>
          <cell r="C13">
            <v>22242302.629999999</v>
          </cell>
          <cell r="D13">
            <v>38573686</v>
          </cell>
          <cell r="E13">
            <v>35796435</v>
          </cell>
          <cell r="F13">
            <v>2777251</v>
          </cell>
          <cell r="G13">
            <v>0</v>
          </cell>
          <cell r="H13">
            <v>25019553.629999999</v>
          </cell>
        </row>
        <row r="14">
          <cell r="A14">
            <v>13025010</v>
          </cell>
          <cell r="B14" t="str">
            <v>Cash In Hand</v>
          </cell>
          <cell r="C14">
            <v>10395</v>
          </cell>
          <cell r="D14">
            <v>666370</v>
          </cell>
          <cell r="E14">
            <v>620679</v>
          </cell>
          <cell r="F14">
            <v>45691</v>
          </cell>
          <cell r="G14">
            <v>0</v>
          </cell>
          <cell r="H14">
            <v>56086</v>
          </cell>
        </row>
        <row r="15">
          <cell r="A15">
            <v>13035010</v>
          </cell>
          <cell r="B15" t="str">
            <v>Bank Account</v>
          </cell>
          <cell r="C15">
            <v>66497.240000000005</v>
          </cell>
          <cell r="D15">
            <v>64283529.399999999</v>
          </cell>
          <cell r="E15">
            <v>64625793.649999999</v>
          </cell>
          <cell r="F15">
            <v>-342264.25</v>
          </cell>
          <cell r="G15">
            <v>0</v>
          </cell>
          <cell r="H15">
            <v>-275767.01</v>
          </cell>
        </row>
        <row r="16">
          <cell r="A16">
            <v>13045020</v>
          </cell>
          <cell r="B16" t="str">
            <v>Loans and advances to employees</v>
          </cell>
          <cell r="C16">
            <v>-15122</v>
          </cell>
          <cell r="D16">
            <v>42222</v>
          </cell>
          <cell r="E16">
            <v>25137</v>
          </cell>
          <cell r="F16">
            <v>17085</v>
          </cell>
          <cell r="G16">
            <v>0</v>
          </cell>
          <cell r="H16">
            <v>1963</v>
          </cell>
        </row>
        <row r="17">
          <cell r="A17">
            <v>13055020</v>
          </cell>
          <cell r="B17" t="str">
            <v>Prepaid Expenses</v>
          </cell>
          <cell r="C17">
            <v>286428</v>
          </cell>
          <cell r="D17">
            <v>67046</v>
          </cell>
          <cell r="E17">
            <v>89367</v>
          </cell>
          <cell r="F17">
            <v>-22321</v>
          </cell>
          <cell r="G17">
            <v>0</v>
          </cell>
          <cell r="H17">
            <v>264107</v>
          </cell>
        </row>
        <row r="18">
          <cell r="A18">
            <v>13055060</v>
          </cell>
          <cell r="B18" t="str">
            <v>VAT Credit Receivable (Inputs)</v>
          </cell>
          <cell r="C18">
            <v>1379331</v>
          </cell>
          <cell r="D18">
            <v>1381416</v>
          </cell>
          <cell r="E18">
            <v>2187791.63</v>
          </cell>
          <cell r="F18">
            <v>-806375.63</v>
          </cell>
          <cell r="G18">
            <v>0</v>
          </cell>
          <cell r="H18">
            <v>572955.37</v>
          </cell>
        </row>
        <row r="19">
          <cell r="A19">
            <v>13055070</v>
          </cell>
          <cell r="B19" t="str">
            <v>Vat Credit Receivable (Capital Goods)</v>
          </cell>
          <cell r="C19">
            <v>0</v>
          </cell>
          <cell r="D19">
            <v>1523</v>
          </cell>
          <cell r="E19">
            <v>0</v>
          </cell>
          <cell r="F19">
            <v>1523</v>
          </cell>
          <cell r="G19">
            <v>0</v>
          </cell>
          <cell r="H19">
            <v>1523</v>
          </cell>
        </row>
        <row r="20">
          <cell r="A20">
            <v>13055090</v>
          </cell>
          <cell r="B20" t="str">
            <v>Sundry Deposits</v>
          </cell>
          <cell r="C20">
            <v>14000</v>
          </cell>
          <cell r="D20">
            <v>218550</v>
          </cell>
          <cell r="E20">
            <v>0</v>
          </cell>
          <cell r="F20">
            <v>218550</v>
          </cell>
          <cell r="G20">
            <v>0</v>
          </cell>
          <cell r="H20">
            <v>232550</v>
          </cell>
        </row>
        <row r="21">
          <cell r="A21">
            <v>25005010</v>
          </cell>
          <cell r="B21" t="str">
            <v>Creditors Control</v>
          </cell>
          <cell r="C21">
            <v>-32614642.09</v>
          </cell>
          <cell r="D21">
            <v>38572605.710000001</v>
          </cell>
          <cell r="E21">
            <v>32226950.890000001</v>
          </cell>
          <cell r="F21">
            <v>6345654.8200000003</v>
          </cell>
          <cell r="G21">
            <v>0</v>
          </cell>
          <cell r="H21">
            <v>-26268987.27</v>
          </cell>
        </row>
        <row r="22">
          <cell r="A22">
            <v>25005050</v>
          </cell>
          <cell r="B22" t="str">
            <v>Creditors liability for material received but bill not recei</v>
          </cell>
          <cell r="C22">
            <v>-19328.13</v>
          </cell>
          <cell r="D22">
            <v>21729857.469999999</v>
          </cell>
          <cell r="E22">
            <v>27683148.960000001</v>
          </cell>
          <cell r="F22">
            <v>-5953291.4900000002</v>
          </cell>
          <cell r="G22">
            <v>0</v>
          </cell>
          <cell r="H22">
            <v>-5972619.6200000001</v>
          </cell>
        </row>
        <row r="23">
          <cell r="A23">
            <v>25010020</v>
          </cell>
          <cell r="B23" t="str">
            <v>Outstanding Liabilities For Expenses</v>
          </cell>
          <cell r="C23">
            <v>-672483</v>
          </cell>
          <cell r="D23">
            <v>559890</v>
          </cell>
          <cell r="E23">
            <v>2718</v>
          </cell>
          <cell r="F23">
            <v>557172</v>
          </cell>
          <cell r="G23">
            <v>0</v>
          </cell>
          <cell r="H23">
            <v>-115311</v>
          </cell>
        </row>
        <row r="24">
          <cell r="A24">
            <v>25010060</v>
          </cell>
          <cell r="B24" t="str">
            <v>T.D.S.payable account</v>
          </cell>
          <cell r="C24">
            <v>-107700.09</v>
          </cell>
          <cell r="D24">
            <v>226104</v>
          </cell>
          <cell r="E24">
            <v>293764</v>
          </cell>
          <cell r="F24">
            <v>-67660</v>
          </cell>
          <cell r="G24">
            <v>0</v>
          </cell>
          <cell r="H24">
            <v>-175360.09</v>
          </cell>
        </row>
        <row r="25">
          <cell r="A25">
            <v>25010120</v>
          </cell>
          <cell r="B25" t="str">
            <v>Service Tax Payable</v>
          </cell>
          <cell r="C25">
            <v>0</v>
          </cell>
          <cell r="D25">
            <v>0</v>
          </cell>
          <cell r="E25">
            <v>337.62</v>
          </cell>
          <cell r="F25">
            <v>-337.62</v>
          </cell>
          <cell r="G25">
            <v>0</v>
          </cell>
          <cell r="H25">
            <v>-337.62</v>
          </cell>
        </row>
        <row r="26">
          <cell r="A26">
            <v>25010190</v>
          </cell>
          <cell r="B26" t="str">
            <v>VAT  Payable account</v>
          </cell>
          <cell r="C26">
            <v>-1027105.63</v>
          </cell>
          <cell r="D26">
            <v>2187791.63</v>
          </cell>
          <cell r="E26">
            <v>1987192</v>
          </cell>
          <cell r="F26">
            <v>200599.63</v>
          </cell>
          <cell r="G26">
            <v>0</v>
          </cell>
          <cell r="H26">
            <v>-826506</v>
          </cell>
        </row>
        <row r="27">
          <cell r="A27">
            <v>25010200</v>
          </cell>
          <cell r="B27" t="str">
            <v>Provision for Expenses in MIS</v>
          </cell>
          <cell r="C27">
            <v>0</v>
          </cell>
          <cell r="D27">
            <v>1298650</v>
          </cell>
          <cell r="E27">
            <v>2762206</v>
          </cell>
          <cell r="F27">
            <v>-1463556</v>
          </cell>
          <cell r="G27">
            <v>0</v>
          </cell>
          <cell r="H27">
            <v>-1463556</v>
          </cell>
        </row>
        <row r="28">
          <cell r="A28">
            <v>25020020</v>
          </cell>
          <cell r="B28" t="str">
            <v>Labour Welfare fund Liability</v>
          </cell>
          <cell r="C28">
            <v>-250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-250</v>
          </cell>
        </row>
        <row r="29">
          <cell r="A29">
            <v>26005020</v>
          </cell>
          <cell r="B29" t="str">
            <v>Provision For Bad &amp; Doubtful Debts</v>
          </cell>
          <cell r="C29">
            <v>-2402936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-2402936</v>
          </cell>
        </row>
        <row r="30">
          <cell r="A30">
            <v>26015010</v>
          </cell>
          <cell r="B30" t="str">
            <v>Prov For Dep.-  Buildings</v>
          </cell>
          <cell r="C30">
            <v>-2394921.17</v>
          </cell>
          <cell r="D30">
            <v>0</v>
          </cell>
          <cell r="E30">
            <v>368320</v>
          </cell>
          <cell r="F30">
            <v>-368320</v>
          </cell>
          <cell r="G30">
            <v>0</v>
          </cell>
          <cell r="H30">
            <v>-2763241.17</v>
          </cell>
        </row>
        <row r="31">
          <cell r="A31">
            <v>26025010</v>
          </cell>
          <cell r="B31" t="str">
            <v>Provision for Depreciation Plant &amp; Machinery</v>
          </cell>
          <cell r="C31">
            <v>-4141278.93</v>
          </cell>
          <cell r="D31">
            <v>0</v>
          </cell>
          <cell r="E31">
            <v>572447</v>
          </cell>
          <cell r="F31">
            <v>-572447</v>
          </cell>
          <cell r="G31">
            <v>0</v>
          </cell>
          <cell r="H31">
            <v>-4713725.93</v>
          </cell>
        </row>
        <row r="32">
          <cell r="A32">
            <v>26030010</v>
          </cell>
          <cell r="B32" t="str">
            <v>Provision For Dep.-Electrical Installations</v>
          </cell>
          <cell r="C32">
            <v>-406844.21</v>
          </cell>
          <cell r="D32">
            <v>0</v>
          </cell>
          <cell r="E32">
            <v>107034.93</v>
          </cell>
          <cell r="F32">
            <v>-107034.93</v>
          </cell>
          <cell r="G32">
            <v>0</v>
          </cell>
          <cell r="H32">
            <v>-513879.14</v>
          </cell>
        </row>
        <row r="33">
          <cell r="A33">
            <v>26035010</v>
          </cell>
          <cell r="B33" t="str">
            <v>Provision For Dep.-Furniture and Fixtures</v>
          </cell>
          <cell r="C33">
            <v>-337131.95</v>
          </cell>
          <cell r="D33">
            <v>0</v>
          </cell>
          <cell r="E33">
            <v>44924</v>
          </cell>
          <cell r="F33">
            <v>-44924</v>
          </cell>
          <cell r="G33">
            <v>0</v>
          </cell>
          <cell r="H33">
            <v>-382055.95</v>
          </cell>
        </row>
        <row r="34">
          <cell r="A34">
            <v>26040010</v>
          </cell>
          <cell r="B34" t="str">
            <v>Provision for Depreciation- Office and Electrical Appliances</v>
          </cell>
          <cell r="C34">
            <v>-227187.98</v>
          </cell>
          <cell r="D34">
            <v>0</v>
          </cell>
          <cell r="E34">
            <v>34652</v>
          </cell>
          <cell r="F34">
            <v>-34652</v>
          </cell>
          <cell r="G34">
            <v>0</v>
          </cell>
          <cell r="H34">
            <v>-261839.98</v>
          </cell>
        </row>
        <row r="35">
          <cell r="A35">
            <v>26045010</v>
          </cell>
          <cell r="B35" t="str">
            <v>Provision for Depreciation- Truck Mixers, Loaders &amp; Dumpers</v>
          </cell>
          <cell r="C35">
            <v>-1424104.48</v>
          </cell>
          <cell r="D35">
            <v>0</v>
          </cell>
          <cell r="E35">
            <v>237353</v>
          </cell>
          <cell r="F35">
            <v>-237353</v>
          </cell>
          <cell r="G35">
            <v>0</v>
          </cell>
          <cell r="H35">
            <v>-1661457.48</v>
          </cell>
        </row>
        <row r="36">
          <cell r="A36">
            <v>26055020</v>
          </cell>
          <cell r="B36" t="str">
            <v>Profit &amp; Loss A/c</v>
          </cell>
          <cell r="C36">
            <v>24856889.66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24856889.66</v>
          </cell>
        </row>
        <row r="37">
          <cell r="A37">
            <v>26055050</v>
          </cell>
          <cell r="B37" t="str">
            <v>Provision for Production linked incentive (KRA)</v>
          </cell>
          <cell r="C37">
            <v>0</v>
          </cell>
          <cell r="D37">
            <v>0</v>
          </cell>
          <cell r="E37">
            <v>139190</v>
          </cell>
          <cell r="F37">
            <v>-139190</v>
          </cell>
          <cell r="G37">
            <v>0</v>
          </cell>
          <cell r="H37">
            <v>-139190</v>
          </cell>
        </row>
        <row r="38">
          <cell r="A38">
            <v>31010010</v>
          </cell>
          <cell r="B38" t="str">
            <v>Sales</v>
          </cell>
          <cell r="C38">
            <v>0</v>
          </cell>
          <cell r="D38">
            <v>34600.01</v>
          </cell>
          <cell r="E38">
            <v>34414286.670000002</v>
          </cell>
          <cell r="F38">
            <v>-34379686.659999996</v>
          </cell>
          <cell r="G38">
            <v>0</v>
          </cell>
          <cell r="H38">
            <v>-34379686.659999996</v>
          </cell>
        </row>
        <row r="39">
          <cell r="A39">
            <v>32020020</v>
          </cell>
          <cell r="B39" t="str">
            <v>Misc Income - Scrap sales</v>
          </cell>
          <cell r="C39">
            <v>0</v>
          </cell>
          <cell r="D39">
            <v>0</v>
          </cell>
          <cell r="E39">
            <v>84736.71</v>
          </cell>
          <cell r="F39">
            <v>-84736.71</v>
          </cell>
          <cell r="G39">
            <v>0</v>
          </cell>
          <cell r="H39">
            <v>-84736.71</v>
          </cell>
        </row>
        <row r="40">
          <cell r="A40">
            <v>41010010</v>
          </cell>
          <cell r="B40" t="str">
            <v>Opening Stock - Cement</v>
          </cell>
          <cell r="C40">
            <v>0</v>
          </cell>
          <cell r="D40">
            <v>1964799.05</v>
          </cell>
          <cell r="E40">
            <v>0</v>
          </cell>
          <cell r="F40">
            <v>1964799.05</v>
          </cell>
          <cell r="G40">
            <v>0</v>
          </cell>
          <cell r="H40">
            <v>1964799.05</v>
          </cell>
        </row>
        <row r="41">
          <cell r="A41">
            <v>41010020</v>
          </cell>
          <cell r="B41" t="str">
            <v>Opening Stock - Sand</v>
          </cell>
          <cell r="C41">
            <v>0</v>
          </cell>
          <cell r="D41">
            <v>280058.09999999998</v>
          </cell>
          <cell r="E41">
            <v>0</v>
          </cell>
          <cell r="F41">
            <v>280058.09999999998</v>
          </cell>
          <cell r="G41">
            <v>0</v>
          </cell>
          <cell r="H41">
            <v>280058.09999999998</v>
          </cell>
        </row>
        <row r="42">
          <cell r="A42">
            <v>41010040</v>
          </cell>
          <cell r="B42" t="str">
            <v>Opening Stock - RMC Aggregates</v>
          </cell>
          <cell r="C42">
            <v>0</v>
          </cell>
          <cell r="D42">
            <v>610092.43000000005</v>
          </cell>
          <cell r="E42">
            <v>0</v>
          </cell>
          <cell r="F42">
            <v>610092.43000000005</v>
          </cell>
          <cell r="G42">
            <v>0</v>
          </cell>
          <cell r="H42">
            <v>610092.43000000005</v>
          </cell>
        </row>
        <row r="43">
          <cell r="A43">
            <v>41010050</v>
          </cell>
          <cell r="B43" t="str">
            <v>Opening Stock - Admixtures</v>
          </cell>
          <cell r="C43">
            <v>0</v>
          </cell>
          <cell r="D43">
            <v>658125.56999999995</v>
          </cell>
          <cell r="E43">
            <v>0</v>
          </cell>
          <cell r="F43">
            <v>658125.56999999995</v>
          </cell>
          <cell r="G43">
            <v>0</v>
          </cell>
          <cell r="H43">
            <v>658125.56999999995</v>
          </cell>
        </row>
        <row r="44">
          <cell r="A44">
            <v>41010070</v>
          </cell>
          <cell r="B44" t="str">
            <v>Opening Stock - Flyash</v>
          </cell>
          <cell r="C44">
            <v>0</v>
          </cell>
          <cell r="D44">
            <v>86177.19</v>
          </cell>
          <cell r="E44">
            <v>0</v>
          </cell>
          <cell r="F44">
            <v>86177.19</v>
          </cell>
          <cell r="G44">
            <v>0</v>
          </cell>
          <cell r="H44">
            <v>86177.19</v>
          </cell>
        </row>
        <row r="45">
          <cell r="A45">
            <v>41010080</v>
          </cell>
          <cell r="B45" t="str">
            <v>Opening Stock - Diesel</v>
          </cell>
          <cell r="C45">
            <v>0</v>
          </cell>
          <cell r="D45">
            <v>29673.59</v>
          </cell>
          <cell r="E45">
            <v>0</v>
          </cell>
          <cell r="F45">
            <v>29673.59</v>
          </cell>
          <cell r="G45">
            <v>0</v>
          </cell>
          <cell r="H45">
            <v>29673.59</v>
          </cell>
        </row>
        <row r="46">
          <cell r="A46">
            <v>41020010</v>
          </cell>
          <cell r="B46" t="str">
            <v>Raw Material Purchase - Cement</v>
          </cell>
          <cell r="C46">
            <v>0</v>
          </cell>
          <cell r="D46">
            <v>9383812.5299999993</v>
          </cell>
          <cell r="E46">
            <v>12912616.710000001</v>
          </cell>
          <cell r="F46">
            <v>-3528804.18</v>
          </cell>
          <cell r="G46">
            <v>0</v>
          </cell>
          <cell r="H46">
            <v>-3528804.18</v>
          </cell>
        </row>
        <row r="47">
          <cell r="A47">
            <v>41020015</v>
          </cell>
          <cell r="B47" t="str">
            <v>Interim account cement received</v>
          </cell>
          <cell r="C47">
            <v>0</v>
          </cell>
          <cell r="D47">
            <v>9949362.6400000006</v>
          </cell>
          <cell r="E47">
            <v>8082345.5599999996</v>
          </cell>
          <cell r="F47">
            <v>1867017.08</v>
          </cell>
          <cell r="G47">
            <v>0</v>
          </cell>
          <cell r="H47">
            <v>1867017.08</v>
          </cell>
        </row>
        <row r="48">
          <cell r="A48">
            <v>41020020</v>
          </cell>
          <cell r="B48" t="str">
            <v>Cement Consumption account</v>
          </cell>
          <cell r="C48">
            <v>0</v>
          </cell>
          <cell r="D48">
            <v>11600394.99</v>
          </cell>
          <cell r="E48">
            <v>291947.87</v>
          </cell>
          <cell r="F48">
            <v>11308447.119999999</v>
          </cell>
          <cell r="G48">
            <v>0</v>
          </cell>
          <cell r="H48">
            <v>11308447.119999999</v>
          </cell>
        </row>
        <row r="49">
          <cell r="A49">
            <v>41020030</v>
          </cell>
          <cell r="B49" t="str">
            <v>Raw Material Purchase - Aggregates</v>
          </cell>
          <cell r="C49">
            <v>0</v>
          </cell>
          <cell r="D49">
            <v>6237251.2000000002</v>
          </cell>
          <cell r="E49">
            <v>8574566.9600000009</v>
          </cell>
          <cell r="F49">
            <v>-2337315.7599999998</v>
          </cell>
          <cell r="G49">
            <v>0</v>
          </cell>
          <cell r="H49">
            <v>-2337315.7599999998</v>
          </cell>
        </row>
        <row r="50">
          <cell r="A50">
            <v>41020035</v>
          </cell>
          <cell r="B50" t="str">
            <v>Interim account Aggregate received</v>
          </cell>
          <cell r="C50">
            <v>0</v>
          </cell>
          <cell r="D50">
            <v>7912219.1500000004</v>
          </cell>
          <cell r="E50">
            <v>5304678</v>
          </cell>
          <cell r="F50">
            <v>2607541.15</v>
          </cell>
          <cell r="G50">
            <v>0</v>
          </cell>
          <cell r="H50">
            <v>2607541.15</v>
          </cell>
        </row>
        <row r="51">
          <cell r="A51">
            <v>41020040</v>
          </cell>
          <cell r="B51" t="str">
            <v>Aggregate Consumption account</v>
          </cell>
          <cell r="C51">
            <v>0</v>
          </cell>
          <cell r="D51">
            <v>8540932.8399999999</v>
          </cell>
          <cell r="E51">
            <v>760508.51</v>
          </cell>
          <cell r="F51">
            <v>7780424.3300000001</v>
          </cell>
          <cell r="G51">
            <v>0</v>
          </cell>
          <cell r="H51">
            <v>7780424.3300000001</v>
          </cell>
        </row>
        <row r="52">
          <cell r="A52">
            <v>41020050</v>
          </cell>
          <cell r="B52" t="str">
            <v>Raw Material Purchase - Sand</v>
          </cell>
          <cell r="C52">
            <v>0</v>
          </cell>
          <cell r="D52">
            <v>4317802.42</v>
          </cell>
          <cell r="E52">
            <v>5174416.0999999996</v>
          </cell>
          <cell r="F52">
            <v>-856613.68</v>
          </cell>
          <cell r="G52">
            <v>0</v>
          </cell>
          <cell r="H52">
            <v>-856613.68</v>
          </cell>
        </row>
        <row r="53">
          <cell r="A53">
            <v>41020055</v>
          </cell>
          <cell r="B53" t="str">
            <v>Interim account Sand Received</v>
          </cell>
          <cell r="C53">
            <v>0</v>
          </cell>
          <cell r="D53">
            <v>4806863.41</v>
          </cell>
          <cell r="E53">
            <v>3914695.9</v>
          </cell>
          <cell r="F53">
            <v>892167.51</v>
          </cell>
          <cell r="G53">
            <v>0</v>
          </cell>
          <cell r="H53">
            <v>892167.51</v>
          </cell>
        </row>
        <row r="54">
          <cell r="A54">
            <v>41020060</v>
          </cell>
          <cell r="B54" t="str">
            <v>Sand Consumption account</v>
          </cell>
          <cell r="C54">
            <v>0</v>
          </cell>
          <cell r="D54">
            <v>4942802.33</v>
          </cell>
          <cell r="E54">
            <v>403106.52</v>
          </cell>
          <cell r="F54">
            <v>4539695.8099999996</v>
          </cell>
          <cell r="G54">
            <v>0</v>
          </cell>
          <cell r="H54">
            <v>4539695.8099999996</v>
          </cell>
        </row>
        <row r="55">
          <cell r="A55">
            <v>41020070</v>
          </cell>
          <cell r="B55" t="str">
            <v>Raw Material Purchase - Admixture</v>
          </cell>
          <cell r="C55">
            <v>0</v>
          </cell>
          <cell r="D55">
            <v>1690026.73</v>
          </cell>
          <cell r="E55">
            <v>1949906.94</v>
          </cell>
          <cell r="F55">
            <v>-259880.21</v>
          </cell>
          <cell r="G55">
            <v>0</v>
          </cell>
          <cell r="H55">
            <v>-259880.21</v>
          </cell>
        </row>
        <row r="56">
          <cell r="A56">
            <v>41020075</v>
          </cell>
          <cell r="B56" t="str">
            <v>Interim account Admixture received</v>
          </cell>
          <cell r="C56">
            <v>0</v>
          </cell>
          <cell r="D56">
            <v>1549082.76</v>
          </cell>
          <cell r="E56">
            <v>1273715.8</v>
          </cell>
          <cell r="F56">
            <v>275366.96000000002</v>
          </cell>
          <cell r="G56">
            <v>0</v>
          </cell>
          <cell r="H56">
            <v>275366.96000000002</v>
          </cell>
        </row>
        <row r="57">
          <cell r="A57">
            <v>41020080</v>
          </cell>
          <cell r="B57" t="str">
            <v>Admixture Consumption account</v>
          </cell>
          <cell r="C57">
            <v>0</v>
          </cell>
          <cell r="D57">
            <v>1661198.73</v>
          </cell>
          <cell r="E57">
            <v>97556.11</v>
          </cell>
          <cell r="F57">
            <v>1563642.62</v>
          </cell>
          <cell r="G57">
            <v>0</v>
          </cell>
          <cell r="H57">
            <v>1563642.62</v>
          </cell>
        </row>
        <row r="58">
          <cell r="A58">
            <v>41020090</v>
          </cell>
          <cell r="B58" t="str">
            <v>Raw Material  Purchase - Fly Ash</v>
          </cell>
          <cell r="C58">
            <v>0</v>
          </cell>
          <cell r="D58">
            <v>527232.56000000006</v>
          </cell>
          <cell r="E58">
            <v>822439.01</v>
          </cell>
          <cell r="F58">
            <v>-295206.45</v>
          </cell>
          <cell r="G58">
            <v>0</v>
          </cell>
          <cell r="H58">
            <v>-295206.45</v>
          </cell>
        </row>
        <row r="59">
          <cell r="A59">
            <v>41020095</v>
          </cell>
          <cell r="B59" t="str">
            <v>Interim account fly ash received</v>
          </cell>
          <cell r="C59">
            <v>0</v>
          </cell>
          <cell r="D59">
            <v>747946.14</v>
          </cell>
          <cell r="E59">
            <v>424248.49</v>
          </cell>
          <cell r="F59">
            <v>323697.65000000002</v>
          </cell>
          <cell r="G59">
            <v>0</v>
          </cell>
          <cell r="H59">
            <v>323697.65000000002</v>
          </cell>
        </row>
        <row r="60">
          <cell r="A60">
            <v>41020100</v>
          </cell>
          <cell r="B60" t="str">
            <v>Fly Ash Consumption account</v>
          </cell>
          <cell r="C60">
            <v>0</v>
          </cell>
          <cell r="D60">
            <v>799158.66</v>
          </cell>
          <cell r="E60">
            <v>101749.1</v>
          </cell>
          <cell r="F60">
            <v>697409.56</v>
          </cell>
          <cell r="G60">
            <v>0</v>
          </cell>
          <cell r="H60">
            <v>697409.56</v>
          </cell>
        </row>
        <row r="61">
          <cell r="A61">
            <v>41020150</v>
          </cell>
          <cell r="B61" t="str">
            <v>Loss/ gain on Stock</v>
          </cell>
          <cell r="C61">
            <v>0</v>
          </cell>
          <cell r="D61">
            <v>592373.97</v>
          </cell>
          <cell r="E61">
            <v>204493.21</v>
          </cell>
          <cell r="F61">
            <v>387880.76</v>
          </cell>
          <cell r="G61">
            <v>0</v>
          </cell>
          <cell r="H61">
            <v>387880.76</v>
          </cell>
        </row>
        <row r="62">
          <cell r="A62">
            <v>41020175</v>
          </cell>
          <cell r="B62" t="str">
            <v>Purchase of Concrete</v>
          </cell>
          <cell r="C62">
            <v>0</v>
          </cell>
          <cell r="D62">
            <v>410640</v>
          </cell>
          <cell r="E62">
            <v>0</v>
          </cell>
          <cell r="F62">
            <v>410640</v>
          </cell>
          <cell r="G62">
            <v>0</v>
          </cell>
          <cell r="H62">
            <v>410640</v>
          </cell>
        </row>
        <row r="63">
          <cell r="A63">
            <v>41020180</v>
          </cell>
          <cell r="B63" t="str">
            <v>Interim account for Concrete purchased</v>
          </cell>
          <cell r="C63">
            <v>0</v>
          </cell>
          <cell r="D63">
            <v>410640</v>
          </cell>
          <cell r="E63">
            <v>410640</v>
          </cell>
          <cell r="F63">
            <v>0</v>
          </cell>
          <cell r="G63">
            <v>0</v>
          </cell>
          <cell r="H63">
            <v>0</v>
          </cell>
        </row>
        <row r="64">
          <cell r="A64">
            <v>41020195</v>
          </cell>
          <cell r="B64" t="str">
            <v>Purchase of Diesel</v>
          </cell>
          <cell r="C64">
            <v>0</v>
          </cell>
          <cell r="D64">
            <v>2236425.9700000002</v>
          </cell>
          <cell r="E64">
            <v>2217162.38</v>
          </cell>
          <cell r="F64">
            <v>19263.59</v>
          </cell>
          <cell r="G64">
            <v>0</v>
          </cell>
          <cell r="H64">
            <v>19263.59</v>
          </cell>
        </row>
        <row r="65">
          <cell r="A65">
            <v>41020200</v>
          </cell>
          <cell r="B65" t="str">
            <v>Interim account for diesel received</v>
          </cell>
          <cell r="C65">
            <v>0</v>
          </cell>
          <cell r="D65">
            <v>2236425.9700000002</v>
          </cell>
          <cell r="E65">
            <v>2236425.9700000002</v>
          </cell>
          <cell r="F65">
            <v>0</v>
          </cell>
          <cell r="G65">
            <v>0</v>
          </cell>
          <cell r="H65">
            <v>0</v>
          </cell>
        </row>
        <row r="66">
          <cell r="A66">
            <v>41050010</v>
          </cell>
          <cell r="B66" t="str">
            <v>Closing Stock - Cement</v>
          </cell>
          <cell r="C66">
            <v>0</v>
          </cell>
          <cell r="D66">
            <v>0</v>
          </cell>
          <cell r="E66">
            <v>303011.95</v>
          </cell>
          <cell r="F66">
            <v>-303011.95</v>
          </cell>
          <cell r="G66">
            <v>0</v>
          </cell>
          <cell r="H66">
            <v>-303011.95</v>
          </cell>
        </row>
        <row r="67">
          <cell r="A67">
            <v>41050020</v>
          </cell>
          <cell r="B67" t="str">
            <v>Closing Stock - Sand</v>
          </cell>
          <cell r="C67">
            <v>0</v>
          </cell>
          <cell r="D67">
            <v>0</v>
          </cell>
          <cell r="E67">
            <v>315611.93</v>
          </cell>
          <cell r="F67">
            <v>-315611.93</v>
          </cell>
          <cell r="G67">
            <v>0</v>
          </cell>
          <cell r="H67">
            <v>-315611.93</v>
          </cell>
        </row>
        <row r="68">
          <cell r="A68">
            <v>41050040</v>
          </cell>
          <cell r="B68" t="str">
            <v>Closing Stock - RMC Aggregates</v>
          </cell>
          <cell r="C68">
            <v>0</v>
          </cell>
          <cell r="D68">
            <v>0</v>
          </cell>
          <cell r="E68">
            <v>880317.82</v>
          </cell>
          <cell r="F68">
            <v>-880317.82</v>
          </cell>
          <cell r="G68">
            <v>0</v>
          </cell>
          <cell r="H68">
            <v>-880317.82</v>
          </cell>
        </row>
        <row r="69">
          <cell r="A69">
            <v>41050050</v>
          </cell>
          <cell r="B69" t="str">
            <v>Closing Stock - Admixtures</v>
          </cell>
          <cell r="C69">
            <v>0</v>
          </cell>
          <cell r="D69">
            <v>0</v>
          </cell>
          <cell r="E69">
            <v>673612.32</v>
          </cell>
          <cell r="F69">
            <v>-673612.32</v>
          </cell>
          <cell r="G69">
            <v>0</v>
          </cell>
          <cell r="H69">
            <v>-673612.32</v>
          </cell>
        </row>
        <row r="70">
          <cell r="A70">
            <v>41050070</v>
          </cell>
          <cell r="B70" t="str">
            <v>Closing Stock - Flyash</v>
          </cell>
          <cell r="C70">
            <v>0</v>
          </cell>
          <cell r="D70">
            <v>0</v>
          </cell>
          <cell r="E70">
            <v>114668.39</v>
          </cell>
          <cell r="F70">
            <v>-114668.39</v>
          </cell>
          <cell r="G70">
            <v>0</v>
          </cell>
          <cell r="H70">
            <v>-114668.39</v>
          </cell>
        </row>
        <row r="71">
          <cell r="A71">
            <v>41050080</v>
          </cell>
          <cell r="B71" t="str">
            <v>Closing Stock - Diesel</v>
          </cell>
          <cell r="C71">
            <v>0</v>
          </cell>
          <cell r="D71">
            <v>0</v>
          </cell>
          <cell r="E71">
            <v>48937.18</v>
          </cell>
          <cell r="F71">
            <v>-48937.18</v>
          </cell>
          <cell r="G71">
            <v>0</v>
          </cell>
          <cell r="H71">
            <v>-48937.18</v>
          </cell>
        </row>
        <row r="72">
          <cell r="A72">
            <v>42010010</v>
          </cell>
          <cell r="B72" t="str">
            <v>Salary - Basic</v>
          </cell>
          <cell r="C72">
            <v>0</v>
          </cell>
          <cell r="D72">
            <v>492747</v>
          </cell>
          <cell r="E72">
            <v>8450</v>
          </cell>
          <cell r="F72">
            <v>484297</v>
          </cell>
          <cell r="G72">
            <v>0</v>
          </cell>
          <cell r="H72">
            <v>484297</v>
          </cell>
        </row>
        <row r="73">
          <cell r="A73">
            <v>42010020</v>
          </cell>
          <cell r="B73" t="str">
            <v>House Rent Allowance</v>
          </cell>
          <cell r="C73">
            <v>0</v>
          </cell>
          <cell r="D73">
            <v>254313</v>
          </cell>
          <cell r="E73">
            <v>4225</v>
          </cell>
          <cell r="F73">
            <v>250088</v>
          </cell>
          <cell r="G73">
            <v>0</v>
          </cell>
          <cell r="H73">
            <v>250088</v>
          </cell>
        </row>
        <row r="74">
          <cell r="A74">
            <v>42010030</v>
          </cell>
          <cell r="B74" t="str">
            <v>Education Allowance</v>
          </cell>
          <cell r="C74">
            <v>0</v>
          </cell>
          <cell r="D74">
            <v>26961</v>
          </cell>
          <cell r="E74">
            <v>600</v>
          </cell>
          <cell r="F74">
            <v>26361</v>
          </cell>
          <cell r="G74">
            <v>0</v>
          </cell>
          <cell r="H74">
            <v>26361</v>
          </cell>
        </row>
        <row r="75">
          <cell r="A75">
            <v>42010040</v>
          </cell>
          <cell r="B75" t="str">
            <v>Special Allowance</v>
          </cell>
          <cell r="C75">
            <v>0</v>
          </cell>
          <cell r="D75">
            <v>86165</v>
          </cell>
          <cell r="E75">
            <v>1268</v>
          </cell>
          <cell r="F75">
            <v>84897</v>
          </cell>
          <cell r="G75">
            <v>0</v>
          </cell>
          <cell r="H75">
            <v>84897</v>
          </cell>
        </row>
        <row r="76">
          <cell r="A76">
            <v>42010050</v>
          </cell>
          <cell r="B76" t="str">
            <v>Medical Expense Reimbursement</v>
          </cell>
          <cell r="C76">
            <v>0</v>
          </cell>
          <cell r="D76">
            <v>16139</v>
          </cell>
          <cell r="E76">
            <v>0</v>
          </cell>
          <cell r="F76">
            <v>16139</v>
          </cell>
          <cell r="G76">
            <v>0</v>
          </cell>
          <cell r="H76">
            <v>16139</v>
          </cell>
        </row>
        <row r="77">
          <cell r="A77">
            <v>42010100</v>
          </cell>
          <cell r="B77" t="str">
            <v>Transport Allowance</v>
          </cell>
          <cell r="C77">
            <v>0</v>
          </cell>
          <cell r="D77">
            <v>84349</v>
          </cell>
          <cell r="E77">
            <v>800</v>
          </cell>
          <cell r="F77">
            <v>83549</v>
          </cell>
          <cell r="G77">
            <v>0</v>
          </cell>
          <cell r="H77">
            <v>83549</v>
          </cell>
        </row>
        <row r="78">
          <cell r="A78">
            <v>42010130</v>
          </cell>
          <cell r="B78" t="str">
            <v>Production Linked Incentive</v>
          </cell>
          <cell r="C78">
            <v>0</v>
          </cell>
          <cell r="D78">
            <v>139190</v>
          </cell>
          <cell r="E78">
            <v>0</v>
          </cell>
          <cell r="F78">
            <v>139190</v>
          </cell>
          <cell r="G78">
            <v>0</v>
          </cell>
          <cell r="H78">
            <v>139190</v>
          </cell>
        </row>
        <row r="79">
          <cell r="A79">
            <v>42010220</v>
          </cell>
          <cell r="B79" t="str">
            <v>Adhoc Allowance</v>
          </cell>
          <cell r="C79">
            <v>0</v>
          </cell>
          <cell r="D79">
            <v>28470</v>
          </cell>
          <cell r="E79">
            <v>0</v>
          </cell>
          <cell r="F79">
            <v>28470</v>
          </cell>
          <cell r="G79">
            <v>0</v>
          </cell>
          <cell r="H79">
            <v>28470</v>
          </cell>
        </row>
        <row r="80">
          <cell r="A80">
            <v>42010230</v>
          </cell>
          <cell r="B80" t="str">
            <v>Car Allowance</v>
          </cell>
          <cell r="C80">
            <v>0</v>
          </cell>
          <cell r="D80">
            <v>30000</v>
          </cell>
          <cell r="E80">
            <v>0</v>
          </cell>
          <cell r="F80">
            <v>30000</v>
          </cell>
          <cell r="G80">
            <v>0</v>
          </cell>
          <cell r="H80">
            <v>30000</v>
          </cell>
        </row>
        <row r="81">
          <cell r="A81">
            <v>42010240</v>
          </cell>
          <cell r="B81" t="str">
            <v>Driver Allowance</v>
          </cell>
          <cell r="C81">
            <v>0</v>
          </cell>
          <cell r="D81">
            <v>12000</v>
          </cell>
          <cell r="E81">
            <v>0</v>
          </cell>
          <cell r="F81">
            <v>12000</v>
          </cell>
          <cell r="G81">
            <v>0</v>
          </cell>
          <cell r="H81">
            <v>12000</v>
          </cell>
        </row>
        <row r="82">
          <cell r="A82">
            <v>42020010</v>
          </cell>
          <cell r="B82" t="str">
            <v>Provident Funds - Employer's Conribution</v>
          </cell>
          <cell r="C82">
            <v>0</v>
          </cell>
          <cell r="D82">
            <v>58115</v>
          </cell>
          <cell r="E82">
            <v>0</v>
          </cell>
          <cell r="F82">
            <v>58115</v>
          </cell>
          <cell r="G82">
            <v>0</v>
          </cell>
          <cell r="H82">
            <v>58115</v>
          </cell>
        </row>
        <row r="83">
          <cell r="A83">
            <v>42020060</v>
          </cell>
          <cell r="B83" t="str">
            <v>Labour Welfare Fund - Employer's Contribution</v>
          </cell>
          <cell r="C83">
            <v>0</v>
          </cell>
          <cell r="D83">
            <v>0</v>
          </cell>
          <cell r="E83">
            <v>215</v>
          </cell>
          <cell r="F83">
            <v>-215</v>
          </cell>
          <cell r="G83">
            <v>0</v>
          </cell>
          <cell r="H83">
            <v>-215</v>
          </cell>
        </row>
        <row r="84">
          <cell r="A84">
            <v>42030020</v>
          </cell>
          <cell r="B84" t="str">
            <v>Purchases of Safety &amp; Welfare Items</v>
          </cell>
          <cell r="C84">
            <v>0</v>
          </cell>
          <cell r="D84">
            <v>25942</v>
          </cell>
          <cell r="E84">
            <v>0</v>
          </cell>
          <cell r="F84">
            <v>25942</v>
          </cell>
          <cell r="G84">
            <v>0</v>
          </cell>
          <cell r="H84">
            <v>25942</v>
          </cell>
        </row>
        <row r="85">
          <cell r="A85">
            <v>42030040</v>
          </cell>
          <cell r="B85" t="str">
            <v>Staff Welfare Expenses - FBT</v>
          </cell>
          <cell r="C85">
            <v>0</v>
          </cell>
          <cell r="D85">
            <v>3149</v>
          </cell>
          <cell r="E85">
            <v>0</v>
          </cell>
          <cell r="F85">
            <v>3149</v>
          </cell>
          <cell r="G85">
            <v>0</v>
          </cell>
          <cell r="H85">
            <v>3149</v>
          </cell>
        </row>
        <row r="86">
          <cell r="A86">
            <v>42030050</v>
          </cell>
          <cell r="B86" t="str">
            <v>Staff Welfare Expenses</v>
          </cell>
          <cell r="C86">
            <v>0</v>
          </cell>
          <cell r="D86">
            <v>29848</v>
          </cell>
          <cell r="E86">
            <v>5000</v>
          </cell>
          <cell r="F86">
            <v>24848</v>
          </cell>
          <cell r="G86">
            <v>0</v>
          </cell>
          <cell r="H86">
            <v>24848</v>
          </cell>
        </row>
        <row r="87">
          <cell r="A87">
            <v>43001030</v>
          </cell>
          <cell r="B87" t="str">
            <v>Fuel For Diesel Generator Set</v>
          </cell>
          <cell r="C87">
            <v>0</v>
          </cell>
          <cell r="D87">
            <v>479534.39</v>
          </cell>
          <cell r="E87">
            <v>0</v>
          </cell>
          <cell r="F87">
            <v>479534.39</v>
          </cell>
          <cell r="G87">
            <v>0</v>
          </cell>
          <cell r="H87">
            <v>479534.39</v>
          </cell>
        </row>
        <row r="88">
          <cell r="A88">
            <v>43010010</v>
          </cell>
          <cell r="B88" t="str">
            <v>Consumables</v>
          </cell>
          <cell r="C88">
            <v>0</v>
          </cell>
          <cell r="D88">
            <v>27529.75</v>
          </cell>
          <cell r="E88">
            <v>0</v>
          </cell>
          <cell r="F88">
            <v>27529.75</v>
          </cell>
          <cell r="G88">
            <v>0</v>
          </cell>
          <cell r="H88">
            <v>27529.75</v>
          </cell>
        </row>
        <row r="89">
          <cell r="A89">
            <v>43012010</v>
          </cell>
          <cell r="B89" t="str">
            <v>Lab Consumables</v>
          </cell>
          <cell r="C89">
            <v>0</v>
          </cell>
          <cell r="D89">
            <v>4736</v>
          </cell>
          <cell r="E89">
            <v>0</v>
          </cell>
          <cell r="F89">
            <v>4736</v>
          </cell>
          <cell r="G89">
            <v>0</v>
          </cell>
          <cell r="H89">
            <v>4736</v>
          </cell>
        </row>
        <row r="90">
          <cell r="A90">
            <v>43012020</v>
          </cell>
          <cell r="B90" t="str">
            <v>Labour / sub contractor for - Pumping Expenses Incurred</v>
          </cell>
          <cell r="C90">
            <v>0</v>
          </cell>
          <cell r="D90">
            <v>763137</v>
          </cell>
          <cell r="E90">
            <v>249000</v>
          </cell>
          <cell r="F90">
            <v>514137</v>
          </cell>
          <cell r="G90">
            <v>0</v>
          </cell>
          <cell r="H90">
            <v>514137</v>
          </cell>
        </row>
        <row r="91">
          <cell r="A91">
            <v>43016010</v>
          </cell>
          <cell r="B91" t="str">
            <v>Transportation Charges</v>
          </cell>
          <cell r="C91">
            <v>0</v>
          </cell>
          <cell r="D91">
            <v>32650</v>
          </cell>
          <cell r="E91">
            <v>0</v>
          </cell>
          <cell r="F91">
            <v>32650</v>
          </cell>
          <cell r="G91">
            <v>0</v>
          </cell>
          <cell r="H91">
            <v>32650</v>
          </cell>
        </row>
        <row r="92">
          <cell r="A92">
            <v>43018010</v>
          </cell>
          <cell r="B92" t="str">
            <v>Repairs &amp; Maintenance</v>
          </cell>
          <cell r="C92">
            <v>0</v>
          </cell>
          <cell r="D92">
            <v>938630.09</v>
          </cell>
          <cell r="E92">
            <v>65720</v>
          </cell>
          <cell r="F92">
            <v>872910.09</v>
          </cell>
          <cell r="G92">
            <v>0</v>
          </cell>
          <cell r="H92">
            <v>872910.09</v>
          </cell>
        </row>
        <row r="93">
          <cell r="A93">
            <v>43018020</v>
          </cell>
          <cell r="B93" t="str">
            <v>Oil &amp; Grease</v>
          </cell>
          <cell r="C93">
            <v>0</v>
          </cell>
          <cell r="D93">
            <v>264026.39</v>
          </cell>
          <cell r="E93">
            <v>58988.160000000003</v>
          </cell>
          <cell r="F93">
            <v>205038.23</v>
          </cell>
          <cell r="G93">
            <v>0</v>
          </cell>
          <cell r="H93">
            <v>205038.23</v>
          </cell>
        </row>
        <row r="94">
          <cell r="A94">
            <v>43020030</v>
          </cell>
          <cell r="B94" t="str">
            <v>Tyres</v>
          </cell>
          <cell r="C94">
            <v>0</v>
          </cell>
          <cell r="D94">
            <v>64000</v>
          </cell>
          <cell r="E94">
            <v>32000</v>
          </cell>
          <cell r="F94">
            <v>32000</v>
          </cell>
          <cell r="G94">
            <v>0</v>
          </cell>
          <cell r="H94">
            <v>32000</v>
          </cell>
        </row>
        <row r="95">
          <cell r="A95">
            <v>43022010</v>
          </cell>
          <cell r="B95" t="str">
            <v>Plant / Office Up Keep Exps</v>
          </cell>
          <cell r="C95">
            <v>0</v>
          </cell>
          <cell r="D95">
            <v>660179</v>
          </cell>
          <cell r="E95">
            <v>216800</v>
          </cell>
          <cell r="F95">
            <v>443379</v>
          </cell>
          <cell r="G95">
            <v>0</v>
          </cell>
          <cell r="H95">
            <v>443379</v>
          </cell>
        </row>
        <row r="96">
          <cell r="A96">
            <v>43030010</v>
          </cell>
          <cell r="B96" t="str">
            <v>Transportation Exps-Labour</v>
          </cell>
          <cell r="C96">
            <v>0</v>
          </cell>
          <cell r="D96">
            <v>445947</v>
          </cell>
          <cell r="E96">
            <v>162050</v>
          </cell>
          <cell r="F96">
            <v>283897</v>
          </cell>
          <cell r="G96">
            <v>0</v>
          </cell>
          <cell r="H96">
            <v>283897</v>
          </cell>
        </row>
        <row r="97">
          <cell r="A97">
            <v>43032010</v>
          </cell>
          <cell r="B97" t="str">
            <v>Rent - Plant</v>
          </cell>
          <cell r="C97">
            <v>0</v>
          </cell>
          <cell r="D97">
            <v>378000</v>
          </cell>
          <cell r="E97">
            <v>0</v>
          </cell>
          <cell r="F97">
            <v>378000</v>
          </cell>
          <cell r="G97">
            <v>0</v>
          </cell>
          <cell r="H97">
            <v>378000</v>
          </cell>
        </row>
        <row r="98">
          <cell r="A98">
            <v>43032040</v>
          </cell>
          <cell r="B98" t="str">
            <v>Lease Rentals- Machinery</v>
          </cell>
          <cell r="C98">
            <v>0</v>
          </cell>
          <cell r="D98">
            <v>656016</v>
          </cell>
          <cell r="E98">
            <v>0</v>
          </cell>
          <cell r="F98">
            <v>656016</v>
          </cell>
          <cell r="G98">
            <v>0</v>
          </cell>
          <cell r="H98">
            <v>656016</v>
          </cell>
        </row>
        <row r="99">
          <cell r="A99">
            <v>43032045</v>
          </cell>
          <cell r="B99" t="str">
            <v>Towing Expenses</v>
          </cell>
          <cell r="C99">
            <v>0</v>
          </cell>
          <cell r="D99">
            <v>195232.27</v>
          </cell>
          <cell r="E99">
            <v>37200</v>
          </cell>
          <cell r="F99">
            <v>158032.26999999999</v>
          </cell>
          <cell r="G99">
            <v>0</v>
          </cell>
          <cell r="H99">
            <v>158032.26999999999</v>
          </cell>
        </row>
        <row r="100">
          <cell r="A100">
            <v>43036010</v>
          </cell>
          <cell r="B100" t="str">
            <v>Insurance Expenses</v>
          </cell>
          <cell r="C100">
            <v>0</v>
          </cell>
          <cell r="D100">
            <v>48662</v>
          </cell>
          <cell r="E100">
            <v>0</v>
          </cell>
          <cell r="F100">
            <v>48662</v>
          </cell>
          <cell r="G100">
            <v>0</v>
          </cell>
          <cell r="H100">
            <v>48662</v>
          </cell>
        </row>
        <row r="101">
          <cell r="A101">
            <v>43038010</v>
          </cell>
          <cell r="B101" t="str">
            <v>Postage Expenses</v>
          </cell>
          <cell r="C101">
            <v>0</v>
          </cell>
          <cell r="D101">
            <v>1950</v>
          </cell>
          <cell r="E101">
            <v>1300</v>
          </cell>
          <cell r="F101">
            <v>650</v>
          </cell>
          <cell r="G101">
            <v>0</v>
          </cell>
          <cell r="H101">
            <v>650</v>
          </cell>
        </row>
        <row r="102">
          <cell r="A102">
            <v>43038020</v>
          </cell>
          <cell r="B102" t="str">
            <v>Courier Expenses</v>
          </cell>
          <cell r="C102">
            <v>0</v>
          </cell>
          <cell r="D102">
            <v>6332</v>
          </cell>
          <cell r="E102">
            <v>2741</v>
          </cell>
          <cell r="F102">
            <v>3591</v>
          </cell>
          <cell r="G102">
            <v>0</v>
          </cell>
          <cell r="H102">
            <v>3591</v>
          </cell>
        </row>
        <row r="103">
          <cell r="A103">
            <v>43038030</v>
          </cell>
          <cell r="B103" t="str">
            <v>Telephone Expenses</v>
          </cell>
          <cell r="C103">
            <v>0</v>
          </cell>
          <cell r="D103">
            <v>1135</v>
          </cell>
          <cell r="E103">
            <v>0</v>
          </cell>
          <cell r="F103">
            <v>1135</v>
          </cell>
          <cell r="G103">
            <v>0</v>
          </cell>
          <cell r="H103">
            <v>1135</v>
          </cell>
        </row>
        <row r="104">
          <cell r="A104">
            <v>43038050</v>
          </cell>
          <cell r="B104" t="str">
            <v>Telephone Chgs - Mobile  FBT</v>
          </cell>
          <cell r="C104">
            <v>0</v>
          </cell>
          <cell r="D104">
            <v>119291</v>
          </cell>
          <cell r="E104">
            <v>60786</v>
          </cell>
          <cell r="F104">
            <v>58505</v>
          </cell>
          <cell r="G104">
            <v>0</v>
          </cell>
          <cell r="H104">
            <v>58505</v>
          </cell>
        </row>
        <row r="105">
          <cell r="A105">
            <v>43040010</v>
          </cell>
          <cell r="B105" t="str">
            <v>Conveyance Expenses - FBT</v>
          </cell>
          <cell r="C105">
            <v>0</v>
          </cell>
          <cell r="D105">
            <v>138494</v>
          </cell>
          <cell r="E105">
            <v>57700</v>
          </cell>
          <cell r="F105">
            <v>80794</v>
          </cell>
          <cell r="G105">
            <v>0</v>
          </cell>
          <cell r="H105">
            <v>80794</v>
          </cell>
        </row>
        <row r="106">
          <cell r="A106">
            <v>43040030</v>
          </cell>
          <cell r="B106" t="str">
            <v>Motor Car Hire Expenses - FBT</v>
          </cell>
          <cell r="C106">
            <v>0</v>
          </cell>
          <cell r="D106">
            <v>76000</v>
          </cell>
          <cell r="E106">
            <v>38000</v>
          </cell>
          <cell r="F106">
            <v>38000</v>
          </cell>
          <cell r="G106">
            <v>0</v>
          </cell>
          <cell r="H106">
            <v>38000</v>
          </cell>
        </row>
        <row r="107">
          <cell r="A107">
            <v>43040040</v>
          </cell>
          <cell r="B107" t="str">
            <v>Motor Car Hire Expenses</v>
          </cell>
          <cell r="C107">
            <v>0</v>
          </cell>
          <cell r="D107">
            <v>39590</v>
          </cell>
          <cell r="E107">
            <v>0</v>
          </cell>
          <cell r="F107">
            <v>39590</v>
          </cell>
          <cell r="G107">
            <v>0</v>
          </cell>
          <cell r="H107">
            <v>39590</v>
          </cell>
        </row>
        <row r="108">
          <cell r="A108">
            <v>43040080</v>
          </cell>
          <cell r="B108" t="str">
            <v>Travelling Expenses - Domestic - FBT</v>
          </cell>
          <cell r="C108">
            <v>0</v>
          </cell>
          <cell r="D108">
            <v>1002</v>
          </cell>
          <cell r="E108">
            <v>0</v>
          </cell>
          <cell r="F108">
            <v>1002</v>
          </cell>
          <cell r="G108">
            <v>0</v>
          </cell>
          <cell r="H108">
            <v>1002</v>
          </cell>
        </row>
        <row r="109">
          <cell r="A109">
            <v>43040100</v>
          </cell>
          <cell r="B109" t="str">
            <v>Hotel Expenses  - FBT</v>
          </cell>
          <cell r="C109">
            <v>0</v>
          </cell>
          <cell r="D109">
            <v>20718</v>
          </cell>
          <cell r="E109">
            <v>0</v>
          </cell>
          <cell r="F109">
            <v>20718</v>
          </cell>
          <cell r="G109">
            <v>0</v>
          </cell>
          <cell r="H109">
            <v>20718</v>
          </cell>
        </row>
        <row r="110">
          <cell r="A110">
            <v>43042010</v>
          </cell>
          <cell r="B110" t="str">
            <v>Fuel - Truck Mixers</v>
          </cell>
          <cell r="C110">
            <v>0</v>
          </cell>
          <cell r="D110">
            <v>1783930.44</v>
          </cell>
          <cell r="E110">
            <v>892052.29</v>
          </cell>
          <cell r="F110">
            <v>891878.15</v>
          </cell>
          <cell r="G110">
            <v>0</v>
          </cell>
          <cell r="H110">
            <v>891878.15</v>
          </cell>
        </row>
        <row r="111">
          <cell r="A111">
            <v>43042020</v>
          </cell>
          <cell r="B111" t="str">
            <v>Fuel - Loader</v>
          </cell>
          <cell r="C111">
            <v>0</v>
          </cell>
          <cell r="D111">
            <v>74713.66</v>
          </cell>
          <cell r="E111">
            <v>0</v>
          </cell>
          <cell r="F111">
            <v>74713.66</v>
          </cell>
          <cell r="G111">
            <v>0</v>
          </cell>
          <cell r="H111">
            <v>74713.66</v>
          </cell>
        </row>
        <row r="112">
          <cell r="A112">
            <v>43042030</v>
          </cell>
          <cell r="B112" t="str">
            <v>Fuel - Others</v>
          </cell>
          <cell r="C112">
            <v>0</v>
          </cell>
          <cell r="D112">
            <v>86460.83</v>
          </cell>
          <cell r="E112">
            <v>86460.98</v>
          </cell>
          <cell r="F112">
            <v>-0.15</v>
          </cell>
          <cell r="G112">
            <v>0</v>
          </cell>
          <cell r="H112">
            <v>-0.15</v>
          </cell>
        </row>
        <row r="113">
          <cell r="A113">
            <v>43042050</v>
          </cell>
          <cell r="B113" t="str">
            <v>Fuel -  External Trucks/Pumps</v>
          </cell>
          <cell r="C113">
            <v>0</v>
          </cell>
          <cell r="D113">
            <v>1115529.08</v>
          </cell>
          <cell r="E113">
            <v>557764.56999999995</v>
          </cell>
          <cell r="F113">
            <v>557764.51</v>
          </cell>
          <cell r="G113">
            <v>0</v>
          </cell>
          <cell r="H113">
            <v>557764.51</v>
          </cell>
        </row>
        <row r="114">
          <cell r="A114">
            <v>43042060</v>
          </cell>
          <cell r="B114" t="str">
            <v>Fuel - Concrete Pumps</v>
          </cell>
          <cell r="C114">
            <v>0</v>
          </cell>
          <cell r="D114">
            <v>253621.27</v>
          </cell>
          <cell r="E114">
            <v>126810.43</v>
          </cell>
          <cell r="F114">
            <v>126810.84</v>
          </cell>
          <cell r="G114">
            <v>0</v>
          </cell>
          <cell r="H114">
            <v>126810.84</v>
          </cell>
        </row>
        <row r="115">
          <cell r="A115">
            <v>43046010</v>
          </cell>
          <cell r="B115" t="str">
            <v>Rates &amp; Taxes</v>
          </cell>
          <cell r="C115">
            <v>0</v>
          </cell>
          <cell r="D115">
            <v>41826</v>
          </cell>
          <cell r="E115">
            <v>0</v>
          </cell>
          <cell r="F115">
            <v>41826</v>
          </cell>
          <cell r="G115">
            <v>0</v>
          </cell>
          <cell r="H115">
            <v>41826</v>
          </cell>
        </row>
        <row r="116">
          <cell r="A116">
            <v>43046020</v>
          </cell>
          <cell r="B116" t="str">
            <v>Toll Charges- Truck Mixer</v>
          </cell>
          <cell r="C116">
            <v>0</v>
          </cell>
          <cell r="D116">
            <v>410216</v>
          </cell>
          <cell r="E116">
            <v>0</v>
          </cell>
          <cell r="F116">
            <v>410216</v>
          </cell>
          <cell r="G116">
            <v>0</v>
          </cell>
          <cell r="H116">
            <v>410216</v>
          </cell>
        </row>
        <row r="117">
          <cell r="A117">
            <v>43050020</v>
          </cell>
          <cell r="B117" t="str">
            <v>Recruitment Expenses</v>
          </cell>
          <cell r="C117">
            <v>0</v>
          </cell>
          <cell r="D117">
            <v>7050</v>
          </cell>
          <cell r="E117">
            <v>3525</v>
          </cell>
          <cell r="F117">
            <v>3525</v>
          </cell>
          <cell r="G117">
            <v>0</v>
          </cell>
          <cell r="H117">
            <v>3525</v>
          </cell>
        </row>
        <row r="118">
          <cell r="A118">
            <v>43052010</v>
          </cell>
          <cell r="B118" t="str">
            <v>Security Service Charges</v>
          </cell>
          <cell r="C118">
            <v>0</v>
          </cell>
          <cell r="D118">
            <v>295072</v>
          </cell>
          <cell r="E118">
            <v>123500</v>
          </cell>
          <cell r="F118">
            <v>171572</v>
          </cell>
          <cell r="G118">
            <v>0</v>
          </cell>
          <cell r="H118">
            <v>171572</v>
          </cell>
        </row>
        <row r="119">
          <cell r="A119">
            <v>43054020</v>
          </cell>
          <cell r="B119" t="str">
            <v>Concrete Carrying Charges - TM</v>
          </cell>
          <cell r="C119">
            <v>0</v>
          </cell>
          <cell r="D119">
            <v>1586163</v>
          </cell>
          <cell r="E119">
            <v>380000</v>
          </cell>
          <cell r="F119">
            <v>1206163</v>
          </cell>
          <cell r="G119">
            <v>0</v>
          </cell>
          <cell r="H119">
            <v>1206163</v>
          </cell>
        </row>
        <row r="120">
          <cell r="A120">
            <v>43056010</v>
          </cell>
          <cell r="B120" t="str">
            <v>Professional &amp; Consultancy Fees</v>
          </cell>
          <cell r="C120">
            <v>0</v>
          </cell>
          <cell r="D120">
            <v>58750</v>
          </cell>
          <cell r="E120">
            <v>15000</v>
          </cell>
          <cell r="F120">
            <v>43750</v>
          </cell>
          <cell r="G120">
            <v>0</v>
          </cell>
          <cell r="H120">
            <v>43750</v>
          </cell>
        </row>
        <row r="121">
          <cell r="A121">
            <v>43062010</v>
          </cell>
          <cell r="B121" t="str">
            <v>Computer Expenses</v>
          </cell>
          <cell r="C121">
            <v>0</v>
          </cell>
          <cell r="D121">
            <v>18029</v>
          </cell>
          <cell r="E121">
            <v>0</v>
          </cell>
          <cell r="F121">
            <v>18029</v>
          </cell>
          <cell r="G121">
            <v>0</v>
          </cell>
          <cell r="H121">
            <v>18029</v>
          </cell>
        </row>
        <row r="122">
          <cell r="A122">
            <v>43066020</v>
          </cell>
          <cell r="B122" t="str">
            <v>Printing &amp; Stationery</v>
          </cell>
          <cell r="C122">
            <v>0</v>
          </cell>
          <cell r="D122">
            <v>29256</v>
          </cell>
          <cell r="E122">
            <v>0</v>
          </cell>
          <cell r="F122">
            <v>29256</v>
          </cell>
          <cell r="G122">
            <v>0</v>
          </cell>
          <cell r="H122">
            <v>29256</v>
          </cell>
        </row>
        <row r="123">
          <cell r="A123">
            <v>43074010</v>
          </cell>
          <cell r="B123" t="str">
            <v>Provision For Bad &amp; Doubtful Debts W/Off</v>
          </cell>
          <cell r="C123">
            <v>0</v>
          </cell>
          <cell r="D123">
            <v>182258</v>
          </cell>
          <cell r="E123">
            <v>0</v>
          </cell>
          <cell r="F123">
            <v>182258</v>
          </cell>
          <cell r="G123">
            <v>0</v>
          </cell>
          <cell r="H123">
            <v>182258</v>
          </cell>
        </row>
        <row r="124">
          <cell r="A124">
            <v>43084010</v>
          </cell>
          <cell r="B124" t="str">
            <v>Miscellaneous Expenses</v>
          </cell>
          <cell r="C124">
            <v>0</v>
          </cell>
          <cell r="D124">
            <v>0</v>
          </cell>
          <cell r="E124">
            <v>384</v>
          </cell>
          <cell r="F124">
            <v>-384</v>
          </cell>
          <cell r="G124">
            <v>0</v>
          </cell>
          <cell r="H124">
            <v>-384</v>
          </cell>
        </row>
        <row r="125">
          <cell r="A125">
            <v>43084020</v>
          </cell>
          <cell r="B125" t="str">
            <v>Testing Charges</v>
          </cell>
          <cell r="C125">
            <v>0</v>
          </cell>
          <cell r="D125">
            <v>14725</v>
          </cell>
          <cell r="E125">
            <v>0</v>
          </cell>
          <cell r="F125">
            <v>14725</v>
          </cell>
          <cell r="G125">
            <v>0</v>
          </cell>
          <cell r="H125">
            <v>14725</v>
          </cell>
        </row>
        <row r="126">
          <cell r="A126">
            <v>43084030</v>
          </cell>
          <cell r="B126" t="str">
            <v>Rounding Off</v>
          </cell>
          <cell r="C126">
            <v>0</v>
          </cell>
          <cell r="D126">
            <v>38.29</v>
          </cell>
          <cell r="E126">
            <v>26.82</v>
          </cell>
          <cell r="F126">
            <v>11.47</v>
          </cell>
          <cell r="G126">
            <v>0</v>
          </cell>
          <cell r="H126">
            <v>11.47</v>
          </cell>
        </row>
        <row r="127">
          <cell r="A127">
            <v>44010040</v>
          </cell>
          <cell r="B127" t="str">
            <v>Bank Charges</v>
          </cell>
          <cell r="C127">
            <v>0</v>
          </cell>
          <cell r="D127">
            <v>4990.6499999999996</v>
          </cell>
          <cell r="E127">
            <v>31.4</v>
          </cell>
          <cell r="F127">
            <v>4959.25</v>
          </cell>
          <cell r="G127">
            <v>0</v>
          </cell>
          <cell r="H127">
            <v>4959.25</v>
          </cell>
        </row>
        <row r="128">
          <cell r="A128">
            <v>45010010</v>
          </cell>
          <cell r="B128" t="str">
            <v>Depreciation</v>
          </cell>
          <cell r="C128">
            <v>0</v>
          </cell>
          <cell r="D128">
            <v>1312823</v>
          </cell>
          <cell r="E128">
            <v>0</v>
          </cell>
          <cell r="F128">
            <v>1312823</v>
          </cell>
          <cell r="G128">
            <v>0</v>
          </cell>
          <cell r="H128">
            <v>1312823</v>
          </cell>
        </row>
        <row r="129">
          <cell r="A129">
            <v>52000000</v>
          </cell>
          <cell r="B129" t="str">
            <v>Inter Branch Control Account</v>
          </cell>
          <cell r="C129">
            <v>-110907130.45999999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-110907130.45999999</v>
          </cell>
        </row>
        <row r="130">
          <cell r="A130">
            <v>52000809</v>
          </cell>
          <cell r="B130" t="str">
            <v>Inter branch control account for 08-09</v>
          </cell>
          <cell r="C130">
            <v>-9193543</v>
          </cell>
          <cell r="D130">
            <v>29183388.690000001</v>
          </cell>
          <cell r="E130">
            <v>31222940</v>
          </cell>
          <cell r="F130">
            <v>-2039551.31</v>
          </cell>
          <cell r="G130">
            <v>0</v>
          </cell>
          <cell r="H130">
            <v>-11233094.310000001</v>
          </cell>
        </row>
        <row r="131">
          <cell r="A131">
            <v>61000200</v>
          </cell>
          <cell r="B131" t="str">
            <v>Stock Transfer Control Account</v>
          </cell>
          <cell r="C131">
            <v>0</v>
          </cell>
          <cell r="D131">
            <v>1297084.2</v>
          </cell>
          <cell r="E131">
            <v>1297080.3700000001</v>
          </cell>
          <cell r="F131">
            <v>3.83</v>
          </cell>
          <cell r="G131">
            <v>0</v>
          </cell>
          <cell r="H131">
            <v>3.83</v>
          </cell>
        </row>
        <row r="132">
          <cell r="A132">
            <v>61000400</v>
          </cell>
          <cell r="B132" t="str">
            <v>Control Account Haulage Income</v>
          </cell>
          <cell r="C132">
            <v>0</v>
          </cell>
          <cell r="D132">
            <v>4400236</v>
          </cell>
          <cell r="E132">
            <v>4400236</v>
          </cell>
          <cell r="F132">
            <v>0</v>
          </cell>
          <cell r="G132">
            <v>0</v>
          </cell>
          <cell r="H132">
            <v>0</v>
          </cell>
        </row>
        <row r="133">
          <cell r="A133">
            <v>61000500</v>
          </cell>
          <cell r="B133" t="str">
            <v>Control Account for Pumping</v>
          </cell>
          <cell r="C133">
            <v>0</v>
          </cell>
          <cell r="D133">
            <v>946750</v>
          </cell>
          <cell r="E133">
            <v>946750</v>
          </cell>
          <cell r="F133">
            <v>0</v>
          </cell>
          <cell r="G133">
            <v>0</v>
          </cell>
          <cell r="H133">
            <v>0</v>
          </cell>
        </row>
        <row r="134">
          <cell r="A134">
            <v>62000000</v>
          </cell>
          <cell r="B134" t="str">
            <v>Inter branch Clearing account</v>
          </cell>
          <cell r="C134">
            <v>0</v>
          </cell>
          <cell r="D134">
            <v>5969121.9299999997</v>
          </cell>
          <cell r="E134">
            <v>5969121.9299999997</v>
          </cell>
          <cell r="F134">
            <v>0</v>
          </cell>
          <cell r="G134">
            <v>0</v>
          </cell>
          <cell r="H134">
            <v>0</v>
          </cell>
        </row>
        <row r="135">
          <cell r="B135" t="str">
            <v>Total</v>
          </cell>
          <cell r="D135">
            <v>0</v>
          </cell>
          <cell r="E135">
            <v>312451296.67000002</v>
          </cell>
          <cell r="F135">
            <v>312451296.67000002</v>
          </cell>
          <cell r="G135">
            <v>0</v>
          </cell>
          <cell r="H135">
            <v>0</v>
          </cell>
        </row>
      </sheetData>
      <sheetData sheetId="11" refreshError="1">
        <row r="1">
          <cell r="A1" t="str">
            <v>RMC Readymix (I) Pvt. Ltd.,</v>
          </cell>
          <cell r="B1" t="str">
            <v>Trial balance</v>
          </cell>
          <cell r="C1">
            <v>39970</v>
          </cell>
          <cell r="D1">
            <v>0.6154398148148148</v>
          </cell>
          <cell r="E1" t="str">
            <v>Page 1</v>
          </cell>
          <cell r="F1" t="str">
            <v>Hyderabad</v>
          </cell>
        </row>
        <row r="2">
          <cell r="A2" t="str">
            <v>Period</v>
          </cell>
          <cell r="B2">
            <v>39904</v>
          </cell>
          <cell r="C2">
            <v>39964</v>
          </cell>
        </row>
        <row r="3">
          <cell r="A3" t="str">
            <v>Ledger account</v>
          </cell>
          <cell r="B3" t="str">
            <v>Account name</v>
          </cell>
          <cell r="C3" t="str">
            <v>Opening balance</v>
          </cell>
          <cell r="D3" t="str">
            <v>Debit</v>
          </cell>
          <cell r="E3" t="str">
            <v>Credit</v>
          </cell>
          <cell r="F3" t="str">
            <v>Net difference</v>
          </cell>
          <cell r="G3" t="str">
            <v>Closing transactions</v>
          </cell>
          <cell r="H3" t="str">
            <v>Closing balance</v>
          </cell>
        </row>
        <row r="4">
          <cell r="A4">
            <v>11010010</v>
          </cell>
          <cell r="B4" t="str">
            <v>Freehold Land</v>
          </cell>
          <cell r="C4">
            <v>24526908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24526908</v>
          </cell>
        </row>
        <row r="5">
          <cell r="A5">
            <v>11015010</v>
          </cell>
          <cell r="B5" t="str">
            <v>Buildings</v>
          </cell>
          <cell r="C5">
            <v>33827356.140000001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33827356.140000001</v>
          </cell>
        </row>
        <row r="6">
          <cell r="A6">
            <v>11025010</v>
          </cell>
          <cell r="B6" t="str">
            <v>Plant and Machinery</v>
          </cell>
          <cell r="C6">
            <v>180748801.22999999</v>
          </cell>
          <cell r="D6">
            <v>8132</v>
          </cell>
          <cell r="E6">
            <v>0</v>
          </cell>
          <cell r="F6">
            <v>8132</v>
          </cell>
          <cell r="G6">
            <v>0</v>
          </cell>
          <cell r="H6">
            <v>180756933.22999999</v>
          </cell>
        </row>
        <row r="7">
          <cell r="A7">
            <v>11030010</v>
          </cell>
          <cell r="B7" t="str">
            <v>Electrical Installations</v>
          </cell>
          <cell r="C7">
            <v>13549073.52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13549073.52</v>
          </cell>
        </row>
        <row r="8">
          <cell r="A8">
            <v>11035010</v>
          </cell>
          <cell r="B8" t="str">
            <v>Furniture &amp; Fixtures</v>
          </cell>
          <cell r="C8">
            <v>3896698.72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3896698.72</v>
          </cell>
        </row>
        <row r="9">
          <cell r="A9">
            <v>11040010</v>
          </cell>
          <cell r="B9" t="str">
            <v>Office &amp; Electrical Appliances</v>
          </cell>
          <cell r="C9">
            <v>4303647.5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4303647.5</v>
          </cell>
        </row>
        <row r="10">
          <cell r="A10">
            <v>11045010</v>
          </cell>
          <cell r="B10" t="str">
            <v>Truck Mixers, Loaders &amp; Truck Dumpers</v>
          </cell>
          <cell r="C10">
            <v>85504695.140000001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85504695.140000001</v>
          </cell>
        </row>
        <row r="11">
          <cell r="A11">
            <v>11050010</v>
          </cell>
          <cell r="B11" t="str">
            <v>Motor Vehicles &amp; Technical Vans</v>
          </cell>
          <cell r="C11">
            <v>618400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618400</v>
          </cell>
        </row>
        <row r="12">
          <cell r="A12">
            <v>11060010</v>
          </cell>
          <cell r="B12" t="str">
            <v>Capital W.I.P</v>
          </cell>
          <cell r="C12">
            <v>-0.18</v>
          </cell>
          <cell r="D12">
            <v>8131.5</v>
          </cell>
          <cell r="E12">
            <v>8132</v>
          </cell>
          <cell r="F12">
            <v>-0.5</v>
          </cell>
          <cell r="G12">
            <v>0</v>
          </cell>
          <cell r="H12">
            <v>-0.68</v>
          </cell>
        </row>
        <row r="13">
          <cell r="A13">
            <v>13005010</v>
          </cell>
          <cell r="B13" t="str">
            <v>Stores and spare  Local</v>
          </cell>
          <cell r="C13">
            <v>2619825</v>
          </cell>
          <cell r="D13">
            <v>0</v>
          </cell>
          <cell r="E13">
            <v>1027357</v>
          </cell>
          <cell r="F13">
            <v>-1027357</v>
          </cell>
          <cell r="G13">
            <v>0</v>
          </cell>
          <cell r="H13">
            <v>1592468</v>
          </cell>
        </row>
        <row r="14">
          <cell r="A14">
            <v>13015010</v>
          </cell>
          <cell r="B14" t="str">
            <v>Balance Sheet Stock of Raw material - RMC</v>
          </cell>
          <cell r="C14">
            <v>4747949.29</v>
          </cell>
          <cell r="D14">
            <v>4287477.42</v>
          </cell>
          <cell r="E14">
            <v>4747949.29</v>
          </cell>
          <cell r="F14">
            <v>-460471.87</v>
          </cell>
          <cell r="G14">
            <v>0</v>
          </cell>
          <cell r="H14">
            <v>4287477.42</v>
          </cell>
        </row>
        <row r="15">
          <cell r="A15">
            <v>13015020</v>
          </cell>
          <cell r="B15" t="str">
            <v>Balance sheet Boulder production</v>
          </cell>
          <cell r="C15">
            <v>-13909200.359999999</v>
          </cell>
          <cell r="D15">
            <v>18561001.699999999</v>
          </cell>
          <cell r="E15">
            <v>6306538.3600000003</v>
          </cell>
          <cell r="F15">
            <v>12254463.34</v>
          </cell>
          <cell r="G15">
            <v>0</v>
          </cell>
          <cell r="H15">
            <v>-1654737.02</v>
          </cell>
        </row>
        <row r="16">
          <cell r="A16">
            <v>13015030</v>
          </cell>
          <cell r="B16" t="str">
            <v>Balance sheet Aggregate Production</v>
          </cell>
          <cell r="C16">
            <v>3928194.32</v>
          </cell>
          <cell r="D16">
            <v>26325445.579999998</v>
          </cell>
          <cell r="E16">
            <v>31322031.949999999</v>
          </cell>
          <cell r="F16">
            <v>-4996586.37</v>
          </cell>
          <cell r="G16">
            <v>0</v>
          </cell>
          <cell r="H16">
            <v>-1068392.05</v>
          </cell>
        </row>
        <row r="17">
          <cell r="A17">
            <v>13015040</v>
          </cell>
          <cell r="B17" t="str">
            <v>Balance Sheet CRF Production</v>
          </cell>
          <cell r="C17">
            <v>2179313.75</v>
          </cell>
          <cell r="D17">
            <v>12411477.57</v>
          </cell>
          <cell r="E17">
            <v>13309078.26</v>
          </cell>
          <cell r="F17">
            <v>-897600.69</v>
          </cell>
          <cell r="G17">
            <v>0</v>
          </cell>
          <cell r="H17">
            <v>1281713.06</v>
          </cell>
        </row>
        <row r="18">
          <cell r="A18">
            <v>13015050</v>
          </cell>
          <cell r="B18" t="str">
            <v>Balance Sheet Quarry Stock Valuation</v>
          </cell>
          <cell r="C18">
            <v>18337529.309999999</v>
          </cell>
          <cell r="D18">
            <v>10998033.529999999</v>
          </cell>
          <cell r="E18">
            <v>18337529.309999999</v>
          </cell>
          <cell r="F18">
            <v>-7339495.7800000003</v>
          </cell>
          <cell r="G18">
            <v>0</v>
          </cell>
          <cell r="H18">
            <v>10998033.529999999</v>
          </cell>
        </row>
        <row r="19">
          <cell r="A19">
            <v>13020010</v>
          </cell>
          <cell r="B19" t="str">
            <v>Sundry Debtors Account</v>
          </cell>
          <cell r="C19">
            <v>71595979.230000004</v>
          </cell>
          <cell r="D19">
            <v>78641841</v>
          </cell>
          <cell r="E19">
            <v>89197421</v>
          </cell>
          <cell r="F19">
            <v>-10555580</v>
          </cell>
          <cell r="G19">
            <v>0</v>
          </cell>
          <cell r="H19">
            <v>61040399.229999997</v>
          </cell>
        </row>
        <row r="20">
          <cell r="A20">
            <v>13025010</v>
          </cell>
          <cell r="B20" t="str">
            <v>Cash In Hand</v>
          </cell>
          <cell r="C20">
            <v>9195</v>
          </cell>
          <cell r="D20">
            <v>1642049</v>
          </cell>
          <cell r="E20">
            <v>1558092</v>
          </cell>
          <cell r="F20">
            <v>83957</v>
          </cell>
          <cell r="G20">
            <v>0</v>
          </cell>
          <cell r="H20">
            <v>93152</v>
          </cell>
        </row>
        <row r="21">
          <cell r="A21">
            <v>13035010</v>
          </cell>
          <cell r="B21" t="str">
            <v>Bank Account</v>
          </cell>
          <cell r="C21">
            <v>530226.47</v>
          </cell>
          <cell r="D21">
            <v>104268497</v>
          </cell>
          <cell r="E21">
            <v>102213736.73999999</v>
          </cell>
          <cell r="F21">
            <v>2054760.26</v>
          </cell>
          <cell r="G21">
            <v>0</v>
          </cell>
          <cell r="H21">
            <v>2584986.73</v>
          </cell>
        </row>
        <row r="22">
          <cell r="A22">
            <v>13040030</v>
          </cell>
          <cell r="B22" t="str">
            <v>Cheques in Hand collected from parties as on 31.03</v>
          </cell>
          <cell r="C22">
            <v>533076</v>
          </cell>
          <cell r="D22">
            <v>0</v>
          </cell>
          <cell r="E22">
            <v>533076</v>
          </cell>
          <cell r="F22">
            <v>-533076</v>
          </cell>
          <cell r="G22">
            <v>0</v>
          </cell>
          <cell r="H22">
            <v>0</v>
          </cell>
        </row>
        <row r="23">
          <cell r="A23">
            <v>13045020</v>
          </cell>
          <cell r="B23" t="str">
            <v>Loans and advances to employees</v>
          </cell>
          <cell r="C23">
            <v>105841</v>
          </cell>
          <cell r="D23">
            <v>996117</v>
          </cell>
          <cell r="E23">
            <v>798429</v>
          </cell>
          <cell r="F23">
            <v>197688</v>
          </cell>
          <cell r="G23">
            <v>0</v>
          </cell>
          <cell r="H23">
            <v>303529</v>
          </cell>
        </row>
        <row r="24">
          <cell r="A24">
            <v>13045030</v>
          </cell>
          <cell r="B24" t="str">
            <v>Other Advances</v>
          </cell>
          <cell r="C24">
            <v>8479386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8479386</v>
          </cell>
        </row>
        <row r="25">
          <cell r="A25">
            <v>13050016</v>
          </cell>
          <cell r="B25" t="str">
            <v>TDS ON RECEIPTS - 05-06</v>
          </cell>
          <cell r="C25">
            <v>66863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66863</v>
          </cell>
        </row>
        <row r="26">
          <cell r="A26">
            <v>13050018</v>
          </cell>
          <cell r="B26" t="str">
            <v>TDS ON RECEIPTS - 06-07</v>
          </cell>
          <cell r="C26">
            <v>204508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204508</v>
          </cell>
        </row>
        <row r="27">
          <cell r="A27">
            <v>13050020</v>
          </cell>
          <cell r="B27" t="str">
            <v>TDS ON RECEIPTS - 08-09</v>
          </cell>
          <cell r="C27">
            <v>2153011</v>
          </cell>
          <cell r="D27">
            <v>39775</v>
          </cell>
          <cell r="E27">
            <v>0</v>
          </cell>
          <cell r="F27">
            <v>39775</v>
          </cell>
          <cell r="G27">
            <v>0</v>
          </cell>
          <cell r="H27">
            <v>2192786</v>
          </cell>
        </row>
        <row r="28">
          <cell r="A28">
            <v>13050021</v>
          </cell>
          <cell r="B28" t="str">
            <v>TDS ON RECEIPTS - 09-10</v>
          </cell>
          <cell r="C28">
            <v>0</v>
          </cell>
          <cell r="D28">
            <v>117726</v>
          </cell>
          <cell r="E28">
            <v>0</v>
          </cell>
          <cell r="F28">
            <v>117726</v>
          </cell>
          <cell r="G28">
            <v>0</v>
          </cell>
          <cell r="H28">
            <v>117726</v>
          </cell>
        </row>
        <row r="29">
          <cell r="A29">
            <v>13055020</v>
          </cell>
          <cell r="B29" t="str">
            <v>Prepaid Expenses</v>
          </cell>
          <cell r="C29">
            <v>541486.24</v>
          </cell>
          <cell r="D29">
            <v>1143815.57</v>
          </cell>
          <cell r="E29">
            <v>463229.47</v>
          </cell>
          <cell r="F29">
            <v>680586.1</v>
          </cell>
          <cell r="G29">
            <v>0</v>
          </cell>
          <cell r="H29">
            <v>1222072.3400000001</v>
          </cell>
        </row>
        <row r="30">
          <cell r="A30">
            <v>13055060</v>
          </cell>
          <cell r="B30" t="str">
            <v>VAT Credit Receivable (Inputs)</v>
          </cell>
          <cell r="C30">
            <v>817510.86</v>
          </cell>
          <cell r="D30">
            <v>1758873</v>
          </cell>
          <cell r="E30">
            <v>1692650</v>
          </cell>
          <cell r="F30">
            <v>66223</v>
          </cell>
          <cell r="G30">
            <v>0</v>
          </cell>
          <cell r="H30">
            <v>883733.86</v>
          </cell>
        </row>
        <row r="31">
          <cell r="A31">
            <v>13055070</v>
          </cell>
          <cell r="B31" t="str">
            <v>Vat Credit Receivable (Capital Goods)</v>
          </cell>
          <cell r="C31">
            <v>-1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-1</v>
          </cell>
        </row>
        <row r="32">
          <cell r="A32">
            <v>13055090</v>
          </cell>
          <cell r="B32" t="str">
            <v>Sundry Deposits</v>
          </cell>
          <cell r="C32">
            <v>5890913</v>
          </cell>
          <cell r="D32">
            <v>12500</v>
          </cell>
          <cell r="E32">
            <v>12500</v>
          </cell>
          <cell r="F32">
            <v>0</v>
          </cell>
          <cell r="G32">
            <v>0</v>
          </cell>
          <cell r="H32">
            <v>5890913</v>
          </cell>
        </row>
        <row r="33">
          <cell r="A33">
            <v>13070010</v>
          </cell>
          <cell r="B33" t="str">
            <v>TCS On Royalty</v>
          </cell>
          <cell r="C33">
            <v>266592</v>
          </cell>
          <cell r="D33">
            <v>36600</v>
          </cell>
          <cell r="E33">
            <v>0</v>
          </cell>
          <cell r="F33">
            <v>36600</v>
          </cell>
          <cell r="G33">
            <v>0</v>
          </cell>
          <cell r="H33">
            <v>303192</v>
          </cell>
        </row>
        <row r="34">
          <cell r="A34">
            <v>25005010</v>
          </cell>
          <cell r="B34" t="str">
            <v>Creditors Control</v>
          </cell>
          <cell r="C34">
            <v>-45575537.880000003</v>
          </cell>
          <cell r="D34">
            <v>66455410.729999997</v>
          </cell>
          <cell r="E34">
            <v>47252736.409999996</v>
          </cell>
          <cell r="F34">
            <v>19202674.32</v>
          </cell>
          <cell r="G34">
            <v>0</v>
          </cell>
          <cell r="H34">
            <v>-26372863.559999999</v>
          </cell>
        </row>
        <row r="35">
          <cell r="A35">
            <v>25005050</v>
          </cell>
          <cell r="B35" t="str">
            <v>Creditors liability for material received but bill not recei</v>
          </cell>
          <cell r="C35">
            <v>-416687.48</v>
          </cell>
          <cell r="D35">
            <v>31559991.66</v>
          </cell>
          <cell r="E35">
            <v>34785342.799999997</v>
          </cell>
          <cell r="F35">
            <v>-3225351.14</v>
          </cell>
          <cell r="G35">
            <v>0</v>
          </cell>
          <cell r="H35">
            <v>-3642038.62</v>
          </cell>
        </row>
        <row r="36">
          <cell r="A36">
            <v>25010020</v>
          </cell>
          <cell r="B36" t="str">
            <v>Outstanding Liabilities For Expenses</v>
          </cell>
          <cell r="C36">
            <v>-319314</v>
          </cell>
          <cell r="D36">
            <v>319314</v>
          </cell>
          <cell r="E36">
            <v>0</v>
          </cell>
          <cell r="F36">
            <v>319314</v>
          </cell>
          <cell r="G36">
            <v>0</v>
          </cell>
          <cell r="H36">
            <v>0</v>
          </cell>
        </row>
        <row r="37">
          <cell r="A37">
            <v>25010050</v>
          </cell>
          <cell r="B37" t="str">
            <v>Salary Payable</v>
          </cell>
          <cell r="C37">
            <v>-2074843.95</v>
          </cell>
          <cell r="D37">
            <v>4045848</v>
          </cell>
          <cell r="E37">
            <v>4196527.5</v>
          </cell>
          <cell r="F37">
            <v>-150679.5</v>
          </cell>
          <cell r="G37">
            <v>0</v>
          </cell>
          <cell r="H37">
            <v>-2225523.4500000002</v>
          </cell>
        </row>
        <row r="38">
          <cell r="A38">
            <v>25010060</v>
          </cell>
          <cell r="B38" t="str">
            <v>T.D.S.payable account</v>
          </cell>
          <cell r="C38">
            <v>-941431.31</v>
          </cell>
          <cell r="D38">
            <v>1263084</v>
          </cell>
          <cell r="E38">
            <v>679276</v>
          </cell>
          <cell r="F38">
            <v>583808</v>
          </cell>
          <cell r="G38">
            <v>0</v>
          </cell>
          <cell r="H38">
            <v>-357623.31</v>
          </cell>
        </row>
        <row r="39">
          <cell r="A39">
            <v>25010120</v>
          </cell>
          <cell r="B39" t="str">
            <v>Service Tax Payable</v>
          </cell>
          <cell r="C39">
            <v>250.8</v>
          </cell>
          <cell r="D39">
            <v>53738</v>
          </cell>
          <cell r="E39">
            <v>134535.01</v>
          </cell>
          <cell r="F39">
            <v>-80797.009999999995</v>
          </cell>
          <cell r="G39">
            <v>0</v>
          </cell>
          <cell r="H39">
            <v>-80546.210000000006</v>
          </cell>
        </row>
        <row r="40">
          <cell r="A40">
            <v>25010190</v>
          </cell>
          <cell r="B40" t="str">
            <v>VAT  Payable account</v>
          </cell>
          <cell r="C40">
            <v>-4806419.57</v>
          </cell>
          <cell r="D40">
            <v>8473498</v>
          </cell>
          <cell r="E40">
            <v>6850512</v>
          </cell>
          <cell r="F40">
            <v>1622986</v>
          </cell>
          <cell r="G40">
            <v>0</v>
          </cell>
          <cell r="H40">
            <v>-3183433.57</v>
          </cell>
        </row>
        <row r="41">
          <cell r="A41">
            <v>25010200</v>
          </cell>
          <cell r="B41" t="str">
            <v>Provision for Expenses in MIS</v>
          </cell>
          <cell r="C41">
            <v>0</v>
          </cell>
          <cell r="D41">
            <v>8673283</v>
          </cell>
          <cell r="E41">
            <v>17839354.239999998</v>
          </cell>
          <cell r="F41">
            <v>-9166071.2400000002</v>
          </cell>
          <cell r="G41">
            <v>0</v>
          </cell>
          <cell r="H41">
            <v>-9166071.2400000002</v>
          </cell>
        </row>
        <row r="42">
          <cell r="A42">
            <v>25015010</v>
          </cell>
          <cell r="B42" t="str">
            <v>PF Payable account</v>
          </cell>
          <cell r="C42">
            <v>-249744</v>
          </cell>
          <cell r="D42">
            <v>496714</v>
          </cell>
          <cell r="E42">
            <v>490822</v>
          </cell>
          <cell r="F42">
            <v>5892</v>
          </cell>
          <cell r="G42">
            <v>0</v>
          </cell>
          <cell r="H42">
            <v>-243852</v>
          </cell>
        </row>
        <row r="43">
          <cell r="A43">
            <v>25020010</v>
          </cell>
          <cell r="B43" t="str">
            <v>E.S.I.C. Payable account</v>
          </cell>
          <cell r="C43">
            <v>-42195</v>
          </cell>
          <cell r="D43">
            <v>84176</v>
          </cell>
          <cell r="E43">
            <v>82318</v>
          </cell>
          <cell r="F43">
            <v>1858</v>
          </cell>
          <cell r="G43">
            <v>0</v>
          </cell>
          <cell r="H43">
            <v>-40337</v>
          </cell>
        </row>
        <row r="44">
          <cell r="A44">
            <v>25020040</v>
          </cell>
          <cell r="B44" t="str">
            <v>Profession Tax payable</v>
          </cell>
          <cell r="C44">
            <v>-17236</v>
          </cell>
          <cell r="D44">
            <v>33976</v>
          </cell>
          <cell r="E44">
            <v>33346</v>
          </cell>
          <cell r="F44">
            <v>630</v>
          </cell>
          <cell r="G44">
            <v>0</v>
          </cell>
          <cell r="H44">
            <v>-16606</v>
          </cell>
        </row>
        <row r="45">
          <cell r="A45">
            <v>26005010</v>
          </cell>
          <cell r="B45" t="str">
            <v>Provision For Doubtful Deposits</v>
          </cell>
          <cell r="C45">
            <v>-364000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-364000</v>
          </cell>
        </row>
        <row r="46">
          <cell r="A46">
            <v>26005020</v>
          </cell>
          <cell r="B46" t="str">
            <v>Provision For Bad &amp; Doubtful Debts</v>
          </cell>
          <cell r="C46">
            <v>-5423442.7000000002</v>
          </cell>
          <cell r="D46">
            <v>550000</v>
          </cell>
          <cell r="E46">
            <v>500000</v>
          </cell>
          <cell r="F46">
            <v>50000</v>
          </cell>
          <cell r="G46">
            <v>0</v>
          </cell>
          <cell r="H46">
            <v>-5373442.7000000002</v>
          </cell>
        </row>
        <row r="47">
          <cell r="A47">
            <v>26015010</v>
          </cell>
          <cell r="B47" t="str">
            <v>Prov For Dep.-  Buildings</v>
          </cell>
          <cell r="C47">
            <v>-7870874.4299999997</v>
          </cell>
          <cell r="D47">
            <v>0</v>
          </cell>
          <cell r="E47">
            <v>356670</v>
          </cell>
          <cell r="F47">
            <v>-356670</v>
          </cell>
          <cell r="G47">
            <v>0</v>
          </cell>
          <cell r="H47">
            <v>-8227544.4299999997</v>
          </cell>
        </row>
        <row r="48">
          <cell r="A48">
            <v>26025010</v>
          </cell>
          <cell r="B48" t="str">
            <v>Provision for Depreciation Plant &amp; Machinery</v>
          </cell>
          <cell r="C48">
            <v>-50184619.960000001</v>
          </cell>
          <cell r="D48">
            <v>0</v>
          </cell>
          <cell r="E48">
            <v>2281460.3199999998</v>
          </cell>
          <cell r="F48">
            <v>-2281460.3199999998</v>
          </cell>
          <cell r="G48">
            <v>0</v>
          </cell>
          <cell r="H48">
            <v>-52466080.280000001</v>
          </cell>
        </row>
        <row r="49">
          <cell r="A49">
            <v>26030010</v>
          </cell>
          <cell r="B49" t="str">
            <v>Provision For Dep.-Electrical Installations</v>
          </cell>
          <cell r="C49">
            <v>-5212830.97</v>
          </cell>
          <cell r="D49">
            <v>0</v>
          </cell>
          <cell r="E49">
            <v>183401</v>
          </cell>
          <cell r="F49">
            <v>-183401</v>
          </cell>
          <cell r="G49">
            <v>0</v>
          </cell>
          <cell r="H49">
            <v>-5396231.9699999997</v>
          </cell>
        </row>
        <row r="50">
          <cell r="A50">
            <v>26035010</v>
          </cell>
          <cell r="B50" t="str">
            <v>Provision For Dep.-Furniture and Fixtures</v>
          </cell>
          <cell r="C50">
            <v>-960456.9</v>
          </cell>
          <cell r="D50">
            <v>0</v>
          </cell>
          <cell r="E50">
            <v>57383</v>
          </cell>
          <cell r="F50">
            <v>-57383</v>
          </cell>
          <cell r="G50">
            <v>0</v>
          </cell>
          <cell r="H50">
            <v>-1017839.9</v>
          </cell>
        </row>
        <row r="51">
          <cell r="A51">
            <v>26040010</v>
          </cell>
          <cell r="B51" t="str">
            <v>Provision for Depreciation- Office and Electrical Appliances</v>
          </cell>
          <cell r="C51">
            <v>-1997915.44</v>
          </cell>
          <cell r="D51">
            <v>0</v>
          </cell>
          <cell r="E51">
            <v>75693</v>
          </cell>
          <cell r="F51">
            <v>-75693</v>
          </cell>
          <cell r="G51">
            <v>0</v>
          </cell>
          <cell r="H51">
            <v>-2073608.44</v>
          </cell>
        </row>
        <row r="52">
          <cell r="A52">
            <v>26045010</v>
          </cell>
          <cell r="B52" t="str">
            <v>Provision for Depreciation- Truck Mixers, Loaders &amp; Dumpers</v>
          </cell>
          <cell r="C52">
            <v>-50487132.340000004</v>
          </cell>
          <cell r="D52">
            <v>0</v>
          </cell>
          <cell r="E52">
            <v>1083171</v>
          </cell>
          <cell r="F52">
            <v>-1083171</v>
          </cell>
          <cell r="G52">
            <v>0</v>
          </cell>
          <cell r="H52">
            <v>-51570303.340000004</v>
          </cell>
        </row>
        <row r="53">
          <cell r="A53">
            <v>26050010</v>
          </cell>
          <cell r="B53" t="str">
            <v>Provision for Depreciation Motor Vehicles &amp; Technical Vans</v>
          </cell>
          <cell r="C53">
            <v>-524654</v>
          </cell>
          <cell r="D53">
            <v>0</v>
          </cell>
          <cell r="E53">
            <v>12500</v>
          </cell>
          <cell r="F53">
            <v>-12500</v>
          </cell>
          <cell r="G53">
            <v>0</v>
          </cell>
          <cell r="H53">
            <v>-537154</v>
          </cell>
        </row>
        <row r="54">
          <cell r="A54">
            <v>26055020</v>
          </cell>
          <cell r="B54" t="str">
            <v>Profit &amp; Loss A/c</v>
          </cell>
          <cell r="C54">
            <v>-192881649.02000001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-192881649.02000001</v>
          </cell>
        </row>
        <row r="55">
          <cell r="A55">
            <v>31010010</v>
          </cell>
          <cell r="B55" t="str">
            <v>Sales</v>
          </cell>
          <cell r="C55">
            <v>0</v>
          </cell>
          <cell r="D55">
            <v>378623.81</v>
          </cell>
          <cell r="E55">
            <v>66073157.609999999</v>
          </cell>
          <cell r="F55">
            <v>-65694533.799999997</v>
          </cell>
          <cell r="G55">
            <v>0</v>
          </cell>
          <cell r="H55">
            <v>-65694533.799999997</v>
          </cell>
        </row>
        <row r="56">
          <cell r="A56">
            <v>32020020</v>
          </cell>
          <cell r="B56" t="str">
            <v>Misc Income - Scrap sales</v>
          </cell>
          <cell r="C56">
            <v>0</v>
          </cell>
          <cell r="D56">
            <v>0</v>
          </cell>
          <cell r="E56">
            <v>285160.68</v>
          </cell>
          <cell r="F56">
            <v>-285160.68</v>
          </cell>
          <cell r="G56">
            <v>0</v>
          </cell>
          <cell r="H56">
            <v>-285160.68</v>
          </cell>
        </row>
        <row r="57">
          <cell r="A57">
            <v>41010010</v>
          </cell>
          <cell r="B57" t="str">
            <v>Opening Stock - Cement</v>
          </cell>
          <cell r="C57">
            <v>0</v>
          </cell>
          <cell r="D57">
            <v>1280175.19</v>
          </cell>
          <cell r="E57">
            <v>0</v>
          </cell>
          <cell r="F57">
            <v>1280175.19</v>
          </cell>
          <cell r="G57">
            <v>0</v>
          </cell>
          <cell r="H57">
            <v>1280175.19</v>
          </cell>
        </row>
        <row r="58">
          <cell r="A58">
            <v>41010020</v>
          </cell>
          <cell r="B58" t="str">
            <v>Opening Stock - Sand</v>
          </cell>
          <cell r="C58">
            <v>0</v>
          </cell>
          <cell r="D58">
            <v>114211.9</v>
          </cell>
          <cell r="E58">
            <v>0</v>
          </cell>
          <cell r="F58">
            <v>114211.9</v>
          </cell>
          <cell r="G58">
            <v>0</v>
          </cell>
          <cell r="H58">
            <v>114211.9</v>
          </cell>
        </row>
        <row r="59">
          <cell r="A59">
            <v>41010030</v>
          </cell>
          <cell r="B59" t="str">
            <v>Opening Stock - CRF</v>
          </cell>
          <cell r="C59">
            <v>0</v>
          </cell>
          <cell r="D59">
            <v>364942.18</v>
          </cell>
          <cell r="E59">
            <v>0</v>
          </cell>
          <cell r="F59">
            <v>364942.18</v>
          </cell>
          <cell r="G59">
            <v>0</v>
          </cell>
          <cell r="H59">
            <v>364942.18</v>
          </cell>
        </row>
        <row r="60">
          <cell r="A60">
            <v>41010040</v>
          </cell>
          <cell r="B60" t="str">
            <v>Opening Stock - RMC Aggregates</v>
          </cell>
          <cell r="C60">
            <v>0</v>
          </cell>
          <cell r="D60">
            <v>782746.68</v>
          </cell>
          <cell r="E60">
            <v>0</v>
          </cell>
          <cell r="F60">
            <v>782746.68</v>
          </cell>
          <cell r="G60">
            <v>0</v>
          </cell>
          <cell r="H60">
            <v>782746.68</v>
          </cell>
        </row>
        <row r="61">
          <cell r="A61">
            <v>41010050</v>
          </cell>
          <cell r="B61" t="str">
            <v>Opening Stock - Admixtures</v>
          </cell>
          <cell r="C61">
            <v>0</v>
          </cell>
          <cell r="D61">
            <v>1114042.3600000001</v>
          </cell>
          <cell r="E61">
            <v>0</v>
          </cell>
          <cell r="F61">
            <v>1114042.3600000001</v>
          </cell>
          <cell r="G61">
            <v>0</v>
          </cell>
          <cell r="H61">
            <v>1114042.3600000001</v>
          </cell>
        </row>
        <row r="62">
          <cell r="A62">
            <v>41010070</v>
          </cell>
          <cell r="B62" t="str">
            <v>Opening Stock - Flyash</v>
          </cell>
          <cell r="C62">
            <v>0</v>
          </cell>
          <cell r="D62">
            <v>88039.23</v>
          </cell>
          <cell r="E62">
            <v>0</v>
          </cell>
          <cell r="F62">
            <v>88039.23</v>
          </cell>
          <cell r="G62">
            <v>0</v>
          </cell>
          <cell r="H62">
            <v>88039.23</v>
          </cell>
        </row>
        <row r="63">
          <cell r="A63">
            <v>41010080</v>
          </cell>
          <cell r="B63" t="str">
            <v>Opening Stock - Diesel</v>
          </cell>
          <cell r="C63">
            <v>0</v>
          </cell>
          <cell r="D63">
            <v>198807.55</v>
          </cell>
          <cell r="E63">
            <v>0</v>
          </cell>
          <cell r="F63">
            <v>198807.55</v>
          </cell>
          <cell r="G63">
            <v>0</v>
          </cell>
          <cell r="H63">
            <v>198807.55</v>
          </cell>
        </row>
        <row r="64">
          <cell r="A64">
            <v>41010090</v>
          </cell>
          <cell r="B64" t="str">
            <v>Opening Stock Boulders</v>
          </cell>
          <cell r="C64">
            <v>0</v>
          </cell>
          <cell r="D64">
            <v>3105541.27</v>
          </cell>
          <cell r="E64">
            <v>0</v>
          </cell>
          <cell r="F64">
            <v>3105541.27</v>
          </cell>
          <cell r="G64">
            <v>0</v>
          </cell>
          <cell r="H64">
            <v>3105541.27</v>
          </cell>
        </row>
        <row r="65">
          <cell r="A65">
            <v>41010100</v>
          </cell>
          <cell r="B65" t="str">
            <v>Opening Stock Aggregates at Crusher</v>
          </cell>
          <cell r="C65">
            <v>0</v>
          </cell>
          <cell r="D65">
            <v>5250982</v>
          </cell>
          <cell r="E65">
            <v>0</v>
          </cell>
          <cell r="F65">
            <v>5250982</v>
          </cell>
          <cell r="G65">
            <v>0</v>
          </cell>
          <cell r="H65">
            <v>5250982</v>
          </cell>
        </row>
        <row r="66">
          <cell r="A66">
            <v>41010105</v>
          </cell>
          <cell r="B66" t="str">
            <v>Opening stock Crusher CRF</v>
          </cell>
          <cell r="C66">
            <v>0</v>
          </cell>
          <cell r="D66">
            <v>2179313.75</v>
          </cell>
          <cell r="E66">
            <v>0</v>
          </cell>
          <cell r="F66">
            <v>2179313.75</v>
          </cell>
          <cell r="G66">
            <v>0</v>
          </cell>
          <cell r="H66">
            <v>2179313.75</v>
          </cell>
        </row>
        <row r="67">
          <cell r="A67">
            <v>41010110</v>
          </cell>
          <cell r="B67" t="str">
            <v>Opening Stock GGBS</v>
          </cell>
          <cell r="C67">
            <v>0</v>
          </cell>
          <cell r="D67">
            <v>762659.06</v>
          </cell>
          <cell r="E67">
            <v>0</v>
          </cell>
          <cell r="F67">
            <v>762659.06</v>
          </cell>
          <cell r="G67">
            <v>0</v>
          </cell>
          <cell r="H67">
            <v>762659.06</v>
          </cell>
        </row>
        <row r="68">
          <cell r="A68">
            <v>41010120</v>
          </cell>
          <cell r="B68" t="str">
            <v>Opening Stock Metacem / Microsilica</v>
          </cell>
          <cell r="C68">
            <v>0</v>
          </cell>
          <cell r="D68">
            <v>42325.02</v>
          </cell>
          <cell r="E68">
            <v>0</v>
          </cell>
          <cell r="F68">
            <v>42325.02</v>
          </cell>
          <cell r="G68">
            <v>0</v>
          </cell>
          <cell r="H68">
            <v>42325.02</v>
          </cell>
        </row>
        <row r="69">
          <cell r="A69">
            <v>41020010</v>
          </cell>
          <cell r="B69" t="str">
            <v>Raw Material Purchase - Cement</v>
          </cell>
          <cell r="C69">
            <v>0</v>
          </cell>
          <cell r="D69">
            <v>16692277.710000001</v>
          </cell>
          <cell r="E69">
            <v>16912053.629999999</v>
          </cell>
          <cell r="F69">
            <v>-219775.92</v>
          </cell>
          <cell r="G69">
            <v>0</v>
          </cell>
          <cell r="H69">
            <v>-219775.92</v>
          </cell>
        </row>
        <row r="70">
          <cell r="A70">
            <v>41020015</v>
          </cell>
          <cell r="B70" t="str">
            <v>Interim account cement received</v>
          </cell>
          <cell r="C70">
            <v>0</v>
          </cell>
          <cell r="D70">
            <v>15757796.119999999</v>
          </cell>
          <cell r="E70">
            <v>15757795.939999999</v>
          </cell>
          <cell r="F70">
            <v>0.18</v>
          </cell>
          <cell r="G70">
            <v>0</v>
          </cell>
          <cell r="H70">
            <v>0.18</v>
          </cell>
        </row>
        <row r="71">
          <cell r="A71">
            <v>41020020</v>
          </cell>
          <cell r="B71" t="str">
            <v>Cement Consumption account</v>
          </cell>
          <cell r="C71">
            <v>0</v>
          </cell>
          <cell r="D71">
            <v>16251626.689999999</v>
          </cell>
          <cell r="E71">
            <v>632512.73</v>
          </cell>
          <cell r="F71">
            <v>15619113.960000001</v>
          </cell>
          <cell r="G71">
            <v>0</v>
          </cell>
          <cell r="H71">
            <v>15619113.960000001</v>
          </cell>
        </row>
        <row r="72">
          <cell r="A72">
            <v>41020030</v>
          </cell>
          <cell r="B72" t="str">
            <v>Raw Material Purchase - Aggregates</v>
          </cell>
          <cell r="C72">
            <v>0</v>
          </cell>
          <cell r="D72">
            <v>6414006.3200000003</v>
          </cell>
          <cell r="E72">
            <v>7890379.0800000001</v>
          </cell>
          <cell r="F72">
            <v>-1476372.76</v>
          </cell>
          <cell r="G72">
            <v>0</v>
          </cell>
          <cell r="H72">
            <v>-1476372.76</v>
          </cell>
        </row>
        <row r="73">
          <cell r="A73">
            <v>41020035</v>
          </cell>
          <cell r="B73" t="str">
            <v>Interim account Aggregate received</v>
          </cell>
          <cell r="C73">
            <v>0</v>
          </cell>
          <cell r="D73">
            <v>3855757.12</v>
          </cell>
          <cell r="E73">
            <v>2372695.36</v>
          </cell>
          <cell r="F73">
            <v>1483061.76</v>
          </cell>
          <cell r="G73">
            <v>0</v>
          </cell>
          <cell r="H73">
            <v>1483061.76</v>
          </cell>
        </row>
        <row r="74">
          <cell r="A74">
            <v>41020040</v>
          </cell>
          <cell r="B74" t="str">
            <v>Aggregate Consumption account</v>
          </cell>
          <cell r="C74">
            <v>0</v>
          </cell>
          <cell r="D74">
            <v>7840434.1500000004</v>
          </cell>
          <cell r="E74">
            <v>3954687.28</v>
          </cell>
          <cell r="F74">
            <v>3885746.87</v>
          </cell>
          <cell r="G74">
            <v>0</v>
          </cell>
          <cell r="H74">
            <v>3885746.87</v>
          </cell>
        </row>
        <row r="75">
          <cell r="A75">
            <v>41020050</v>
          </cell>
          <cell r="B75" t="str">
            <v>Raw Material Purchase - Sand</v>
          </cell>
          <cell r="C75">
            <v>0</v>
          </cell>
          <cell r="D75">
            <v>686639.98</v>
          </cell>
          <cell r="E75">
            <v>631515.74</v>
          </cell>
          <cell r="F75">
            <v>55124.24</v>
          </cell>
          <cell r="G75">
            <v>0</v>
          </cell>
          <cell r="H75">
            <v>55124.24</v>
          </cell>
        </row>
        <row r="76">
          <cell r="A76">
            <v>41020055</v>
          </cell>
          <cell r="B76" t="str">
            <v>Interim account Sand Received</v>
          </cell>
          <cell r="C76">
            <v>0</v>
          </cell>
          <cell r="D76">
            <v>546185.47</v>
          </cell>
          <cell r="E76">
            <v>548379.43999999994</v>
          </cell>
          <cell r="F76">
            <v>-2193.9699999999998</v>
          </cell>
          <cell r="G76">
            <v>0</v>
          </cell>
          <cell r="H76">
            <v>-2193.9699999999998</v>
          </cell>
        </row>
        <row r="77">
          <cell r="A77">
            <v>41020060</v>
          </cell>
          <cell r="B77" t="str">
            <v>Sand Consumption account</v>
          </cell>
          <cell r="C77">
            <v>0</v>
          </cell>
          <cell r="D77">
            <v>498294.7</v>
          </cell>
          <cell r="E77">
            <v>2603.31</v>
          </cell>
          <cell r="F77">
            <v>495691.39</v>
          </cell>
          <cell r="G77">
            <v>0</v>
          </cell>
          <cell r="H77">
            <v>495691.39</v>
          </cell>
        </row>
        <row r="78">
          <cell r="A78">
            <v>41020070</v>
          </cell>
          <cell r="B78" t="str">
            <v>Raw Material Purchase - Admixture</v>
          </cell>
          <cell r="C78">
            <v>0</v>
          </cell>
          <cell r="D78">
            <v>1831419.37</v>
          </cell>
          <cell r="E78">
            <v>1862293.7</v>
          </cell>
          <cell r="F78">
            <v>-30874.33</v>
          </cell>
          <cell r="G78">
            <v>0</v>
          </cell>
          <cell r="H78">
            <v>-30874.33</v>
          </cell>
        </row>
        <row r="79">
          <cell r="A79">
            <v>41020075</v>
          </cell>
          <cell r="B79" t="str">
            <v>Interim account Admixture received</v>
          </cell>
          <cell r="C79">
            <v>0</v>
          </cell>
          <cell r="D79">
            <v>1525200</v>
          </cell>
          <cell r="E79">
            <v>1525200</v>
          </cell>
          <cell r="F79">
            <v>0</v>
          </cell>
          <cell r="G79">
            <v>0</v>
          </cell>
          <cell r="H79">
            <v>0</v>
          </cell>
        </row>
        <row r="80">
          <cell r="A80">
            <v>41020080</v>
          </cell>
          <cell r="B80" t="str">
            <v>Admixture Consumption account</v>
          </cell>
          <cell r="C80">
            <v>0</v>
          </cell>
          <cell r="D80">
            <v>1555166.87</v>
          </cell>
          <cell r="E80">
            <v>42034.25</v>
          </cell>
          <cell r="F80">
            <v>1513132.62</v>
          </cell>
          <cell r="G80">
            <v>0</v>
          </cell>
          <cell r="H80">
            <v>1513132.62</v>
          </cell>
        </row>
        <row r="81">
          <cell r="A81">
            <v>41020090</v>
          </cell>
          <cell r="B81" t="str">
            <v>Raw Material  Purchase - Fly Ash</v>
          </cell>
          <cell r="C81">
            <v>0</v>
          </cell>
          <cell r="D81">
            <v>1176448.01</v>
          </cell>
          <cell r="E81">
            <v>1169918.3600000001</v>
          </cell>
          <cell r="F81">
            <v>6529.65</v>
          </cell>
          <cell r="G81">
            <v>0</v>
          </cell>
          <cell r="H81">
            <v>6529.65</v>
          </cell>
        </row>
        <row r="82">
          <cell r="A82">
            <v>41020095</v>
          </cell>
          <cell r="B82" t="str">
            <v>Interim account fly ash received</v>
          </cell>
          <cell r="C82">
            <v>0</v>
          </cell>
          <cell r="D82">
            <v>1170673.74</v>
          </cell>
          <cell r="E82">
            <v>1128759.55</v>
          </cell>
          <cell r="F82">
            <v>41914.19</v>
          </cell>
          <cell r="G82">
            <v>0</v>
          </cell>
          <cell r="H82">
            <v>41914.19</v>
          </cell>
        </row>
        <row r="83">
          <cell r="A83">
            <v>41020100</v>
          </cell>
          <cell r="B83" t="str">
            <v>Fly Ash Consumption account</v>
          </cell>
          <cell r="C83">
            <v>0</v>
          </cell>
          <cell r="D83">
            <v>1160123.5900000001</v>
          </cell>
          <cell r="E83">
            <v>9176.67</v>
          </cell>
          <cell r="F83">
            <v>1150946.92</v>
          </cell>
          <cell r="G83">
            <v>0</v>
          </cell>
          <cell r="H83">
            <v>1150946.92</v>
          </cell>
        </row>
        <row r="84">
          <cell r="A84">
            <v>41020110</v>
          </cell>
          <cell r="B84" t="str">
            <v>Raw Material Purchase GGBS</v>
          </cell>
          <cell r="C84">
            <v>0</v>
          </cell>
          <cell r="D84">
            <v>1083123.54</v>
          </cell>
          <cell r="E84">
            <v>1381002.45</v>
          </cell>
          <cell r="F84">
            <v>-297878.90999999997</v>
          </cell>
          <cell r="G84">
            <v>0</v>
          </cell>
          <cell r="H84">
            <v>-297878.90999999997</v>
          </cell>
        </row>
        <row r="85">
          <cell r="A85">
            <v>41020115</v>
          </cell>
          <cell r="B85" t="str">
            <v>Interim account for GGBS received</v>
          </cell>
          <cell r="C85">
            <v>0</v>
          </cell>
          <cell r="D85">
            <v>974041.14</v>
          </cell>
          <cell r="E85">
            <v>974041.2</v>
          </cell>
          <cell r="F85">
            <v>-0.06</v>
          </cell>
          <cell r="G85">
            <v>0</v>
          </cell>
          <cell r="H85">
            <v>-0.06</v>
          </cell>
        </row>
        <row r="86">
          <cell r="A86">
            <v>41020120</v>
          </cell>
          <cell r="B86" t="str">
            <v>GGBS Consumption account</v>
          </cell>
          <cell r="C86">
            <v>0</v>
          </cell>
          <cell r="D86">
            <v>1300356.19</v>
          </cell>
          <cell r="E86">
            <v>3861.77</v>
          </cell>
          <cell r="F86">
            <v>1296494.42</v>
          </cell>
          <cell r="G86">
            <v>0</v>
          </cell>
          <cell r="H86">
            <v>1296494.42</v>
          </cell>
        </row>
        <row r="87">
          <cell r="A87">
            <v>41020130</v>
          </cell>
          <cell r="B87" t="str">
            <v>Raw Materials Purchase - CRF</v>
          </cell>
          <cell r="C87">
            <v>0</v>
          </cell>
          <cell r="D87">
            <v>3419242.81</v>
          </cell>
          <cell r="E87">
            <v>4561663.82</v>
          </cell>
          <cell r="F87">
            <v>-1142421.01</v>
          </cell>
          <cell r="G87">
            <v>0</v>
          </cell>
          <cell r="H87">
            <v>-1142421.01</v>
          </cell>
        </row>
        <row r="88">
          <cell r="A88">
            <v>41020135</v>
          </cell>
          <cell r="B88" t="str">
            <v>Interim account for CRF received</v>
          </cell>
          <cell r="C88">
            <v>0</v>
          </cell>
          <cell r="D88">
            <v>2600502.85</v>
          </cell>
          <cell r="E88">
            <v>1435693.45</v>
          </cell>
          <cell r="F88">
            <v>1164809.3999999999</v>
          </cell>
          <cell r="G88">
            <v>0</v>
          </cell>
          <cell r="H88">
            <v>1164809.3999999999</v>
          </cell>
        </row>
        <row r="89">
          <cell r="A89">
            <v>41020140</v>
          </cell>
          <cell r="B89" t="str">
            <v>CRF Consumption account</v>
          </cell>
          <cell r="C89">
            <v>0</v>
          </cell>
          <cell r="D89">
            <v>4486216.75</v>
          </cell>
          <cell r="E89">
            <v>1974974.03</v>
          </cell>
          <cell r="F89">
            <v>2511242.7200000002</v>
          </cell>
          <cell r="G89">
            <v>0</v>
          </cell>
          <cell r="H89">
            <v>2511242.7200000002</v>
          </cell>
        </row>
        <row r="90">
          <cell r="A90">
            <v>41020150</v>
          </cell>
          <cell r="B90" t="str">
            <v>Loss/ gain on Stock</v>
          </cell>
          <cell r="C90">
            <v>0</v>
          </cell>
          <cell r="D90">
            <v>751959.14</v>
          </cell>
          <cell r="E90">
            <v>596280.74</v>
          </cell>
          <cell r="F90">
            <v>155678.39999999999</v>
          </cell>
          <cell r="G90">
            <v>0</v>
          </cell>
          <cell r="H90">
            <v>155678.39999999999</v>
          </cell>
        </row>
        <row r="91">
          <cell r="A91">
            <v>41020195</v>
          </cell>
          <cell r="B91" t="str">
            <v>Purchase of Diesel</v>
          </cell>
          <cell r="C91">
            <v>0</v>
          </cell>
          <cell r="D91">
            <v>5010612</v>
          </cell>
          <cell r="E91">
            <v>5548006.21</v>
          </cell>
          <cell r="F91">
            <v>-537394.21</v>
          </cell>
          <cell r="G91">
            <v>0</v>
          </cell>
          <cell r="H91">
            <v>-537394.21</v>
          </cell>
        </row>
        <row r="92">
          <cell r="A92">
            <v>41020200</v>
          </cell>
          <cell r="B92" t="str">
            <v>Interim account for diesel received</v>
          </cell>
          <cell r="C92">
            <v>0</v>
          </cell>
          <cell r="D92">
            <v>4658112</v>
          </cell>
          <cell r="E92">
            <v>4163112</v>
          </cell>
          <cell r="F92">
            <v>495000</v>
          </cell>
          <cell r="G92">
            <v>0</v>
          </cell>
          <cell r="H92">
            <v>495000</v>
          </cell>
        </row>
        <row r="93">
          <cell r="A93">
            <v>41020215</v>
          </cell>
          <cell r="B93" t="str">
            <v>Boulder Interim Receipt Account</v>
          </cell>
          <cell r="C93">
            <v>0</v>
          </cell>
          <cell r="D93">
            <v>462196.5</v>
          </cell>
          <cell r="E93">
            <v>603180.86</v>
          </cell>
          <cell r="F93">
            <v>-140984.35999999999</v>
          </cell>
          <cell r="G93">
            <v>0</v>
          </cell>
          <cell r="H93">
            <v>-140984.35999999999</v>
          </cell>
        </row>
        <row r="94">
          <cell r="A94">
            <v>41020220</v>
          </cell>
          <cell r="B94" t="str">
            <v>Boulder Purchase Account</v>
          </cell>
          <cell r="C94">
            <v>0</v>
          </cell>
          <cell r="D94">
            <v>603180.86</v>
          </cell>
          <cell r="E94">
            <v>0</v>
          </cell>
          <cell r="F94">
            <v>603180.86</v>
          </cell>
          <cell r="G94">
            <v>0</v>
          </cell>
          <cell r="H94">
            <v>603180.86</v>
          </cell>
        </row>
        <row r="95">
          <cell r="A95">
            <v>41030010</v>
          </cell>
          <cell r="B95" t="str">
            <v>Input Tax Credit on Exempted Sales</v>
          </cell>
          <cell r="C95">
            <v>0</v>
          </cell>
          <cell r="D95">
            <v>27929</v>
          </cell>
          <cell r="E95">
            <v>0</v>
          </cell>
          <cell r="F95">
            <v>27929</v>
          </cell>
          <cell r="G95">
            <v>0</v>
          </cell>
          <cell r="H95">
            <v>27929</v>
          </cell>
        </row>
        <row r="96">
          <cell r="A96">
            <v>41050010</v>
          </cell>
          <cell r="B96" t="str">
            <v>Closing Stock - Cement</v>
          </cell>
          <cell r="C96">
            <v>0</v>
          </cell>
          <cell r="D96">
            <v>0</v>
          </cell>
          <cell r="E96">
            <v>1060399.45</v>
          </cell>
          <cell r="F96">
            <v>-1060399.45</v>
          </cell>
          <cell r="G96">
            <v>0</v>
          </cell>
          <cell r="H96">
            <v>-1060399.45</v>
          </cell>
        </row>
        <row r="97">
          <cell r="A97">
            <v>41050020</v>
          </cell>
          <cell r="B97" t="str">
            <v>Closing Stock - Sand</v>
          </cell>
          <cell r="C97">
            <v>0</v>
          </cell>
          <cell r="D97">
            <v>0</v>
          </cell>
          <cell r="E97">
            <v>167142.17000000001</v>
          </cell>
          <cell r="F97">
            <v>-167142.17000000001</v>
          </cell>
          <cell r="G97">
            <v>0</v>
          </cell>
          <cell r="H97">
            <v>-167142.17000000001</v>
          </cell>
        </row>
        <row r="98">
          <cell r="A98">
            <v>41050030</v>
          </cell>
          <cell r="B98" t="str">
            <v>Closing Stock - CRF</v>
          </cell>
          <cell r="C98">
            <v>0</v>
          </cell>
          <cell r="D98">
            <v>0</v>
          </cell>
          <cell r="E98">
            <v>387330.57</v>
          </cell>
          <cell r="F98">
            <v>-387330.57</v>
          </cell>
          <cell r="G98">
            <v>0</v>
          </cell>
          <cell r="H98">
            <v>-387330.57</v>
          </cell>
        </row>
        <row r="99">
          <cell r="A99">
            <v>41050040</v>
          </cell>
          <cell r="B99" t="str">
            <v>Closing Stock - RMC Aggregates</v>
          </cell>
          <cell r="C99">
            <v>0</v>
          </cell>
          <cell r="D99">
            <v>0</v>
          </cell>
          <cell r="E99">
            <v>789435.68</v>
          </cell>
          <cell r="F99">
            <v>-789435.68</v>
          </cell>
          <cell r="G99">
            <v>0</v>
          </cell>
          <cell r="H99">
            <v>-789435.68</v>
          </cell>
        </row>
        <row r="100">
          <cell r="A100">
            <v>41050050</v>
          </cell>
          <cell r="B100" t="str">
            <v>Closing Stock - Admixtures</v>
          </cell>
          <cell r="C100">
            <v>0</v>
          </cell>
          <cell r="D100">
            <v>0</v>
          </cell>
          <cell r="E100">
            <v>1083168.03</v>
          </cell>
          <cell r="F100">
            <v>-1083168.03</v>
          </cell>
          <cell r="G100">
            <v>0</v>
          </cell>
          <cell r="H100">
            <v>-1083168.03</v>
          </cell>
        </row>
        <row r="101">
          <cell r="A101">
            <v>41050070</v>
          </cell>
          <cell r="B101" t="str">
            <v>Closing Stock - Flyash</v>
          </cell>
          <cell r="C101">
            <v>0</v>
          </cell>
          <cell r="D101">
            <v>0</v>
          </cell>
          <cell r="E101">
            <v>136483.07</v>
          </cell>
          <cell r="F101">
            <v>-136483.07</v>
          </cell>
          <cell r="G101">
            <v>0</v>
          </cell>
          <cell r="H101">
            <v>-136483.07</v>
          </cell>
        </row>
        <row r="102">
          <cell r="A102">
            <v>41050080</v>
          </cell>
          <cell r="B102" t="str">
            <v>Closing Stock - Diesel</v>
          </cell>
          <cell r="C102">
            <v>0</v>
          </cell>
          <cell r="D102">
            <v>0</v>
          </cell>
          <cell r="E102">
            <v>156413.34</v>
          </cell>
          <cell r="F102">
            <v>-156413.34</v>
          </cell>
          <cell r="G102">
            <v>0</v>
          </cell>
          <cell r="H102">
            <v>-156413.34</v>
          </cell>
        </row>
        <row r="103">
          <cell r="A103">
            <v>41050090</v>
          </cell>
          <cell r="B103" t="str">
            <v>Closing Stock Boulders</v>
          </cell>
          <cell r="C103">
            <v>0</v>
          </cell>
          <cell r="D103">
            <v>6306538.3600000003</v>
          </cell>
          <cell r="E103">
            <v>8219539.1100000003</v>
          </cell>
          <cell r="F103">
            <v>-1913000.75</v>
          </cell>
          <cell r="G103">
            <v>0</v>
          </cell>
          <cell r="H103">
            <v>-1913000.75</v>
          </cell>
        </row>
        <row r="104">
          <cell r="A104">
            <v>41050100</v>
          </cell>
          <cell r="B104" t="str">
            <v>Closing Stock Crusher Aggregates</v>
          </cell>
          <cell r="C104">
            <v>0</v>
          </cell>
          <cell r="D104">
            <v>27071277.760000002</v>
          </cell>
          <cell r="E104">
            <v>31253867.710000001</v>
          </cell>
          <cell r="F104">
            <v>-4182589.95</v>
          </cell>
          <cell r="G104">
            <v>0</v>
          </cell>
          <cell r="H104">
            <v>-4182589.95</v>
          </cell>
        </row>
        <row r="105">
          <cell r="A105">
            <v>41050105</v>
          </cell>
          <cell r="B105" t="str">
            <v>Closing Stock Crusher CRF</v>
          </cell>
          <cell r="C105">
            <v>0</v>
          </cell>
          <cell r="D105">
            <v>11129764.51</v>
          </cell>
          <cell r="E105">
            <v>14590791.33</v>
          </cell>
          <cell r="F105">
            <v>-3461026.82</v>
          </cell>
          <cell r="G105">
            <v>0</v>
          </cell>
          <cell r="H105">
            <v>-3461026.82</v>
          </cell>
        </row>
        <row r="106">
          <cell r="A106">
            <v>41050110</v>
          </cell>
          <cell r="B106" t="str">
            <v>Closing Stock GGBS</v>
          </cell>
          <cell r="C106">
            <v>0</v>
          </cell>
          <cell r="D106">
            <v>0</v>
          </cell>
          <cell r="E106">
            <v>464780.09</v>
          </cell>
          <cell r="F106">
            <v>-464780.09</v>
          </cell>
          <cell r="G106">
            <v>0</v>
          </cell>
          <cell r="H106">
            <v>-464780.09</v>
          </cell>
        </row>
        <row r="107">
          <cell r="A107">
            <v>41050120</v>
          </cell>
          <cell r="B107" t="str">
            <v>Closing Stock Metacem / Microsilica</v>
          </cell>
          <cell r="C107">
            <v>0</v>
          </cell>
          <cell r="D107">
            <v>0</v>
          </cell>
          <cell r="E107">
            <v>42325.02</v>
          </cell>
          <cell r="F107">
            <v>-42325.02</v>
          </cell>
          <cell r="G107">
            <v>0</v>
          </cell>
          <cell r="H107">
            <v>-42325.02</v>
          </cell>
        </row>
        <row r="108">
          <cell r="A108">
            <v>42010010</v>
          </cell>
          <cell r="B108" t="str">
            <v>Salary - Basic</v>
          </cell>
          <cell r="C108">
            <v>0</v>
          </cell>
          <cell r="D108">
            <v>1662527.64</v>
          </cell>
          <cell r="E108">
            <v>25050</v>
          </cell>
          <cell r="F108">
            <v>1637477.64</v>
          </cell>
          <cell r="G108">
            <v>0</v>
          </cell>
          <cell r="H108">
            <v>1637477.64</v>
          </cell>
        </row>
        <row r="109">
          <cell r="A109">
            <v>42010020</v>
          </cell>
          <cell r="B109" t="str">
            <v>House Rent Allowance</v>
          </cell>
          <cell r="C109">
            <v>0</v>
          </cell>
          <cell r="D109">
            <v>786422</v>
          </cell>
          <cell r="E109">
            <v>12525</v>
          </cell>
          <cell r="F109">
            <v>773897</v>
          </cell>
          <cell r="G109">
            <v>0</v>
          </cell>
          <cell r="H109">
            <v>773897</v>
          </cell>
        </row>
        <row r="110">
          <cell r="A110">
            <v>42010030</v>
          </cell>
          <cell r="B110" t="str">
            <v>Education Allowance</v>
          </cell>
          <cell r="C110">
            <v>0</v>
          </cell>
          <cell r="D110">
            <v>105450</v>
          </cell>
          <cell r="E110">
            <v>1200</v>
          </cell>
          <cell r="F110">
            <v>104250</v>
          </cell>
          <cell r="G110">
            <v>0</v>
          </cell>
          <cell r="H110">
            <v>104250</v>
          </cell>
        </row>
        <row r="111">
          <cell r="A111">
            <v>42010040</v>
          </cell>
          <cell r="B111" t="str">
            <v>Special Allowance</v>
          </cell>
          <cell r="C111">
            <v>0</v>
          </cell>
          <cell r="D111">
            <v>226724</v>
          </cell>
          <cell r="E111">
            <v>3758</v>
          </cell>
          <cell r="F111">
            <v>222966</v>
          </cell>
          <cell r="G111">
            <v>0</v>
          </cell>
          <cell r="H111">
            <v>222966</v>
          </cell>
        </row>
        <row r="112">
          <cell r="A112">
            <v>42010050</v>
          </cell>
          <cell r="B112" t="str">
            <v>Medical Expense Reimbursement</v>
          </cell>
          <cell r="C112">
            <v>0</v>
          </cell>
          <cell r="D112">
            <v>269006</v>
          </cell>
          <cell r="E112">
            <v>1578</v>
          </cell>
          <cell r="F112">
            <v>267428</v>
          </cell>
          <cell r="G112">
            <v>0</v>
          </cell>
          <cell r="H112">
            <v>267428</v>
          </cell>
        </row>
        <row r="113">
          <cell r="A113">
            <v>42010060</v>
          </cell>
          <cell r="B113" t="str">
            <v>Leave Travel Allowance</v>
          </cell>
          <cell r="C113">
            <v>0</v>
          </cell>
          <cell r="D113">
            <v>353796</v>
          </cell>
          <cell r="E113">
            <v>66542</v>
          </cell>
          <cell r="F113">
            <v>287254</v>
          </cell>
          <cell r="G113">
            <v>0</v>
          </cell>
          <cell r="H113">
            <v>287254</v>
          </cell>
        </row>
        <row r="114">
          <cell r="A114">
            <v>42010070</v>
          </cell>
          <cell r="B114" t="str">
            <v>Leave Encashment</v>
          </cell>
          <cell r="C114">
            <v>0</v>
          </cell>
          <cell r="D114">
            <v>105052.83</v>
          </cell>
          <cell r="E114">
            <v>0</v>
          </cell>
          <cell r="F114">
            <v>105052.83</v>
          </cell>
          <cell r="G114">
            <v>0</v>
          </cell>
          <cell r="H114">
            <v>105052.83</v>
          </cell>
        </row>
        <row r="115">
          <cell r="A115">
            <v>42010090</v>
          </cell>
          <cell r="B115" t="str">
            <v>Overtime Payment</v>
          </cell>
          <cell r="C115">
            <v>0</v>
          </cell>
          <cell r="D115">
            <v>207576</v>
          </cell>
          <cell r="E115">
            <v>43500</v>
          </cell>
          <cell r="F115">
            <v>164076</v>
          </cell>
          <cell r="G115">
            <v>0</v>
          </cell>
          <cell r="H115">
            <v>164076</v>
          </cell>
        </row>
        <row r="116">
          <cell r="A116">
            <v>42010100</v>
          </cell>
          <cell r="B116" t="str">
            <v>Transport Allowance</v>
          </cell>
          <cell r="C116">
            <v>0</v>
          </cell>
          <cell r="D116">
            <v>286449</v>
          </cell>
          <cell r="E116">
            <v>2800</v>
          </cell>
          <cell r="F116">
            <v>283649</v>
          </cell>
          <cell r="G116">
            <v>0</v>
          </cell>
          <cell r="H116">
            <v>283649</v>
          </cell>
        </row>
        <row r="117">
          <cell r="A117">
            <v>42010110</v>
          </cell>
          <cell r="B117" t="str">
            <v>Lunch Allowance</v>
          </cell>
          <cell r="C117">
            <v>0</v>
          </cell>
          <cell r="D117">
            <v>26680</v>
          </cell>
          <cell r="E117">
            <v>0</v>
          </cell>
          <cell r="F117">
            <v>26680</v>
          </cell>
          <cell r="G117">
            <v>0</v>
          </cell>
          <cell r="H117">
            <v>26680</v>
          </cell>
        </row>
        <row r="118">
          <cell r="A118">
            <v>42010130</v>
          </cell>
          <cell r="B118" t="str">
            <v>Production Linked Incentive</v>
          </cell>
          <cell r="C118">
            <v>0</v>
          </cell>
          <cell r="D118">
            <v>348870.24</v>
          </cell>
          <cell r="E118">
            <v>0</v>
          </cell>
          <cell r="F118">
            <v>348870.24</v>
          </cell>
          <cell r="G118">
            <v>0</v>
          </cell>
          <cell r="H118">
            <v>348870.24</v>
          </cell>
        </row>
        <row r="119">
          <cell r="A119">
            <v>42010140</v>
          </cell>
          <cell r="B119" t="str">
            <v>Subsistance Allowance</v>
          </cell>
          <cell r="C119">
            <v>0</v>
          </cell>
          <cell r="D119">
            <v>31383</v>
          </cell>
          <cell r="E119">
            <v>10894</v>
          </cell>
          <cell r="F119">
            <v>20489</v>
          </cell>
          <cell r="G119">
            <v>0</v>
          </cell>
          <cell r="H119">
            <v>20489</v>
          </cell>
        </row>
        <row r="120">
          <cell r="A120">
            <v>42010150</v>
          </cell>
          <cell r="B120" t="str">
            <v>Notice Pay</v>
          </cell>
          <cell r="C120">
            <v>0</v>
          </cell>
          <cell r="D120">
            <v>-4818</v>
          </cell>
          <cell r="E120">
            <v>7142</v>
          </cell>
          <cell r="F120">
            <v>-11960</v>
          </cell>
          <cell r="G120">
            <v>0</v>
          </cell>
          <cell r="H120">
            <v>-11960</v>
          </cell>
        </row>
        <row r="121">
          <cell r="A121">
            <v>42010220</v>
          </cell>
          <cell r="B121" t="str">
            <v>Adhoc Allowance</v>
          </cell>
          <cell r="C121">
            <v>0</v>
          </cell>
          <cell r="D121">
            <v>45049.03</v>
          </cell>
          <cell r="E121">
            <v>0</v>
          </cell>
          <cell r="F121">
            <v>45049.03</v>
          </cell>
          <cell r="G121">
            <v>0</v>
          </cell>
          <cell r="H121">
            <v>45049.03</v>
          </cell>
        </row>
        <row r="122">
          <cell r="A122">
            <v>42010230</v>
          </cell>
          <cell r="B122" t="str">
            <v>Car Allowance</v>
          </cell>
          <cell r="C122">
            <v>0</v>
          </cell>
          <cell r="D122">
            <v>48774</v>
          </cell>
          <cell r="E122">
            <v>0</v>
          </cell>
          <cell r="F122">
            <v>48774</v>
          </cell>
          <cell r="G122">
            <v>0</v>
          </cell>
          <cell r="H122">
            <v>48774</v>
          </cell>
        </row>
        <row r="123">
          <cell r="A123">
            <v>42010240</v>
          </cell>
          <cell r="B123" t="str">
            <v>Driver Allowance</v>
          </cell>
          <cell r="C123">
            <v>0</v>
          </cell>
          <cell r="D123">
            <v>44516</v>
          </cell>
          <cell r="E123">
            <v>0</v>
          </cell>
          <cell r="F123">
            <v>44516</v>
          </cell>
          <cell r="G123">
            <v>0</v>
          </cell>
          <cell r="H123">
            <v>44516</v>
          </cell>
        </row>
        <row r="124">
          <cell r="A124">
            <v>42010260</v>
          </cell>
          <cell r="B124" t="str">
            <v>Dearness Allowance</v>
          </cell>
          <cell r="C124">
            <v>0</v>
          </cell>
          <cell r="D124">
            <v>41537</v>
          </cell>
          <cell r="E124">
            <v>0</v>
          </cell>
          <cell r="F124">
            <v>41537</v>
          </cell>
          <cell r="G124">
            <v>0</v>
          </cell>
          <cell r="H124">
            <v>41537</v>
          </cell>
        </row>
        <row r="125">
          <cell r="A125">
            <v>42020010</v>
          </cell>
          <cell r="B125" t="str">
            <v>Provident Funds - Employer's Conribution</v>
          </cell>
          <cell r="C125">
            <v>0</v>
          </cell>
          <cell r="D125">
            <v>210151</v>
          </cell>
          <cell r="E125">
            <v>0</v>
          </cell>
          <cell r="F125">
            <v>210151</v>
          </cell>
          <cell r="G125">
            <v>0</v>
          </cell>
          <cell r="H125">
            <v>210151</v>
          </cell>
        </row>
        <row r="126">
          <cell r="A126">
            <v>42020030</v>
          </cell>
          <cell r="B126" t="str">
            <v>Provident Fund - Admn.Charges</v>
          </cell>
          <cell r="C126">
            <v>0</v>
          </cell>
          <cell r="D126">
            <v>30561</v>
          </cell>
          <cell r="E126">
            <v>0</v>
          </cell>
          <cell r="F126">
            <v>30561</v>
          </cell>
          <cell r="G126">
            <v>0</v>
          </cell>
          <cell r="H126">
            <v>30561</v>
          </cell>
        </row>
        <row r="127">
          <cell r="A127">
            <v>42020070</v>
          </cell>
          <cell r="B127" t="str">
            <v>E.S.I.S. - Employer's Contribution</v>
          </cell>
          <cell r="C127">
            <v>0</v>
          </cell>
          <cell r="D127">
            <v>54038</v>
          </cell>
          <cell r="E127">
            <v>0</v>
          </cell>
          <cell r="F127">
            <v>54038</v>
          </cell>
          <cell r="G127">
            <v>0</v>
          </cell>
          <cell r="H127">
            <v>54038</v>
          </cell>
        </row>
        <row r="128">
          <cell r="A128">
            <v>42030010</v>
          </cell>
          <cell r="B128" t="str">
            <v>Purchases of Safety &amp; Welfare Items - FBT</v>
          </cell>
          <cell r="C128">
            <v>0</v>
          </cell>
          <cell r="D128">
            <v>460</v>
          </cell>
          <cell r="E128">
            <v>0</v>
          </cell>
          <cell r="F128">
            <v>460</v>
          </cell>
          <cell r="G128">
            <v>0</v>
          </cell>
          <cell r="H128">
            <v>460</v>
          </cell>
        </row>
        <row r="129">
          <cell r="A129">
            <v>42030020</v>
          </cell>
          <cell r="B129" t="str">
            <v>Purchases of Safety &amp; Welfare Items</v>
          </cell>
          <cell r="C129">
            <v>0</v>
          </cell>
          <cell r="D129">
            <v>78604</v>
          </cell>
          <cell r="E129">
            <v>0</v>
          </cell>
          <cell r="F129">
            <v>78604</v>
          </cell>
          <cell r="G129">
            <v>0</v>
          </cell>
          <cell r="H129">
            <v>78604</v>
          </cell>
        </row>
        <row r="130">
          <cell r="A130">
            <v>42030030</v>
          </cell>
          <cell r="B130" t="str">
            <v>Mediclaim Expenses Reimbursement - FBT</v>
          </cell>
          <cell r="C130">
            <v>0</v>
          </cell>
          <cell r="D130">
            <v>1200</v>
          </cell>
          <cell r="E130">
            <v>1200</v>
          </cell>
          <cell r="F130">
            <v>0</v>
          </cell>
          <cell r="G130">
            <v>0</v>
          </cell>
          <cell r="H130">
            <v>0</v>
          </cell>
        </row>
        <row r="131">
          <cell r="A131">
            <v>42030040</v>
          </cell>
          <cell r="B131" t="str">
            <v>Staff Welfare Expenses - FBT</v>
          </cell>
          <cell r="C131">
            <v>0</v>
          </cell>
          <cell r="D131">
            <v>63302</v>
          </cell>
          <cell r="E131">
            <v>0</v>
          </cell>
          <cell r="F131">
            <v>63302</v>
          </cell>
          <cell r="G131">
            <v>0</v>
          </cell>
          <cell r="H131">
            <v>63302</v>
          </cell>
        </row>
        <row r="132">
          <cell r="A132">
            <v>42030050</v>
          </cell>
          <cell r="B132" t="str">
            <v>Staff Welfare Expenses</v>
          </cell>
          <cell r="C132">
            <v>0</v>
          </cell>
          <cell r="D132">
            <v>709429.5</v>
          </cell>
          <cell r="E132">
            <v>607890</v>
          </cell>
          <cell r="F132">
            <v>101539.5</v>
          </cell>
          <cell r="G132">
            <v>0</v>
          </cell>
          <cell r="H132">
            <v>101539.5</v>
          </cell>
        </row>
        <row r="133">
          <cell r="A133">
            <v>42030060</v>
          </cell>
          <cell r="B133" t="str">
            <v>Food &amp; Beverage Exps - FBT</v>
          </cell>
          <cell r="C133">
            <v>0</v>
          </cell>
          <cell r="D133">
            <v>20239</v>
          </cell>
          <cell r="E133">
            <v>0</v>
          </cell>
          <cell r="F133">
            <v>20239</v>
          </cell>
          <cell r="G133">
            <v>0</v>
          </cell>
          <cell r="H133">
            <v>20239</v>
          </cell>
        </row>
        <row r="134">
          <cell r="A134">
            <v>42030080</v>
          </cell>
          <cell r="B134" t="str">
            <v>Washing Allowance</v>
          </cell>
          <cell r="C134">
            <v>0</v>
          </cell>
          <cell r="D134">
            <v>14173</v>
          </cell>
          <cell r="E134">
            <v>0</v>
          </cell>
          <cell r="F134">
            <v>14173</v>
          </cell>
          <cell r="G134">
            <v>0</v>
          </cell>
          <cell r="H134">
            <v>14173</v>
          </cell>
        </row>
        <row r="135">
          <cell r="A135">
            <v>42030090</v>
          </cell>
          <cell r="B135" t="str">
            <v>Pooja &amp; Festival Celebration Expenses - FBT</v>
          </cell>
          <cell r="C135">
            <v>0</v>
          </cell>
          <cell r="D135">
            <v>3775</v>
          </cell>
          <cell r="E135">
            <v>0</v>
          </cell>
          <cell r="F135">
            <v>3775</v>
          </cell>
          <cell r="G135">
            <v>0</v>
          </cell>
          <cell r="H135">
            <v>3775</v>
          </cell>
        </row>
        <row r="136">
          <cell r="A136">
            <v>43001010</v>
          </cell>
          <cell r="B136" t="str">
            <v>Electricity Charges</v>
          </cell>
          <cell r="C136">
            <v>0</v>
          </cell>
          <cell r="D136">
            <v>1312957</v>
          </cell>
          <cell r="E136">
            <v>495877</v>
          </cell>
          <cell r="F136">
            <v>817080</v>
          </cell>
          <cell r="G136">
            <v>0</v>
          </cell>
          <cell r="H136">
            <v>817080</v>
          </cell>
        </row>
        <row r="137">
          <cell r="A137">
            <v>43001020</v>
          </cell>
          <cell r="B137" t="str">
            <v>Water Charges</v>
          </cell>
          <cell r="C137">
            <v>0</v>
          </cell>
          <cell r="D137">
            <v>660740</v>
          </cell>
          <cell r="E137">
            <v>234535</v>
          </cell>
          <cell r="F137">
            <v>426205</v>
          </cell>
          <cell r="G137">
            <v>0</v>
          </cell>
          <cell r="H137">
            <v>426205</v>
          </cell>
        </row>
        <row r="138">
          <cell r="A138">
            <v>43001030</v>
          </cell>
          <cell r="B138" t="str">
            <v>Fuel For Diesel Generator Set</v>
          </cell>
          <cell r="C138">
            <v>0</v>
          </cell>
          <cell r="D138">
            <v>361899.94</v>
          </cell>
          <cell r="E138">
            <v>63744.45</v>
          </cell>
          <cell r="F138">
            <v>298155.49</v>
          </cell>
          <cell r="G138">
            <v>0</v>
          </cell>
          <cell r="H138">
            <v>298155.49</v>
          </cell>
        </row>
        <row r="139">
          <cell r="A139">
            <v>43006060</v>
          </cell>
          <cell r="B139" t="str">
            <v>Drilling Expenses</v>
          </cell>
          <cell r="C139">
            <v>0</v>
          </cell>
          <cell r="D139">
            <v>4311140.6100000003</v>
          </cell>
          <cell r="E139">
            <v>758676</v>
          </cell>
          <cell r="F139">
            <v>3552464.61</v>
          </cell>
          <cell r="G139">
            <v>0</v>
          </cell>
          <cell r="H139">
            <v>3552464.61</v>
          </cell>
        </row>
        <row r="140">
          <cell r="A140">
            <v>43012020</v>
          </cell>
          <cell r="B140" t="str">
            <v>Labour / sub contractor for - Pumping Expenses Incurred</v>
          </cell>
          <cell r="C140">
            <v>0</v>
          </cell>
          <cell r="D140">
            <v>1427529</v>
          </cell>
          <cell r="E140">
            <v>0</v>
          </cell>
          <cell r="F140">
            <v>1427529</v>
          </cell>
          <cell r="G140">
            <v>0</v>
          </cell>
          <cell r="H140">
            <v>1427529</v>
          </cell>
        </row>
        <row r="141">
          <cell r="A141">
            <v>43012030</v>
          </cell>
          <cell r="B141" t="str">
            <v>Labour Charges - Quarry/Crusher</v>
          </cell>
          <cell r="C141">
            <v>0</v>
          </cell>
          <cell r="D141">
            <v>1479067</v>
          </cell>
          <cell r="E141">
            <v>433976</v>
          </cell>
          <cell r="F141">
            <v>1045091</v>
          </cell>
          <cell r="G141">
            <v>0</v>
          </cell>
          <cell r="H141">
            <v>1045091</v>
          </cell>
        </row>
        <row r="142">
          <cell r="A142">
            <v>43016010</v>
          </cell>
          <cell r="B142" t="str">
            <v>Transportation Charges</v>
          </cell>
          <cell r="C142">
            <v>0</v>
          </cell>
          <cell r="D142">
            <v>4875891.6900000004</v>
          </cell>
          <cell r="E142">
            <v>1526389</v>
          </cell>
          <cell r="F142">
            <v>3349502.69</v>
          </cell>
          <cell r="G142">
            <v>0</v>
          </cell>
          <cell r="H142">
            <v>3349502.69</v>
          </cell>
        </row>
        <row r="143">
          <cell r="A143">
            <v>43016020</v>
          </cell>
          <cell r="B143" t="str">
            <v>Material Handling Charges</v>
          </cell>
          <cell r="C143">
            <v>0</v>
          </cell>
          <cell r="D143">
            <v>395410</v>
          </cell>
          <cell r="E143">
            <v>91788</v>
          </cell>
          <cell r="F143">
            <v>303622</v>
          </cell>
          <cell r="G143">
            <v>0</v>
          </cell>
          <cell r="H143">
            <v>303622</v>
          </cell>
        </row>
        <row r="144">
          <cell r="A144">
            <v>43018010</v>
          </cell>
          <cell r="B144" t="str">
            <v>Repairs &amp; Maintenance</v>
          </cell>
          <cell r="C144">
            <v>0</v>
          </cell>
          <cell r="D144">
            <v>7031084.1799999997</v>
          </cell>
          <cell r="E144">
            <v>2133965.4300000002</v>
          </cell>
          <cell r="F144">
            <v>4897118.75</v>
          </cell>
          <cell r="G144">
            <v>0</v>
          </cell>
          <cell r="H144">
            <v>4897118.75</v>
          </cell>
        </row>
        <row r="145">
          <cell r="A145">
            <v>43018020</v>
          </cell>
          <cell r="B145" t="str">
            <v>Oil &amp; Grease</v>
          </cell>
          <cell r="C145">
            <v>0</v>
          </cell>
          <cell r="D145">
            <v>1443549.4</v>
          </cell>
          <cell r="E145">
            <v>979978</v>
          </cell>
          <cell r="F145">
            <v>463571.4</v>
          </cell>
          <cell r="G145">
            <v>0</v>
          </cell>
          <cell r="H145">
            <v>463571.4</v>
          </cell>
        </row>
        <row r="146">
          <cell r="A146">
            <v>43020040</v>
          </cell>
          <cell r="B146" t="str">
            <v>Repairs &amp; Maintenance - Vehicles - FBT</v>
          </cell>
          <cell r="C146">
            <v>0</v>
          </cell>
          <cell r="D146">
            <v>182549</v>
          </cell>
          <cell r="E146">
            <v>182549</v>
          </cell>
          <cell r="F146">
            <v>0</v>
          </cell>
          <cell r="G146">
            <v>0</v>
          </cell>
          <cell r="H146">
            <v>0</v>
          </cell>
        </row>
        <row r="147">
          <cell r="A147">
            <v>43022010</v>
          </cell>
          <cell r="B147" t="str">
            <v>Plant / Office Up Keep Exps</v>
          </cell>
          <cell r="C147">
            <v>0</v>
          </cell>
          <cell r="D147">
            <v>131261</v>
          </cell>
          <cell r="E147">
            <v>11500</v>
          </cell>
          <cell r="F147">
            <v>119761</v>
          </cell>
          <cell r="G147">
            <v>0</v>
          </cell>
          <cell r="H147">
            <v>119761</v>
          </cell>
        </row>
        <row r="148">
          <cell r="A148">
            <v>43030010</v>
          </cell>
          <cell r="B148" t="str">
            <v>Transportation Exps-Labour</v>
          </cell>
          <cell r="C148">
            <v>0</v>
          </cell>
          <cell r="D148">
            <v>414361</v>
          </cell>
          <cell r="E148">
            <v>140000</v>
          </cell>
          <cell r="F148">
            <v>274361</v>
          </cell>
          <cell r="G148">
            <v>0</v>
          </cell>
          <cell r="H148">
            <v>274361</v>
          </cell>
        </row>
        <row r="149">
          <cell r="A149">
            <v>43032010</v>
          </cell>
          <cell r="B149" t="str">
            <v>Rent - Plant</v>
          </cell>
          <cell r="C149">
            <v>0</v>
          </cell>
          <cell r="D149">
            <v>726050</v>
          </cell>
          <cell r="E149">
            <v>0</v>
          </cell>
          <cell r="F149">
            <v>726050</v>
          </cell>
          <cell r="G149">
            <v>0</v>
          </cell>
          <cell r="H149">
            <v>726050</v>
          </cell>
        </row>
        <row r="150">
          <cell r="A150">
            <v>43032015</v>
          </cell>
          <cell r="B150" t="str">
            <v>Rent - Office</v>
          </cell>
          <cell r="C150">
            <v>0</v>
          </cell>
          <cell r="D150">
            <v>7600</v>
          </cell>
          <cell r="E150">
            <v>0</v>
          </cell>
          <cell r="F150">
            <v>7600</v>
          </cell>
          <cell r="G150">
            <v>0</v>
          </cell>
          <cell r="H150">
            <v>7600</v>
          </cell>
        </row>
        <row r="151">
          <cell r="A151">
            <v>43032020</v>
          </cell>
          <cell r="B151" t="str">
            <v>Guest house Lease Rental - FBT</v>
          </cell>
          <cell r="C151">
            <v>0</v>
          </cell>
          <cell r="D151">
            <v>32380</v>
          </cell>
          <cell r="E151">
            <v>0</v>
          </cell>
          <cell r="F151">
            <v>32380</v>
          </cell>
          <cell r="G151">
            <v>0</v>
          </cell>
          <cell r="H151">
            <v>32380</v>
          </cell>
        </row>
        <row r="152">
          <cell r="A152">
            <v>43032040</v>
          </cell>
          <cell r="B152" t="str">
            <v>Lease Rentals- Machinery</v>
          </cell>
          <cell r="C152">
            <v>0</v>
          </cell>
          <cell r="D152">
            <v>688362</v>
          </cell>
          <cell r="E152">
            <v>0</v>
          </cell>
          <cell r="F152">
            <v>688362</v>
          </cell>
          <cell r="G152">
            <v>0</v>
          </cell>
          <cell r="H152">
            <v>688362</v>
          </cell>
        </row>
        <row r="153">
          <cell r="A153">
            <v>43032045</v>
          </cell>
          <cell r="B153" t="str">
            <v>Towing Expenses</v>
          </cell>
          <cell r="C153">
            <v>0</v>
          </cell>
          <cell r="D153">
            <v>306000</v>
          </cell>
          <cell r="E153">
            <v>110000</v>
          </cell>
          <cell r="F153">
            <v>196000</v>
          </cell>
          <cell r="G153">
            <v>0</v>
          </cell>
          <cell r="H153">
            <v>196000</v>
          </cell>
        </row>
        <row r="154">
          <cell r="A154">
            <v>43036010</v>
          </cell>
          <cell r="B154" t="str">
            <v>Insurance Expenses</v>
          </cell>
          <cell r="C154">
            <v>0</v>
          </cell>
          <cell r="D154">
            <v>216925.46</v>
          </cell>
          <cell r="E154">
            <v>113110.57</v>
          </cell>
          <cell r="F154">
            <v>103814.89</v>
          </cell>
          <cell r="G154">
            <v>0</v>
          </cell>
          <cell r="H154">
            <v>103814.89</v>
          </cell>
        </row>
        <row r="155">
          <cell r="A155">
            <v>43038010</v>
          </cell>
          <cell r="B155" t="str">
            <v>Postage Expenses</v>
          </cell>
          <cell r="C155">
            <v>0</v>
          </cell>
          <cell r="D155">
            <v>381</v>
          </cell>
          <cell r="E155">
            <v>0</v>
          </cell>
          <cell r="F155">
            <v>381</v>
          </cell>
          <cell r="G155">
            <v>0</v>
          </cell>
          <cell r="H155">
            <v>381</v>
          </cell>
        </row>
        <row r="156">
          <cell r="A156">
            <v>43038020</v>
          </cell>
          <cell r="B156" t="str">
            <v>Courier Expenses</v>
          </cell>
          <cell r="C156">
            <v>0</v>
          </cell>
          <cell r="D156">
            <v>5201</v>
          </cell>
          <cell r="E156">
            <v>0</v>
          </cell>
          <cell r="F156">
            <v>5201</v>
          </cell>
          <cell r="G156">
            <v>0</v>
          </cell>
          <cell r="H156">
            <v>5201</v>
          </cell>
        </row>
        <row r="157">
          <cell r="A157">
            <v>43038030</v>
          </cell>
          <cell r="B157" t="str">
            <v>Telephone Expenses</v>
          </cell>
          <cell r="C157">
            <v>0</v>
          </cell>
          <cell r="D157">
            <v>83557</v>
          </cell>
          <cell r="E157">
            <v>38890</v>
          </cell>
          <cell r="F157">
            <v>44667</v>
          </cell>
          <cell r="G157">
            <v>0</v>
          </cell>
          <cell r="H157">
            <v>44667</v>
          </cell>
        </row>
        <row r="158">
          <cell r="A158">
            <v>43038050</v>
          </cell>
          <cell r="B158" t="str">
            <v>Telephone Chgs - Mobile  FBT</v>
          </cell>
          <cell r="C158">
            <v>0</v>
          </cell>
          <cell r="D158">
            <v>274285</v>
          </cell>
          <cell r="E158">
            <v>108117</v>
          </cell>
          <cell r="F158">
            <v>166168</v>
          </cell>
          <cell r="G158">
            <v>0</v>
          </cell>
          <cell r="H158">
            <v>166168</v>
          </cell>
        </row>
        <row r="159">
          <cell r="A159">
            <v>43040010</v>
          </cell>
          <cell r="B159" t="str">
            <v>Conveyance Expenses - FBT</v>
          </cell>
          <cell r="C159">
            <v>0</v>
          </cell>
          <cell r="D159">
            <v>185815.5</v>
          </cell>
          <cell r="E159">
            <v>10202</v>
          </cell>
          <cell r="F159">
            <v>175613.5</v>
          </cell>
          <cell r="G159">
            <v>0</v>
          </cell>
          <cell r="H159">
            <v>175613.5</v>
          </cell>
        </row>
        <row r="160">
          <cell r="A160">
            <v>43040040</v>
          </cell>
          <cell r="B160" t="str">
            <v>Motor Car Hire Expenses</v>
          </cell>
          <cell r="C160">
            <v>0</v>
          </cell>
          <cell r="D160">
            <v>855762</v>
          </cell>
          <cell r="E160">
            <v>222820</v>
          </cell>
          <cell r="F160">
            <v>632942</v>
          </cell>
          <cell r="G160">
            <v>0</v>
          </cell>
          <cell r="H160">
            <v>632942</v>
          </cell>
        </row>
        <row r="161">
          <cell r="A161">
            <v>43040080</v>
          </cell>
          <cell r="B161" t="str">
            <v>Travelling Expenses - Domestic - FBT</v>
          </cell>
          <cell r="C161">
            <v>0</v>
          </cell>
          <cell r="D161">
            <v>371969</v>
          </cell>
          <cell r="E161">
            <v>180871</v>
          </cell>
          <cell r="F161">
            <v>191098</v>
          </cell>
          <cell r="G161">
            <v>0</v>
          </cell>
          <cell r="H161">
            <v>191098</v>
          </cell>
        </row>
        <row r="162">
          <cell r="A162">
            <v>43040100</v>
          </cell>
          <cell r="B162" t="str">
            <v>Hotel Expenses  - FBT</v>
          </cell>
          <cell r="C162">
            <v>0</v>
          </cell>
          <cell r="D162">
            <v>5500</v>
          </cell>
          <cell r="E162">
            <v>0</v>
          </cell>
          <cell r="F162">
            <v>5500</v>
          </cell>
          <cell r="G162">
            <v>0</v>
          </cell>
          <cell r="H162">
            <v>5500</v>
          </cell>
        </row>
        <row r="163">
          <cell r="A163">
            <v>43040120</v>
          </cell>
          <cell r="B163" t="str">
            <v>Guest House Expenses</v>
          </cell>
          <cell r="C163">
            <v>0</v>
          </cell>
          <cell r="D163">
            <v>6503</v>
          </cell>
          <cell r="E163">
            <v>0</v>
          </cell>
          <cell r="F163">
            <v>6503</v>
          </cell>
          <cell r="G163">
            <v>0</v>
          </cell>
          <cell r="H163">
            <v>6503</v>
          </cell>
        </row>
        <row r="164">
          <cell r="A164">
            <v>43042010</v>
          </cell>
          <cell r="B164" t="str">
            <v>Fuel - Truck Mixers</v>
          </cell>
          <cell r="C164">
            <v>0</v>
          </cell>
          <cell r="D164">
            <v>2547527.83</v>
          </cell>
          <cell r="E164">
            <v>1273773.58</v>
          </cell>
          <cell r="F164">
            <v>1273754.25</v>
          </cell>
          <cell r="G164">
            <v>0</v>
          </cell>
          <cell r="H164">
            <v>1273754.25</v>
          </cell>
        </row>
        <row r="165">
          <cell r="A165">
            <v>43042020</v>
          </cell>
          <cell r="B165" t="str">
            <v>Fuel - Loader</v>
          </cell>
          <cell r="C165">
            <v>0</v>
          </cell>
          <cell r="D165">
            <v>1303653.43</v>
          </cell>
          <cell r="E165">
            <v>514445.75</v>
          </cell>
          <cell r="F165">
            <v>789207.68</v>
          </cell>
          <cell r="G165">
            <v>0</v>
          </cell>
          <cell r="H165">
            <v>789207.68</v>
          </cell>
        </row>
        <row r="166">
          <cell r="A166">
            <v>43042030</v>
          </cell>
          <cell r="B166" t="str">
            <v>Fuel - Others</v>
          </cell>
          <cell r="C166">
            <v>0</v>
          </cell>
          <cell r="D166">
            <v>2889174.42</v>
          </cell>
          <cell r="E166">
            <v>1464532.4</v>
          </cell>
          <cell r="F166">
            <v>1424642.02</v>
          </cell>
          <cell r="G166">
            <v>0</v>
          </cell>
          <cell r="H166">
            <v>1424642.02</v>
          </cell>
        </row>
        <row r="167">
          <cell r="A167">
            <v>43042050</v>
          </cell>
          <cell r="B167" t="str">
            <v>Fuel -  External Trucks/Pumps</v>
          </cell>
          <cell r="C167">
            <v>0</v>
          </cell>
          <cell r="D167">
            <v>666523.55000000005</v>
          </cell>
          <cell r="E167">
            <v>662591.12</v>
          </cell>
          <cell r="F167">
            <v>3932.43</v>
          </cell>
          <cell r="G167">
            <v>0</v>
          </cell>
          <cell r="H167">
            <v>3932.43</v>
          </cell>
        </row>
        <row r="168">
          <cell r="A168">
            <v>43042060</v>
          </cell>
          <cell r="B168" t="str">
            <v>Fuel - Concrete Pumps</v>
          </cell>
          <cell r="C168">
            <v>0</v>
          </cell>
          <cell r="D168">
            <v>420058.59</v>
          </cell>
          <cell r="E168">
            <v>164619.51999999999</v>
          </cell>
          <cell r="F168">
            <v>255439.07</v>
          </cell>
          <cell r="G168">
            <v>0</v>
          </cell>
          <cell r="H168">
            <v>255439.07</v>
          </cell>
        </row>
        <row r="169">
          <cell r="A169">
            <v>43044010</v>
          </cell>
          <cell r="B169" t="str">
            <v>Royalty</v>
          </cell>
          <cell r="C169">
            <v>0</v>
          </cell>
          <cell r="D169">
            <v>2056640</v>
          </cell>
          <cell r="E169">
            <v>14640</v>
          </cell>
          <cell r="F169">
            <v>2042000</v>
          </cell>
          <cell r="G169">
            <v>0</v>
          </cell>
          <cell r="H169">
            <v>2042000</v>
          </cell>
        </row>
        <row r="170">
          <cell r="A170">
            <v>43046010</v>
          </cell>
          <cell r="B170" t="str">
            <v>Rates &amp; Taxes</v>
          </cell>
          <cell r="C170">
            <v>0</v>
          </cell>
          <cell r="D170">
            <v>192986.83</v>
          </cell>
          <cell r="E170">
            <v>0</v>
          </cell>
          <cell r="F170">
            <v>192986.83</v>
          </cell>
          <cell r="G170">
            <v>0</v>
          </cell>
          <cell r="H170">
            <v>192986.83</v>
          </cell>
        </row>
        <row r="171">
          <cell r="A171">
            <v>43046030</v>
          </cell>
          <cell r="B171" t="str">
            <v>Fines &amp; Penalties</v>
          </cell>
          <cell r="C171">
            <v>0</v>
          </cell>
          <cell r="D171">
            <v>5200</v>
          </cell>
          <cell r="E171">
            <v>2600</v>
          </cell>
          <cell r="F171">
            <v>2600</v>
          </cell>
          <cell r="G171">
            <v>0</v>
          </cell>
          <cell r="H171">
            <v>2600</v>
          </cell>
        </row>
        <row r="172">
          <cell r="A172">
            <v>43050020</v>
          </cell>
          <cell r="B172" t="str">
            <v>Recruitment Expenses</v>
          </cell>
          <cell r="C172">
            <v>0</v>
          </cell>
          <cell r="D172">
            <v>800</v>
          </cell>
          <cell r="E172">
            <v>0</v>
          </cell>
          <cell r="F172">
            <v>800</v>
          </cell>
          <cell r="G172">
            <v>0</v>
          </cell>
          <cell r="H172">
            <v>800</v>
          </cell>
        </row>
        <row r="173">
          <cell r="A173">
            <v>43052010</v>
          </cell>
          <cell r="B173" t="str">
            <v>Security Service Charges</v>
          </cell>
          <cell r="C173">
            <v>0</v>
          </cell>
          <cell r="D173">
            <v>477660</v>
          </cell>
          <cell r="E173">
            <v>126000</v>
          </cell>
          <cell r="F173">
            <v>351660</v>
          </cell>
          <cell r="G173">
            <v>0</v>
          </cell>
          <cell r="H173">
            <v>351660</v>
          </cell>
        </row>
        <row r="174">
          <cell r="A174">
            <v>43054010</v>
          </cell>
          <cell r="B174" t="str">
            <v>Hire Charges - Machine</v>
          </cell>
          <cell r="C174">
            <v>0</v>
          </cell>
          <cell r="D174">
            <v>5500</v>
          </cell>
          <cell r="E174">
            <v>0</v>
          </cell>
          <cell r="F174">
            <v>5500</v>
          </cell>
          <cell r="G174">
            <v>0</v>
          </cell>
          <cell r="H174">
            <v>5500</v>
          </cell>
        </row>
        <row r="175">
          <cell r="A175">
            <v>43054020</v>
          </cell>
          <cell r="B175" t="str">
            <v>Concrete Carrying Charges - TM</v>
          </cell>
          <cell r="C175">
            <v>0</v>
          </cell>
          <cell r="D175">
            <v>4600649</v>
          </cell>
          <cell r="E175">
            <v>389238</v>
          </cell>
          <cell r="F175">
            <v>4211411</v>
          </cell>
          <cell r="G175">
            <v>0</v>
          </cell>
          <cell r="H175">
            <v>4211411</v>
          </cell>
        </row>
        <row r="176">
          <cell r="A176">
            <v>43054030</v>
          </cell>
          <cell r="B176" t="str">
            <v>Concrete Placing Charges Pump</v>
          </cell>
          <cell r="C176">
            <v>0</v>
          </cell>
          <cell r="D176">
            <v>2085375</v>
          </cell>
          <cell r="E176">
            <v>784233</v>
          </cell>
          <cell r="F176">
            <v>1301142</v>
          </cell>
          <cell r="G176">
            <v>0</v>
          </cell>
          <cell r="H176">
            <v>1301142</v>
          </cell>
        </row>
        <row r="177">
          <cell r="A177">
            <v>43054040</v>
          </cell>
          <cell r="B177" t="str">
            <v>Hire Charges - Vehicle</v>
          </cell>
          <cell r="C177">
            <v>0</v>
          </cell>
          <cell r="D177">
            <v>108550</v>
          </cell>
          <cell r="E177">
            <v>100050</v>
          </cell>
          <cell r="F177">
            <v>8500</v>
          </cell>
          <cell r="G177">
            <v>0</v>
          </cell>
          <cell r="H177">
            <v>8500</v>
          </cell>
        </row>
        <row r="178">
          <cell r="A178">
            <v>43056010</v>
          </cell>
          <cell r="B178" t="str">
            <v>Professional &amp; Consultancy Fees</v>
          </cell>
          <cell r="C178">
            <v>0</v>
          </cell>
          <cell r="D178">
            <v>217179</v>
          </cell>
          <cell r="E178">
            <v>35000</v>
          </cell>
          <cell r="F178">
            <v>182179</v>
          </cell>
          <cell r="G178">
            <v>0</v>
          </cell>
          <cell r="H178">
            <v>182179</v>
          </cell>
        </row>
        <row r="179">
          <cell r="A179">
            <v>43062010</v>
          </cell>
          <cell r="B179" t="str">
            <v>Computer Expenses</v>
          </cell>
          <cell r="C179">
            <v>0</v>
          </cell>
          <cell r="D179">
            <v>25500</v>
          </cell>
          <cell r="E179">
            <v>3500</v>
          </cell>
          <cell r="F179">
            <v>22000</v>
          </cell>
          <cell r="G179">
            <v>0</v>
          </cell>
          <cell r="H179">
            <v>22000</v>
          </cell>
        </row>
        <row r="180">
          <cell r="A180">
            <v>43064010</v>
          </cell>
          <cell r="B180" t="str">
            <v>Membership &amp; Subscription - Fees</v>
          </cell>
          <cell r="C180">
            <v>0</v>
          </cell>
          <cell r="D180">
            <v>600</v>
          </cell>
          <cell r="E180">
            <v>0</v>
          </cell>
          <cell r="F180">
            <v>600</v>
          </cell>
          <cell r="G180">
            <v>0</v>
          </cell>
          <cell r="H180">
            <v>600</v>
          </cell>
        </row>
        <row r="181">
          <cell r="A181">
            <v>43066020</v>
          </cell>
          <cell r="B181" t="str">
            <v>Printing &amp; Stationery</v>
          </cell>
          <cell r="C181">
            <v>0</v>
          </cell>
          <cell r="D181">
            <v>140578</v>
          </cell>
          <cell r="E181">
            <v>91126</v>
          </cell>
          <cell r="F181">
            <v>49452</v>
          </cell>
          <cell r="G181">
            <v>0</v>
          </cell>
          <cell r="H181">
            <v>49452</v>
          </cell>
        </row>
        <row r="182">
          <cell r="A182">
            <v>43070040</v>
          </cell>
          <cell r="B182" t="str">
            <v>Business Promotion Expenses - FBT</v>
          </cell>
          <cell r="C182">
            <v>0</v>
          </cell>
          <cell r="D182">
            <v>1400</v>
          </cell>
          <cell r="E182">
            <v>0</v>
          </cell>
          <cell r="F182">
            <v>1400</v>
          </cell>
          <cell r="G182">
            <v>0</v>
          </cell>
          <cell r="H182">
            <v>1400</v>
          </cell>
        </row>
        <row r="183">
          <cell r="A183">
            <v>43074010</v>
          </cell>
          <cell r="B183" t="str">
            <v>Provision For Bad &amp; Doubtful Debts W/Off</v>
          </cell>
          <cell r="C183">
            <v>0</v>
          </cell>
          <cell r="D183">
            <v>500000</v>
          </cell>
          <cell r="E183">
            <v>550000</v>
          </cell>
          <cell r="F183">
            <v>-50000</v>
          </cell>
          <cell r="G183">
            <v>0</v>
          </cell>
          <cell r="H183">
            <v>-50000</v>
          </cell>
        </row>
        <row r="184">
          <cell r="A184">
            <v>43084020</v>
          </cell>
          <cell r="B184" t="str">
            <v>Testing Charges</v>
          </cell>
          <cell r="C184">
            <v>0</v>
          </cell>
          <cell r="D184">
            <v>56842</v>
          </cell>
          <cell r="E184">
            <v>0</v>
          </cell>
          <cell r="F184">
            <v>56842</v>
          </cell>
          <cell r="G184">
            <v>0</v>
          </cell>
          <cell r="H184">
            <v>56842</v>
          </cell>
        </row>
        <row r="185">
          <cell r="A185">
            <v>43084030</v>
          </cell>
          <cell r="B185" t="str">
            <v>Rounding Off</v>
          </cell>
          <cell r="C185">
            <v>0</v>
          </cell>
          <cell r="D185">
            <v>1837.98</v>
          </cell>
          <cell r="E185">
            <v>206.31</v>
          </cell>
          <cell r="F185">
            <v>1631.67</v>
          </cell>
          <cell r="G185">
            <v>0</v>
          </cell>
          <cell r="H185">
            <v>1631.67</v>
          </cell>
        </row>
        <row r="186">
          <cell r="A186">
            <v>44010040</v>
          </cell>
          <cell r="B186" t="str">
            <v>Bank Charges</v>
          </cell>
          <cell r="C186">
            <v>0</v>
          </cell>
          <cell r="D186">
            <v>4395.24</v>
          </cell>
          <cell r="E186">
            <v>5502</v>
          </cell>
          <cell r="F186">
            <v>-1106.76</v>
          </cell>
          <cell r="G186">
            <v>0</v>
          </cell>
          <cell r="H186">
            <v>-1106.76</v>
          </cell>
        </row>
        <row r="187">
          <cell r="A187">
            <v>45010010</v>
          </cell>
          <cell r="B187" t="str">
            <v>Depreciation</v>
          </cell>
          <cell r="C187">
            <v>0</v>
          </cell>
          <cell r="D187">
            <v>4126216.32</v>
          </cell>
          <cell r="E187">
            <v>75938</v>
          </cell>
          <cell r="F187">
            <v>4050278.32</v>
          </cell>
          <cell r="G187">
            <v>0</v>
          </cell>
          <cell r="H187">
            <v>4050278.32</v>
          </cell>
        </row>
        <row r="188">
          <cell r="A188">
            <v>46040010</v>
          </cell>
          <cell r="B188" t="str">
            <v>Plant Shifting Expenses</v>
          </cell>
          <cell r="C188">
            <v>0</v>
          </cell>
          <cell r="D188">
            <v>17500</v>
          </cell>
          <cell r="E188">
            <v>0</v>
          </cell>
          <cell r="F188">
            <v>17500</v>
          </cell>
          <cell r="G188">
            <v>0</v>
          </cell>
          <cell r="H188">
            <v>17500</v>
          </cell>
        </row>
        <row r="189">
          <cell r="A189">
            <v>52000000</v>
          </cell>
          <cell r="B189" t="str">
            <v>Inter Branch Control Account</v>
          </cell>
          <cell r="C189">
            <v>-133614611.91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-133614611.91</v>
          </cell>
        </row>
        <row r="190">
          <cell r="A190">
            <v>52000809</v>
          </cell>
          <cell r="B190" t="str">
            <v>Inter branch control account for 08-09</v>
          </cell>
          <cell r="C190">
            <v>47891567.880000003</v>
          </cell>
          <cell r="D190">
            <v>23533393.07</v>
          </cell>
          <cell r="E190">
            <v>21632760.57</v>
          </cell>
          <cell r="F190">
            <v>1900632.5</v>
          </cell>
          <cell r="G190">
            <v>0</v>
          </cell>
          <cell r="H190">
            <v>49792200.380000003</v>
          </cell>
        </row>
        <row r="191">
          <cell r="A191">
            <v>61000200</v>
          </cell>
          <cell r="B191" t="str">
            <v>Stock Transfer Control Account</v>
          </cell>
          <cell r="C191">
            <v>0</v>
          </cell>
          <cell r="D191">
            <v>7502018.0800000001</v>
          </cell>
          <cell r="E191">
            <v>7502018.0800000001</v>
          </cell>
          <cell r="F191">
            <v>0</v>
          </cell>
          <cell r="G191">
            <v>0</v>
          </cell>
          <cell r="H191">
            <v>0</v>
          </cell>
        </row>
        <row r="192">
          <cell r="A192">
            <v>61000400</v>
          </cell>
          <cell r="B192" t="str">
            <v>Control Account Haulage Income</v>
          </cell>
          <cell r="C192">
            <v>0</v>
          </cell>
          <cell r="D192">
            <v>7264279.3799999999</v>
          </cell>
          <cell r="E192">
            <v>7264279.3799999999</v>
          </cell>
          <cell r="F192">
            <v>0</v>
          </cell>
          <cell r="G192">
            <v>0</v>
          </cell>
          <cell r="H192">
            <v>0</v>
          </cell>
        </row>
        <row r="193">
          <cell r="A193">
            <v>61000500</v>
          </cell>
          <cell r="B193" t="str">
            <v>Control Account for Pumping</v>
          </cell>
          <cell r="C193">
            <v>0</v>
          </cell>
          <cell r="D193">
            <v>3749984</v>
          </cell>
          <cell r="E193">
            <v>3749984</v>
          </cell>
          <cell r="F193">
            <v>0</v>
          </cell>
          <cell r="G193">
            <v>0</v>
          </cell>
          <cell r="H193">
            <v>0</v>
          </cell>
        </row>
        <row r="194">
          <cell r="A194">
            <v>62000000</v>
          </cell>
          <cell r="B194" t="str">
            <v>Inter branch Clearing account</v>
          </cell>
          <cell r="C194">
            <v>0</v>
          </cell>
          <cell r="D194">
            <v>17280571.57</v>
          </cell>
          <cell r="E194">
            <v>17280571.57</v>
          </cell>
          <cell r="F194">
            <v>0</v>
          </cell>
          <cell r="G194">
            <v>0</v>
          </cell>
          <cell r="H194">
            <v>0</v>
          </cell>
        </row>
        <row r="195">
          <cell r="B195" t="str">
            <v>Total</v>
          </cell>
          <cell r="D195">
            <v>0</v>
          </cell>
          <cell r="E195">
            <v>661123290.82000005</v>
          </cell>
          <cell r="F195">
            <v>661123290.82000005</v>
          </cell>
          <cell r="G195">
            <v>0</v>
          </cell>
          <cell r="H195">
            <v>0</v>
          </cell>
        </row>
      </sheetData>
      <sheetData sheetId="12" refreshError="1">
        <row r="1">
          <cell r="A1" t="str">
            <v>RMC Readymix (I) Pvt. Ltd.,</v>
          </cell>
          <cell r="B1" t="str">
            <v>Trial balance</v>
          </cell>
          <cell r="C1">
            <v>39969</v>
          </cell>
          <cell r="D1">
            <v>0.75165509259259267</v>
          </cell>
          <cell r="E1" t="str">
            <v>Page 1</v>
          </cell>
          <cell r="F1" t="str">
            <v>Indore</v>
          </cell>
        </row>
        <row r="2">
          <cell r="A2" t="str">
            <v>Period</v>
          </cell>
          <cell r="B2">
            <v>39904</v>
          </cell>
          <cell r="C2">
            <v>39964</v>
          </cell>
        </row>
        <row r="3">
          <cell r="A3" t="str">
            <v>Ledger account</v>
          </cell>
          <cell r="B3" t="str">
            <v>Account name</v>
          </cell>
          <cell r="C3" t="str">
            <v>Opening balance</v>
          </cell>
          <cell r="D3" t="str">
            <v>Debit</v>
          </cell>
          <cell r="E3" t="str">
            <v>Credit</v>
          </cell>
          <cell r="F3" t="str">
            <v>Net difference</v>
          </cell>
          <cell r="G3" t="str">
            <v>Closing transactions</v>
          </cell>
          <cell r="H3" t="str">
            <v>Closing balance</v>
          </cell>
        </row>
        <row r="4">
          <cell r="A4">
            <v>11015010</v>
          </cell>
          <cell r="B4" t="str">
            <v>Buildings</v>
          </cell>
          <cell r="C4">
            <v>8434902.0099999998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8434902.0099999998</v>
          </cell>
        </row>
        <row r="5">
          <cell r="A5">
            <v>11025010</v>
          </cell>
          <cell r="B5" t="str">
            <v>Plant and Machinery</v>
          </cell>
          <cell r="C5">
            <v>19081114.09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19081114.09</v>
          </cell>
        </row>
        <row r="6">
          <cell r="A6">
            <v>11030010</v>
          </cell>
          <cell r="B6" t="str">
            <v>Electrical Installations</v>
          </cell>
          <cell r="C6">
            <v>1819789.75</v>
          </cell>
          <cell r="D6">
            <v>0</v>
          </cell>
          <cell r="E6">
            <v>329500</v>
          </cell>
          <cell r="F6">
            <v>-329500</v>
          </cell>
          <cell r="G6">
            <v>0</v>
          </cell>
          <cell r="H6">
            <v>1490289.75</v>
          </cell>
        </row>
        <row r="7">
          <cell r="A7">
            <v>11035010</v>
          </cell>
          <cell r="B7" t="str">
            <v>Furniture &amp; Fixtures</v>
          </cell>
          <cell r="C7">
            <v>746906.01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746906.01</v>
          </cell>
        </row>
        <row r="8">
          <cell r="A8">
            <v>11040010</v>
          </cell>
          <cell r="B8" t="str">
            <v>Office &amp; Electrical Appliances</v>
          </cell>
          <cell r="C8">
            <v>393377.03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393377.03</v>
          </cell>
        </row>
        <row r="9">
          <cell r="A9">
            <v>11045010</v>
          </cell>
          <cell r="B9" t="str">
            <v>Truck Mixers, Loaders &amp; Truck Dumpers</v>
          </cell>
          <cell r="C9">
            <v>12075082.4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12075082.4</v>
          </cell>
        </row>
        <row r="10">
          <cell r="A10">
            <v>13015010</v>
          </cell>
          <cell r="B10" t="str">
            <v>Balance Sheet Stock of Raw material - RMC</v>
          </cell>
          <cell r="C10">
            <v>1557634.23</v>
          </cell>
          <cell r="D10">
            <v>1303875.26</v>
          </cell>
          <cell r="E10">
            <v>1557634.23</v>
          </cell>
          <cell r="F10">
            <v>-253758.97</v>
          </cell>
          <cell r="G10">
            <v>0</v>
          </cell>
          <cell r="H10">
            <v>1303875.26</v>
          </cell>
        </row>
        <row r="11">
          <cell r="A11">
            <v>13020010</v>
          </cell>
          <cell r="B11" t="str">
            <v>Sundry Debtors Account</v>
          </cell>
          <cell r="C11">
            <v>9372840</v>
          </cell>
          <cell r="D11">
            <v>20519390</v>
          </cell>
          <cell r="E11">
            <v>20358853</v>
          </cell>
          <cell r="F11">
            <v>160537</v>
          </cell>
          <cell r="G11">
            <v>0</v>
          </cell>
          <cell r="H11">
            <v>9533377</v>
          </cell>
        </row>
        <row r="12">
          <cell r="A12">
            <v>13025010</v>
          </cell>
          <cell r="B12" t="str">
            <v>Cash In Hand</v>
          </cell>
          <cell r="C12">
            <v>9012</v>
          </cell>
          <cell r="D12">
            <v>117116</v>
          </cell>
          <cell r="E12">
            <v>106682</v>
          </cell>
          <cell r="F12">
            <v>10434</v>
          </cell>
          <cell r="G12">
            <v>0</v>
          </cell>
          <cell r="H12">
            <v>19446</v>
          </cell>
        </row>
        <row r="13">
          <cell r="A13">
            <v>13035010</v>
          </cell>
          <cell r="B13" t="str">
            <v>Bank Account</v>
          </cell>
          <cell r="C13">
            <v>291803.73</v>
          </cell>
          <cell r="D13">
            <v>20158237</v>
          </cell>
          <cell r="E13">
            <v>22405652</v>
          </cell>
          <cell r="F13">
            <v>-2247415</v>
          </cell>
          <cell r="G13">
            <v>0</v>
          </cell>
          <cell r="H13">
            <v>-1955611.27</v>
          </cell>
        </row>
        <row r="14">
          <cell r="A14">
            <v>13045020</v>
          </cell>
          <cell r="B14" t="str">
            <v>Loans and advances to employees</v>
          </cell>
          <cell r="C14">
            <v>-17074</v>
          </cell>
          <cell r="D14">
            <v>67243</v>
          </cell>
          <cell r="E14">
            <v>44169</v>
          </cell>
          <cell r="F14">
            <v>23074</v>
          </cell>
          <cell r="G14">
            <v>0</v>
          </cell>
          <cell r="H14">
            <v>6000</v>
          </cell>
        </row>
        <row r="15">
          <cell r="A15">
            <v>13055020</v>
          </cell>
          <cell r="B15" t="str">
            <v>Prepaid Expenses</v>
          </cell>
          <cell r="C15">
            <v>62454</v>
          </cell>
          <cell r="D15">
            <v>182394</v>
          </cell>
          <cell r="E15">
            <v>94008</v>
          </cell>
          <cell r="F15">
            <v>88386</v>
          </cell>
          <cell r="G15">
            <v>0</v>
          </cell>
          <cell r="H15">
            <v>150840</v>
          </cell>
        </row>
        <row r="16">
          <cell r="A16">
            <v>13055060</v>
          </cell>
          <cell r="B16" t="str">
            <v>VAT Credit Receivable (Inputs)</v>
          </cell>
          <cell r="C16">
            <v>173705</v>
          </cell>
          <cell r="D16">
            <v>576713</v>
          </cell>
          <cell r="E16">
            <v>468857</v>
          </cell>
          <cell r="F16">
            <v>107856</v>
          </cell>
          <cell r="G16">
            <v>0</v>
          </cell>
          <cell r="H16">
            <v>281561</v>
          </cell>
        </row>
        <row r="17">
          <cell r="A17">
            <v>13055090</v>
          </cell>
          <cell r="B17" t="str">
            <v>Sundry Deposits</v>
          </cell>
          <cell r="C17">
            <v>440000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440000</v>
          </cell>
        </row>
        <row r="18">
          <cell r="A18">
            <v>25005010</v>
          </cell>
          <cell r="B18" t="str">
            <v>Creditors Control</v>
          </cell>
          <cell r="C18">
            <v>-5025443.17</v>
          </cell>
          <cell r="D18">
            <v>15872821.66</v>
          </cell>
          <cell r="E18">
            <v>12018208.6</v>
          </cell>
          <cell r="F18">
            <v>3854613.06</v>
          </cell>
          <cell r="G18">
            <v>0</v>
          </cell>
          <cell r="H18">
            <v>-1170830.1100000001</v>
          </cell>
        </row>
        <row r="19">
          <cell r="A19">
            <v>25005050</v>
          </cell>
          <cell r="B19" t="str">
            <v>Creditors liability for material received but bill not recei</v>
          </cell>
          <cell r="C19">
            <v>-3933276.82</v>
          </cell>
          <cell r="D19">
            <v>10375559.65</v>
          </cell>
          <cell r="E19">
            <v>11864511.75</v>
          </cell>
          <cell r="F19">
            <v>-1488952.1</v>
          </cell>
          <cell r="G19">
            <v>0</v>
          </cell>
          <cell r="H19">
            <v>-5422228.9199999999</v>
          </cell>
        </row>
        <row r="20">
          <cell r="A20">
            <v>25010020</v>
          </cell>
          <cell r="B20" t="str">
            <v>Outstanding Liabilities For Expenses</v>
          </cell>
          <cell r="C20">
            <v>-74826</v>
          </cell>
          <cell r="D20">
            <v>51919</v>
          </cell>
          <cell r="E20">
            <v>0</v>
          </cell>
          <cell r="F20">
            <v>51919</v>
          </cell>
          <cell r="G20">
            <v>0</v>
          </cell>
          <cell r="H20">
            <v>-22907</v>
          </cell>
        </row>
        <row r="21">
          <cell r="A21">
            <v>25010040</v>
          </cell>
          <cell r="B21" t="str">
            <v>Entry Tax Payable A/c</v>
          </cell>
          <cell r="C21">
            <v>0</v>
          </cell>
          <cell r="D21">
            <v>0</v>
          </cell>
          <cell r="E21">
            <v>4675.58</v>
          </cell>
          <cell r="F21">
            <v>-4675.58</v>
          </cell>
          <cell r="G21">
            <v>0</v>
          </cell>
          <cell r="H21">
            <v>-4675.58</v>
          </cell>
        </row>
        <row r="22">
          <cell r="A22">
            <v>25010060</v>
          </cell>
          <cell r="B22" t="str">
            <v>T.D.S.payable account</v>
          </cell>
          <cell r="C22">
            <v>-95520.62</v>
          </cell>
          <cell r="D22">
            <v>193920</v>
          </cell>
          <cell r="E22">
            <v>140070</v>
          </cell>
          <cell r="F22">
            <v>53850</v>
          </cell>
          <cell r="G22">
            <v>0</v>
          </cell>
          <cell r="H22">
            <v>-41670.620000000003</v>
          </cell>
        </row>
        <row r="23">
          <cell r="A23">
            <v>25010190</v>
          </cell>
          <cell r="B23" t="str">
            <v>VAT  Payable account</v>
          </cell>
          <cell r="C23">
            <v>-400182</v>
          </cell>
          <cell r="D23">
            <v>1397686</v>
          </cell>
          <cell r="E23">
            <v>2145356</v>
          </cell>
          <cell r="F23">
            <v>-747670</v>
          </cell>
          <cell r="G23">
            <v>0</v>
          </cell>
          <cell r="H23">
            <v>-1147852</v>
          </cell>
        </row>
        <row r="24">
          <cell r="A24">
            <v>25010200</v>
          </cell>
          <cell r="B24" t="str">
            <v>Provision for Expenses in MIS</v>
          </cell>
          <cell r="C24">
            <v>0</v>
          </cell>
          <cell r="D24">
            <v>1365879</v>
          </cell>
          <cell r="E24">
            <v>2170575</v>
          </cell>
          <cell r="F24">
            <v>-804696</v>
          </cell>
          <cell r="G24">
            <v>0</v>
          </cell>
          <cell r="H24">
            <v>-804696</v>
          </cell>
        </row>
        <row r="25">
          <cell r="A25">
            <v>26005020</v>
          </cell>
          <cell r="B25" t="str">
            <v>Provision For Bad &amp; Doubtful Debts</v>
          </cell>
          <cell r="C25">
            <v>-188587</v>
          </cell>
          <cell r="D25">
            <v>42288</v>
          </cell>
          <cell r="E25">
            <v>0</v>
          </cell>
          <cell r="F25">
            <v>42288</v>
          </cell>
          <cell r="G25">
            <v>0</v>
          </cell>
          <cell r="H25">
            <v>-146299</v>
          </cell>
        </row>
        <row r="26">
          <cell r="A26">
            <v>26015010</v>
          </cell>
          <cell r="B26" t="str">
            <v>Prov For Dep.-  Buildings</v>
          </cell>
          <cell r="C26">
            <v>-2470412.21</v>
          </cell>
          <cell r="D26">
            <v>0</v>
          </cell>
          <cell r="E26">
            <v>282406</v>
          </cell>
          <cell r="F26">
            <v>-282406</v>
          </cell>
          <cell r="G26">
            <v>0</v>
          </cell>
          <cell r="H26">
            <v>-2752818.21</v>
          </cell>
        </row>
        <row r="27">
          <cell r="A27">
            <v>26025010</v>
          </cell>
          <cell r="B27" t="str">
            <v>Provision for Depreciation Plant &amp; Machinery</v>
          </cell>
          <cell r="C27">
            <v>-2977634.33</v>
          </cell>
          <cell r="D27">
            <v>0</v>
          </cell>
          <cell r="E27">
            <v>297243</v>
          </cell>
          <cell r="F27">
            <v>-297243</v>
          </cell>
          <cell r="G27">
            <v>0</v>
          </cell>
          <cell r="H27">
            <v>-3274877.33</v>
          </cell>
        </row>
        <row r="28">
          <cell r="A28">
            <v>26030010</v>
          </cell>
          <cell r="B28" t="str">
            <v>Provision For Dep.-Electrical Installations</v>
          </cell>
          <cell r="C28">
            <v>-271183.11</v>
          </cell>
          <cell r="D28">
            <v>51907.93</v>
          </cell>
          <cell r="E28">
            <v>27523</v>
          </cell>
          <cell r="F28">
            <v>24384.93</v>
          </cell>
          <cell r="G28">
            <v>0</v>
          </cell>
          <cell r="H28">
            <v>-246798.18</v>
          </cell>
        </row>
        <row r="29">
          <cell r="A29">
            <v>26035010</v>
          </cell>
          <cell r="B29" t="str">
            <v>Provision For Dep.-Furniture and Fixtures</v>
          </cell>
          <cell r="C29">
            <v>-272337.12</v>
          </cell>
          <cell r="D29">
            <v>0</v>
          </cell>
          <cell r="E29">
            <v>9258.1</v>
          </cell>
          <cell r="F29">
            <v>-9258.1</v>
          </cell>
          <cell r="G29">
            <v>0</v>
          </cell>
          <cell r="H29">
            <v>-281595.21999999997</v>
          </cell>
        </row>
        <row r="30">
          <cell r="A30">
            <v>26040010</v>
          </cell>
          <cell r="B30" t="str">
            <v>Provision for Depreciation- Office and Electrical Appliances</v>
          </cell>
          <cell r="C30">
            <v>-159372.4</v>
          </cell>
          <cell r="D30">
            <v>0</v>
          </cell>
          <cell r="E30">
            <v>12041.2</v>
          </cell>
          <cell r="F30">
            <v>-12041.2</v>
          </cell>
          <cell r="G30">
            <v>0</v>
          </cell>
          <cell r="H30">
            <v>-171413.6</v>
          </cell>
        </row>
        <row r="31">
          <cell r="A31">
            <v>26045010</v>
          </cell>
          <cell r="B31" t="str">
            <v>Provision for Depreciation- Truck Mixers, Loaders &amp; Dumpers</v>
          </cell>
          <cell r="C31">
            <v>-2262853.96</v>
          </cell>
          <cell r="D31">
            <v>0</v>
          </cell>
          <cell r="E31">
            <v>251350</v>
          </cell>
          <cell r="F31">
            <v>-251350</v>
          </cell>
          <cell r="G31">
            <v>0</v>
          </cell>
          <cell r="H31">
            <v>-2514203.96</v>
          </cell>
        </row>
        <row r="32">
          <cell r="A32">
            <v>26055020</v>
          </cell>
          <cell r="B32" t="str">
            <v>Profit &amp; Loss A/c</v>
          </cell>
          <cell r="C32">
            <v>6459976.2699999996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6459976.2699999996</v>
          </cell>
        </row>
        <row r="33">
          <cell r="A33">
            <v>26055050</v>
          </cell>
          <cell r="B33" t="str">
            <v>Provision for Production linked incentive (KRA)</v>
          </cell>
          <cell r="C33">
            <v>0</v>
          </cell>
          <cell r="D33">
            <v>36000</v>
          </cell>
          <cell r="E33">
            <v>121774</v>
          </cell>
          <cell r="F33">
            <v>-85774</v>
          </cell>
          <cell r="G33">
            <v>0</v>
          </cell>
          <cell r="H33">
            <v>-85774</v>
          </cell>
        </row>
        <row r="34">
          <cell r="A34">
            <v>31010010</v>
          </cell>
          <cell r="B34" t="str">
            <v>Sales</v>
          </cell>
          <cell r="C34">
            <v>0</v>
          </cell>
          <cell r="D34">
            <v>137320.20000000001</v>
          </cell>
          <cell r="E34">
            <v>17150669.960000001</v>
          </cell>
          <cell r="F34">
            <v>-17013349.760000002</v>
          </cell>
          <cell r="G34">
            <v>0</v>
          </cell>
          <cell r="H34">
            <v>-17013349.760000002</v>
          </cell>
        </row>
        <row r="35">
          <cell r="A35">
            <v>32020020</v>
          </cell>
          <cell r="B35" t="str">
            <v>Misc Income - Scrap sales</v>
          </cell>
          <cell r="C35">
            <v>0</v>
          </cell>
          <cell r="D35">
            <v>0</v>
          </cell>
          <cell r="E35">
            <v>35263.07</v>
          </cell>
          <cell r="F35">
            <v>-35263.07</v>
          </cell>
          <cell r="G35">
            <v>0</v>
          </cell>
          <cell r="H35">
            <v>-35263.07</v>
          </cell>
        </row>
        <row r="36">
          <cell r="A36">
            <v>41010010</v>
          </cell>
          <cell r="B36" t="str">
            <v>Opening Stock - Cement</v>
          </cell>
          <cell r="C36">
            <v>0</v>
          </cell>
          <cell r="D36">
            <v>1102762.26</v>
          </cell>
          <cell r="E36">
            <v>0</v>
          </cell>
          <cell r="F36">
            <v>1102762.26</v>
          </cell>
          <cell r="G36">
            <v>0</v>
          </cell>
          <cell r="H36">
            <v>1102762.26</v>
          </cell>
        </row>
        <row r="37">
          <cell r="A37">
            <v>41010020</v>
          </cell>
          <cell r="B37" t="str">
            <v>Opening Stock - Sand</v>
          </cell>
          <cell r="C37">
            <v>0</v>
          </cell>
          <cell r="D37">
            <v>63666.92</v>
          </cell>
          <cell r="E37">
            <v>0</v>
          </cell>
          <cell r="F37">
            <v>63666.92</v>
          </cell>
          <cell r="G37">
            <v>0</v>
          </cell>
          <cell r="H37">
            <v>63666.92</v>
          </cell>
        </row>
        <row r="38">
          <cell r="A38">
            <v>41010030</v>
          </cell>
          <cell r="B38" t="str">
            <v>Opening Stock - CRF</v>
          </cell>
          <cell r="C38">
            <v>0</v>
          </cell>
          <cell r="D38">
            <v>43578.22</v>
          </cell>
          <cell r="E38">
            <v>0</v>
          </cell>
          <cell r="F38">
            <v>43578.22</v>
          </cell>
          <cell r="G38">
            <v>0</v>
          </cell>
          <cell r="H38">
            <v>43578.22</v>
          </cell>
        </row>
        <row r="39">
          <cell r="A39">
            <v>41010040</v>
          </cell>
          <cell r="B39" t="str">
            <v>Opening Stock - RMC Aggregates</v>
          </cell>
          <cell r="C39">
            <v>0</v>
          </cell>
          <cell r="D39">
            <v>118022.29</v>
          </cell>
          <cell r="E39">
            <v>0</v>
          </cell>
          <cell r="F39">
            <v>118022.29</v>
          </cell>
          <cell r="G39">
            <v>0</v>
          </cell>
          <cell r="H39">
            <v>118022.29</v>
          </cell>
        </row>
        <row r="40">
          <cell r="A40">
            <v>41010050</v>
          </cell>
          <cell r="B40" t="str">
            <v>Opening Stock - Admixtures</v>
          </cell>
          <cell r="C40">
            <v>0</v>
          </cell>
          <cell r="D40">
            <v>122692.43</v>
          </cell>
          <cell r="E40">
            <v>0</v>
          </cell>
          <cell r="F40">
            <v>122692.43</v>
          </cell>
          <cell r="G40">
            <v>0</v>
          </cell>
          <cell r="H40">
            <v>122692.43</v>
          </cell>
        </row>
        <row r="41">
          <cell r="A41">
            <v>41010070</v>
          </cell>
          <cell r="B41" t="str">
            <v>Opening Stock - Flyash</v>
          </cell>
          <cell r="C41">
            <v>0</v>
          </cell>
          <cell r="D41">
            <v>41844.44</v>
          </cell>
          <cell r="E41">
            <v>0</v>
          </cell>
          <cell r="F41">
            <v>41844.44</v>
          </cell>
          <cell r="G41">
            <v>0</v>
          </cell>
          <cell r="H41">
            <v>41844.44</v>
          </cell>
        </row>
        <row r="42">
          <cell r="A42">
            <v>41010080</v>
          </cell>
          <cell r="B42" t="str">
            <v>Opening Stock - Diesel</v>
          </cell>
          <cell r="C42">
            <v>0</v>
          </cell>
          <cell r="D42">
            <v>65067.67</v>
          </cell>
          <cell r="E42">
            <v>0</v>
          </cell>
          <cell r="F42">
            <v>65067.67</v>
          </cell>
          <cell r="G42">
            <v>0</v>
          </cell>
          <cell r="H42">
            <v>65067.67</v>
          </cell>
        </row>
        <row r="43">
          <cell r="A43">
            <v>41020010</v>
          </cell>
          <cell r="B43" t="str">
            <v>Raw Material Purchase - Cement</v>
          </cell>
          <cell r="C43">
            <v>0</v>
          </cell>
          <cell r="D43">
            <v>4814392.88</v>
          </cell>
          <cell r="E43">
            <v>5274746.74</v>
          </cell>
          <cell r="F43">
            <v>-460353.86</v>
          </cell>
          <cell r="G43">
            <v>0</v>
          </cell>
          <cell r="H43">
            <v>-460353.86</v>
          </cell>
        </row>
        <row r="44">
          <cell r="A44">
            <v>41020015</v>
          </cell>
          <cell r="B44" t="str">
            <v>Interim account cement received</v>
          </cell>
          <cell r="C44">
            <v>0</v>
          </cell>
          <cell r="D44">
            <v>3960549.04</v>
          </cell>
          <cell r="E44">
            <v>3757931.46</v>
          </cell>
          <cell r="F44">
            <v>202617.58</v>
          </cell>
          <cell r="G44">
            <v>0</v>
          </cell>
          <cell r="H44">
            <v>202617.58</v>
          </cell>
        </row>
        <row r="45">
          <cell r="A45">
            <v>41020020</v>
          </cell>
          <cell r="B45" t="str">
            <v>Cement Consumption account</v>
          </cell>
          <cell r="C45">
            <v>0</v>
          </cell>
          <cell r="D45">
            <v>4455847.82</v>
          </cell>
          <cell r="E45">
            <v>323562.40000000002</v>
          </cell>
          <cell r="F45">
            <v>4132285.42</v>
          </cell>
          <cell r="G45">
            <v>0</v>
          </cell>
          <cell r="H45">
            <v>4132285.42</v>
          </cell>
        </row>
        <row r="46">
          <cell r="A46">
            <v>41020030</v>
          </cell>
          <cell r="B46" t="str">
            <v>Raw Material Purchase - Aggregates</v>
          </cell>
          <cell r="C46">
            <v>0</v>
          </cell>
          <cell r="D46">
            <v>2087030.29</v>
          </cell>
          <cell r="E46">
            <v>2933027.93</v>
          </cell>
          <cell r="F46">
            <v>-845997.64</v>
          </cell>
          <cell r="G46">
            <v>0</v>
          </cell>
          <cell r="H46">
            <v>-845997.64</v>
          </cell>
        </row>
        <row r="47">
          <cell r="A47">
            <v>41020035</v>
          </cell>
          <cell r="B47" t="str">
            <v>Interim account Aggregate received</v>
          </cell>
          <cell r="C47">
            <v>0</v>
          </cell>
          <cell r="D47">
            <v>2933427.44</v>
          </cell>
          <cell r="E47">
            <v>2071751.26</v>
          </cell>
          <cell r="F47">
            <v>861676.18</v>
          </cell>
          <cell r="G47">
            <v>0</v>
          </cell>
          <cell r="H47">
            <v>861676.18</v>
          </cell>
        </row>
        <row r="48">
          <cell r="A48">
            <v>41020040</v>
          </cell>
          <cell r="B48" t="str">
            <v>Aggregate Consumption account</v>
          </cell>
          <cell r="C48">
            <v>0</v>
          </cell>
          <cell r="D48">
            <v>2933027.93</v>
          </cell>
          <cell r="E48">
            <v>2436.52</v>
          </cell>
          <cell r="F48">
            <v>2930591.41</v>
          </cell>
          <cell r="G48">
            <v>0</v>
          </cell>
          <cell r="H48">
            <v>2930591.41</v>
          </cell>
        </row>
        <row r="49">
          <cell r="A49">
            <v>41020050</v>
          </cell>
          <cell r="B49" t="str">
            <v>Raw Material Purchase - Sand</v>
          </cell>
          <cell r="C49">
            <v>0</v>
          </cell>
          <cell r="D49">
            <v>1893553.83</v>
          </cell>
          <cell r="E49">
            <v>2035813.85</v>
          </cell>
          <cell r="F49">
            <v>-142260.01999999999</v>
          </cell>
          <cell r="G49">
            <v>0</v>
          </cell>
          <cell r="H49">
            <v>-142260.01999999999</v>
          </cell>
        </row>
        <row r="50">
          <cell r="A50">
            <v>41020055</v>
          </cell>
          <cell r="B50" t="str">
            <v>Interim account Sand Received</v>
          </cell>
          <cell r="C50">
            <v>0</v>
          </cell>
          <cell r="D50">
            <v>2065396.08</v>
          </cell>
          <cell r="E50">
            <v>1890571.44</v>
          </cell>
          <cell r="F50">
            <v>174824.64</v>
          </cell>
          <cell r="G50">
            <v>0</v>
          </cell>
          <cell r="H50">
            <v>174824.64</v>
          </cell>
        </row>
        <row r="51">
          <cell r="A51">
            <v>41020060</v>
          </cell>
          <cell r="B51" t="str">
            <v>Sand Consumption account</v>
          </cell>
          <cell r="C51">
            <v>0</v>
          </cell>
          <cell r="D51">
            <v>1988749.71</v>
          </cell>
          <cell r="E51">
            <v>2982.39</v>
          </cell>
          <cell r="F51">
            <v>1985767.32</v>
          </cell>
          <cell r="G51">
            <v>0</v>
          </cell>
          <cell r="H51">
            <v>1985767.32</v>
          </cell>
        </row>
        <row r="52">
          <cell r="A52">
            <v>41020070</v>
          </cell>
          <cell r="B52" t="str">
            <v>Raw Material Purchase - Admixture</v>
          </cell>
          <cell r="C52">
            <v>0</v>
          </cell>
          <cell r="D52">
            <v>760208.85</v>
          </cell>
          <cell r="E52">
            <v>816975.26</v>
          </cell>
          <cell r="F52">
            <v>-56766.41</v>
          </cell>
          <cell r="G52">
            <v>0</v>
          </cell>
          <cell r="H52">
            <v>-56766.41</v>
          </cell>
        </row>
        <row r="53">
          <cell r="A53">
            <v>41020075</v>
          </cell>
          <cell r="B53" t="str">
            <v>Interim account Admixture received</v>
          </cell>
          <cell r="C53">
            <v>0</v>
          </cell>
          <cell r="D53">
            <v>760375</v>
          </cell>
          <cell r="E53">
            <v>733875</v>
          </cell>
          <cell r="F53">
            <v>26500</v>
          </cell>
          <cell r="G53">
            <v>0</v>
          </cell>
          <cell r="H53">
            <v>26500</v>
          </cell>
        </row>
        <row r="54">
          <cell r="A54">
            <v>41020080</v>
          </cell>
          <cell r="B54" t="str">
            <v>Admixture Consumption account</v>
          </cell>
          <cell r="C54">
            <v>0</v>
          </cell>
          <cell r="D54">
            <v>816975.26</v>
          </cell>
          <cell r="E54">
            <v>2560.17</v>
          </cell>
          <cell r="F54">
            <v>814415.09</v>
          </cell>
          <cell r="G54">
            <v>0</v>
          </cell>
          <cell r="H54">
            <v>814415.09</v>
          </cell>
        </row>
        <row r="55">
          <cell r="A55">
            <v>41020090</v>
          </cell>
          <cell r="B55" t="str">
            <v>Raw Material  Purchase - Fly Ash</v>
          </cell>
          <cell r="C55">
            <v>0</v>
          </cell>
          <cell r="D55">
            <v>359446.53</v>
          </cell>
          <cell r="E55">
            <v>298707.02</v>
          </cell>
          <cell r="F55">
            <v>60739.51</v>
          </cell>
          <cell r="G55">
            <v>0</v>
          </cell>
          <cell r="H55">
            <v>60739.51</v>
          </cell>
        </row>
        <row r="56">
          <cell r="A56">
            <v>41020095</v>
          </cell>
          <cell r="B56" t="str">
            <v>Interim account fly ash received</v>
          </cell>
          <cell r="C56">
            <v>0</v>
          </cell>
          <cell r="D56">
            <v>299232.40999999997</v>
          </cell>
          <cell r="E56">
            <v>359435.25</v>
          </cell>
          <cell r="F56">
            <v>-60202.84</v>
          </cell>
          <cell r="G56">
            <v>0</v>
          </cell>
          <cell r="H56">
            <v>-60202.84</v>
          </cell>
        </row>
        <row r="57">
          <cell r="A57">
            <v>41020100</v>
          </cell>
          <cell r="B57" t="str">
            <v>Fly Ash Consumption account</v>
          </cell>
          <cell r="C57">
            <v>0</v>
          </cell>
          <cell r="D57">
            <v>295902.90000000002</v>
          </cell>
          <cell r="E57">
            <v>11.28</v>
          </cell>
          <cell r="F57">
            <v>295891.62</v>
          </cell>
          <cell r="G57">
            <v>0</v>
          </cell>
          <cell r="H57">
            <v>295891.62</v>
          </cell>
        </row>
        <row r="58">
          <cell r="A58">
            <v>41020130</v>
          </cell>
          <cell r="B58" t="str">
            <v>Raw Materials Purchase - CRF</v>
          </cell>
          <cell r="C58">
            <v>0</v>
          </cell>
          <cell r="D58">
            <v>490040.98</v>
          </cell>
          <cell r="E58">
            <v>777151.21</v>
          </cell>
          <cell r="F58">
            <v>-287110.23</v>
          </cell>
          <cell r="G58">
            <v>0</v>
          </cell>
          <cell r="H58">
            <v>-287110.23</v>
          </cell>
        </row>
        <row r="59">
          <cell r="A59">
            <v>41020135</v>
          </cell>
          <cell r="B59" t="str">
            <v>Interim account for CRF received</v>
          </cell>
          <cell r="C59">
            <v>0</v>
          </cell>
          <cell r="D59">
            <v>770869.45</v>
          </cell>
          <cell r="E59">
            <v>489680.05</v>
          </cell>
          <cell r="F59">
            <v>281189.40000000002</v>
          </cell>
          <cell r="G59">
            <v>0</v>
          </cell>
          <cell r="H59">
            <v>281189.40000000002</v>
          </cell>
        </row>
        <row r="60">
          <cell r="A60">
            <v>41020140</v>
          </cell>
          <cell r="B60" t="str">
            <v>CRF Consumption account</v>
          </cell>
          <cell r="C60">
            <v>0</v>
          </cell>
          <cell r="D60">
            <v>773376.86</v>
          </cell>
          <cell r="E60">
            <v>360.93</v>
          </cell>
          <cell r="F60">
            <v>773015.93</v>
          </cell>
          <cell r="G60">
            <v>0</v>
          </cell>
          <cell r="H60">
            <v>773015.93</v>
          </cell>
        </row>
        <row r="61">
          <cell r="A61">
            <v>41020150</v>
          </cell>
          <cell r="B61" t="str">
            <v>Loss/ gain on Stock</v>
          </cell>
          <cell r="C61">
            <v>0</v>
          </cell>
          <cell r="D61">
            <v>308915.01</v>
          </cell>
          <cell r="E61">
            <v>205890.21</v>
          </cell>
          <cell r="F61">
            <v>103024.8</v>
          </cell>
          <cell r="G61">
            <v>0</v>
          </cell>
          <cell r="H61">
            <v>103024.8</v>
          </cell>
        </row>
        <row r="62">
          <cell r="A62">
            <v>41020195</v>
          </cell>
          <cell r="B62" t="str">
            <v>Purchase of Diesel</v>
          </cell>
          <cell r="C62">
            <v>0</v>
          </cell>
          <cell r="D62">
            <v>891358.01</v>
          </cell>
          <cell r="E62">
            <v>876304.85</v>
          </cell>
          <cell r="F62">
            <v>15053.16</v>
          </cell>
          <cell r="G62">
            <v>0</v>
          </cell>
          <cell r="H62">
            <v>15053.16</v>
          </cell>
        </row>
        <row r="63">
          <cell r="A63">
            <v>41020200</v>
          </cell>
          <cell r="B63" t="str">
            <v>Interim account for diesel received</v>
          </cell>
          <cell r="C63">
            <v>0</v>
          </cell>
          <cell r="D63">
            <v>867689.57</v>
          </cell>
          <cell r="E63">
            <v>891358.01</v>
          </cell>
          <cell r="F63">
            <v>-23668.44</v>
          </cell>
          <cell r="G63">
            <v>0</v>
          </cell>
          <cell r="H63">
            <v>-23668.44</v>
          </cell>
        </row>
        <row r="64">
          <cell r="A64">
            <v>41020205</v>
          </cell>
          <cell r="B64" t="str">
            <v>Diesel Consumption account</v>
          </cell>
          <cell r="C64">
            <v>0</v>
          </cell>
          <cell r="D64">
            <v>876304.85</v>
          </cell>
          <cell r="E64">
            <v>876304.96</v>
          </cell>
          <cell r="F64">
            <v>-0.11</v>
          </cell>
          <cell r="G64">
            <v>0</v>
          </cell>
          <cell r="H64">
            <v>-0.11</v>
          </cell>
        </row>
        <row r="65">
          <cell r="A65">
            <v>41050010</v>
          </cell>
          <cell r="B65" t="str">
            <v>Closing Stock - Cement</v>
          </cell>
          <cell r="C65">
            <v>0</v>
          </cell>
          <cell r="D65">
            <v>0</v>
          </cell>
          <cell r="E65">
            <v>845025.98</v>
          </cell>
          <cell r="F65">
            <v>-845025.98</v>
          </cell>
          <cell r="G65">
            <v>0</v>
          </cell>
          <cell r="H65">
            <v>-845025.98</v>
          </cell>
        </row>
        <row r="66">
          <cell r="A66">
            <v>41050020</v>
          </cell>
          <cell r="B66" t="str">
            <v>Closing Stock - Sand</v>
          </cell>
          <cell r="C66">
            <v>0</v>
          </cell>
          <cell r="D66">
            <v>0</v>
          </cell>
          <cell r="E66">
            <v>96231.54</v>
          </cell>
          <cell r="F66">
            <v>-96231.54</v>
          </cell>
          <cell r="G66">
            <v>0</v>
          </cell>
          <cell r="H66">
            <v>-96231.54</v>
          </cell>
        </row>
        <row r="67">
          <cell r="A67">
            <v>41050030</v>
          </cell>
          <cell r="B67" t="str">
            <v>Closing Stock - CRF</v>
          </cell>
          <cell r="C67">
            <v>0</v>
          </cell>
          <cell r="D67">
            <v>0</v>
          </cell>
          <cell r="E67">
            <v>37657.39</v>
          </cell>
          <cell r="F67">
            <v>-37657.39</v>
          </cell>
          <cell r="G67">
            <v>0</v>
          </cell>
          <cell r="H67">
            <v>-37657.39</v>
          </cell>
        </row>
        <row r="68">
          <cell r="A68">
            <v>41050040</v>
          </cell>
          <cell r="B68" t="str">
            <v>Closing Stock - RMC Aggregates</v>
          </cell>
          <cell r="C68">
            <v>0</v>
          </cell>
          <cell r="D68">
            <v>0</v>
          </cell>
          <cell r="E68">
            <v>133700.82999999999</v>
          </cell>
          <cell r="F68">
            <v>-133700.82999999999</v>
          </cell>
          <cell r="G68">
            <v>0</v>
          </cell>
          <cell r="H68">
            <v>-133700.82999999999</v>
          </cell>
        </row>
        <row r="69">
          <cell r="A69">
            <v>41050050</v>
          </cell>
          <cell r="B69" t="str">
            <v>Closing Stock - Admixtures</v>
          </cell>
          <cell r="C69">
            <v>0</v>
          </cell>
          <cell r="D69">
            <v>0</v>
          </cell>
          <cell r="E69">
            <v>92426.02</v>
          </cell>
          <cell r="F69">
            <v>-92426.02</v>
          </cell>
          <cell r="G69">
            <v>0</v>
          </cell>
          <cell r="H69">
            <v>-92426.02</v>
          </cell>
        </row>
        <row r="70">
          <cell r="A70">
            <v>41050070</v>
          </cell>
          <cell r="B70" t="str">
            <v>Closing Stock - Flyash</v>
          </cell>
          <cell r="C70">
            <v>0</v>
          </cell>
          <cell r="D70">
            <v>0</v>
          </cell>
          <cell r="E70">
            <v>42381.11</v>
          </cell>
          <cell r="F70">
            <v>-42381.11</v>
          </cell>
          <cell r="G70">
            <v>0</v>
          </cell>
          <cell r="H70">
            <v>-42381.11</v>
          </cell>
        </row>
        <row r="71">
          <cell r="A71">
            <v>41050080</v>
          </cell>
          <cell r="B71" t="str">
            <v>Closing Stock - Diesel</v>
          </cell>
          <cell r="C71">
            <v>0</v>
          </cell>
          <cell r="D71">
            <v>0</v>
          </cell>
          <cell r="E71">
            <v>56452.39</v>
          </cell>
          <cell r="F71">
            <v>-56452.39</v>
          </cell>
          <cell r="G71">
            <v>0</v>
          </cell>
          <cell r="H71">
            <v>-56452.39</v>
          </cell>
        </row>
        <row r="72">
          <cell r="A72">
            <v>42010010</v>
          </cell>
          <cell r="B72" t="str">
            <v>Salary - Basic</v>
          </cell>
          <cell r="C72">
            <v>0</v>
          </cell>
          <cell r="D72">
            <v>402834</v>
          </cell>
          <cell r="E72">
            <v>158417</v>
          </cell>
          <cell r="F72">
            <v>244417</v>
          </cell>
          <cell r="G72">
            <v>0</v>
          </cell>
          <cell r="H72">
            <v>244417</v>
          </cell>
        </row>
        <row r="73">
          <cell r="A73">
            <v>42010020</v>
          </cell>
          <cell r="B73" t="str">
            <v>House Rent Allowance</v>
          </cell>
          <cell r="C73">
            <v>0</v>
          </cell>
          <cell r="D73">
            <v>199338</v>
          </cell>
          <cell r="E73">
            <v>78169</v>
          </cell>
          <cell r="F73">
            <v>121169</v>
          </cell>
          <cell r="G73">
            <v>0</v>
          </cell>
          <cell r="H73">
            <v>121169</v>
          </cell>
        </row>
        <row r="74">
          <cell r="A74">
            <v>42010030</v>
          </cell>
          <cell r="B74" t="str">
            <v>Education Allowance</v>
          </cell>
          <cell r="C74">
            <v>0</v>
          </cell>
          <cell r="D74">
            <v>32100</v>
          </cell>
          <cell r="E74">
            <v>14250</v>
          </cell>
          <cell r="F74">
            <v>17850</v>
          </cell>
          <cell r="G74">
            <v>0</v>
          </cell>
          <cell r="H74">
            <v>17850</v>
          </cell>
        </row>
        <row r="75">
          <cell r="A75">
            <v>42010040</v>
          </cell>
          <cell r="B75" t="str">
            <v>Special Allowance</v>
          </cell>
          <cell r="C75">
            <v>0</v>
          </cell>
          <cell r="D75">
            <v>63182</v>
          </cell>
          <cell r="E75">
            <v>23266</v>
          </cell>
          <cell r="F75">
            <v>39916</v>
          </cell>
          <cell r="G75">
            <v>0</v>
          </cell>
          <cell r="H75">
            <v>39916</v>
          </cell>
        </row>
        <row r="76">
          <cell r="A76">
            <v>42010050</v>
          </cell>
          <cell r="B76" t="str">
            <v>Medical Expense Reimbursement</v>
          </cell>
          <cell r="C76">
            <v>0</v>
          </cell>
          <cell r="D76">
            <v>15202</v>
          </cell>
          <cell r="E76">
            <v>0</v>
          </cell>
          <cell r="F76">
            <v>15202</v>
          </cell>
          <cell r="G76">
            <v>0</v>
          </cell>
          <cell r="H76">
            <v>15202</v>
          </cell>
        </row>
        <row r="77">
          <cell r="A77">
            <v>42010070</v>
          </cell>
          <cell r="B77" t="str">
            <v>Leave Encashment</v>
          </cell>
          <cell r="C77">
            <v>0</v>
          </cell>
          <cell r="D77">
            <v>15038</v>
          </cell>
          <cell r="E77">
            <v>7519</v>
          </cell>
          <cell r="F77">
            <v>7519</v>
          </cell>
          <cell r="G77">
            <v>0</v>
          </cell>
          <cell r="H77">
            <v>7519</v>
          </cell>
        </row>
        <row r="78">
          <cell r="A78">
            <v>42010090</v>
          </cell>
          <cell r="B78" t="str">
            <v>Overtime Payment</v>
          </cell>
          <cell r="C78">
            <v>0</v>
          </cell>
          <cell r="D78">
            <v>10112</v>
          </cell>
          <cell r="E78">
            <v>5056</v>
          </cell>
          <cell r="F78">
            <v>5056</v>
          </cell>
          <cell r="G78">
            <v>0</v>
          </cell>
          <cell r="H78">
            <v>5056</v>
          </cell>
        </row>
        <row r="79">
          <cell r="A79">
            <v>42010100</v>
          </cell>
          <cell r="B79" t="str">
            <v>Transport Allowance</v>
          </cell>
          <cell r="C79">
            <v>0</v>
          </cell>
          <cell r="D79">
            <v>69680</v>
          </cell>
          <cell r="E79">
            <v>30040</v>
          </cell>
          <cell r="F79">
            <v>39640</v>
          </cell>
          <cell r="G79">
            <v>0</v>
          </cell>
          <cell r="H79">
            <v>39640</v>
          </cell>
        </row>
        <row r="80">
          <cell r="A80">
            <v>42010130</v>
          </cell>
          <cell r="B80" t="str">
            <v>Production Linked Incentive</v>
          </cell>
          <cell r="C80">
            <v>0</v>
          </cell>
          <cell r="D80">
            <v>121774</v>
          </cell>
          <cell r="E80">
            <v>36000</v>
          </cell>
          <cell r="F80">
            <v>85774</v>
          </cell>
          <cell r="G80">
            <v>0</v>
          </cell>
          <cell r="H80">
            <v>85774</v>
          </cell>
        </row>
        <row r="81">
          <cell r="A81">
            <v>42010220</v>
          </cell>
          <cell r="B81" t="str">
            <v>Adhoc Allowance</v>
          </cell>
          <cell r="C81">
            <v>0</v>
          </cell>
          <cell r="D81">
            <v>15260</v>
          </cell>
          <cell r="E81">
            <v>2680</v>
          </cell>
          <cell r="F81">
            <v>12580</v>
          </cell>
          <cell r="G81">
            <v>0</v>
          </cell>
          <cell r="H81">
            <v>12580</v>
          </cell>
        </row>
        <row r="82">
          <cell r="A82">
            <v>42010230</v>
          </cell>
          <cell r="B82" t="str">
            <v>Car Allowance</v>
          </cell>
          <cell r="C82">
            <v>0</v>
          </cell>
          <cell r="D82">
            <v>18000</v>
          </cell>
          <cell r="E82">
            <v>0</v>
          </cell>
          <cell r="F82">
            <v>18000</v>
          </cell>
          <cell r="G82">
            <v>0</v>
          </cell>
          <cell r="H82">
            <v>18000</v>
          </cell>
        </row>
        <row r="83">
          <cell r="A83">
            <v>42010240</v>
          </cell>
          <cell r="B83" t="str">
            <v>Driver Allowance</v>
          </cell>
          <cell r="C83">
            <v>0</v>
          </cell>
          <cell r="D83">
            <v>12000</v>
          </cell>
          <cell r="E83">
            <v>0</v>
          </cell>
          <cell r="F83">
            <v>12000</v>
          </cell>
          <cell r="G83">
            <v>0</v>
          </cell>
          <cell r="H83">
            <v>12000</v>
          </cell>
        </row>
        <row r="84">
          <cell r="A84">
            <v>42020010</v>
          </cell>
          <cell r="B84" t="str">
            <v>Provident Funds - Employer's Conribution</v>
          </cell>
          <cell r="C84">
            <v>0</v>
          </cell>
          <cell r="D84">
            <v>25818</v>
          </cell>
          <cell r="E84">
            <v>9289</v>
          </cell>
          <cell r="F84">
            <v>16529</v>
          </cell>
          <cell r="G84">
            <v>0</v>
          </cell>
          <cell r="H84">
            <v>16529</v>
          </cell>
        </row>
        <row r="85">
          <cell r="A85">
            <v>42020020</v>
          </cell>
          <cell r="B85" t="str">
            <v>Pension Fund - Employer's Contribution</v>
          </cell>
          <cell r="C85">
            <v>0</v>
          </cell>
          <cell r="D85">
            <v>22520</v>
          </cell>
          <cell r="E85">
            <v>9720</v>
          </cell>
          <cell r="F85">
            <v>12800</v>
          </cell>
          <cell r="G85">
            <v>0</v>
          </cell>
          <cell r="H85">
            <v>12800</v>
          </cell>
        </row>
        <row r="86">
          <cell r="A86">
            <v>42030010</v>
          </cell>
          <cell r="B86" t="str">
            <v>Purchases of Safety &amp; Welfare Items - FBT</v>
          </cell>
          <cell r="C86">
            <v>0</v>
          </cell>
          <cell r="D86">
            <v>2000</v>
          </cell>
          <cell r="E86">
            <v>2000</v>
          </cell>
          <cell r="F86">
            <v>0</v>
          </cell>
          <cell r="G86">
            <v>0</v>
          </cell>
          <cell r="H86">
            <v>0</v>
          </cell>
        </row>
        <row r="87">
          <cell r="A87">
            <v>42030020</v>
          </cell>
          <cell r="B87" t="str">
            <v>Purchases of Safety &amp; Welfare Items</v>
          </cell>
          <cell r="C87">
            <v>0</v>
          </cell>
          <cell r="D87">
            <v>10729.75</v>
          </cell>
          <cell r="E87">
            <v>2000</v>
          </cell>
          <cell r="F87">
            <v>8729.75</v>
          </cell>
          <cell r="G87">
            <v>0</v>
          </cell>
          <cell r="H87">
            <v>8729.75</v>
          </cell>
        </row>
        <row r="88">
          <cell r="A88">
            <v>42030040</v>
          </cell>
          <cell r="B88" t="str">
            <v>Staff Welfare Expenses - FBT</v>
          </cell>
          <cell r="C88">
            <v>0</v>
          </cell>
          <cell r="D88">
            <v>42695</v>
          </cell>
          <cell r="E88">
            <v>11557</v>
          </cell>
          <cell r="F88">
            <v>31138</v>
          </cell>
          <cell r="G88">
            <v>0</v>
          </cell>
          <cell r="H88">
            <v>31138</v>
          </cell>
        </row>
        <row r="89">
          <cell r="A89">
            <v>42030060</v>
          </cell>
          <cell r="B89" t="str">
            <v>Food &amp; Beverage Exps - FBT</v>
          </cell>
          <cell r="C89">
            <v>0</v>
          </cell>
          <cell r="D89">
            <v>8488</v>
          </cell>
          <cell r="E89">
            <v>0</v>
          </cell>
          <cell r="F89">
            <v>8488</v>
          </cell>
          <cell r="G89">
            <v>0</v>
          </cell>
          <cell r="H89">
            <v>8488</v>
          </cell>
        </row>
        <row r="90">
          <cell r="A90">
            <v>43001010</v>
          </cell>
          <cell r="B90" t="str">
            <v>Electricity Charges</v>
          </cell>
          <cell r="C90">
            <v>0</v>
          </cell>
          <cell r="D90">
            <v>59883</v>
          </cell>
          <cell r="E90">
            <v>23779</v>
          </cell>
          <cell r="F90">
            <v>36104</v>
          </cell>
          <cell r="G90">
            <v>0</v>
          </cell>
          <cell r="H90">
            <v>36104</v>
          </cell>
        </row>
        <row r="91">
          <cell r="A91">
            <v>43001020</v>
          </cell>
          <cell r="B91" t="str">
            <v>Water Charges</v>
          </cell>
          <cell r="C91">
            <v>0</v>
          </cell>
          <cell r="D91">
            <v>347100</v>
          </cell>
          <cell r="E91">
            <v>85050</v>
          </cell>
          <cell r="F91">
            <v>262050</v>
          </cell>
          <cell r="G91">
            <v>0</v>
          </cell>
          <cell r="H91">
            <v>262050</v>
          </cell>
        </row>
        <row r="92">
          <cell r="A92">
            <v>43001030</v>
          </cell>
          <cell r="B92" t="str">
            <v>Fuel For Diesel Generator Set</v>
          </cell>
          <cell r="C92">
            <v>0</v>
          </cell>
          <cell r="D92">
            <v>250409</v>
          </cell>
          <cell r="E92">
            <v>0</v>
          </cell>
          <cell r="F92">
            <v>250409</v>
          </cell>
          <cell r="G92">
            <v>0</v>
          </cell>
          <cell r="H92">
            <v>250409</v>
          </cell>
        </row>
        <row r="93">
          <cell r="A93">
            <v>43012020</v>
          </cell>
          <cell r="B93" t="str">
            <v>Labour / sub contractor for - Pumping Expenses Incurred</v>
          </cell>
          <cell r="C93">
            <v>0</v>
          </cell>
          <cell r="D93">
            <v>253350</v>
          </cell>
          <cell r="E93">
            <v>88300</v>
          </cell>
          <cell r="F93">
            <v>165050</v>
          </cell>
          <cell r="G93">
            <v>0</v>
          </cell>
          <cell r="H93">
            <v>165050</v>
          </cell>
        </row>
        <row r="94">
          <cell r="A94">
            <v>43018010</v>
          </cell>
          <cell r="B94" t="str">
            <v>Repairs &amp; Maintenance</v>
          </cell>
          <cell r="C94">
            <v>0</v>
          </cell>
          <cell r="D94">
            <v>324354.48</v>
          </cell>
          <cell r="E94">
            <v>111100</v>
          </cell>
          <cell r="F94">
            <v>213254.48</v>
          </cell>
          <cell r="G94">
            <v>0</v>
          </cell>
          <cell r="H94">
            <v>213254.48</v>
          </cell>
        </row>
        <row r="95">
          <cell r="A95">
            <v>43018020</v>
          </cell>
          <cell r="B95" t="str">
            <v>Oil &amp; Grease</v>
          </cell>
          <cell r="C95">
            <v>0</v>
          </cell>
          <cell r="D95">
            <v>24000</v>
          </cell>
          <cell r="E95">
            <v>9000</v>
          </cell>
          <cell r="F95">
            <v>15000</v>
          </cell>
          <cell r="G95">
            <v>0</v>
          </cell>
          <cell r="H95">
            <v>15000</v>
          </cell>
        </row>
        <row r="96">
          <cell r="A96">
            <v>43020030</v>
          </cell>
          <cell r="B96" t="str">
            <v>Tyres</v>
          </cell>
          <cell r="C96">
            <v>0</v>
          </cell>
          <cell r="D96">
            <v>30000</v>
          </cell>
          <cell r="E96">
            <v>10000</v>
          </cell>
          <cell r="F96">
            <v>20000</v>
          </cell>
          <cell r="G96">
            <v>0</v>
          </cell>
          <cell r="H96">
            <v>20000</v>
          </cell>
        </row>
        <row r="97">
          <cell r="A97">
            <v>43022010</v>
          </cell>
          <cell r="B97" t="str">
            <v>Plant / Office Up Keep Exps</v>
          </cell>
          <cell r="C97">
            <v>0</v>
          </cell>
          <cell r="D97">
            <v>208582</v>
          </cell>
          <cell r="E97">
            <v>62200</v>
          </cell>
          <cell r="F97">
            <v>146382</v>
          </cell>
          <cell r="G97">
            <v>0</v>
          </cell>
          <cell r="H97">
            <v>146382</v>
          </cell>
        </row>
        <row r="98">
          <cell r="A98">
            <v>43030010</v>
          </cell>
          <cell r="B98" t="str">
            <v>Transportation Exps-Labour</v>
          </cell>
          <cell r="C98">
            <v>0</v>
          </cell>
          <cell r="D98">
            <v>133855</v>
          </cell>
          <cell r="E98">
            <v>42850</v>
          </cell>
          <cell r="F98">
            <v>91005</v>
          </cell>
          <cell r="G98">
            <v>0</v>
          </cell>
          <cell r="H98">
            <v>91005</v>
          </cell>
        </row>
        <row r="99">
          <cell r="A99">
            <v>43032010</v>
          </cell>
          <cell r="B99" t="str">
            <v>Rent - Plant</v>
          </cell>
          <cell r="C99">
            <v>0</v>
          </cell>
          <cell r="D99">
            <v>98000</v>
          </cell>
          <cell r="E99">
            <v>0</v>
          </cell>
          <cell r="F99">
            <v>98000</v>
          </cell>
          <cell r="G99">
            <v>0</v>
          </cell>
          <cell r="H99">
            <v>98000</v>
          </cell>
        </row>
        <row r="100">
          <cell r="A100">
            <v>43032045</v>
          </cell>
          <cell r="B100" t="str">
            <v>Towing Expenses</v>
          </cell>
          <cell r="C100">
            <v>0</v>
          </cell>
          <cell r="D100">
            <v>114893</v>
          </cell>
          <cell r="E100">
            <v>34000</v>
          </cell>
          <cell r="F100">
            <v>80893</v>
          </cell>
          <cell r="G100">
            <v>0</v>
          </cell>
          <cell r="H100">
            <v>80893</v>
          </cell>
        </row>
        <row r="101">
          <cell r="A101">
            <v>43036010</v>
          </cell>
          <cell r="B101" t="str">
            <v>Insurance Expenses</v>
          </cell>
          <cell r="C101">
            <v>0</v>
          </cell>
          <cell r="D101">
            <v>25170</v>
          </cell>
          <cell r="E101">
            <v>1658</v>
          </cell>
          <cell r="F101">
            <v>23512</v>
          </cell>
          <cell r="G101">
            <v>0</v>
          </cell>
          <cell r="H101">
            <v>23512</v>
          </cell>
        </row>
        <row r="102">
          <cell r="A102">
            <v>43038020</v>
          </cell>
          <cell r="B102" t="str">
            <v>Courier Expenses</v>
          </cell>
          <cell r="C102">
            <v>0</v>
          </cell>
          <cell r="D102">
            <v>828</v>
          </cell>
          <cell r="E102">
            <v>0</v>
          </cell>
          <cell r="F102">
            <v>828</v>
          </cell>
          <cell r="G102">
            <v>0</v>
          </cell>
          <cell r="H102">
            <v>828</v>
          </cell>
        </row>
        <row r="103">
          <cell r="A103">
            <v>43038040</v>
          </cell>
          <cell r="B103" t="str">
            <v>Fax Expenses</v>
          </cell>
          <cell r="C103">
            <v>0</v>
          </cell>
          <cell r="D103">
            <v>141</v>
          </cell>
          <cell r="E103">
            <v>0</v>
          </cell>
          <cell r="F103">
            <v>141</v>
          </cell>
          <cell r="G103">
            <v>0</v>
          </cell>
          <cell r="H103">
            <v>141</v>
          </cell>
        </row>
        <row r="104">
          <cell r="A104">
            <v>43038050</v>
          </cell>
          <cell r="B104" t="str">
            <v>Telephone Chgs - Mobile  FBT</v>
          </cell>
          <cell r="C104">
            <v>0</v>
          </cell>
          <cell r="D104">
            <v>53216</v>
          </cell>
          <cell r="E104">
            <v>29035</v>
          </cell>
          <cell r="F104">
            <v>24181</v>
          </cell>
          <cell r="G104">
            <v>0</v>
          </cell>
          <cell r="H104">
            <v>24181</v>
          </cell>
        </row>
        <row r="105">
          <cell r="A105">
            <v>43040010</v>
          </cell>
          <cell r="B105" t="str">
            <v>Conveyance Expenses - FBT</v>
          </cell>
          <cell r="C105">
            <v>0</v>
          </cell>
          <cell r="D105">
            <v>60274</v>
          </cell>
          <cell r="E105">
            <v>23143</v>
          </cell>
          <cell r="F105">
            <v>37131</v>
          </cell>
          <cell r="G105">
            <v>0</v>
          </cell>
          <cell r="H105">
            <v>37131</v>
          </cell>
        </row>
        <row r="106">
          <cell r="A106">
            <v>43040040</v>
          </cell>
          <cell r="B106" t="str">
            <v>Motor Car Hire Expenses</v>
          </cell>
          <cell r="C106">
            <v>0</v>
          </cell>
          <cell r="D106">
            <v>91968</v>
          </cell>
          <cell r="E106">
            <v>31000</v>
          </cell>
          <cell r="F106">
            <v>60968</v>
          </cell>
          <cell r="G106">
            <v>0</v>
          </cell>
          <cell r="H106">
            <v>60968</v>
          </cell>
        </row>
        <row r="107">
          <cell r="A107">
            <v>43040080</v>
          </cell>
          <cell r="B107" t="str">
            <v>Travelling Expenses - Domestic - FBT</v>
          </cell>
          <cell r="C107">
            <v>0</v>
          </cell>
          <cell r="D107">
            <v>43022</v>
          </cell>
          <cell r="E107">
            <v>16940</v>
          </cell>
          <cell r="F107">
            <v>26082</v>
          </cell>
          <cell r="G107">
            <v>0</v>
          </cell>
          <cell r="H107">
            <v>26082</v>
          </cell>
        </row>
        <row r="108">
          <cell r="A108">
            <v>43040100</v>
          </cell>
          <cell r="B108" t="str">
            <v>Hotel Expenses  - FBT</v>
          </cell>
          <cell r="C108">
            <v>0</v>
          </cell>
          <cell r="D108">
            <v>900</v>
          </cell>
          <cell r="E108">
            <v>0</v>
          </cell>
          <cell r="F108">
            <v>900</v>
          </cell>
          <cell r="G108">
            <v>0</v>
          </cell>
          <cell r="H108">
            <v>900</v>
          </cell>
        </row>
        <row r="109">
          <cell r="A109">
            <v>43042010</v>
          </cell>
          <cell r="B109" t="str">
            <v>Fuel - Truck Mixers</v>
          </cell>
          <cell r="C109">
            <v>0</v>
          </cell>
          <cell r="D109">
            <v>283377.3</v>
          </cell>
          <cell r="E109">
            <v>0</v>
          </cell>
          <cell r="F109">
            <v>283377.3</v>
          </cell>
          <cell r="G109">
            <v>0</v>
          </cell>
          <cell r="H109">
            <v>283377.3</v>
          </cell>
        </row>
        <row r="110">
          <cell r="A110">
            <v>43042020</v>
          </cell>
          <cell r="B110" t="str">
            <v>Fuel - Loader</v>
          </cell>
          <cell r="C110">
            <v>0</v>
          </cell>
          <cell r="D110">
            <v>63920</v>
          </cell>
          <cell r="E110">
            <v>0</v>
          </cell>
          <cell r="F110">
            <v>63920</v>
          </cell>
          <cell r="G110">
            <v>0</v>
          </cell>
          <cell r="H110">
            <v>63920</v>
          </cell>
        </row>
        <row r="111">
          <cell r="A111">
            <v>43042050</v>
          </cell>
          <cell r="B111" t="str">
            <v>Fuel -  External Trucks/Pumps</v>
          </cell>
          <cell r="C111">
            <v>0</v>
          </cell>
          <cell r="D111">
            <v>202356</v>
          </cell>
          <cell r="E111">
            <v>0</v>
          </cell>
          <cell r="F111">
            <v>202356</v>
          </cell>
          <cell r="G111">
            <v>0</v>
          </cell>
          <cell r="H111">
            <v>202356</v>
          </cell>
        </row>
        <row r="112">
          <cell r="A112">
            <v>43042060</v>
          </cell>
          <cell r="B112" t="str">
            <v>Fuel - Concrete Pumps</v>
          </cell>
          <cell r="C112">
            <v>0</v>
          </cell>
          <cell r="D112">
            <v>66215</v>
          </cell>
          <cell r="E112">
            <v>0</v>
          </cell>
          <cell r="F112">
            <v>66215</v>
          </cell>
          <cell r="G112">
            <v>0</v>
          </cell>
          <cell r="H112">
            <v>66215</v>
          </cell>
        </row>
        <row r="113">
          <cell r="A113">
            <v>43046010</v>
          </cell>
          <cell r="B113" t="str">
            <v>Rates &amp; Taxes</v>
          </cell>
          <cell r="C113">
            <v>0</v>
          </cell>
          <cell r="D113">
            <v>15600</v>
          </cell>
          <cell r="E113">
            <v>0</v>
          </cell>
          <cell r="F113">
            <v>15600</v>
          </cell>
          <cell r="G113">
            <v>0</v>
          </cell>
          <cell r="H113">
            <v>15600</v>
          </cell>
        </row>
        <row r="114">
          <cell r="A114">
            <v>43046020</v>
          </cell>
          <cell r="B114" t="str">
            <v>Toll Charges- Truck Mixer</v>
          </cell>
          <cell r="C114">
            <v>0</v>
          </cell>
          <cell r="D114">
            <v>26696</v>
          </cell>
          <cell r="E114">
            <v>7626</v>
          </cell>
          <cell r="F114">
            <v>19070</v>
          </cell>
          <cell r="G114">
            <v>0</v>
          </cell>
          <cell r="H114">
            <v>19070</v>
          </cell>
        </row>
        <row r="115">
          <cell r="A115">
            <v>43046030</v>
          </cell>
          <cell r="B115" t="str">
            <v>Fines &amp; Penalties</v>
          </cell>
          <cell r="C115">
            <v>0</v>
          </cell>
          <cell r="D115">
            <v>1202</v>
          </cell>
          <cell r="E115">
            <v>600</v>
          </cell>
          <cell r="F115">
            <v>602</v>
          </cell>
          <cell r="G115">
            <v>0</v>
          </cell>
          <cell r="H115">
            <v>602</v>
          </cell>
        </row>
        <row r="116">
          <cell r="A116">
            <v>43052010</v>
          </cell>
          <cell r="B116" t="str">
            <v>Security Service Charges</v>
          </cell>
          <cell r="C116">
            <v>0</v>
          </cell>
          <cell r="D116">
            <v>88341</v>
          </cell>
          <cell r="E116">
            <v>29500</v>
          </cell>
          <cell r="F116">
            <v>58841</v>
          </cell>
          <cell r="G116">
            <v>0</v>
          </cell>
          <cell r="H116">
            <v>58841</v>
          </cell>
        </row>
        <row r="117">
          <cell r="A117">
            <v>43054020</v>
          </cell>
          <cell r="B117" t="str">
            <v>Concrete Carrying Charges - TM</v>
          </cell>
          <cell r="C117">
            <v>0</v>
          </cell>
          <cell r="D117">
            <v>526914</v>
          </cell>
          <cell r="E117">
            <v>184000</v>
          </cell>
          <cell r="F117">
            <v>342914</v>
          </cell>
          <cell r="G117">
            <v>0</v>
          </cell>
          <cell r="H117">
            <v>342914</v>
          </cell>
        </row>
        <row r="118">
          <cell r="A118">
            <v>43054030</v>
          </cell>
          <cell r="B118" t="str">
            <v>Concrete Placing Charges Pump</v>
          </cell>
          <cell r="C118">
            <v>0</v>
          </cell>
          <cell r="D118">
            <v>152000</v>
          </cell>
          <cell r="E118">
            <v>152000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>
            <v>43054040</v>
          </cell>
          <cell r="B119" t="str">
            <v>Hire Charges - Vehicle</v>
          </cell>
          <cell r="C119">
            <v>0</v>
          </cell>
          <cell r="D119">
            <v>62000</v>
          </cell>
          <cell r="E119">
            <v>62000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>
            <v>43056010</v>
          </cell>
          <cell r="B120" t="str">
            <v>Professional &amp; Consultancy Fees</v>
          </cell>
          <cell r="C120">
            <v>0</v>
          </cell>
          <cell r="D120">
            <v>31800</v>
          </cell>
          <cell r="E120">
            <v>10600</v>
          </cell>
          <cell r="F120">
            <v>21200</v>
          </cell>
          <cell r="G120">
            <v>0</v>
          </cell>
          <cell r="H120">
            <v>21200</v>
          </cell>
        </row>
        <row r="121">
          <cell r="A121">
            <v>43066020</v>
          </cell>
          <cell r="B121" t="str">
            <v>Printing &amp; Stationery</v>
          </cell>
          <cell r="C121">
            <v>0</v>
          </cell>
          <cell r="D121">
            <v>8448</v>
          </cell>
          <cell r="E121">
            <v>0</v>
          </cell>
          <cell r="F121">
            <v>8448</v>
          </cell>
          <cell r="G121">
            <v>0</v>
          </cell>
          <cell r="H121">
            <v>8448</v>
          </cell>
        </row>
        <row r="122">
          <cell r="A122">
            <v>43072010</v>
          </cell>
          <cell r="B122" t="str">
            <v>Bad Debts</v>
          </cell>
          <cell r="C122">
            <v>0</v>
          </cell>
          <cell r="D122">
            <v>56688</v>
          </cell>
          <cell r="E122">
            <v>56688</v>
          </cell>
          <cell r="F122">
            <v>0</v>
          </cell>
          <cell r="G122">
            <v>0</v>
          </cell>
          <cell r="H122">
            <v>0</v>
          </cell>
        </row>
        <row r="123">
          <cell r="A123">
            <v>43074010</v>
          </cell>
          <cell r="B123" t="str">
            <v>Provision For Bad &amp; Doubtful Debts W/Off</v>
          </cell>
          <cell r="C123">
            <v>0</v>
          </cell>
          <cell r="D123">
            <v>227500</v>
          </cell>
          <cell r="E123">
            <v>132000</v>
          </cell>
          <cell r="F123">
            <v>95500</v>
          </cell>
          <cell r="G123">
            <v>0</v>
          </cell>
          <cell r="H123">
            <v>95500</v>
          </cell>
        </row>
        <row r="124">
          <cell r="A124">
            <v>43084020</v>
          </cell>
          <cell r="B124" t="str">
            <v>Testing Charges</v>
          </cell>
          <cell r="C124">
            <v>0</v>
          </cell>
          <cell r="D124">
            <v>15111</v>
          </cell>
          <cell r="E124">
            <v>0</v>
          </cell>
          <cell r="F124">
            <v>15111</v>
          </cell>
          <cell r="G124">
            <v>0</v>
          </cell>
          <cell r="H124">
            <v>15111</v>
          </cell>
        </row>
        <row r="125">
          <cell r="A125">
            <v>43084030</v>
          </cell>
          <cell r="B125" t="str">
            <v>Rounding Off</v>
          </cell>
          <cell r="C125">
            <v>0</v>
          </cell>
          <cell r="D125">
            <v>23.36</v>
          </cell>
          <cell r="E125">
            <v>31.17</v>
          </cell>
          <cell r="F125">
            <v>-7.81</v>
          </cell>
          <cell r="G125">
            <v>0</v>
          </cell>
          <cell r="H125">
            <v>-7.81</v>
          </cell>
        </row>
        <row r="126">
          <cell r="A126">
            <v>45010010</v>
          </cell>
          <cell r="B126" t="str">
            <v>Depreciation</v>
          </cell>
          <cell r="C126">
            <v>0</v>
          </cell>
          <cell r="D126">
            <v>879821</v>
          </cell>
          <cell r="E126">
            <v>0</v>
          </cell>
          <cell r="F126">
            <v>879821</v>
          </cell>
          <cell r="G126">
            <v>0</v>
          </cell>
          <cell r="H126">
            <v>879821</v>
          </cell>
        </row>
        <row r="127">
          <cell r="A127">
            <v>52000000</v>
          </cell>
          <cell r="B127" t="str">
            <v>Inter Branch Control Account</v>
          </cell>
          <cell r="C127">
            <v>-48614587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-48614587</v>
          </cell>
        </row>
        <row r="128">
          <cell r="A128">
            <v>52000809</v>
          </cell>
          <cell r="B128" t="str">
            <v>Inter branch control account for 08-09</v>
          </cell>
          <cell r="C128">
            <v>5844693.2199999997</v>
          </cell>
          <cell r="D128">
            <v>5736524</v>
          </cell>
          <cell r="E128">
            <v>1647171.93</v>
          </cell>
          <cell r="F128">
            <v>4089352.07</v>
          </cell>
          <cell r="G128">
            <v>0</v>
          </cell>
          <cell r="H128">
            <v>9934045.2899999991</v>
          </cell>
        </row>
        <row r="129">
          <cell r="A129">
            <v>61000200</v>
          </cell>
          <cell r="B129" t="str">
            <v>Stock Transfer Control Account</v>
          </cell>
          <cell r="C129">
            <v>0</v>
          </cell>
          <cell r="D129">
            <v>563626.52</v>
          </cell>
          <cell r="E129">
            <v>563625</v>
          </cell>
          <cell r="F129">
            <v>1.52</v>
          </cell>
          <cell r="G129">
            <v>0</v>
          </cell>
          <cell r="H129">
            <v>1.52</v>
          </cell>
        </row>
        <row r="130">
          <cell r="A130">
            <v>61000300</v>
          </cell>
          <cell r="B130" t="str">
            <v>Asset transfer / sale control account</v>
          </cell>
          <cell r="C130">
            <v>0</v>
          </cell>
          <cell r="D130">
            <v>659001</v>
          </cell>
          <cell r="E130">
            <v>659001</v>
          </cell>
          <cell r="F130">
            <v>0</v>
          </cell>
          <cell r="G130">
            <v>0</v>
          </cell>
          <cell r="H130">
            <v>0</v>
          </cell>
        </row>
        <row r="131">
          <cell r="A131">
            <v>62000000</v>
          </cell>
          <cell r="B131" t="str">
            <v>Inter branch Clearing account</v>
          </cell>
          <cell r="C131">
            <v>0</v>
          </cell>
          <cell r="D131">
            <v>8028114</v>
          </cell>
          <cell r="E131">
            <v>8028114</v>
          </cell>
          <cell r="F131">
            <v>0</v>
          </cell>
          <cell r="G131">
            <v>0</v>
          </cell>
          <cell r="H131">
            <v>0</v>
          </cell>
        </row>
        <row r="132">
          <cell r="B132" t="str">
            <v>Total</v>
          </cell>
          <cell r="D132">
            <v>0</v>
          </cell>
          <cell r="E132">
            <v>130312569.04000001</v>
          </cell>
          <cell r="F132">
            <v>130312569.04000001</v>
          </cell>
          <cell r="G132">
            <v>0</v>
          </cell>
          <cell r="H132">
            <v>0</v>
          </cell>
        </row>
      </sheetData>
      <sheetData sheetId="13" refreshError="1">
        <row r="1">
          <cell r="A1" t="str">
            <v>RMC Readymix (I) Pvt. Ltd.,</v>
          </cell>
          <cell r="B1" t="str">
            <v>Trial balance</v>
          </cell>
          <cell r="C1">
            <v>39969</v>
          </cell>
          <cell r="D1">
            <v>0.75609953703703703</v>
          </cell>
          <cell r="E1" t="str">
            <v>Page 1</v>
          </cell>
          <cell r="F1" t="str">
            <v>Jaipur</v>
          </cell>
        </row>
        <row r="2">
          <cell r="A2" t="str">
            <v>Period</v>
          </cell>
          <cell r="B2">
            <v>39904</v>
          </cell>
          <cell r="C2">
            <v>39964</v>
          </cell>
        </row>
        <row r="3">
          <cell r="A3" t="str">
            <v>Ledger account</v>
          </cell>
          <cell r="B3" t="str">
            <v>Account name</v>
          </cell>
          <cell r="C3" t="str">
            <v>Opening balance</v>
          </cell>
          <cell r="D3" t="str">
            <v>Debit</v>
          </cell>
          <cell r="E3" t="str">
            <v>Credit</v>
          </cell>
          <cell r="F3" t="str">
            <v>Net difference</v>
          </cell>
          <cell r="G3" t="str">
            <v>Closing transactions</v>
          </cell>
          <cell r="H3" t="str">
            <v>Closing balance</v>
          </cell>
        </row>
        <row r="4">
          <cell r="A4">
            <v>11015010</v>
          </cell>
          <cell r="B4" t="str">
            <v>Buildings</v>
          </cell>
          <cell r="C4">
            <v>4972946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4972946</v>
          </cell>
        </row>
        <row r="5">
          <cell r="A5">
            <v>11025010</v>
          </cell>
          <cell r="B5" t="str">
            <v>Plant and Machinery</v>
          </cell>
          <cell r="C5">
            <v>19575937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19575937</v>
          </cell>
        </row>
        <row r="6">
          <cell r="A6">
            <v>11030010</v>
          </cell>
          <cell r="B6" t="str">
            <v>Electrical Installations</v>
          </cell>
          <cell r="C6">
            <v>1836626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1836626</v>
          </cell>
        </row>
        <row r="7">
          <cell r="A7">
            <v>11035010</v>
          </cell>
          <cell r="B7" t="str">
            <v>Furniture &amp; Fixtures</v>
          </cell>
          <cell r="C7">
            <v>936473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936473</v>
          </cell>
        </row>
        <row r="8">
          <cell r="A8">
            <v>11040010</v>
          </cell>
          <cell r="B8" t="str">
            <v>Office &amp; Electrical Appliances</v>
          </cell>
          <cell r="C8">
            <v>420574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420574</v>
          </cell>
        </row>
        <row r="9">
          <cell r="A9">
            <v>11045010</v>
          </cell>
          <cell r="B9" t="str">
            <v>Truck Mixers, Loaders &amp; Truck Dumpers</v>
          </cell>
          <cell r="C9">
            <v>11797061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11797061</v>
          </cell>
        </row>
        <row r="10">
          <cell r="A10">
            <v>13015010</v>
          </cell>
          <cell r="B10" t="str">
            <v>Balance Sheet Stock of Raw material - RMC</v>
          </cell>
          <cell r="C10">
            <v>498891.17</v>
          </cell>
          <cell r="D10">
            <v>1060274.1299999999</v>
          </cell>
          <cell r="E10">
            <v>498891.17</v>
          </cell>
          <cell r="F10">
            <v>561382.96</v>
          </cell>
          <cell r="G10">
            <v>0</v>
          </cell>
          <cell r="H10">
            <v>1060274.1299999999</v>
          </cell>
        </row>
        <row r="11">
          <cell r="A11">
            <v>13020010</v>
          </cell>
          <cell r="B11" t="str">
            <v>Sundry Debtors Account</v>
          </cell>
          <cell r="C11">
            <v>6426882</v>
          </cell>
          <cell r="D11">
            <v>13805396</v>
          </cell>
          <cell r="E11">
            <v>15049676</v>
          </cell>
          <cell r="F11">
            <v>-1244280</v>
          </cell>
          <cell r="G11">
            <v>0</v>
          </cell>
          <cell r="H11">
            <v>5182602</v>
          </cell>
        </row>
        <row r="12">
          <cell r="A12">
            <v>13025010</v>
          </cell>
          <cell r="B12" t="str">
            <v>Cash In Hand</v>
          </cell>
          <cell r="C12">
            <v>7284</v>
          </cell>
          <cell r="D12">
            <v>376717</v>
          </cell>
          <cell r="E12">
            <v>359451</v>
          </cell>
          <cell r="F12">
            <v>17266</v>
          </cell>
          <cell r="G12">
            <v>0</v>
          </cell>
          <cell r="H12">
            <v>24550</v>
          </cell>
        </row>
        <row r="13">
          <cell r="A13">
            <v>13035010</v>
          </cell>
          <cell r="B13" t="str">
            <v>Bank Account</v>
          </cell>
          <cell r="C13">
            <v>26199.63</v>
          </cell>
          <cell r="D13">
            <v>16236244</v>
          </cell>
          <cell r="E13">
            <v>15692636.98</v>
          </cell>
          <cell r="F13">
            <v>543607.02</v>
          </cell>
          <cell r="G13">
            <v>0</v>
          </cell>
          <cell r="H13">
            <v>569806.65</v>
          </cell>
        </row>
        <row r="14">
          <cell r="A14">
            <v>13045020</v>
          </cell>
          <cell r="B14" t="str">
            <v>Loans and advances to employees</v>
          </cell>
          <cell r="C14">
            <v>0</v>
          </cell>
          <cell r="D14">
            <v>26928</v>
          </cell>
          <cell r="E14">
            <v>32422</v>
          </cell>
          <cell r="F14">
            <v>-5494</v>
          </cell>
          <cell r="G14">
            <v>0</v>
          </cell>
          <cell r="H14">
            <v>-5494</v>
          </cell>
        </row>
        <row r="15">
          <cell r="A15">
            <v>13055020</v>
          </cell>
          <cell r="B15" t="str">
            <v>Prepaid Expenses</v>
          </cell>
          <cell r="C15">
            <v>153004</v>
          </cell>
          <cell r="D15">
            <v>322303</v>
          </cell>
          <cell r="E15">
            <v>255741</v>
          </cell>
          <cell r="F15">
            <v>66562</v>
          </cell>
          <cell r="G15">
            <v>0</v>
          </cell>
          <cell r="H15">
            <v>219566</v>
          </cell>
        </row>
        <row r="16">
          <cell r="A16">
            <v>13055060</v>
          </cell>
          <cell r="B16" t="str">
            <v>VAT Credit Receivable (Inputs)</v>
          </cell>
          <cell r="C16">
            <v>289892</v>
          </cell>
          <cell r="D16">
            <v>761631</v>
          </cell>
          <cell r="E16">
            <v>1051523</v>
          </cell>
          <cell r="F16">
            <v>-289892</v>
          </cell>
          <cell r="G16">
            <v>0</v>
          </cell>
          <cell r="H16">
            <v>0</v>
          </cell>
        </row>
        <row r="17">
          <cell r="A17">
            <v>13055075</v>
          </cell>
          <cell r="B17" t="str">
            <v>VAT Credit Receivable on Fixed Basis</v>
          </cell>
          <cell r="C17">
            <v>24173</v>
          </cell>
          <cell r="D17">
            <v>74377</v>
          </cell>
          <cell r="E17">
            <v>98550</v>
          </cell>
          <cell r="F17">
            <v>-24173</v>
          </cell>
          <cell r="G17">
            <v>0</v>
          </cell>
          <cell r="H17">
            <v>0</v>
          </cell>
        </row>
        <row r="18">
          <cell r="A18">
            <v>13055090</v>
          </cell>
          <cell r="B18" t="str">
            <v>Sundry Deposits</v>
          </cell>
          <cell r="C18">
            <v>175000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175000</v>
          </cell>
        </row>
        <row r="19">
          <cell r="A19">
            <v>25005010</v>
          </cell>
          <cell r="B19" t="str">
            <v>Creditors Control</v>
          </cell>
          <cell r="C19">
            <v>-4729011</v>
          </cell>
          <cell r="D19">
            <v>12469620</v>
          </cell>
          <cell r="E19">
            <v>11700286.029999999</v>
          </cell>
          <cell r="F19">
            <v>769333.97</v>
          </cell>
          <cell r="G19">
            <v>0</v>
          </cell>
          <cell r="H19">
            <v>-3959677.03</v>
          </cell>
        </row>
        <row r="20">
          <cell r="A20">
            <v>25005050</v>
          </cell>
          <cell r="B20" t="str">
            <v>Creditors liability for material received but bill not recei</v>
          </cell>
          <cell r="C20">
            <v>-0.24</v>
          </cell>
          <cell r="D20">
            <v>9069590.7100000009</v>
          </cell>
          <cell r="E20">
            <v>9069590.8399999999</v>
          </cell>
          <cell r="F20">
            <v>-0.13</v>
          </cell>
          <cell r="G20">
            <v>0</v>
          </cell>
          <cell r="H20">
            <v>-0.37</v>
          </cell>
        </row>
        <row r="21">
          <cell r="A21">
            <v>25010020</v>
          </cell>
          <cell r="B21" t="str">
            <v>Outstanding Liabilities For Expenses</v>
          </cell>
          <cell r="C21">
            <v>-40000</v>
          </cell>
          <cell r="D21">
            <v>894461</v>
          </cell>
          <cell r="E21">
            <v>1736290</v>
          </cell>
          <cell r="F21">
            <v>-841829</v>
          </cell>
          <cell r="G21">
            <v>0</v>
          </cell>
          <cell r="H21">
            <v>-881829</v>
          </cell>
        </row>
        <row r="22">
          <cell r="A22">
            <v>25010050</v>
          </cell>
          <cell r="B22" t="str">
            <v>Salary Payable</v>
          </cell>
          <cell r="C22">
            <v>-2855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-2855</v>
          </cell>
        </row>
        <row r="23">
          <cell r="A23">
            <v>25010060</v>
          </cell>
          <cell r="B23" t="str">
            <v>T.D.S.payable account</v>
          </cell>
          <cell r="C23">
            <v>-65273</v>
          </cell>
          <cell r="D23">
            <v>117808</v>
          </cell>
          <cell r="E23">
            <v>104394</v>
          </cell>
          <cell r="F23">
            <v>13414</v>
          </cell>
          <cell r="G23">
            <v>0</v>
          </cell>
          <cell r="H23">
            <v>-51859</v>
          </cell>
        </row>
        <row r="24">
          <cell r="A24">
            <v>25010190</v>
          </cell>
          <cell r="B24" t="str">
            <v>VAT  Payable account</v>
          </cell>
          <cell r="C24">
            <v>-560218</v>
          </cell>
          <cell r="D24">
            <v>2166145</v>
          </cell>
          <cell r="E24">
            <v>1539058</v>
          </cell>
          <cell r="F24">
            <v>627087</v>
          </cell>
          <cell r="G24">
            <v>0</v>
          </cell>
          <cell r="H24">
            <v>66869</v>
          </cell>
        </row>
        <row r="25">
          <cell r="A25">
            <v>25010200</v>
          </cell>
          <cell r="B25" t="str">
            <v>Provision for Expenses in MIS</v>
          </cell>
          <cell r="C25">
            <v>0</v>
          </cell>
          <cell r="D25">
            <v>0</v>
          </cell>
          <cell r="E25">
            <v>51207</v>
          </cell>
          <cell r="F25">
            <v>-51207</v>
          </cell>
          <cell r="G25">
            <v>0</v>
          </cell>
          <cell r="H25">
            <v>-51207</v>
          </cell>
        </row>
        <row r="26">
          <cell r="A26">
            <v>25020010</v>
          </cell>
          <cell r="B26" t="str">
            <v>E.S.I.C. Payable account</v>
          </cell>
          <cell r="C26">
            <v>-4281</v>
          </cell>
          <cell r="D26">
            <v>7384</v>
          </cell>
          <cell r="E26">
            <v>5631</v>
          </cell>
          <cell r="F26">
            <v>1753</v>
          </cell>
          <cell r="G26">
            <v>0</v>
          </cell>
          <cell r="H26">
            <v>-2528</v>
          </cell>
        </row>
        <row r="27">
          <cell r="A27">
            <v>26015010</v>
          </cell>
          <cell r="B27" t="str">
            <v>Prov For Dep.-  Buildings</v>
          </cell>
          <cell r="C27">
            <v>-2029666</v>
          </cell>
          <cell r="D27">
            <v>0</v>
          </cell>
          <cell r="E27">
            <v>154911</v>
          </cell>
          <cell r="F27">
            <v>-154911</v>
          </cell>
          <cell r="G27">
            <v>0</v>
          </cell>
          <cell r="H27">
            <v>-2184577</v>
          </cell>
        </row>
        <row r="28">
          <cell r="A28">
            <v>26025010</v>
          </cell>
          <cell r="B28" t="str">
            <v>Provision for Depreciation Plant &amp; Machinery</v>
          </cell>
          <cell r="C28">
            <v>-3931427.65</v>
          </cell>
          <cell r="D28">
            <v>0</v>
          </cell>
          <cell r="E28">
            <v>280706</v>
          </cell>
          <cell r="F28">
            <v>-280706</v>
          </cell>
          <cell r="G28">
            <v>0</v>
          </cell>
          <cell r="H28">
            <v>-4212133.6500000004</v>
          </cell>
        </row>
        <row r="29">
          <cell r="A29">
            <v>26030010</v>
          </cell>
          <cell r="B29" t="str">
            <v>Provision For Dep.-Electrical Installations</v>
          </cell>
          <cell r="C29">
            <v>-395481</v>
          </cell>
          <cell r="D29">
            <v>0</v>
          </cell>
          <cell r="E29">
            <v>30343</v>
          </cell>
          <cell r="F29">
            <v>-30343</v>
          </cell>
          <cell r="G29">
            <v>0</v>
          </cell>
          <cell r="H29">
            <v>-425824</v>
          </cell>
        </row>
        <row r="30">
          <cell r="A30">
            <v>26035010</v>
          </cell>
          <cell r="B30" t="str">
            <v>Provision For Dep.-Furniture and Fixtures</v>
          </cell>
          <cell r="C30">
            <v>-224458</v>
          </cell>
          <cell r="D30">
            <v>0</v>
          </cell>
          <cell r="E30">
            <v>15425</v>
          </cell>
          <cell r="F30">
            <v>-15425</v>
          </cell>
          <cell r="G30">
            <v>0</v>
          </cell>
          <cell r="H30">
            <v>-239883</v>
          </cell>
        </row>
        <row r="31">
          <cell r="A31">
            <v>26040010</v>
          </cell>
          <cell r="B31" t="str">
            <v>Provision for Depreciation- Office and Electrical Appliances</v>
          </cell>
          <cell r="C31">
            <v>-177155</v>
          </cell>
          <cell r="D31">
            <v>0</v>
          </cell>
          <cell r="E31">
            <v>11873</v>
          </cell>
          <cell r="F31">
            <v>-11873</v>
          </cell>
          <cell r="G31">
            <v>0</v>
          </cell>
          <cell r="H31">
            <v>-189028</v>
          </cell>
        </row>
        <row r="32">
          <cell r="A32">
            <v>26045010</v>
          </cell>
          <cell r="B32" t="str">
            <v>Provision for Depreciation- Truck Mixers, Loaders &amp; Dumpers</v>
          </cell>
          <cell r="C32">
            <v>-3542882</v>
          </cell>
          <cell r="D32">
            <v>0</v>
          </cell>
          <cell r="E32">
            <v>245600</v>
          </cell>
          <cell r="F32">
            <v>-245600</v>
          </cell>
          <cell r="G32">
            <v>0</v>
          </cell>
          <cell r="H32">
            <v>-3788482</v>
          </cell>
        </row>
        <row r="33">
          <cell r="A33">
            <v>26055020</v>
          </cell>
          <cell r="B33" t="str">
            <v>Profit &amp; Loss A/c</v>
          </cell>
          <cell r="C33">
            <v>12911992.09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12911992.09</v>
          </cell>
        </row>
        <row r="34">
          <cell r="A34">
            <v>26055050</v>
          </cell>
          <cell r="B34" t="str">
            <v>Provision for Production linked incentive (KRA)</v>
          </cell>
          <cell r="C34">
            <v>0</v>
          </cell>
          <cell r="D34">
            <v>0</v>
          </cell>
          <cell r="E34">
            <v>55070</v>
          </cell>
          <cell r="F34">
            <v>-55070</v>
          </cell>
          <cell r="G34">
            <v>0</v>
          </cell>
          <cell r="H34">
            <v>-55070</v>
          </cell>
        </row>
        <row r="35">
          <cell r="A35">
            <v>31010010</v>
          </cell>
          <cell r="B35" t="str">
            <v>Sales</v>
          </cell>
          <cell r="C35">
            <v>0</v>
          </cell>
          <cell r="D35">
            <v>41475.56</v>
          </cell>
          <cell r="E35">
            <v>10282788.35</v>
          </cell>
          <cell r="F35">
            <v>-10241312.789999999</v>
          </cell>
          <cell r="G35">
            <v>0</v>
          </cell>
          <cell r="H35">
            <v>-10241312.789999999</v>
          </cell>
        </row>
        <row r="36">
          <cell r="A36">
            <v>32020020</v>
          </cell>
          <cell r="B36" t="str">
            <v>Misc Income - Scrap sales</v>
          </cell>
          <cell r="C36">
            <v>0</v>
          </cell>
          <cell r="D36">
            <v>0</v>
          </cell>
          <cell r="E36">
            <v>31884</v>
          </cell>
          <cell r="F36">
            <v>-31884</v>
          </cell>
          <cell r="G36">
            <v>0</v>
          </cell>
          <cell r="H36">
            <v>-31884</v>
          </cell>
        </row>
        <row r="37">
          <cell r="A37">
            <v>41010010</v>
          </cell>
          <cell r="B37" t="str">
            <v>Opening Stock - Cement</v>
          </cell>
          <cell r="C37">
            <v>0</v>
          </cell>
          <cell r="D37">
            <v>213208.28</v>
          </cell>
          <cell r="E37">
            <v>0</v>
          </cell>
          <cell r="F37">
            <v>213208.28</v>
          </cell>
          <cell r="G37">
            <v>0</v>
          </cell>
          <cell r="H37">
            <v>213208.28</v>
          </cell>
        </row>
        <row r="38">
          <cell r="A38">
            <v>41010020</v>
          </cell>
          <cell r="B38" t="str">
            <v>Opening Stock - Sand</v>
          </cell>
          <cell r="C38">
            <v>0</v>
          </cell>
          <cell r="D38">
            <v>47201.279999999999</v>
          </cell>
          <cell r="E38">
            <v>0</v>
          </cell>
          <cell r="F38">
            <v>47201.279999999999</v>
          </cell>
          <cell r="G38">
            <v>0</v>
          </cell>
          <cell r="H38">
            <v>47201.279999999999</v>
          </cell>
        </row>
        <row r="39">
          <cell r="A39">
            <v>41010040</v>
          </cell>
          <cell r="B39" t="str">
            <v>Opening Stock - RMC Aggregates</v>
          </cell>
          <cell r="C39">
            <v>0</v>
          </cell>
          <cell r="D39">
            <v>104348.33</v>
          </cell>
          <cell r="E39">
            <v>0</v>
          </cell>
          <cell r="F39">
            <v>104348.33</v>
          </cell>
          <cell r="G39">
            <v>0</v>
          </cell>
          <cell r="H39">
            <v>104348.33</v>
          </cell>
        </row>
        <row r="40">
          <cell r="A40">
            <v>41010050</v>
          </cell>
          <cell r="B40" t="str">
            <v>Opening Stock - Admixtures</v>
          </cell>
          <cell r="C40">
            <v>0</v>
          </cell>
          <cell r="D40">
            <v>64991.97</v>
          </cell>
          <cell r="E40">
            <v>0</v>
          </cell>
          <cell r="F40">
            <v>64991.97</v>
          </cell>
          <cell r="G40">
            <v>0</v>
          </cell>
          <cell r="H40">
            <v>64991.97</v>
          </cell>
        </row>
        <row r="41">
          <cell r="A41">
            <v>41010070</v>
          </cell>
          <cell r="B41" t="str">
            <v>Opening Stock - Flyash</v>
          </cell>
          <cell r="C41">
            <v>0</v>
          </cell>
          <cell r="D41">
            <v>28481.47</v>
          </cell>
          <cell r="E41">
            <v>0</v>
          </cell>
          <cell r="F41">
            <v>28481.47</v>
          </cell>
          <cell r="G41">
            <v>0</v>
          </cell>
          <cell r="H41">
            <v>28481.47</v>
          </cell>
        </row>
        <row r="42">
          <cell r="A42">
            <v>41010080</v>
          </cell>
          <cell r="B42" t="str">
            <v>Opening Stock - Diesel</v>
          </cell>
          <cell r="C42">
            <v>0</v>
          </cell>
          <cell r="D42">
            <v>40659.839999999997</v>
          </cell>
          <cell r="E42">
            <v>0</v>
          </cell>
          <cell r="F42">
            <v>40659.839999999997</v>
          </cell>
          <cell r="G42">
            <v>0</v>
          </cell>
          <cell r="H42">
            <v>40659.839999999997</v>
          </cell>
        </row>
        <row r="43">
          <cell r="A43">
            <v>41020010</v>
          </cell>
          <cell r="B43" t="str">
            <v>Raw Material Purchase - Cement</v>
          </cell>
          <cell r="C43">
            <v>0</v>
          </cell>
          <cell r="D43">
            <v>4898257.93</v>
          </cell>
          <cell r="E43">
            <v>4406674.34</v>
          </cell>
          <cell r="F43">
            <v>491583.59</v>
          </cell>
          <cell r="G43">
            <v>0</v>
          </cell>
          <cell r="H43">
            <v>491583.59</v>
          </cell>
        </row>
        <row r="44">
          <cell r="A44">
            <v>41020015</v>
          </cell>
          <cell r="B44" t="str">
            <v>Interim account cement received</v>
          </cell>
          <cell r="C44">
            <v>0</v>
          </cell>
          <cell r="D44">
            <v>4867387.92</v>
          </cell>
          <cell r="E44">
            <v>4867387.79</v>
          </cell>
          <cell r="F44">
            <v>0.13</v>
          </cell>
          <cell r="G44">
            <v>0</v>
          </cell>
          <cell r="H44">
            <v>0.13</v>
          </cell>
        </row>
        <row r="45">
          <cell r="A45">
            <v>41020020</v>
          </cell>
          <cell r="B45" t="str">
            <v>Cement Consumption account</v>
          </cell>
          <cell r="C45">
            <v>0</v>
          </cell>
          <cell r="D45">
            <v>4366735.01</v>
          </cell>
          <cell r="E45">
            <v>0</v>
          </cell>
          <cell r="F45">
            <v>4366735.01</v>
          </cell>
          <cell r="G45">
            <v>0</v>
          </cell>
          <cell r="H45">
            <v>4366735.01</v>
          </cell>
        </row>
        <row r="46">
          <cell r="A46">
            <v>41020030</v>
          </cell>
          <cell r="B46" t="str">
            <v>Raw Material Purchase - Aggregates</v>
          </cell>
          <cell r="C46">
            <v>0</v>
          </cell>
          <cell r="D46">
            <v>1653134.18</v>
          </cell>
          <cell r="E46">
            <v>1661843.97</v>
          </cell>
          <cell r="F46">
            <v>-8709.7900000000009</v>
          </cell>
          <cell r="G46">
            <v>0</v>
          </cell>
          <cell r="H46">
            <v>-8709.7900000000009</v>
          </cell>
        </row>
        <row r="47">
          <cell r="A47">
            <v>41020035</v>
          </cell>
          <cell r="B47" t="str">
            <v>Interim account Aggregate received</v>
          </cell>
          <cell r="C47">
            <v>0</v>
          </cell>
          <cell r="D47">
            <v>1605581.3</v>
          </cell>
          <cell r="E47">
            <v>1605581.3</v>
          </cell>
          <cell r="F47">
            <v>0</v>
          </cell>
          <cell r="G47">
            <v>0</v>
          </cell>
          <cell r="H47">
            <v>0</v>
          </cell>
        </row>
        <row r="48">
          <cell r="A48">
            <v>41020040</v>
          </cell>
          <cell r="B48" t="str">
            <v>Aggregate Consumption account</v>
          </cell>
          <cell r="C48">
            <v>0</v>
          </cell>
          <cell r="D48">
            <v>1661843.97</v>
          </cell>
          <cell r="E48">
            <v>4551.45</v>
          </cell>
          <cell r="F48">
            <v>1657292.52</v>
          </cell>
          <cell r="G48">
            <v>0</v>
          </cell>
          <cell r="H48">
            <v>1657292.52</v>
          </cell>
        </row>
        <row r="49">
          <cell r="A49">
            <v>41020050</v>
          </cell>
          <cell r="B49" t="str">
            <v>Raw Material Purchase - Sand</v>
          </cell>
          <cell r="C49">
            <v>0</v>
          </cell>
          <cell r="D49">
            <v>793752.1</v>
          </cell>
          <cell r="E49">
            <v>781971.04</v>
          </cell>
          <cell r="F49">
            <v>11781.06</v>
          </cell>
          <cell r="G49">
            <v>0</v>
          </cell>
          <cell r="H49">
            <v>11781.06</v>
          </cell>
        </row>
        <row r="50">
          <cell r="A50">
            <v>41020055</v>
          </cell>
          <cell r="B50" t="str">
            <v>Interim account Sand Received</v>
          </cell>
          <cell r="C50">
            <v>0</v>
          </cell>
          <cell r="D50">
            <v>793752.1</v>
          </cell>
          <cell r="E50">
            <v>793752.1</v>
          </cell>
          <cell r="F50">
            <v>0</v>
          </cell>
          <cell r="G50">
            <v>0</v>
          </cell>
          <cell r="H50">
            <v>0</v>
          </cell>
        </row>
        <row r="51">
          <cell r="A51">
            <v>41020060</v>
          </cell>
          <cell r="B51" t="str">
            <v>Sand Consumption account</v>
          </cell>
          <cell r="C51">
            <v>0</v>
          </cell>
          <cell r="D51">
            <v>763441.62</v>
          </cell>
          <cell r="E51">
            <v>0</v>
          </cell>
          <cell r="F51">
            <v>763441.62</v>
          </cell>
          <cell r="G51">
            <v>0</v>
          </cell>
          <cell r="H51">
            <v>763441.62</v>
          </cell>
        </row>
        <row r="52">
          <cell r="A52">
            <v>41020070</v>
          </cell>
          <cell r="B52" t="str">
            <v>Raw Material Purchase - Admixture</v>
          </cell>
          <cell r="C52">
            <v>0</v>
          </cell>
          <cell r="D52">
            <v>420727.2</v>
          </cell>
          <cell r="E52">
            <v>358227.46</v>
          </cell>
          <cell r="F52">
            <v>62499.74</v>
          </cell>
          <cell r="G52">
            <v>0</v>
          </cell>
          <cell r="H52">
            <v>62499.74</v>
          </cell>
        </row>
        <row r="53">
          <cell r="A53">
            <v>41020075</v>
          </cell>
          <cell r="B53" t="str">
            <v>Interim account Admixture received</v>
          </cell>
          <cell r="C53">
            <v>0</v>
          </cell>
          <cell r="D53">
            <v>402600</v>
          </cell>
          <cell r="E53">
            <v>402600</v>
          </cell>
          <cell r="F53">
            <v>0</v>
          </cell>
          <cell r="G53">
            <v>0</v>
          </cell>
          <cell r="H53">
            <v>0</v>
          </cell>
        </row>
        <row r="54">
          <cell r="A54">
            <v>41020080</v>
          </cell>
          <cell r="B54" t="str">
            <v>Admixture Consumption account</v>
          </cell>
          <cell r="C54">
            <v>0</v>
          </cell>
          <cell r="D54">
            <v>357267.92</v>
          </cell>
          <cell r="E54">
            <v>14853.26</v>
          </cell>
          <cell r="F54">
            <v>342414.66</v>
          </cell>
          <cell r="G54">
            <v>0</v>
          </cell>
          <cell r="H54">
            <v>342414.66</v>
          </cell>
        </row>
        <row r="55">
          <cell r="A55">
            <v>41020090</v>
          </cell>
          <cell r="B55" t="str">
            <v>Raw Material  Purchase - Fly Ash</v>
          </cell>
          <cell r="C55">
            <v>0</v>
          </cell>
          <cell r="D55">
            <v>295074.84000000003</v>
          </cell>
          <cell r="E55">
            <v>285914.08</v>
          </cell>
          <cell r="F55">
            <v>9160.76</v>
          </cell>
          <cell r="G55">
            <v>0</v>
          </cell>
          <cell r="H55">
            <v>9160.76</v>
          </cell>
        </row>
        <row r="56">
          <cell r="A56">
            <v>41020095</v>
          </cell>
          <cell r="B56" t="str">
            <v>Interim account fly ash received</v>
          </cell>
          <cell r="C56">
            <v>0</v>
          </cell>
          <cell r="D56">
            <v>289950.53000000003</v>
          </cell>
          <cell r="E56">
            <v>289950.53000000003</v>
          </cell>
          <cell r="F56">
            <v>0</v>
          </cell>
          <cell r="G56">
            <v>0</v>
          </cell>
          <cell r="H56">
            <v>0</v>
          </cell>
        </row>
        <row r="57">
          <cell r="A57">
            <v>41020100</v>
          </cell>
          <cell r="B57" t="str">
            <v>Fly Ash Consumption account</v>
          </cell>
          <cell r="C57">
            <v>0</v>
          </cell>
          <cell r="D57">
            <v>280601.09000000003</v>
          </cell>
          <cell r="E57">
            <v>0</v>
          </cell>
          <cell r="F57">
            <v>280601.09000000003</v>
          </cell>
          <cell r="G57">
            <v>0</v>
          </cell>
          <cell r="H57">
            <v>280601.09000000003</v>
          </cell>
        </row>
        <row r="58">
          <cell r="A58">
            <v>41020150</v>
          </cell>
          <cell r="B58" t="str">
            <v>Loss/ gain on Stock</v>
          </cell>
          <cell r="C58">
            <v>0</v>
          </cell>
          <cell r="D58">
            <v>43555.28</v>
          </cell>
          <cell r="E58">
            <v>82269.820000000007</v>
          </cell>
          <cell r="F58">
            <v>-38714.54</v>
          </cell>
          <cell r="G58">
            <v>0</v>
          </cell>
          <cell r="H58">
            <v>-38714.54</v>
          </cell>
        </row>
        <row r="59">
          <cell r="A59">
            <v>41020195</v>
          </cell>
          <cell r="B59" t="str">
            <v>Purchase of Diesel</v>
          </cell>
          <cell r="C59">
            <v>0</v>
          </cell>
          <cell r="D59">
            <v>764693.96</v>
          </cell>
          <cell r="E59">
            <v>769626.49</v>
          </cell>
          <cell r="F59">
            <v>-4932.53</v>
          </cell>
          <cell r="G59">
            <v>0</v>
          </cell>
          <cell r="H59">
            <v>-4932.53</v>
          </cell>
        </row>
        <row r="60">
          <cell r="A60">
            <v>41020200</v>
          </cell>
          <cell r="B60" t="str">
            <v>Interim account for diesel received</v>
          </cell>
          <cell r="C60">
            <v>0</v>
          </cell>
          <cell r="D60">
            <v>764693.96</v>
          </cell>
          <cell r="E60">
            <v>764693.96</v>
          </cell>
          <cell r="F60">
            <v>0</v>
          </cell>
          <cell r="G60">
            <v>0</v>
          </cell>
          <cell r="H60">
            <v>0</v>
          </cell>
        </row>
        <row r="61">
          <cell r="A61">
            <v>41050010</v>
          </cell>
          <cell r="B61" t="str">
            <v>Closing Stock - Cement</v>
          </cell>
          <cell r="C61">
            <v>0</v>
          </cell>
          <cell r="D61">
            <v>0</v>
          </cell>
          <cell r="E61">
            <v>704792</v>
          </cell>
          <cell r="F61">
            <v>-704792</v>
          </cell>
          <cell r="G61">
            <v>0</v>
          </cell>
          <cell r="H61">
            <v>-704792</v>
          </cell>
        </row>
        <row r="62">
          <cell r="A62">
            <v>41050020</v>
          </cell>
          <cell r="B62" t="str">
            <v>Closing Stock - Sand</v>
          </cell>
          <cell r="C62">
            <v>0</v>
          </cell>
          <cell r="D62">
            <v>0</v>
          </cell>
          <cell r="E62">
            <v>58982.34</v>
          </cell>
          <cell r="F62">
            <v>-58982.34</v>
          </cell>
          <cell r="G62">
            <v>0</v>
          </cell>
          <cell r="H62">
            <v>-58982.34</v>
          </cell>
        </row>
        <row r="63">
          <cell r="A63">
            <v>41050040</v>
          </cell>
          <cell r="B63" t="str">
            <v>Closing Stock - RMC Aggregates</v>
          </cell>
          <cell r="C63">
            <v>0</v>
          </cell>
          <cell r="D63">
            <v>0</v>
          </cell>
          <cell r="E63">
            <v>95638.54</v>
          </cell>
          <cell r="F63">
            <v>-95638.54</v>
          </cell>
          <cell r="G63">
            <v>0</v>
          </cell>
          <cell r="H63">
            <v>-95638.54</v>
          </cell>
        </row>
        <row r="64">
          <cell r="A64">
            <v>41050050</v>
          </cell>
          <cell r="B64" t="str">
            <v>Closing Stock - Admixtures</v>
          </cell>
          <cell r="C64">
            <v>0</v>
          </cell>
          <cell r="D64">
            <v>0</v>
          </cell>
          <cell r="E64">
            <v>127491.71</v>
          </cell>
          <cell r="F64">
            <v>-127491.71</v>
          </cell>
          <cell r="G64">
            <v>0</v>
          </cell>
          <cell r="H64">
            <v>-127491.71</v>
          </cell>
        </row>
        <row r="65">
          <cell r="A65">
            <v>41050070</v>
          </cell>
          <cell r="B65" t="str">
            <v>Closing Stock - Flyash</v>
          </cell>
          <cell r="C65">
            <v>0</v>
          </cell>
          <cell r="D65">
            <v>0</v>
          </cell>
          <cell r="E65">
            <v>37642.230000000003</v>
          </cell>
          <cell r="F65">
            <v>-37642.230000000003</v>
          </cell>
          <cell r="G65">
            <v>0</v>
          </cell>
          <cell r="H65">
            <v>-37642.230000000003</v>
          </cell>
        </row>
        <row r="66">
          <cell r="A66">
            <v>41050080</v>
          </cell>
          <cell r="B66" t="str">
            <v>Closing Stock - Diesel</v>
          </cell>
          <cell r="C66">
            <v>0</v>
          </cell>
          <cell r="D66">
            <v>0</v>
          </cell>
          <cell r="E66">
            <v>35727.31</v>
          </cell>
          <cell r="F66">
            <v>-35727.31</v>
          </cell>
          <cell r="G66">
            <v>0</v>
          </cell>
          <cell r="H66">
            <v>-35727.31</v>
          </cell>
        </row>
        <row r="67">
          <cell r="A67">
            <v>42010010</v>
          </cell>
          <cell r="B67" t="str">
            <v>Salary - Basic</v>
          </cell>
          <cell r="C67">
            <v>0</v>
          </cell>
          <cell r="D67">
            <v>201400</v>
          </cell>
          <cell r="E67">
            <v>0</v>
          </cell>
          <cell r="F67">
            <v>201400</v>
          </cell>
          <cell r="G67">
            <v>0</v>
          </cell>
          <cell r="H67">
            <v>201400</v>
          </cell>
        </row>
        <row r="68">
          <cell r="A68">
            <v>42010020</v>
          </cell>
          <cell r="B68" t="str">
            <v>House Rent Allowance</v>
          </cell>
          <cell r="C68">
            <v>0</v>
          </cell>
          <cell r="D68">
            <v>100700</v>
          </cell>
          <cell r="E68">
            <v>0</v>
          </cell>
          <cell r="F68">
            <v>100700</v>
          </cell>
          <cell r="G68">
            <v>0</v>
          </cell>
          <cell r="H68">
            <v>100700</v>
          </cell>
        </row>
        <row r="69">
          <cell r="A69">
            <v>42010030</v>
          </cell>
          <cell r="B69" t="str">
            <v>Education Allowance</v>
          </cell>
          <cell r="C69">
            <v>0</v>
          </cell>
          <cell r="D69">
            <v>15000</v>
          </cell>
          <cell r="E69">
            <v>0</v>
          </cell>
          <cell r="F69">
            <v>15000</v>
          </cell>
          <cell r="G69">
            <v>0</v>
          </cell>
          <cell r="H69">
            <v>15000</v>
          </cell>
        </row>
        <row r="70">
          <cell r="A70">
            <v>42010040</v>
          </cell>
          <cell r="B70" t="str">
            <v>Special Allowance</v>
          </cell>
          <cell r="C70">
            <v>0</v>
          </cell>
          <cell r="D70">
            <v>35981</v>
          </cell>
          <cell r="E70">
            <v>0</v>
          </cell>
          <cell r="F70">
            <v>35981</v>
          </cell>
          <cell r="G70">
            <v>0</v>
          </cell>
          <cell r="H70">
            <v>35981</v>
          </cell>
        </row>
        <row r="71">
          <cell r="A71">
            <v>42010060</v>
          </cell>
          <cell r="B71" t="str">
            <v>Leave Travel Allowance</v>
          </cell>
          <cell r="C71">
            <v>0</v>
          </cell>
          <cell r="D71">
            <v>9600</v>
          </cell>
          <cell r="E71">
            <v>0</v>
          </cell>
          <cell r="F71">
            <v>9600</v>
          </cell>
          <cell r="G71">
            <v>0</v>
          </cell>
          <cell r="H71">
            <v>9600</v>
          </cell>
        </row>
        <row r="72">
          <cell r="A72">
            <v>42010100</v>
          </cell>
          <cell r="B72" t="str">
            <v>Transport Allowance</v>
          </cell>
          <cell r="C72">
            <v>0</v>
          </cell>
          <cell r="D72">
            <v>51600</v>
          </cell>
          <cell r="E72">
            <v>0</v>
          </cell>
          <cell r="F72">
            <v>51600</v>
          </cell>
          <cell r="G72">
            <v>0</v>
          </cell>
          <cell r="H72">
            <v>51600</v>
          </cell>
        </row>
        <row r="73">
          <cell r="A73">
            <v>42010130</v>
          </cell>
          <cell r="B73" t="str">
            <v>Production Linked Incentive</v>
          </cell>
          <cell r="C73">
            <v>0</v>
          </cell>
          <cell r="D73">
            <v>55070</v>
          </cell>
          <cell r="E73">
            <v>0</v>
          </cell>
          <cell r="F73">
            <v>55070</v>
          </cell>
          <cell r="G73">
            <v>0</v>
          </cell>
          <cell r="H73">
            <v>55070</v>
          </cell>
        </row>
        <row r="74">
          <cell r="A74">
            <v>42010220</v>
          </cell>
          <cell r="B74" t="str">
            <v>Adhoc Allowance</v>
          </cell>
          <cell r="C74">
            <v>0</v>
          </cell>
          <cell r="D74">
            <v>11540</v>
          </cell>
          <cell r="E74">
            <v>0</v>
          </cell>
          <cell r="F74">
            <v>11540</v>
          </cell>
          <cell r="G74">
            <v>0</v>
          </cell>
          <cell r="H74">
            <v>11540</v>
          </cell>
        </row>
        <row r="75">
          <cell r="A75">
            <v>42020010</v>
          </cell>
          <cell r="B75" t="str">
            <v>Provident Funds - Employer's Conribution</v>
          </cell>
          <cell r="C75">
            <v>0</v>
          </cell>
          <cell r="D75">
            <v>24168</v>
          </cell>
          <cell r="E75">
            <v>0</v>
          </cell>
          <cell r="F75">
            <v>24168</v>
          </cell>
          <cell r="G75">
            <v>0</v>
          </cell>
          <cell r="H75">
            <v>24168</v>
          </cell>
        </row>
        <row r="76">
          <cell r="A76">
            <v>42020070</v>
          </cell>
          <cell r="B76" t="str">
            <v>E.S.I.S. - Employer's Contribution</v>
          </cell>
          <cell r="C76">
            <v>0</v>
          </cell>
          <cell r="D76">
            <v>4112</v>
          </cell>
          <cell r="E76">
            <v>0</v>
          </cell>
          <cell r="F76">
            <v>4112</v>
          </cell>
          <cell r="G76">
            <v>0</v>
          </cell>
          <cell r="H76">
            <v>4112</v>
          </cell>
        </row>
        <row r="77">
          <cell r="A77">
            <v>42030020</v>
          </cell>
          <cell r="B77" t="str">
            <v>Purchases of Safety &amp; Welfare Items</v>
          </cell>
          <cell r="C77">
            <v>0</v>
          </cell>
          <cell r="D77">
            <v>18105</v>
          </cell>
          <cell r="E77">
            <v>0</v>
          </cell>
          <cell r="F77">
            <v>18105</v>
          </cell>
          <cell r="G77">
            <v>0</v>
          </cell>
          <cell r="H77">
            <v>18105</v>
          </cell>
        </row>
        <row r="78">
          <cell r="A78">
            <v>42030040</v>
          </cell>
          <cell r="B78" t="str">
            <v>Staff Welfare Expenses - FBT</v>
          </cell>
          <cell r="C78">
            <v>0</v>
          </cell>
          <cell r="D78">
            <v>894</v>
          </cell>
          <cell r="E78">
            <v>0</v>
          </cell>
          <cell r="F78">
            <v>894</v>
          </cell>
          <cell r="G78">
            <v>0</v>
          </cell>
          <cell r="H78">
            <v>894</v>
          </cell>
        </row>
        <row r="79">
          <cell r="A79">
            <v>42030050</v>
          </cell>
          <cell r="B79" t="str">
            <v>Staff Welfare Expenses</v>
          </cell>
          <cell r="C79">
            <v>0</v>
          </cell>
          <cell r="D79">
            <v>7661</v>
          </cell>
          <cell r="E79">
            <v>0</v>
          </cell>
          <cell r="F79">
            <v>7661</v>
          </cell>
          <cell r="G79">
            <v>0</v>
          </cell>
          <cell r="H79">
            <v>7661</v>
          </cell>
        </row>
        <row r="80">
          <cell r="A80">
            <v>42030060</v>
          </cell>
          <cell r="B80" t="str">
            <v>Food &amp; Beverage Exps - FBT</v>
          </cell>
          <cell r="C80">
            <v>0</v>
          </cell>
          <cell r="D80">
            <v>950</v>
          </cell>
          <cell r="E80">
            <v>0</v>
          </cell>
          <cell r="F80">
            <v>950</v>
          </cell>
          <cell r="G80">
            <v>0</v>
          </cell>
          <cell r="H80">
            <v>950</v>
          </cell>
        </row>
        <row r="81">
          <cell r="A81">
            <v>43001010</v>
          </cell>
          <cell r="B81" t="str">
            <v>Electricity Charges</v>
          </cell>
          <cell r="C81">
            <v>0</v>
          </cell>
          <cell r="D81">
            <v>169123</v>
          </cell>
          <cell r="E81">
            <v>80000</v>
          </cell>
          <cell r="F81">
            <v>89123</v>
          </cell>
          <cell r="G81">
            <v>0</v>
          </cell>
          <cell r="H81">
            <v>89123</v>
          </cell>
        </row>
        <row r="82">
          <cell r="A82">
            <v>43001030</v>
          </cell>
          <cell r="B82" t="str">
            <v>Fuel For Diesel Generator Set</v>
          </cell>
          <cell r="C82">
            <v>0</v>
          </cell>
          <cell r="D82">
            <v>2934.49</v>
          </cell>
          <cell r="E82">
            <v>0</v>
          </cell>
          <cell r="F82">
            <v>2934.49</v>
          </cell>
          <cell r="G82">
            <v>0</v>
          </cell>
          <cell r="H82">
            <v>2934.49</v>
          </cell>
        </row>
        <row r="83">
          <cell r="A83">
            <v>43010010</v>
          </cell>
          <cell r="B83" t="str">
            <v>Consumables</v>
          </cell>
          <cell r="C83">
            <v>0</v>
          </cell>
          <cell r="D83">
            <v>5731</v>
          </cell>
          <cell r="E83">
            <v>0</v>
          </cell>
          <cell r="F83">
            <v>5731</v>
          </cell>
          <cell r="G83">
            <v>0</v>
          </cell>
          <cell r="H83">
            <v>5731</v>
          </cell>
        </row>
        <row r="84">
          <cell r="A84">
            <v>43012020</v>
          </cell>
          <cell r="B84" t="str">
            <v>Labour / sub contractor for - Pumping Expenses Incurred</v>
          </cell>
          <cell r="C84">
            <v>0</v>
          </cell>
          <cell r="D84">
            <v>482059</v>
          </cell>
          <cell r="E84">
            <v>161545</v>
          </cell>
          <cell r="F84">
            <v>320514</v>
          </cell>
          <cell r="G84">
            <v>0</v>
          </cell>
          <cell r="H84">
            <v>320514</v>
          </cell>
        </row>
        <row r="85">
          <cell r="A85">
            <v>43016010</v>
          </cell>
          <cell r="B85" t="str">
            <v>Transportation Charges</v>
          </cell>
          <cell r="C85">
            <v>0</v>
          </cell>
          <cell r="D85">
            <v>954</v>
          </cell>
          <cell r="E85">
            <v>0</v>
          </cell>
          <cell r="F85">
            <v>954</v>
          </cell>
          <cell r="G85">
            <v>0</v>
          </cell>
          <cell r="H85">
            <v>954</v>
          </cell>
        </row>
        <row r="86">
          <cell r="A86">
            <v>43018010</v>
          </cell>
          <cell r="B86" t="str">
            <v>Repairs &amp; Maintenance</v>
          </cell>
          <cell r="C86">
            <v>0</v>
          </cell>
          <cell r="D86">
            <v>241023.72</v>
          </cell>
          <cell r="E86">
            <v>33027.51</v>
          </cell>
          <cell r="F86">
            <v>207996.21</v>
          </cell>
          <cell r="G86">
            <v>0</v>
          </cell>
          <cell r="H86">
            <v>207996.21</v>
          </cell>
        </row>
        <row r="87">
          <cell r="A87">
            <v>43020030</v>
          </cell>
          <cell r="B87" t="str">
            <v>Tyres</v>
          </cell>
          <cell r="C87">
            <v>0</v>
          </cell>
          <cell r="D87">
            <v>160552.04</v>
          </cell>
          <cell r="E87">
            <v>80846.52</v>
          </cell>
          <cell r="F87">
            <v>79705.52</v>
          </cell>
          <cell r="G87">
            <v>0</v>
          </cell>
          <cell r="H87">
            <v>79705.52</v>
          </cell>
        </row>
        <row r="88">
          <cell r="A88">
            <v>43022010</v>
          </cell>
          <cell r="B88" t="str">
            <v>Plant / Office Up Keep Exps</v>
          </cell>
          <cell r="C88">
            <v>0</v>
          </cell>
          <cell r="D88">
            <v>113109</v>
          </cell>
          <cell r="E88">
            <v>26314</v>
          </cell>
          <cell r="F88">
            <v>86795</v>
          </cell>
          <cell r="G88">
            <v>0</v>
          </cell>
          <cell r="H88">
            <v>86795</v>
          </cell>
        </row>
        <row r="89">
          <cell r="A89">
            <v>43030010</v>
          </cell>
          <cell r="B89" t="str">
            <v>Transportation Exps-Labour</v>
          </cell>
          <cell r="C89">
            <v>0</v>
          </cell>
          <cell r="D89">
            <v>220980</v>
          </cell>
          <cell r="E89">
            <v>73430</v>
          </cell>
          <cell r="F89">
            <v>147550</v>
          </cell>
          <cell r="G89">
            <v>0</v>
          </cell>
          <cell r="H89">
            <v>147550</v>
          </cell>
        </row>
        <row r="90">
          <cell r="A90">
            <v>43032010</v>
          </cell>
          <cell r="B90" t="str">
            <v>Rent - Plant</v>
          </cell>
          <cell r="C90">
            <v>0</v>
          </cell>
          <cell r="D90">
            <v>295168</v>
          </cell>
          <cell r="E90">
            <v>0</v>
          </cell>
          <cell r="F90">
            <v>295168</v>
          </cell>
          <cell r="G90">
            <v>0</v>
          </cell>
          <cell r="H90">
            <v>295168</v>
          </cell>
        </row>
        <row r="91">
          <cell r="A91">
            <v>43032040</v>
          </cell>
          <cell r="B91" t="str">
            <v>Lease Rentals- Machinery</v>
          </cell>
          <cell r="C91">
            <v>0</v>
          </cell>
          <cell r="D91">
            <v>246578</v>
          </cell>
          <cell r="E91">
            <v>0</v>
          </cell>
          <cell r="F91">
            <v>246578</v>
          </cell>
          <cell r="G91">
            <v>0</v>
          </cell>
          <cell r="H91">
            <v>246578</v>
          </cell>
        </row>
        <row r="92">
          <cell r="A92">
            <v>43032045</v>
          </cell>
          <cell r="B92" t="str">
            <v>Towing Expenses</v>
          </cell>
          <cell r="C92">
            <v>0</v>
          </cell>
          <cell r="D92">
            <v>110866</v>
          </cell>
          <cell r="E92">
            <v>21333</v>
          </cell>
          <cell r="F92">
            <v>89533</v>
          </cell>
          <cell r="G92">
            <v>0</v>
          </cell>
          <cell r="H92">
            <v>89533</v>
          </cell>
        </row>
        <row r="93">
          <cell r="A93">
            <v>43036010</v>
          </cell>
          <cell r="B93" t="str">
            <v>Insurance Expenses</v>
          </cell>
          <cell r="C93">
            <v>0</v>
          </cell>
          <cell r="D93">
            <v>24564</v>
          </cell>
          <cell r="E93">
            <v>0</v>
          </cell>
          <cell r="F93">
            <v>24564</v>
          </cell>
          <cell r="G93">
            <v>0</v>
          </cell>
          <cell r="H93">
            <v>24564</v>
          </cell>
        </row>
        <row r="94">
          <cell r="A94">
            <v>43038020</v>
          </cell>
          <cell r="B94" t="str">
            <v>Courier Expenses</v>
          </cell>
          <cell r="C94">
            <v>0</v>
          </cell>
          <cell r="D94">
            <v>1195</v>
          </cell>
          <cell r="E94">
            <v>0</v>
          </cell>
          <cell r="F94">
            <v>1195</v>
          </cell>
          <cell r="G94">
            <v>0</v>
          </cell>
          <cell r="H94">
            <v>1195</v>
          </cell>
        </row>
        <row r="95">
          <cell r="A95">
            <v>43038030</v>
          </cell>
          <cell r="B95" t="str">
            <v>Telephone Expenses</v>
          </cell>
          <cell r="C95">
            <v>0</v>
          </cell>
          <cell r="D95">
            <v>4241</v>
          </cell>
          <cell r="E95">
            <v>0</v>
          </cell>
          <cell r="F95">
            <v>4241</v>
          </cell>
          <cell r="G95">
            <v>0</v>
          </cell>
          <cell r="H95">
            <v>4241</v>
          </cell>
        </row>
        <row r="96">
          <cell r="A96">
            <v>43038050</v>
          </cell>
          <cell r="B96" t="str">
            <v>Telephone Chgs - Mobile  FBT</v>
          </cell>
          <cell r="C96">
            <v>0</v>
          </cell>
          <cell r="D96">
            <v>26743</v>
          </cell>
          <cell r="E96">
            <v>1965</v>
          </cell>
          <cell r="F96">
            <v>24778</v>
          </cell>
          <cell r="G96">
            <v>0</v>
          </cell>
          <cell r="H96">
            <v>24778</v>
          </cell>
        </row>
        <row r="97">
          <cell r="A97">
            <v>43040010</v>
          </cell>
          <cell r="B97" t="str">
            <v>Conveyance Expenses - FBT</v>
          </cell>
          <cell r="C97">
            <v>0</v>
          </cell>
          <cell r="D97">
            <v>39588</v>
          </cell>
          <cell r="E97">
            <v>0</v>
          </cell>
          <cell r="F97">
            <v>39588</v>
          </cell>
          <cell r="G97">
            <v>0</v>
          </cell>
          <cell r="H97">
            <v>39588</v>
          </cell>
        </row>
        <row r="98">
          <cell r="A98">
            <v>43040030</v>
          </cell>
          <cell r="B98" t="str">
            <v>Motor Car Hire Expenses - FBT</v>
          </cell>
          <cell r="C98">
            <v>0</v>
          </cell>
          <cell r="D98">
            <v>48204.959999999999</v>
          </cell>
          <cell r="E98">
            <v>0</v>
          </cell>
          <cell r="F98">
            <v>48204.959999999999</v>
          </cell>
          <cell r="G98">
            <v>0</v>
          </cell>
          <cell r="H98">
            <v>48204.959999999999</v>
          </cell>
        </row>
        <row r="99">
          <cell r="A99">
            <v>43040040</v>
          </cell>
          <cell r="B99" t="str">
            <v>Motor Car Hire Expenses</v>
          </cell>
          <cell r="C99">
            <v>0</v>
          </cell>
          <cell r="D99">
            <v>41500</v>
          </cell>
          <cell r="E99">
            <v>22000</v>
          </cell>
          <cell r="F99">
            <v>19500</v>
          </cell>
          <cell r="G99">
            <v>0</v>
          </cell>
          <cell r="H99">
            <v>19500</v>
          </cell>
        </row>
        <row r="100">
          <cell r="A100">
            <v>43040080</v>
          </cell>
          <cell r="B100" t="str">
            <v>Travelling Expenses - Domestic - FBT</v>
          </cell>
          <cell r="C100">
            <v>0</v>
          </cell>
          <cell r="D100">
            <v>835</v>
          </cell>
          <cell r="E100">
            <v>0</v>
          </cell>
          <cell r="F100">
            <v>835</v>
          </cell>
          <cell r="G100">
            <v>0</v>
          </cell>
          <cell r="H100">
            <v>835</v>
          </cell>
        </row>
        <row r="101">
          <cell r="A101">
            <v>43042010</v>
          </cell>
          <cell r="B101" t="str">
            <v>Fuel - Truck Mixers</v>
          </cell>
          <cell r="C101">
            <v>0</v>
          </cell>
          <cell r="D101">
            <v>678257.79</v>
          </cell>
          <cell r="E101">
            <v>339129</v>
          </cell>
          <cell r="F101">
            <v>339128.79</v>
          </cell>
          <cell r="G101">
            <v>0</v>
          </cell>
          <cell r="H101">
            <v>339128.79</v>
          </cell>
        </row>
        <row r="102">
          <cell r="A102">
            <v>43042020</v>
          </cell>
          <cell r="B102" t="str">
            <v>Fuel - Loader</v>
          </cell>
          <cell r="C102">
            <v>0</v>
          </cell>
          <cell r="D102">
            <v>25921.360000000001</v>
          </cell>
          <cell r="E102">
            <v>0</v>
          </cell>
          <cell r="F102">
            <v>25921.360000000001</v>
          </cell>
          <cell r="G102">
            <v>0</v>
          </cell>
          <cell r="H102">
            <v>25921.360000000001</v>
          </cell>
        </row>
        <row r="103">
          <cell r="A103">
            <v>43042030</v>
          </cell>
          <cell r="B103" t="str">
            <v>Fuel - Others</v>
          </cell>
          <cell r="C103">
            <v>0</v>
          </cell>
          <cell r="D103">
            <v>17713</v>
          </cell>
          <cell r="E103">
            <v>17713</v>
          </cell>
          <cell r="F103">
            <v>0</v>
          </cell>
          <cell r="G103">
            <v>0</v>
          </cell>
          <cell r="H103">
            <v>0</v>
          </cell>
        </row>
        <row r="104">
          <cell r="A104">
            <v>43042050</v>
          </cell>
          <cell r="B104" t="str">
            <v>Fuel -  External Trucks/Pumps</v>
          </cell>
          <cell r="C104">
            <v>0</v>
          </cell>
          <cell r="D104">
            <v>615834.28</v>
          </cell>
          <cell r="E104">
            <v>299061</v>
          </cell>
          <cell r="F104">
            <v>316773.28000000003</v>
          </cell>
          <cell r="G104">
            <v>0</v>
          </cell>
          <cell r="H104">
            <v>316773.28000000003</v>
          </cell>
        </row>
        <row r="105">
          <cell r="A105">
            <v>43042060</v>
          </cell>
          <cell r="B105" t="str">
            <v>Fuel - Concrete Pumps</v>
          </cell>
          <cell r="C105">
            <v>0</v>
          </cell>
          <cell r="D105">
            <v>117638.61</v>
          </cell>
          <cell r="E105">
            <v>58819</v>
          </cell>
          <cell r="F105">
            <v>58819.61</v>
          </cell>
          <cell r="G105">
            <v>0</v>
          </cell>
          <cell r="H105">
            <v>58819.61</v>
          </cell>
        </row>
        <row r="106">
          <cell r="A106">
            <v>43046010</v>
          </cell>
          <cell r="B106" t="str">
            <v>Rates &amp; Taxes</v>
          </cell>
          <cell r="C106">
            <v>0</v>
          </cell>
          <cell r="D106">
            <v>9452</v>
          </cell>
          <cell r="E106">
            <v>0</v>
          </cell>
          <cell r="F106">
            <v>9452</v>
          </cell>
          <cell r="G106">
            <v>0</v>
          </cell>
          <cell r="H106">
            <v>9452</v>
          </cell>
        </row>
        <row r="107">
          <cell r="A107">
            <v>43046030</v>
          </cell>
          <cell r="B107" t="str">
            <v>Fines &amp; Penalties</v>
          </cell>
          <cell r="C107">
            <v>0</v>
          </cell>
          <cell r="D107">
            <v>400</v>
          </cell>
          <cell r="E107">
            <v>0</v>
          </cell>
          <cell r="F107">
            <v>400</v>
          </cell>
          <cell r="G107">
            <v>0</v>
          </cell>
          <cell r="H107">
            <v>400</v>
          </cell>
        </row>
        <row r="108">
          <cell r="A108">
            <v>43050020</v>
          </cell>
          <cell r="B108" t="str">
            <v>Recruitment Expenses</v>
          </cell>
          <cell r="C108">
            <v>0</v>
          </cell>
          <cell r="D108">
            <v>2000</v>
          </cell>
          <cell r="E108">
            <v>0</v>
          </cell>
          <cell r="F108">
            <v>2000</v>
          </cell>
          <cell r="G108">
            <v>0</v>
          </cell>
          <cell r="H108">
            <v>2000</v>
          </cell>
        </row>
        <row r="109">
          <cell r="A109">
            <v>43052010</v>
          </cell>
          <cell r="B109" t="str">
            <v>Security Service Charges</v>
          </cell>
          <cell r="C109">
            <v>0</v>
          </cell>
          <cell r="D109">
            <v>99078</v>
          </cell>
          <cell r="E109">
            <v>32539</v>
          </cell>
          <cell r="F109">
            <v>66539</v>
          </cell>
          <cell r="G109">
            <v>0</v>
          </cell>
          <cell r="H109">
            <v>66539</v>
          </cell>
        </row>
        <row r="110">
          <cell r="A110">
            <v>43054020</v>
          </cell>
          <cell r="B110" t="str">
            <v>Concrete Carrying Charges - TM</v>
          </cell>
          <cell r="C110">
            <v>0</v>
          </cell>
          <cell r="D110">
            <v>1310400</v>
          </cell>
          <cell r="E110">
            <v>436800</v>
          </cell>
          <cell r="F110">
            <v>873600</v>
          </cell>
          <cell r="G110">
            <v>0</v>
          </cell>
          <cell r="H110">
            <v>873600</v>
          </cell>
        </row>
        <row r="111">
          <cell r="A111">
            <v>43056010</v>
          </cell>
          <cell r="B111" t="str">
            <v>Professional &amp; Consultancy Fees</v>
          </cell>
          <cell r="C111">
            <v>0</v>
          </cell>
          <cell r="D111">
            <v>143976</v>
          </cell>
          <cell r="E111">
            <v>30500</v>
          </cell>
          <cell r="F111">
            <v>113476</v>
          </cell>
          <cell r="G111">
            <v>0</v>
          </cell>
          <cell r="H111">
            <v>113476</v>
          </cell>
        </row>
        <row r="112">
          <cell r="A112">
            <v>43062010</v>
          </cell>
          <cell r="B112" t="str">
            <v>Computer Expenses</v>
          </cell>
          <cell r="C112">
            <v>0</v>
          </cell>
          <cell r="D112">
            <v>4000</v>
          </cell>
          <cell r="E112">
            <v>0</v>
          </cell>
          <cell r="F112">
            <v>4000</v>
          </cell>
          <cell r="G112">
            <v>0</v>
          </cell>
          <cell r="H112">
            <v>4000</v>
          </cell>
        </row>
        <row r="113">
          <cell r="A113">
            <v>43066010</v>
          </cell>
          <cell r="B113" t="str">
            <v>Books &amp; Periodicals</v>
          </cell>
          <cell r="C113">
            <v>0</v>
          </cell>
          <cell r="D113">
            <v>200</v>
          </cell>
          <cell r="E113">
            <v>0</v>
          </cell>
          <cell r="F113">
            <v>200</v>
          </cell>
          <cell r="G113">
            <v>0</v>
          </cell>
          <cell r="H113">
            <v>200</v>
          </cell>
        </row>
        <row r="114">
          <cell r="A114">
            <v>43066020</v>
          </cell>
          <cell r="B114" t="str">
            <v>Printing &amp; Stationery</v>
          </cell>
          <cell r="C114">
            <v>0</v>
          </cell>
          <cell r="D114">
            <v>6421</v>
          </cell>
          <cell r="E114">
            <v>0</v>
          </cell>
          <cell r="F114">
            <v>6421</v>
          </cell>
          <cell r="G114">
            <v>0</v>
          </cell>
          <cell r="H114">
            <v>6421</v>
          </cell>
        </row>
        <row r="115">
          <cell r="A115">
            <v>43084020</v>
          </cell>
          <cell r="B115" t="str">
            <v>Testing Charges</v>
          </cell>
          <cell r="C115">
            <v>0</v>
          </cell>
          <cell r="D115">
            <v>13026</v>
          </cell>
          <cell r="E115">
            <v>0</v>
          </cell>
          <cell r="F115">
            <v>13026</v>
          </cell>
          <cell r="G115">
            <v>0</v>
          </cell>
          <cell r="H115">
            <v>13026</v>
          </cell>
        </row>
        <row r="116">
          <cell r="A116">
            <v>43084030</v>
          </cell>
          <cell r="B116" t="str">
            <v>Rounding Off</v>
          </cell>
          <cell r="C116">
            <v>0</v>
          </cell>
          <cell r="D116">
            <v>47.93</v>
          </cell>
          <cell r="E116">
            <v>23.52</v>
          </cell>
          <cell r="F116">
            <v>24.41</v>
          </cell>
          <cell r="G116">
            <v>0</v>
          </cell>
          <cell r="H116">
            <v>24.41</v>
          </cell>
        </row>
        <row r="117">
          <cell r="A117">
            <v>44010040</v>
          </cell>
          <cell r="B117" t="str">
            <v>Bank Charges</v>
          </cell>
          <cell r="C117">
            <v>0</v>
          </cell>
          <cell r="D117">
            <v>7341.98</v>
          </cell>
          <cell r="E117">
            <v>0</v>
          </cell>
          <cell r="F117">
            <v>7341.98</v>
          </cell>
          <cell r="G117">
            <v>0</v>
          </cell>
          <cell r="H117">
            <v>7341.98</v>
          </cell>
        </row>
        <row r="118">
          <cell r="A118">
            <v>45010010</v>
          </cell>
          <cell r="B118" t="str">
            <v>Depreciation</v>
          </cell>
          <cell r="C118">
            <v>0</v>
          </cell>
          <cell r="D118">
            <v>738858</v>
          </cell>
          <cell r="E118">
            <v>0</v>
          </cell>
          <cell r="F118">
            <v>738858</v>
          </cell>
          <cell r="G118">
            <v>0</v>
          </cell>
          <cell r="H118">
            <v>738858</v>
          </cell>
        </row>
        <row r="119">
          <cell r="A119">
            <v>46030010</v>
          </cell>
          <cell r="B119" t="str">
            <v>Deferred Revenue Expenses Written Off</v>
          </cell>
          <cell r="C119">
            <v>0</v>
          </cell>
          <cell r="D119">
            <v>51207</v>
          </cell>
          <cell r="E119">
            <v>0</v>
          </cell>
          <cell r="F119">
            <v>51207</v>
          </cell>
          <cell r="G119">
            <v>0</v>
          </cell>
          <cell r="H119">
            <v>51207</v>
          </cell>
        </row>
        <row r="120">
          <cell r="A120">
            <v>52000000</v>
          </cell>
          <cell r="B120" t="str">
            <v>Inter Branch Control Account</v>
          </cell>
          <cell r="C120">
            <v>-44778304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-44778304</v>
          </cell>
        </row>
        <row r="121">
          <cell r="A121">
            <v>52000809</v>
          </cell>
          <cell r="B121" t="str">
            <v>Inter branch control account for 08-09</v>
          </cell>
          <cell r="C121">
            <v>428077</v>
          </cell>
          <cell r="D121">
            <v>377923</v>
          </cell>
          <cell r="E121">
            <v>1725557</v>
          </cell>
          <cell r="F121">
            <v>-1347634</v>
          </cell>
          <cell r="G121">
            <v>0</v>
          </cell>
          <cell r="H121">
            <v>-919557</v>
          </cell>
        </row>
        <row r="122">
          <cell r="A122">
            <v>61000400</v>
          </cell>
          <cell r="B122" t="str">
            <v>Control Account Haulage Income</v>
          </cell>
          <cell r="C122">
            <v>0</v>
          </cell>
          <cell r="D122">
            <v>1588203</v>
          </cell>
          <cell r="E122">
            <v>1588203</v>
          </cell>
          <cell r="F122">
            <v>0</v>
          </cell>
          <cell r="G122">
            <v>0</v>
          </cell>
          <cell r="H122">
            <v>0</v>
          </cell>
        </row>
        <row r="123">
          <cell r="A123">
            <v>61000500</v>
          </cell>
          <cell r="B123" t="str">
            <v>Control Account for Pumping</v>
          </cell>
          <cell r="C123">
            <v>0</v>
          </cell>
          <cell r="D123">
            <v>363471</v>
          </cell>
          <cell r="E123">
            <v>363471</v>
          </cell>
          <cell r="F123">
            <v>0</v>
          </cell>
          <cell r="G123">
            <v>0</v>
          </cell>
          <cell r="H123">
            <v>0</v>
          </cell>
        </row>
        <row r="124">
          <cell r="A124">
            <v>62000000</v>
          </cell>
          <cell r="B124" t="str">
            <v>Inter branch Clearing account</v>
          </cell>
          <cell r="C124">
            <v>0</v>
          </cell>
          <cell r="D124">
            <v>2103480</v>
          </cell>
          <cell r="E124">
            <v>2103480</v>
          </cell>
          <cell r="F124">
            <v>0</v>
          </cell>
          <cell r="G124">
            <v>0</v>
          </cell>
          <cell r="H124">
            <v>0</v>
          </cell>
        </row>
        <row r="125">
          <cell r="B125" t="str">
            <v>Total</v>
          </cell>
          <cell r="D125">
            <v>0</v>
          </cell>
          <cell r="E125">
            <v>93999876.640000001</v>
          </cell>
          <cell r="F125">
            <v>93999876.640000001</v>
          </cell>
          <cell r="G125">
            <v>0</v>
          </cell>
          <cell r="H125">
            <v>0</v>
          </cell>
        </row>
      </sheetData>
      <sheetData sheetId="14" refreshError="1">
        <row r="1">
          <cell r="A1" t="str">
            <v>RMC Readymix (I) Pvt. Ltd.,</v>
          </cell>
          <cell r="B1" t="str">
            <v>Trial balance</v>
          </cell>
          <cell r="C1">
            <v>39969</v>
          </cell>
          <cell r="D1">
            <v>0.75774305555555566</v>
          </cell>
          <cell r="E1" t="str">
            <v>Page 1</v>
          </cell>
          <cell r="F1" t="str">
            <v>Kolkata</v>
          </cell>
        </row>
        <row r="2">
          <cell r="A2" t="str">
            <v>Period</v>
          </cell>
          <cell r="B2">
            <v>39904</v>
          </cell>
          <cell r="C2">
            <v>39964</v>
          </cell>
        </row>
        <row r="3">
          <cell r="A3" t="str">
            <v>Ledger account</v>
          </cell>
          <cell r="B3" t="str">
            <v>Account name</v>
          </cell>
          <cell r="C3" t="str">
            <v>Opening balance</v>
          </cell>
          <cell r="D3" t="str">
            <v>Debit</v>
          </cell>
          <cell r="E3" t="str">
            <v>Credit</v>
          </cell>
          <cell r="F3" t="str">
            <v>Net difference</v>
          </cell>
          <cell r="G3" t="str">
            <v>Closing transactions</v>
          </cell>
          <cell r="H3" t="str">
            <v>Closing balance</v>
          </cell>
        </row>
        <row r="4">
          <cell r="A4">
            <v>11015010</v>
          </cell>
          <cell r="B4" t="str">
            <v>Buildings</v>
          </cell>
          <cell r="C4">
            <v>37883456.109999999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37883456.109999999</v>
          </cell>
        </row>
        <row r="5">
          <cell r="A5">
            <v>11025010</v>
          </cell>
          <cell r="B5" t="str">
            <v>Plant and Machinery</v>
          </cell>
          <cell r="C5">
            <v>65646012.780000001</v>
          </cell>
          <cell r="D5">
            <v>15640</v>
          </cell>
          <cell r="E5">
            <v>0</v>
          </cell>
          <cell r="F5">
            <v>15640</v>
          </cell>
          <cell r="G5">
            <v>0</v>
          </cell>
          <cell r="H5">
            <v>65661652.780000001</v>
          </cell>
        </row>
        <row r="6">
          <cell r="A6">
            <v>11030010</v>
          </cell>
          <cell r="B6" t="str">
            <v>Electrical Installations</v>
          </cell>
          <cell r="C6">
            <v>1565522.2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1565522.2</v>
          </cell>
        </row>
        <row r="7">
          <cell r="A7">
            <v>11035010</v>
          </cell>
          <cell r="B7" t="str">
            <v>Furniture &amp; Fixtures</v>
          </cell>
          <cell r="C7">
            <v>3555059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3555059</v>
          </cell>
        </row>
        <row r="8">
          <cell r="A8">
            <v>11040010</v>
          </cell>
          <cell r="B8" t="str">
            <v>Office &amp; Electrical Appliances</v>
          </cell>
          <cell r="C8">
            <v>1917985.27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1917985.27</v>
          </cell>
        </row>
        <row r="9">
          <cell r="A9">
            <v>11045010</v>
          </cell>
          <cell r="B9" t="str">
            <v>Truck Mixers, Loaders &amp; Truck Dumpers</v>
          </cell>
          <cell r="C9">
            <v>5250689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5250689</v>
          </cell>
        </row>
        <row r="10">
          <cell r="A10">
            <v>11060010</v>
          </cell>
          <cell r="B10" t="str">
            <v>Capital W.I.P</v>
          </cell>
          <cell r="C10">
            <v>15640.5</v>
          </cell>
          <cell r="D10">
            <v>0</v>
          </cell>
          <cell r="E10">
            <v>15640</v>
          </cell>
          <cell r="F10">
            <v>-15640</v>
          </cell>
          <cell r="G10">
            <v>0</v>
          </cell>
          <cell r="H10">
            <v>0.5</v>
          </cell>
        </row>
        <row r="11">
          <cell r="A11">
            <v>13015010</v>
          </cell>
          <cell r="B11" t="str">
            <v>Balance Sheet Stock of Raw material - RMC</v>
          </cell>
          <cell r="C11">
            <v>6644076.6100000003</v>
          </cell>
          <cell r="D11">
            <v>5806191.7300000004</v>
          </cell>
          <cell r="E11">
            <v>6644076.6100000003</v>
          </cell>
          <cell r="F11">
            <v>-837884.88</v>
          </cell>
          <cell r="G11">
            <v>0</v>
          </cell>
          <cell r="H11">
            <v>5806191.7300000004</v>
          </cell>
        </row>
        <row r="12">
          <cell r="A12">
            <v>13020010</v>
          </cell>
          <cell r="B12" t="str">
            <v>Sundry Debtors Account</v>
          </cell>
          <cell r="C12">
            <v>116005518.44</v>
          </cell>
          <cell r="D12">
            <v>82313548</v>
          </cell>
          <cell r="E12">
            <v>92531664.25</v>
          </cell>
          <cell r="F12">
            <v>-10218116.25</v>
          </cell>
          <cell r="G12">
            <v>0</v>
          </cell>
          <cell r="H12">
            <v>105787402.19</v>
          </cell>
        </row>
        <row r="13">
          <cell r="A13">
            <v>13025010</v>
          </cell>
          <cell r="B13" t="str">
            <v>Cash In Hand</v>
          </cell>
          <cell r="C13">
            <v>0</v>
          </cell>
          <cell r="D13">
            <v>478424</v>
          </cell>
          <cell r="E13">
            <v>424537</v>
          </cell>
          <cell r="F13">
            <v>53887</v>
          </cell>
          <cell r="G13">
            <v>0</v>
          </cell>
          <cell r="H13">
            <v>53887</v>
          </cell>
        </row>
        <row r="14">
          <cell r="A14">
            <v>13035010</v>
          </cell>
          <cell r="B14" t="str">
            <v>Bank Account</v>
          </cell>
          <cell r="C14">
            <v>163798.21</v>
          </cell>
          <cell r="D14">
            <v>93583594.549999997</v>
          </cell>
          <cell r="E14">
            <v>106168908.22</v>
          </cell>
          <cell r="F14">
            <v>-12585313.67</v>
          </cell>
          <cell r="G14">
            <v>0</v>
          </cell>
          <cell r="H14">
            <v>-12421515.460000001</v>
          </cell>
        </row>
        <row r="15">
          <cell r="A15">
            <v>13040030</v>
          </cell>
          <cell r="B15" t="str">
            <v>Cheques in Hand collected from parties as on 31.03</v>
          </cell>
          <cell r="C15">
            <v>1913166</v>
          </cell>
          <cell r="D15">
            <v>0</v>
          </cell>
          <cell r="E15">
            <v>1913166</v>
          </cell>
          <cell r="F15">
            <v>-1913166</v>
          </cell>
          <cell r="G15">
            <v>0</v>
          </cell>
          <cell r="H15">
            <v>0</v>
          </cell>
        </row>
        <row r="16">
          <cell r="A16">
            <v>13045020</v>
          </cell>
          <cell r="B16" t="str">
            <v>Loans and advances to employees</v>
          </cell>
          <cell r="C16">
            <v>8330</v>
          </cell>
          <cell r="D16">
            <v>328762</v>
          </cell>
          <cell r="E16">
            <v>264155</v>
          </cell>
          <cell r="F16">
            <v>64607</v>
          </cell>
          <cell r="G16">
            <v>0</v>
          </cell>
          <cell r="H16">
            <v>72937</v>
          </cell>
        </row>
        <row r="17">
          <cell r="A17">
            <v>13050016</v>
          </cell>
          <cell r="B17" t="str">
            <v>TDS ON RECEIPTS - 05-06</v>
          </cell>
          <cell r="C17">
            <v>175798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175798</v>
          </cell>
        </row>
        <row r="18">
          <cell r="A18">
            <v>13050018</v>
          </cell>
          <cell r="B18" t="str">
            <v>TDS ON RECEIPTS - 06-07</v>
          </cell>
          <cell r="C18">
            <v>238118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238118</v>
          </cell>
        </row>
        <row r="19">
          <cell r="A19">
            <v>13055020</v>
          </cell>
          <cell r="B19" t="str">
            <v>Prepaid Expenses</v>
          </cell>
          <cell r="C19">
            <v>584205.5</v>
          </cell>
          <cell r="D19">
            <v>442532</v>
          </cell>
          <cell r="E19">
            <v>247006</v>
          </cell>
          <cell r="F19">
            <v>195526</v>
          </cell>
          <cell r="G19">
            <v>0</v>
          </cell>
          <cell r="H19">
            <v>779731.5</v>
          </cell>
        </row>
        <row r="20">
          <cell r="A20">
            <v>13055060</v>
          </cell>
          <cell r="B20" t="str">
            <v>VAT Credit Receivable (Inputs)</v>
          </cell>
          <cell r="C20">
            <v>0</v>
          </cell>
          <cell r="D20">
            <v>3787750</v>
          </cell>
          <cell r="E20">
            <v>2382698</v>
          </cell>
          <cell r="F20">
            <v>1405052</v>
          </cell>
          <cell r="G20">
            <v>0</v>
          </cell>
          <cell r="H20">
            <v>1405052</v>
          </cell>
        </row>
        <row r="21">
          <cell r="A21">
            <v>13055090</v>
          </cell>
          <cell r="B21" t="str">
            <v>Sundry Deposits</v>
          </cell>
          <cell r="C21">
            <v>1104100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1104100</v>
          </cell>
        </row>
        <row r="22">
          <cell r="A22">
            <v>25005010</v>
          </cell>
          <cell r="B22" t="str">
            <v>Creditors Control</v>
          </cell>
          <cell r="C22">
            <v>-74977264.060000002</v>
          </cell>
          <cell r="D22">
            <v>98717327.769999996</v>
          </cell>
          <cell r="E22">
            <v>51198677.789999999</v>
          </cell>
          <cell r="F22">
            <v>47518649.979999997</v>
          </cell>
          <cell r="G22">
            <v>0</v>
          </cell>
          <cell r="H22">
            <v>-27458614.079999998</v>
          </cell>
        </row>
        <row r="23">
          <cell r="A23">
            <v>25005050</v>
          </cell>
          <cell r="B23" t="str">
            <v>Creditors liability for material received but bill not recei</v>
          </cell>
          <cell r="C23">
            <v>-3.63</v>
          </cell>
          <cell r="D23">
            <v>44762051.109999999</v>
          </cell>
          <cell r="E23">
            <v>59543525.060000002</v>
          </cell>
          <cell r="F23">
            <v>-14781473.949999999</v>
          </cell>
          <cell r="G23">
            <v>0</v>
          </cell>
          <cell r="H23">
            <v>-14781477.58</v>
          </cell>
        </row>
        <row r="24">
          <cell r="A24">
            <v>25010020</v>
          </cell>
          <cell r="B24" t="str">
            <v>Outstanding Liabilities For Expenses</v>
          </cell>
          <cell r="C24">
            <v>-102884</v>
          </cell>
          <cell r="D24">
            <v>102884</v>
          </cell>
          <cell r="E24">
            <v>0</v>
          </cell>
          <cell r="F24">
            <v>102884</v>
          </cell>
          <cell r="G24">
            <v>0</v>
          </cell>
          <cell r="H24">
            <v>0</v>
          </cell>
        </row>
        <row r="25">
          <cell r="A25">
            <v>25010050</v>
          </cell>
          <cell r="B25" t="str">
            <v>Salary Payable</v>
          </cell>
          <cell r="C25">
            <v>-35934</v>
          </cell>
          <cell r="D25">
            <v>859367</v>
          </cell>
          <cell r="E25">
            <v>1579927</v>
          </cell>
          <cell r="F25">
            <v>-720560</v>
          </cell>
          <cell r="G25">
            <v>0</v>
          </cell>
          <cell r="H25">
            <v>-756494</v>
          </cell>
        </row>
        <row r="26">
          <cell r="A26">
            <v>25010060</v>
          </cell>
          <cell r="B26" t="str">
            <v>T.D.S.payable account</v>
          </cell>
          <cell r="C26">
            <v>-543707</v>
          </cell>
          <cell r="D26">
            <v>626677</v>
          </cell>
          <cell r="E26">
            <v>180883</v>
          </cell>
          <cell r="F26">
            <v>445794</v>
          </cell>
          <cell r="G26">
            <v>0</v>
          </cell>
          <cell r="H26">
            <v>-97913</v>
          </cell>
        </row>
        <row r="27">
          <cell r="A27">
            <v>25010190</v>
          </cell>
          <cell r="B27" t="str">
            <v>VAT  Payable account</v>
          </cell>
          <cell r="C27">
            <v>-438825.99</v>
          </cell>
          <cell r="D27">
            <v>5077841</v>
          </cell>
          <cell r="E27">
            <v>8886075</v>
          </cell>
          <cell r="F27">
            <v>-3808234</v>
          </cell>
          <cell r="G27">
            <v>0</v>
          </cell>
          <cell r="H27">
            <v>-4247059.99</v>
          </cell>
        </row>
        <row r="28">
          <cell r="A28">
            <v>25010200</v>
          </cell>
          <cell r="B28" t="str">
            <v>Provision for Expenses in MIS</v>
          </cell>
          <cell r="C28">
            <v>0</v>
          </cell>
          <cell r="D28">
            <v>3758156</v>
          </cell>
          <cell r="E28">
            <v>10189768</v>
          </cell>
          <cell r="F28">
            <v>-6431612</v>
          </cell>
          <cell r="G28">
            <v>0</v>
          </cell>
          <cell r="H28">
            <v>-6431612</v>
          </cell>
        </row>
        <row r="29">
          <cell r="A29">
            <v>25015010</v>
          </cell>
          <cell r="B29" t="str">
            <v>PF Payable account</v>
          </cell>
          <cell r="C29">
            <v>-50215</v>
          </cell>
          <cell r="D29">
            <v>91702</v>
          </cell>
          <cell r="E29">
            <v>90923</v>
          </cell>
          <cell r="F29">
            <v>779</v>
          </cell>
          <cell r="G29">
            <v>0</v>
          </cell>
          <cell r="H29">
            <v>-49436</v>
          </cell>
        </row>
        <row r="30">
          <cell r="A30">
            <v>25020010</v>
          </cell>
          <cell r="B30" t="str">
            <v>E.S.I.C. Payable account</v>
          </cell>
          <cell r="C30">
            <v>-3356</v>
          </cell>
          <cell r="D30">
            <v>24277</v>
          </cell>
          <cell r="E30">
            <v>24156</v>
          </cell>
          <cell r="F30">
            <v>121</v>
          </cell>
          <cell r="G30">
            <v>0</v>
          </cell>
          <cell r="H30">
            <v>-3235</v>
          </cell>
        </row>
        <row r="31">
          <cell r="A31">
            <v>25020040</v>
          </cell>
          <cell r="B31" t="str">
            <v>Profession Tax payable</v>
          </cell>
          <cell r="C31">
            <v>-5200</v>
          </cell>
          <cell r="D31">
            <v>10255</v>
          </cell>
          <cell r="E31">
            <v>10170</v>
          </cell>
          <cell r="F31">
            <v>85</v>
          </cell>
          <cell r="G31">
            <v>0</v>
          </cell>
          <cell r="H31">
            <v>-5115</v>
          </cell>
        </row>
        <row r="32">
          <cell r="A32">
            <v>26005020</v>
          </cell>
          <cell r="B32" t="str">
            <v>Provision For Bad &amp; Doubtful Debts</v>
          </cell>
          <cell r="C32">
            <v>-3241465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-3241465</v>
          </cell>
        </row>
        <row r="33">
          <cell r="A33">
            <v>26015010</v>
          </cell>
          <cell r="B33" t="str">
            <v>Prov For Dep.-  Buildings</v>
          </cell>
          <cell r="C33">
            <v>-15739437.73</v>
          </cell>
          <cell r="D33">
            <v>0</v>
          </cell>
          <cell r="E33">
            <v>1655621</v>
          </cell>
          <cell r="F33">
            <v>-1655621</v>
          </cell>
          <cell r="G33">
            <v>0</v>
          </cell>
          <cell r="H33">
            <v>-17395058.73</v>
          </cell>
        </row>
        <row r="34">
          <cell r="A34">
            <v>26025010</v>
          </cell>
          <cell r="B34" t="str">
            <v>Provision for Depreciation Plant &amp; Machinery</v>
          </cell>
          <cell r="C34">
            <v>-11476423.24</v>
          </cell>
          <cell r="D34">
            <v>0</v>
          </cell>
          <cell r="E34">
            <v>874149</v>
          </cell>
          <cell r="F34">
            <v>-874149</v>
          </cell>
          <cell r="G34">
            <v>0</v>
          </cell>
          <cell r="H34">
            <v>-12350572.24</v>
          </cell>
        </row>
        <row r="35">
          <cell r="A35">
            <v>26030010</v>
          </cell>
          <cell r="B35" t="str">
            <v>Provision For Dep.-Electrical Installations</v>
          </cell>
          <cell r="C35">
            <v>-330356.62</v>
          </cell>
          <cell r="D35">
            <v>0</v>
          </cell>
          <cell r="E35">
            <v>25931</v>
          </cell>
          <cell r="F35">
            <v>-25931</v>
          </cell>
          <cell r="G35">
            <v>0</v>
          </cell>
          <cell r="H35">
            <v>-356287.62</v>
          </cell>
        </row>
        <row r="36">
          <cell r="A36">
            <v>26035010</v>
          </cell>
          <cell r="B36" t="str">
            <v>Provision For Dep.-Furniture and Fixtures</v>
          </cell>
          <cell r="C36">
            <v>-699714.42</v>
          </cell>
          <cell r="D36">
            <v>0</v>
          </cell>
          <cell r="E36">
            <v>53315</v>
          </cell>
          <cell r="F36">
            <v>-53315</v>
          </cell>
          <cell r="G36">
            <v>0</v>
          </cell>
          <cell r="H36">
            <v>-753029.42</v>
          </cell>
        </row>
        <row r="37">
          <cell r="A37">
            <v>26040010</v>
          </cell>
          <cell r="B37" t="str">
            <v>Provision for Depreciation- Office and Electrical Appliances</v>
          </cell>
          <cell r="C37">
            <v>-624744.26</v>
          </cell>
          <cell r="D37">
            <v>0</v>
          </cell>
          <cell r="E37">
            <v>50669</v>
          </cell>
          <cell r="F37">
            <v>-50669</v>
          </cell>
          <cell r="G37">
            <v>0</v>
          </cell>
          <cell r="H37">
            <v>-675413.26</v>
          </cell>
        </row>
        <row r="38">
          <cell r="A38">
            <v>26045010</v>
          </cell>
          <cell r="B38" t="str">
            <v>Provision for Depreciation- Truck Mixers, Loaders &amp; Dumpers</v>
          </cell>
          <cell r="C38">
            <v>-1417500.8</v>
          </cell>
          <cell r="D38">
            <v>0</v>
          </cell>
          <cell r="E38">
            <v>109741</v>
          </cell>
          <cell r="F38">
            <v>-109741</v>
          </cell>
          <cell r="G38">
            <v>0</v>
          </cell>
          <cell r="H38">
            <v>-1527241.8</v>
          </cell>
        </row>
        <row r="39">
          <cell r="A39">
            <v>26050010</v>
          </cell>
          <cell r="B39" t="str">
            <v>Provision for Depreciation Motor Vehicles &amp; Technical Vans</v>
          </cell>
          <cell r="C39">
            <v>0.03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0.03</v>
          </cell>
        </row>
        <row r="40">
          <cell r="A40">
            <v>26055020</v>
          </cell>
          <cell r="B40" t="str">
            <v>Profit &amp; Loss A/c</v>
          </cell>
          <cell r="C40">
            <v>17915323.109999999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17915323.109999999</v>
          </cell>
        </row>
        <row r="41">
          <cell r="A41">
            <v>31010010</v>
          </cell>
          <cell r="B41" t="str">
            <v>Sales</v>
          </cell>
          <cell r="C41">
            <v>0</v>
          </cell>
          <cell r="D41">
            <v>0</v>
          </cell>
          <cell r="E41">
            <v>71245184.519999996</v>
          </cell>
          <cell r="F41">
            <v>-71245184.519999996</v>
          </cell>
          <cell r="G41">
            <v>0</v>
          </cell>
          <cell r="H41">
            <v>-71245184.519999996</v>
          </cell>
        </row>
        <row r="42">
          <cell r="A42">
            <v>32020020</v>
          </cell>
          <cell r="B42" t="str">
            <v>Misc Income - Scrap sales</v>
          </cell>
          <cell r="C42">
            <v>0</v>
          </cell>
          <cell r="D42">
            <v>0</v>
          </cell>
          <cell r="E42">
            <v>34796.01</v>
          </cell>
          <cell r="F42">
            <v>-34796.01</v>
          </cell>
          <cell r="G42">
            <v>0</v>
          </cell>
          <cell r="H42">
            <v>-34796.01</v>
          </cell>
        </row>
        <row r="43">
          <cell r="A43">
            <v>32020080</v>
          </cell>
          <cell r="B43" t="str">
            <v>Customer/Vendor balances written back</v>
          </cell>
          <cell r="C43">
            <v>0</v>
          </cell>
          <cell r="D43">
            <v>202</v>
          </cell>
          <cell r="E43">
            <v>101</v>
          </cell>
          <cell r="F43">
            <v>101</v>
          </cell>
          <cell r="G43">
            <v>0</v>
          </cell>
          <cell r="H43">
            <v>101</v>
          </cell>
        </row>
        <row r="44">
          <cell r="A44">
            <v>41010010</v>
          </cell>
          <cell r="B44" t="str">
            <v>Opening Stock - Cement</v>
          </cell>
          <cell r="C44">
            <v>0</v>
          </cell>
          <cell r="D44">
            <v>2055538.57</v>
          </cell>
          <cell r="E44">
            <v>0</v>
          </cell>
          <cell r="F44">
            <v>2055538.57</v>
          </cell>
          <cell r="G44">
            <v>0</v>
          </cell>
          <cell r="H44">
            <v>2055538.57</v>
          </cell>
        </row>
        <row r="45">
          <cell r="A45">
            <v>41010020</v>
          </cell>
          <cell r="B45" t="str">
            <v>Opening Stock - Sand</v>
          </cell>
          <cell r="C45">
            <v>0</v>
          </cell>
          <cell r="D45">
            <v>934068.8</v>
          </cell>
          <cell r="E45">
            <v>0</v>
          </cell>
          <cell r="F45">
            <v>934068.8</v>
          </cell>
          <cell r="G45">
            <v>0</v>
          </cell>
          <cell r="H45">
            <v>934068.8</v>
          </cell>
        </row>
        <row r="46">
          <cell r="A46">
            <v>41010040</v>
          </cell>
          <cell r="B46" t="str">
            <v>Opening Stock - RMC Aggregates</v>
          </cell>
          <cell r="C46">
            <v>0</v>
          </cell>
          <cell r="D46">
            <v>2299284.7000000002</v>
          </cell>
          <cell r="E46">
            <v>0</v>
          </cell>
          <cell r="F46">
            <v>2299284.7000000002</v>
          </cell>
          <cell r="G46">
            <v>0</v>
          </cell>
          <cell r="H46">
            <v>2299284.7000000002</v>
          </cell>
        </row>
        <row r="47">
          <cell r="A47">
            <v>41010050</v>
          </cell>
          <cell r="B47" t="str">
            <v>Opening Stock - Admixtures</v>
          </cell>
          <cell r="C47">
            <v>0</v>
          </cell>
          <cell r="D47">
            <v>896744.61</v>
          </cell>
          <cell r="E47">
            <v>0</v>
          </cell>
          <cell r="F47">
            <v>896744.61</v>
          </cell>
          <cell r="G47">
            <v>0</v>
          </cell>
          <cell r="H47">
            <v>896744.61</v>
          </cell>
        </row>
        <row r="48">
          <cell r="A48">
            <v>41010080</v>
          </cell>
          <cell r="B48" t="str">
            <v>Opening Stock - Diesel</v>
          </cell>
          <cell r="C48">
            <v>0</v>
          </cell>
          <cell r="D48">
            <v>185405.53</v>
          </cell>
          <cell r="E48">
            <v>0</v>
          </cell>
          <cell r="F48">
            <v>185405.53</v>
          </cell>
          <cell r="G48">
            <v>0</v>
          </cell>
          <cell r="H48">
            <v>185405.53</v>
          </cell>
        </row>
        <row r="49">
          <cell r="A49">
            <v>41010110</v>
          </cell>
          <cell r="B49" t="str">
            <v>Opening Stock GGBS</v>
          </cell>
          <cell r="C49">
            <v>0</v>
          </cell>
          <cell r="D49">
            <v>164335.6</v>
          </cell>
          <cell r="E49">
            <v>0</v>
          </cell>
          <cell r="F49">
            <v>164335.6</v>
          </cell>
          <cell r="G49">
            <v>0</v>
          </cell>
          <cell r="H49">
            <v>164335.6</v>
          </cell>
        </row>
        <row r="50">
          <cell r="A50">
            <v>41010120</v>
          </cell>
          <cell r="B50" t="str">
            <v>Opening Stock Metacem / Microsilica</v>
          </cell>
          <cell r="C50">
            <v>0</v>
          </cell>
          <cell r="D50">
            <v>108698.8</v>
          </cell>
          <cell r="E50">
            <v>0</v>
          </cell>
          <cell r="F50">
            <v>108698.8</v>
          </cell>
          <cell r="G50">
            <v>0</v>
          </cell>
          <cell r="H50">
            <v>108698.8</v>
          </cell>
        </row>
        <row r="51">
          <cell r="A51">
            <v>41020010</v>
          </cell>
          <cell r="B51" t="str">
            <v>Raw Material Purchase - Cement</v>
          </cell>
          <cell r="C51">
            <v>0</v>
          </cell>
          <cell r="D51">
            <v>23709215.390000001</v>
          </cell>
          <cell r="E51">
            <v>25947155.190000001</v>
          </cell>
          <cell r="F51">
            <v>-2237939.7999999998</v>
          </cell>
          <cell r="G51">
            <v>0</v>
          </cell>
          <cell r="H51">
            <v>-2237939.7999999998</v>
          </cell>
        </row>
        <row r="52">
          <cell r="A52">
            <v>41020015</v>
          </cell>
          <cell r="B52" t="str">
            <v>Interim account cement received</v>
          </cell>
          <cell r="C52">
            <v>0</v>
          </cell>
          <cell r="D52">
            <v>25891456.280000001</v>
          </cell>
          <cell r="E52">
            <v>23304432.280000001</v>
          </cell>
          <cell r="F52">
            <v>2587024</v>
          </cell>
          <cell r="G52">
            <v>0</v>
          </cell>
          <cell r="H52">
            <v>2587024</v>
          </cell>
        </row>
        <row r="53">
          <cell r="A53">
            <v>41020020</v>
          </cell>
          <cell r="B53" t="str">
            <v>Cement Consumption account</v>
          </cell>
          <cell r="C53">
            <v>0</v>
          </cell>
          <cell r="D53">
            <v>25763375.489999998</v>
          </cell>
          <cell r="E53">
            <v>289463.84000000003</v>
          </cell>
          <cell r="F53">
            <v>25473911.649999999</v>
          </cell>
          <cell r="G53">
            <v>0</v>
          </cell>
          <cell r="H53">
            <v>25473911.649999999</v>
          </cell>
        </row>
        <row r="54">
          <cell r="A54">
            <v>41020030</v>
          </cell>
          <cell r="B54" t="str">
            <v>Raw Material Purchase - Aggregates</v>
          </cell>
          <cell r="C54">
            <v>0</v>
          </cell>
          <cell r="D54">
            <v>10179757.060000001</v>
          </cell>
          <cell r="E54">
            <v>19387414.710000001</v>
          </cell>
          <cell r="F54">
            <v>-9207657.6500000004</v>
          </cell>
          <cell r="G54">
            <v>0</v>
          </cell>
          <cell r="H54">
            <v>-9207657.6500000004</v>
          </cell>
        </row>
        <row r="55">
          <cell r="A55">
            <v>41020035</v>
          </cell>
          <cell r="B55" t="str">
            <v>Interim account Aggregate received</v>
          </cell>
          <cell r="C55">
            <v>0</v>
          </cell>
          <cell r="D55">
            <v>18350178.550000001</v>
          </cell>
          <cell r="E55">
            <v>9991891.5</v>
          </cell>
          <cell r="F55">
            <v>8358287.0499999998</v>
          </cell>
          <cell r="G55">
            <v>0</v>
          </cell>
          <cell r="H55">
            <v>8358287.0499999998</v>
          </cell>
        </row>
        <row r="56">
          <cell r="A56">
            <v>41020040</v>
          </cell>
          <cell r="B56" t="str">
            <v>Aggregate Consumption account</v>
          </cell>
          <cell r="C56">
            <v>0</v>
          </cell>
          <cell r="D56">
            <v>19107273.739999998</v>
          </cell>
          <cell r="E56">
            <v>9730.4500000000007</v>
          </cell>
          <cell r="F56">
            <v>19097543.289999999</v>
          </cell>
          <cell r="G56">
            <v>0</v>
          </cell>
          <cell r="H56">
            <v>19097543.289999999</v>
          </cell>
        </row>
        <row r="57">
          <cell r="A57">
            <v>41020050</v>
          </cell>
          <cell r="B57" t="str">
            <v>Raw Material Purchase - Sand</v>
          </cell>
          <cell r="C57">
            <v>0</v>
          </cell>
          <cell r="D57">
            <v>4289939.7</v>
          </cell>
          <cell r="E57">
            <v>8473840.4900000002</v>
          </cell>
          <cell r="F57">
            <v>-4183900.79</v>
          </cell>
          <cell r="G57">
            <v>0</v>
          </cell>
          <cell r="H57">
            <v>-4183900.79</v>
          </cell>
        </row>
        <row r="58">
          <cell r="A58">
            <v>41020055</v>
          </cell>
          <cell r="B58" t="str">
            <v>Interim account Sand Received</v>
          </cell>
          <cell r="C58">
            <v>0</v>
          </cell>
          <cell r="D58">
            <v>8126102.5999999996</v>
          </cell>
          <cell r="E58">
            <v>4289939.7</v>
          </cell>
          <cell r="F58">
            <v>3836162.9</v>
          </cell>
          <cell r="G58">
            <v>0</v>
          </cell>
          <cell r="H58">
            <v>3836162.9</v>
          </cell>
        </row>
        <row r="59">
          <cell r="A59">
            <v>41020060</v>
          </cell>
          <cell r="B59" t="str">
            <v>Sand Consumption account</v>
          </cell>
          <cell r="C59">
            <v>0</v>
          </cell>
          <cell r="D59">
            <v>8312221.5199999996</v>
          </cell>
          <cell r="E59">
            <v>0</v>
          </cell>
          <cell r="F59">
            <v>8312221.5199999996</v>
          </cell>
          <cell r="G59">
            <v>0</v>
          </cell>
          <cell r="H59">
            <v>8312221.5199999996</v>
          </cell>
        </row>
        <row r="60">
          <cell r="A60">
            <v>41020070</v>
          </cell>
          <cell r="B60" t="str">
            <v>Raw Material Purchase - Admixture</v>
          </cell>
          <cell r="C60">
            <v>0</v>
          </cell>
          <cell r="D60">
            <v>2102463.7400000002</v>
          </cell>
          <cell r="E60">
            <v>2014393.8</v>
          </cell>
          <cell r="F60">
            <v>88069.94</v>
          </cell>
          <cell r="G60">
            <v>0</v>
          </cell>
          <cell r="H60">
            <v>88069.94</v>
          </cell>
        </row>
        <row r="61">
          <cell r="A61">
            <v>41020075</v>
          </cell>
          <cell r="B61" t="str">
            <v>Interim account Admixture received</v>
          </cell>
          <cell r="C61">
            <v>0</v>
          </cell>
          <cell r="D61">
            <v>2056385.35</v>
          </cell>
          <cell r="E61">
            <v>2056385.35</v>
          </cell>
          <cell r="F61">
            <v>0</v>
          </cell>
          <cell r="G61">
            <v>0</v>
          </cell>
          <cell r="H61">
            <v>0</v>
          </cell>
        </row>
        <row r="62">
          <cell r="A62">
            <v>41020080</v>
          </cell>
          <cell r="B62" t="str">
            <v>Admixture Consumption account</v>
          </cell>
          <cell r="C62">
            <v>0</v>
          </cell>
          <cell r="D62">
            <v>1926342.41</v>
          </cell>
          <cell r="E62">
            <v>5789.53</v>
          </cell>
          <cell r="F62">
            <v>1920552.88</v>
          </cell>
          <cell r="G62">
            <v>0</v>
          </cell>
          <cell r="H62">
            <v>1920552.88</v>
          </cell>
        </row>
        <row r="63">
          <cell r="A63">
            <v>41020110</v>
          </cell>
          <cell r="B63" t="str">
            <v>Raw Material Purchase GGBS</v>
          </cell>
          <cell r="C63">
            <v>0</v>
          </cell>
          <cell r="D63">
            <v>1618645.27</v>
          </cell>
          <cell r="E63">
            <v>1763679.49</v>
          </cell>
          <cell r="F63">
            <v>-145034.22</v>
          </cell>
          <cell r="G63">
            <v>0</v>
          </cell>
          <cell r="H63">
            <v>-145034.22</v>
          </cell>
        </row>
        <row r="64">
          <cell r="A64">
            <v>41020115</v>
          </cell>
          <cell r="B64" t="str">
            <v>Interim account for GGBS received</v>
          </cell>
          <cell r="C64">
            <v>0</v>
          </cell>
          <cell r="D64">
            <v>1610785.3</v>
          </cell>
          <cell r="E64">
            <v>1610785.3</v>
          </cell>
          <cell r="F64">
            <v>0</v>
          </cell>
          <cell r="G64">
            <v>0</v>
          </cell>
          <cell r="H64">
            <v>0</v>
          </cell>
        </row>
        <row r="65">
          <cell r="A65">
            <v>41020120</v>
          </cell>
          <cell r="B65" t="str">
            <v>GGBS Consumption account</v>
          </cell>
          <cell r="C65">
            <v>0</v>
          </cell>
          <cell r="D65">
            <v>1726158.81</v>
          </cell>
          <cell r="E65">
            <v>7859.97</v>
          </cell>
          <cell r="F65">
            <v>1718298.84</v>
          </cell>
          <cell r="G65">
            <v>0</v>
          </cell>
          <cell r="H65">
            <v>1718298.84</v>
          </cell>
        </row>
        <row r="66">
          <cell r="A66">
            <v>41020150</v>
          </cell>
          <cell r="B66" t="str">
            <v>Loss/ gain on Stock</v>
          </cell>
          <cell r="C66">
            <v>0</v>
          </cell>
          <cell r="D66">
            <v>696858.42</v>
          </cell>
          <cell r="E66">
            <v>306386.44</v>
          </cell>
          <cell r="F66">
            <v>390471.98</v>
          </cell>
          <cell r="G66">
            <v>0</v>
          </cell>
          <cell r="H66">
            <v>390471.98</v>
          </cell>
        </row>
        <row r="67">
          <cell r="A67">
            <v>41020195</v>
          </cell>
          <cell r="B67" t="str">
            <v>Purchase of Diesel</v>
          </cell>
          <cell r="C67">
            <v>0</v>
          </cell>
          <cell r="D67">
            <v>3508616.98</v>
          </cell>
          <cell r="E67">
            <v>3441513.29</v>
          </cell>
          <cell r="F67">
            <v>67103.69</v>
          </cell>
          <cell r="G67">
            <v>0</v>
          </cell>
          <cell r="H67">
            <v>67103.69</v>
          </cell>
        </row>
        <row r="68">
          <cell r="A68">
            <v>41020200</v>
          </cell>
          <cell r="B68" t="str">
            <v>Interim account for diesel received</v>
          </cell>
          <cell r="C68">
            <v>0</v>
          </cell>
          <cell r="D68">
            <v>3508616.98</v>
          </cell>
          <cell r="E68">
            <v>3508616.98</v>
          </cell>
          <cell r="F68">
            <v>0</v>
          </cell>
          <cell r="G68">
            <v>0</v>
          </cell>
          <cell r="H68">
            <v>0</v>
          </cell>
        </row>
        <row r="69">
          <cell r="A69">
            <v>41020205</v>
          </cell>
          <cell r="B69" t="str">
            <v>Diesel Consumption account</v>
          </cell>
          <cell r="C69">
            <v>0</v>
          </cell>
          <cell r="D69">
            <v>3441513.29</v>
          </cell>
          <cell r="E69">
            <v>3441513.29</v>
          </cell>
          <cell r="F69">
            <v>0</v>
          </cell>
          <cell r="G69">
            <v>0</v>
          </cell>
          <cell r="H69">
            <v>0</v>
          </cell>
        </row>
        <row r="70">
          <cell r="A70">
            <v>41050010</v>
          </cell>
          <cell r="B70" t="str">
            <v>Closing Stock - Cement</v>
          </cell>
          <cell r="C70">
            <v>0</v>
          </cell>
          <cell r="D70">
            <v>0</v>
          </cell>
          <cell r="E70">
            <v>2404622.77</v>
          </cell>
          <cell r="F70">
            <v>-2404622.77</v>
          </cell>
          <cell r="G70">
            <v>0</v>
          </cell>
          <cell r="H70">
            <v>-2404622.77</v>
          </cell>
        </row>
        <row r="71">
          <cell r="A71">
            <v>41050020</v>
          </cell>
          <cell r="B71" t="str">
            <v>Closing Stock - Sand</v>
          </cell>
          <cell r="C71">
            <v>0</v>
          </cell>
          <cell r="D71">
            <v>0</v>
          </cell>
          <cell r="E71">
            <v>586330.91</v>
          </cell>
          <cell r="F71">
            <v>-586330.91</v>
          </cell>
          <cell r="G71">
            <v>0</v>
          </cell>
          <cell r="H71">
            <v>-586330.91</v>
          </cell>
        </row>
        <row r="72">
          <cell r="A72">
            <v>41050040</v>
          </cell>
          <cell r="B72" t="str">
            <v>Closing Stock - RMC Aggregates</v>
          </cell>
          <cell r="C72">
            <v>0</v>
          </cell>
          <cell r="D72">
            <v>0</v>
          </cell>
          <cell r="E72">
            <v>1449914.1</v>
          </cell>
          <cell r="F72">
            <v>-1449914.1</v>
          </cell>
          <cell r="G72">
            <v>0</v>
          </cell>
          <cell r="H72">
            <v>-1449914.1</v>
          </cell>
        </row>
        <row r="73">
          <cell r="A73">
            <v>41050050</v>
          </cell>
          <cell r="B73" t="str">
            <v>Closing Stock - Admixtures</v>
          </cell>
          <cell r="C73">
            <v>0</v>
          </cell>
          <cell r="D73">
            <v>0</v>
          </cell>
          <cell r="E73">
            <v>984814.55</v>
          </cell>
          <cell r="F73">
            <v>-984814.55</v>
          </cell>
          <cell r="G73">
            <v>0</v>
          </cell>
          <cell r="H73">
            <v>-984814.55</v>
          </cell>
        </row>
        <row r="74">
          <cell r="A74">
            <v>41050080</v>
          </cell>
          <cell r="B74" t="str">
            <v>Closing Stock - Diesel</v>
          </cell>
          <cell r="C74">
            <v>0</v>
          </cell>
          <cell r="D74">
            <v>0</v>
          </cell>
          <cell r="E74">
            <v>252509.22</v>
          </cell>
          <cell r="F74">
            <v>-252509.22</v>
          </cell>
          <cell r="G74">
            <v>0</v>
          </cell>
          <cell r="H74">
            <v>-252509.22</v>
          </cell>
        </row>
        <row r="75">
          <cell r="A75">
            <v>41050110</v>
          </cell>
          <cell r="B75" t="str">
            <v>Closing Stock GGBS</v>
          </cell>
          <cell r="C75">
            <v>0</v>
          </cell>
          <cell r="D75">
            <v>0</v>
          </cell>
          <cell r="E75">
            <v>19301.38</v>
          </cell>
          <cell r="F75">
            <v>-19301.38</v>
          </cell>
          <cell r="G75">
            <v>0</v>
          </cell>
          <cell r="H75">
            <v>-19301.38</v>
          </cell>
        </row>
        <row r="76">
          <cell r="A76">
            <v>41050120</v>
          </cell>
          <cell r="B76" t="str">
            <v>Closing Stock Metacem / Microsilica</v>
          </cell>
          <cell r="C76">
            <v>0</v>
          </cell>
          <cell r="D76">
            <v>0</v>
          </cell>
          <cell r="E76">
            <v>108698.8</v>
          </cell>
          <cell r="F76">
            <v>-108698.8</v>
          </cell>
          <cell r="G76">
            <v>0</v>
          </cell>
          <cell r="H76">
            <v>-108698.8</v>
          </cell>
        </row>
        <row r="77">
          <cell r="A77">
            <v>42010010</v>
          </cell>
          <cell r="B77" t="str">
            <v>Salary - Basic</v>
          </cell>
          <cell r="C77">
            <v>0</v>
          </cell>
          <cell r="D77">
            <v>762559</v>
          </cell>
          <cell r="E77">
            <v>4533</v>
          </cell>
          <cell r="F77">
            <v>758026</v>
          </cell>
          <cell r="G77">
            <v>0</v>
          </cell>
          <cell r="H77">
            <v>758026</v>
          </cell>
        </row>
        <row r="78">
          <cell r="A78">
            <v>42010020</v>
          </cell>
          <cell r="B78" t="str">
            <v>House Rent Allowance</v>
          </cell>
          <cell r="C78">
            <v>0</v>
          </cell>
          <cell r="D78">
            <v>386682</v>
          </cell>
          <cell r="E78">
            <v>2267</v>
          </cell>
          <cell r="F78">
            <v>384415</v>
          </cell>
          <cell r="G78">
            <v>0</v>
          </cell>
          <cell r="H78">
            <v>384415</v>
          </cell>
        </row>
        <row r="79">
          <cell r="A79">
            <v>42010030</v>
          </cell>
          <cell r="B79" t="str">
            <v>Education Allowance</v>
          </cell>
          <cell r="C79">
            <v>0</v>
          </cell>
          <cell r="D79">
            <v>59159</v>
          </cell>
          <cell r="E79">
            <v>320</v>
          </cell>
          <cell r="F79">
            <v>58839</v>
          </cell>
          <cell r="G79">
            <v>0</v>
          </cell>
          <cell r="H79">
            <v>58839</v>
          </cell>
        </row>
        <row r="80">
          <cell r="A80">
            <v>42010040</v>
          </cell>
          <cell r="B80" t="str">
            <v>Special Allowance</v>
          </cell>
          <cell r="C80">
            <v>0</v>
          </cell>
          <cell r="D80">
            <v>120322</v>
          </cell>
          <cell r="E80">
            <v>680</v>
          </cell>
          <cell r="F80">
            <v>119642</v>
          </cell>
          <cell r="G80">
            <v>0</v>
          </cell>
          <cell r="H80">
            <v>119642</v>
          </cell>
        </row>
        <row r="81">
          <cell r="A81">
            <v>42010050</v>
          </cell>
          <cell r="B81" t="str">
            <v>Medical Expense Reimbursement</v>
          </cell>
          <cell r="C81">
            <v>0</v>
          </cell>
          <cell r="D81">
            <v>57628</v>
          </cell>
          <cell r="E81">
            <v>0</v>
          </cell>
          <cell r="F81">
            <v>57628</v>
          </cell>
          <cell r="G81">
            <v>0</v>
          </cell>
          <cell r="H81">
            <v>57628</v>
          </cell>
        </row>
        <row r="82">
          <cell r="A82">
            <v>42010060</v>
          </cell>
          <cell r="B82" t="str">
            <v>Leave Travel Allowance</v>
          </cell>
          <cell r="C82">
            <v>0</v>
          </cell>
          <cell r="D82">
            <v>158521</v>
          </cell>
          <cell r="E82">
            <v>0</v>
          </cell>
          <cell r="F82">
            <v>158521</v>
          </cell>
          <cell r="G82">
            <v>0</v>
          </cell>
          <cell r="H82">
            <v>158521</v>
          </cell>
        </row>
        <row r="83">
          <cell r="A83">
            <v>42010070</v>
          </cell>
          <cell r="B83" t="str">
            <v>Leave Encashment</v>
          </cell>
          <cell r="C83">
            <v>0</v>
          </cell>
          <cell r="D83">
            <v>13570</v>
          </cell>
          <cell r="E83">
            <v>0</v>
          </cell>
          <cell r="F83">
            <v>13570</v>
          </cell>
          <cell r="G83">
            <v>0</v>
          </cell>
          <cell r="H83">
            <v>13570</v>
          </cell>
        </row>
        <row r="84">
          <cell r="A84">
            <v>42010090</v>
          </cell>
          <cell r="B84" t="str">
            <v>Overtime Payment</v>
          </cell>
          <cell r="C84">
            <v>0</v>
          </cell>
          <cell r="D84">
            <v>53008</v>
          </cell>
          <cell r="E84">
            <v>4124</v>
          </cell>
          <cell r="F84">
            <v>48884</v>
          </cell>
          <cell r="G84">
            <v>0</v>
          </cell>
          <cell r="H84">
            <v>48884</v>
          </cell>
        </row>
        <row r="85">
          <cell r="A85">
            <v>42010100</v>
          </cell>
          <cell r="B85" t="str">
            <v>Transport Allowance</v>
          </cell>
          <cell r="C85">
            <v>0</v>
          </cell>
          <cell r="D85">
            <v>95279</v>
          </cell>
          <cell r="E85">
            <v>427</v>
          </cell>
          <cell r="F85">
            <v>94852</v>
          </cell>
          <cell r="G85">
            <v>0</v>
          </cell>
          <cell r="H85">
            <v>94852</v>
          </cell>
        </row>
        <row r="86">
          <cell r="A86">
            <v>42010220</v>
          </cell>
          <cell r="B86" t="str">
            <v>Adhoc Allowance</v>
          </cell>
          <cell r="C86">
            <v>0</v>
          </cell>
          <cell r="D86">
            <v>32560</v>
          </cell>
          <cell r="E86">
            <v>0</v>
          </cell>
          <cell r="F86">
            <v>32560</v>
          </cell>
          <cell r="G86">
            <v>0</v>
          </cell>
          <cell r="H86">
            <v>32560</v>
          </cell>
        </row>
        <row r="87">
          <cell r="A87">
            <v>42010230</v>
          </cell>
          <cell r="B87" t="str">
            <v>Car Allowance</v>
          </cell>
          <cell r="C87">
            <v>0</v>
          </cell>
          <cell r="D87">
            <v>66000</v>
          </cell>
          <cell r="E87">
            <v>0</v>
          </cell>
          <cell r="F87">
            <v>66000</v>
          </cell>
          <cell r="G87">
            <v>0</v>
          </cell>
          <cell r="H87">
            <v>66000</v>
          </cell>
        </row>
        <row r="88">
          <cell r="A88">
            <v>42010240</v>
          </cell>
          <cell r="B88" t="str">
            <v>Driver Allowance</v>
          </cell>
          <cell r="C88">
            <v>0</v>
          </cell>
          <cell r="D88">
            <v>24000</v>
          </cell>
          <cell r="E88">
            <v>0</v>
          </cell>
          <cell r="F88">
            <v>24000</v>
          </cell>
          <cell r="G88">
            <v>0</v>
          </cell>
          <cell r="H88">
            <v>24000</v>
          </cell>
        </row>
        <row r="89">
          <cell r="A89">
            <v>42020010</v>
          </cell>
          <cell r="B89" t="str">
            <v>Provident Funds - Employer's Conribution</v>
          </cell>
          <cell r="C89">
            <v>0</v>
          </cell>
          <cell r="D89">
            <v>98841</v>
          </cell>
          <cell r="E89">
            <v>49305</v>
          </cell>
          <cell r="F89">
            <v>49536</v>
          </cell>
          <cell r="G89">
            <v>0</v>
          </cell>
          <cell r="H89">
            <v>49536</v>
          </cell>
        </row>
        <row r="90">
          <cell r="A90">
            <v>42020020</v>
          </cell>
          <cell r="B90" t="str">
            <v>Pension Fund - Employer's Contribution</v>
          </cell>
          <cell r="C90">
            <v>0</v>
          </cell>
          <cell r="D90">
            <v>83784</v>
          </cell>
          <cell r="E90">
            <v>42397</v>
          </cell>
          <cell r="F90">
            <v>41387</v>
          </cell>
          <cell r="G90">
            <v>0</v>
          </cell>
          <cell r="H90">
            <v>41387</v>
          </cell>
        </row>
        <row r="91">
          <cell r="A91">
            <v>42020070</v>
          </cell>
          <cell r="B91" t="str">
            <v>E.S.I.S. - Employer's Contribution</v>
          </cell>
          <cell r="C91">
            <v>0</v>
          </cell>
          <cell r="D91">
            <v>26036</v>
          </cell>
          <cell r="E91">
            <v>8635</v>
          </cell>
          <cell r="F91">
            <v>17401</v>
          </cell>
          <cell r="G91">
            <v>0</v>
          </cell>
          <cell r="H91">
            <v>17401</v>
          </cell>
        </row>
        <row r="92">
          <cell r="A92">
            <v>42030020</v>
          </cell>
          <cell r="B92" t="str">
            <v>Purchases of Safety &amp; Welfare Items</v>
          </cell>
          <cell r="C92">
            <v>0</v>
          </cell>
          <cell r="D92">
            <v>250</v>
          </cell>
          <cell r="E92">
            <v>0</v>
          </cell>
          <cell r="F92">
            <v>250</v>
          </cell>
          <cell r="G92">
            <v>0</v>
          </cell>
          <cell r="H92">
            <v>250</v>
          </cell>
        </row>
        <row r="93">
          <cell r="A93">
            <v>42030030</v>
          </cell>
          <cell r="B93" t="str">
            <v>Mediclaim Expenses Reimbursement - FBT</v>
          </cell>
          <cell r="C93">
            <v>0</v>
          </cell>
          <cell r="D93">
            <v>1500</v>
          </cell>
          <cell r="E93">
            <v>0</v>
          </cell>
          <cell r="F93">
            <v>1500</v>
          </cell>
          <cell r="G93">
            <v>0</v>
          </cell>
          <cell r="H93">
            <v>1500</v>
          </cell>
        </row>
        <row r="94">
          <cell r="A94">
            <v>42030040</v>
          </cell>
          <cell r="B94" t="str">
            <v>Staff Welfare Expenses - FBT</v>
          </cell>
          <cell r="C94">
            <v>0</v>
          </cell>
          <cell r="D94">
            <v>20207</v>
          </cell>
          <cell r="E94">
            <v>10000</v>
          </cell>
          <cell r="F94">
            <v>10207</v>
          </cell>
          <cell r="G94">
            <v>0</v>
          </cell>
          <cell r="H94">
            <v>10207</v>
          </cell>
        </row>
        <row r="95">
          <cell r="A95">
            <v>42030060</v>
          </cell>
          <cell r="B95" t="str">
            <v>Food &amp; Beverage Exps - FBT</v>
          </cell>
          <cell r="C95">
            <v>0</v>
          </cell>
          <cell r="D95">
            <v>40963</v>
          </cell>
          <cell r="E95">
            <v>0</v>
          </cell>
          <cell r="F95">
            <v>40963</v>
          </cell>
          <cell r="G95">
            <v>0</v>
          </cell>
          <cell r="H95">
            <v>40963</v>
          </cell>
        </row>
        <row r="96">
          <cell r="A96">
            <v>43001010</v>
          </cell>
          <cell r="B96" t="str">
            <v>Electricity Charges</v>
          </cell>
          <cell r="C96">
            <v>0</v>
          </cell>
          <cell r="D96">
            <v>45000</v>
          </cell>
          <cell r="E96">
            <v>15000</v>
          </cell>
          <cell r="F96">
            <v>30000</v>
          </cell>
          <cell r="G96">
            <v>0</v>
          </cell>
          <cell r="H96">
            <v>30000</v>
          </cell>
        </row>
        <row r="97">
          <cell r="A97">
            <v>43001020</v>
          </cell>
          <cell r="B97" t="str">
            <v>Water Charges</v>
          </cell>
          <cell r="C97">
            <v>0</v>
          </cell>
          <cell r="D97">
            <v>12000</v>
          </cell>
          <cell r="E97">
            <v>8000</v>
          </cell>
          <cell r="F97">
            <v>4000</v>
          </cell>
          <cell r="G97">
            <v>0</v>
          </cell>
          <cell r="H97">
            <v>4000</v>
          </cell>
        </row>
        <row r="98">
          <cell r="A98">
            <v>43001030</v>
          </cell>
          <cell r="B98" t="str">
            <v>Fuel For Diesel Generator Set</v>
          </cell>
          <cell r="C98">
            <v>0</v>
          </cell>
          <cell r="D98">
            <v>773464</v>
          </cell>
          <cell r="E98">
            <v>0</v>
          </cell>
          <cell r="F98">
            <v>773464</v>
          </cell>
          <cell r="G98">
            <v>0</v>
          </cell>
          <cell r="H98">
            <v>773464</v>
          </cell>
        </row>
        <row r="99">
          <cell r="A99">
            <v>43012010</v>
          </cell>
          <cell r="B99" t="str">
            <v>Lab Consumables</v>
          </cell>
          <cell r="C99">
            <v>0</v>
          </cell>
          <cell r="D99">
            <v>2550</v>
          </cell>
          <cell r="E99">
            <v>0</v>
          </cell>
          <cell r="F99">
            <v>2550</v>
          </cell>
          <cell r="G99">
            <v>0</v>
          </cell>
          <cell r="H99">
            <v>2550</v>
          </cell>
        </row>
        <row r="100">
          <cell r="A100">
            <v>43012020</v>
          </cell>
          <cell r="B100" t="str">
            <v>Labour / sub contractor for - Pumping Expenses Incurred</v>
          </cell>
          <cell r="C100">
            <v>0</v>
          </cell>
          <cell r="D100">
            <v>438986</v>
          </cell>
          <cell r="E100">
            <v>119500</v>
          </cell>
          <cell r="F100">
            <v>319486</v>
          </cell>
          <cell r="G100">
            <v>0</v>
          </cell>
          <cell r="H100">
            <v>319486</v>
          </cell>
        </row>
        <row r="101">
          <cell r="A101">
            <v>43018010</v>
          </cell>
          <cell r="B101" t="str">
            <v>Repairs &amp; Maintenance</v>
          </cell>
          <cell r="C101">
            <v>0</v>
          </cell>
          <cell r="D101">
            <v>512597.8</v>
          </cell>
          <cell r="E101">
            <v>182571</v>
          </cell>
          <cell r="F101">
            <v>330026.8</v>
          </cell>
          <cell r="G101">
            <v>0</v>
          </cell>
          <cell r="H101">
            <v>330026.8</v>
          </cell>
        </row>
        <row r="102">
          <cell r="A102">
            <v>43018020</v>
          </cell>
          <cell r="B102" t="str">
            <v>Oil &amp; Grease</v>
          </cell>
          <cell r="C102">
            <v>0</v>
          </cell>
          <cell r="D102">
            <v>41989</v>
          </cell>
          <cell r="E102">
            <v>0</v>
          </cell>
          <cell r="F102">
            <v>41989</v>
          </cell>
          <cell r="G102">
            <v>0</v>
          </cell>
          <cell r="H102">
            <v>41989</v>
          </cell>
        </row>
        <row r="103">
          <cell r="A103">
            <v>43020040</v>
          </cell>
          <cell r="B103" t="str">
            <v>Repairs &amp; Maintenance - Vehicles - FBT</v>
          </cell>
          <cell r="C103">
            <v>0</v>
          </cell>
          <cell r="D103">
            <v>4000</v>
          </cell>
          <cell r="E103">
            <v>0</v>
          </cell>
          <cell r="F103">
            <v>4000</v>
          </cell>
          <cell r="G103">
            <v>0</v>
          </cell>
          <cell r="H103">
            <v>4000</v>
          </cell>
        </row>
        <row r="104">
          <cell r="A104">
            <v>43022010</v>
          </cell>
          <cell r="B104" t="str">
            <v>Plant / Office Up Keep Exps</v>
          </cell>
          <cell r="C104">
            <v>0</v>
          </cell>
          <cell r="D104">
            <v>384214</v>
          </cell>
          <cell r="E104">
            <v>123050</v>
          </cell>
          <cell r="F104">
            <v>261164</v>
          </cell>
          <cell r="G104">
            <v>0</v>
          </cell>
          <cell r="H104">
            <v>261164</v>
          </cell>
        </row>
        <row r="105">
          <cell r="A105">
            <v>43032010</v>
          </cell>
          <cell r="B105" t="str">
            <v>Rent - Plant</v>
          </cell>
          <cell r="C105">
            <v>0</v>
          </cell>
          <cell r="D105">
            <v>132000</v>
          </cell>
          <cell r="E105">
            <v>0</v>
          </cell>
          <cell r="F105">
            <v>132000</v>
          </cell>
          <cell r="G105">
            <v>0</v>
          </cell>
          <cell r="H105">
            <v>132000</v>
          </cell>
        </row>
        <row r="106">
          <cell r="A106">
            <v>43032015</v>
          </cell>
          <cell r="B106" t="str">
            <v>Rent - Office</v>
          </cell>
          <cell r="C106">
            <v>0</v>
          </cell>
          <cell r="D106">
            <v>334474</v>
          </cell>
          <cell r="E106">
            <v>0</v>
          </cell>
          <cell r="F106">
            <v>334474</v>
          </cell>
          <cell r="G106">
            <v>0</v>
          </cell>
          <cell r="H106">
            <v>334474</v>
          </cell>
        </row>
        <row r="107">
          <cell r="A107">
            <v>43032040</v>
          </cell>
          <cell r="B107" t="str">
            <v>Lease Rentals- Machinery</v>
          </cell>
          <cell r="C107">
            <v>0</v>
          </cell>
          <cell r="D107">
            <v>320186</v>
          </cell>
          <cell r="E107">
            <v>0</v>
          </cell>
          <cell r="F107">
            <v>320186</v>
          </cell>
          <cell r="G107">
            <v>0</v>
          </cell>
          <cell r="H107">
            <v>320186</v>
          </cell>
        </row>
        <row r="108">
          <cell r="A108">
            <v>43032045</v>
          </cell>
          <cell r="B108" t="str">
            <v>Towing Expenses</v>
          </cell>
          <cell r="C108">
            <v>0</v>
          </cell>
          <cell r="D108">
            <v>155120</v>
          </cell>
          <cell r="E108">
            <v>65337</v>
          </cell>
          <cell r="F108">
            <v>89783</v>
          </cell>
          <cell r="G108">
            <v>0</v>
          </cell>
          <cell r="H108">
            <v>89783</v>
          </cell>
        </row>
        <row r="109">
          <cell r="A109">
            <v>43036010</v>
          </cell>
          <cell r="B109" t="str">
            <v>Insurance Expenses</v>
          </cell>
          <cell r="C109">
            <v>0</v>
          </cell>
          <cell r="D109">
            <v>19356</v>
          </cell>
          <cell r="E109">
            <v>0</v>
          </cell>
          <cell r="F109">
            <v>19356</v>
          </cell>
          <cell r="G109">
            <v>0</v>
          </cell>
          <cell r="H109">
            <v>19356</v>
          </cell>
        </row>
        <row r="110">
          <cell r="A110">
            <v>43038020</v>
          </cell>
          <cell r="B110" t="str">
            <v>Courier Expenses</v>
          </cell>
          <cell r="C110">
            <v>0</v>
          </cell>
          <cell r="D110">
            <v>6000</v>
          </cell>
          <cell r="E110">
            <v>3000</v>
          </cell>
          <cell r="F110">
            <v>3000</v>
          </cell>
          <cell r="G110">
            <v>0</v>
          </cell>
          <cell r="H110">
            <v>3000</v>
          </cell>
        </row>
        <row r="111">
          <cell r="A111">
            <v>43038030</v>
          </cell>
          <cell r="B111" t="str">
            <v>Telephone Expenses</v>
          </cell>
          <cell r="C111">
            <v>0</v>
          </cell>
          <cell r="D111">
            <v>87768</v>
          </cell>
          <cell r="E111">
            <v>35556</v>
          </cell>
          <cell r="F111">
            <v>52212</v>
          </cell>
          <cell r="G111">
            <v>0</v>
          </cell>
          <cell r="H111">
            <v>52212</v>
          </cell>
        </row>
        <row r="112">
          <cell r="A112">
            <v>43038050</v>
          </cell>
          <cell r="B112" t="str">
            <v>Telephone Chgs - Mobile  FBT</v>
          </cell>
          <cell r="C112">
            <v>0</v>
          </cell>
          <cell r="D112">
            <v>26864.79</v>
          </cell>
          <cell r="E112">
            <v>2363.3000000000002</v>
          </cell>
          <cell r="F112">
            <v>24501.49</v>
          </cell>
          <cell r="G112">
            <v>0</v>
          </cell>
          <cell r="H112">
            <v>24501.49</v>
          </cell>
        </row>
        <row r="113">
          <cell r="A113">
            <v>43040010</v>
          </cell>
          <cell r="B113" t="str">
            <v>Conveyance Expenses - FBT</v>
          </cell>
          <cell r="C113">
            <v>0</v>
          </cell>
          <cell r="D113">
            <v>87678</v>
          </cell>
          <cell r="E113">
            <v>20000</v>
          </cell>
          <cell r="F113">
            <v>67678</v>
          </cell>
          <cell r="G113">
            <v>0</v>
          </cell>
          <cell r="H113">
            <v>67678</v>
          </cell>
        </row>
        <row r="114">
          <cell r="A114">
            <v>43040030</v>
          </cell>
          <cell r="B114" t="str">
            <v>Motor Car Hire Expenses - FBT</v>
          </cell>
          <cell r="C114">
            <v>0</v>
          </cell>
          <cell r="D114">
            <v>4262</v>
          </cell>
          <cell r="E114">
            <v>2081</v>
          </cell>
          <cell r="F114">
            <v>2181</v>
          </cell>
          <cell r="G114">
            <v>0</v>
          </cell>
          <cell r="H114">
            <v>2181</v>
          </cell>
        </row>
        <row r="115">
          <cell r="A115">
            <v>43040040</v>
          </cell>
          <cell r="B115" t="str">
            <v>Motor Car Hire Expenses</v>
          </cell>
          <cell r="C115">
            <v>0</v>
          </cell>
          <cell r="D115">
            <v>210688</v>
          </cell>
          <cell r="E115">
            <v>98786</v>
          </cell>
          <cell r="F115">
            <v>111902</v>
          </cell>
          <cell r="G115">
            <v>0</v>
          </cell>
          <cell r="H115">
            <v>111902</v>
          </cell>
        </row>
        <row r="116">
          <cell r="A116">
            <v>43040080</v>
          </cell>
          <cell r="B116" t="str">
            <v>Travelling Expenses - Domestic - FBT</v>
          </cell>
          <cell r="C116">
            <v>0</v>
          </cell>
          <cell r="D116">
            <v>3100</v>
          </cell>
          <cell r="E116">
            <v>0</v>
          </cell>
          <cell r="F116">
            <v>3100</v>
          </cell>
          <cell r="G116">
            <v>0</v>
          </cell>
          <cell r="H116">
            <v>3100</v>
          </cell>
        </row>
        <row r="117">
          <cell r="A117">
            <v>43040100</v>
          </cell>
          <cell r="B117" t="str">
            <v>Hotel Expenses  - FBT</v>
          </cell>
          <cell r="C117">
            <v>0</v>
          </cell>
          <cell r="D117">
            <v>6234</v>
          </cell>
          <cell r="E117">
            <v>0</v>
          </cell>
          <cell r="F117">
            <v>6234</v>
          </cell>
          <cell r="G117">
            <v>0</v>
          </cell>
          <cell r="H117">
            <v>6234</v>
          </cell>
        </row>
        <row r="118">
          <cell r="A118">
            <v>43042010</v>
          </cell>
          <cell r="B118" t="str">
            <v>Fuel - Truck Mixers</v>
          </cell>
          <cell r="C118">
            <v>0</v>
          </cell>
          <cell r="D118">
            <v>2271587.5699999998</v>
          </cell>
          <cell r="E118">
            <v>0</v>
          </cell>
          <cell r="F118">
            <v>2271587.5699999998</v>
          </cell>
          <cell r="G118">
            <v>0</v>
          </cell>
          <cell r="H118">
            <v>2271587.5699999998</v>
          </cell>
        </row>
        <row r="119">
          <cell r="A119">
            <v>43042020</v>
          </cell>
          <cell r="B119" t="str">
            <v>Fuel - Loader</v>
          </cell>
          <cell r="C119">
            <v>0</v>
          </cell>
          <cell r="D119">
            <v>148906</v>
          </cell>
          <cell r="E119">
            <v>0</v>
          </cell>
          <cell r="F119">
            <v>148906</v>
          </cell>
          <cell r="G119">
            <v>0</v>
          </cell>
          <cell r="H119">
            <v>148906</v>
          </cell>
        </row>
        <row r="120">
          <cell r="A120">
            <v>43042030</v>
          </cell>
          <cell r="B120" t="str">
            <v>Fuel - Others</v>
          </cell>
          <cell r="C120">
            <v>0</v>
          </cell>
          <cell r="D120">
            <v>58733.72</v>
          </cell>
          <cell r="E120">
            <v>0</v>
          </cell>
          <cell r="F120">
            <v>58733.72</v>
          </cell>
          <cell r="G120">
            <v>0</v>
          </cell>
          <cell r="H120">
            <v>58733.72</v>
          </cell>
        </row>
        <row r="121">
          <cell r="A121">
            <v>43042060</v>
          </cell>
          <cell r="B121" t="str">
            <v>Fuel - Concrete Pumps</v>
          </cell>
          <cell r="C121">
            <v>0</v>
          </cell>
          <cell r="D121">
            <v>188822</v>
          </cell>
          <cell r="E121">
            <v>0</v>
          </cell>
          <cell r="F121">
            <v>188822</v>
          </cell>
          <cell r="G121">
            <v>0</v>
          </cell>
          <cell r="H121">
            <v>188822</v>
          </cell>
        </row>
        <row r="122">
          <cell r="A122">
            <v>43046010</v>
          </cell>
          <cell r="B122" t="str">
            <v>Rates &amp; Taxes</v>
          </cell>
          <cell r="C122">
            <v>0</v>
          </cell>
          <cell r="D122">
            <v>5586</v>
          </cell>
          <cell r="E122">
            <v>0</v>
          </cell>
          <cell r="F122">
            <v>5586</v>
          </cell>
          <cell r="G122">
            <v>0</v>
          </cell>
          <cell r="H122">
            <v>5586</v>
          </cell>
        </row>
        <row r="123">
          <cell r="A123">
            <v>43046020</v>
          </cell>
          <cell r="B123" t="str">
            <v>Toll Charges- Truck Mixer</v>
          </cell>
          <cell r="C123">
            <v>0</v>
          </cell>
          <cell r="D123">
            <v>381033</v>
          </cell>
          <cell r="E123">
            <v>220080</v>
          </cell>
          <cell r="F123">
            <v>160953</v>
          </cell>
          <cell r="G123">
            <v>0</v>
          </cell>
          <cell r="H123">
            <v>160953</v>
          </cell>
        </row>
        <row r="124">
          <cell r="A124">
            <v>43052010</v>
          </cell>
          <cell r="B124" t="str">
            <v>Security Service Charges</v>
          </cell>
          <cell r="C124">
            <v>0</v>
          </cell>
          <cell r="D124">
            <v>337965</v>
          </cell>
          <cell r="E124">
            <v>104234</v>
          </cell>
          <cell r="F124">
            <v>233731</v>
          </cell>
          <cell r="G124">
            <v>0</v>
          </cell>
          <cell r="H124">
            <v>233731</v>
          </cell>
        </row>
        <row r="125">
          <cell r="A125">
            <v>43054010</v>
          </cell>
          <cell r="B125" t="str">
            <v>Hire Charges - Machine</v>
          </cell>
          <cell r="C125">
            <v>0</v>
          </cell>
          <cell r="D125">
            <v>27442</v>
          </cell>
          <cell r="E125">
            <v>6000</v>
          </cell>
          <cell r="F125">
            <v>21442</v>
          </cell>
          <cell r="G125">
            <v>0</v>
          </cell>
          <cell r="H125">
            <v>21442</v>
          </cell>
        </row>
        <row r="126">
          <cell r="A126">
            <v>43054020</v>
          </cell>
          <cell r="B126" t="str">
            <v>Concrete Carrying Charges - TM</v>
          </cell>
          <cell r="C126">
            <v>0</v>
          </cell>
          <cell r="D126">
            <v>8453611</v>
          </cell>
          <cell r="E126">
            <v>2868041</v>
          </cell>
          <cell r="F126">
            <v>5585570</v>
          </cell>
          <cell r="G126">
            <v>0</v>
          </cell>
          <cell r="H126">
            <v>5585570</v>
          </cell>
        </row>
        <row r="127">
          <cell r="A127">
            <v>43054040</v>
          </cell>
          <cell r="B127" t="str">
            <v>Hire Charges - Vehicle</v>
          </cell>
          <cell r="C127">
            <v>0</v>
          </cell>
          <cell r="D127">
            <v>3200</v>
          </cell>
          <cell r="E127">
            <v>0</v>
          </cell>
          <cell r="F127">
            <v>3200</v>
          </cell>
          <cell r="G127">
            <v>0</v>
          </cell>
          <cell r="H127">
            <v>3200</v>
          </cell>
        </row>
        <row r="128">
          <cell r="A128">
            <v>43056010</v>
          </cell>
          <cell r="B128" t="str">
            <v>Professional &amp; Consultancy Fees</v>
          </cell>
          <cell r="C128">
            <v>0</v>
          </cell>
          <cell r="D128">
            <v>352545</v>
          </cell>
          <cell r="E128">
            <v>63160</v>
          </cell>
          <cell r="F128">
            <v>289385</v>
          </cell>
          <cell r="G128">
            <v>0</v>
          </cell>
          <cell r="H128">
            <v>289385</v>
          </cell>
        </row>
        <row r="129">
          <cell r="A129">
            <v>43062010</v>
          </cell>
          <cell r="B129" t="str">
            <v>Computer Expenses</v>
          </cell>
          <cell r="C129">
            <v>0</v>
          </cell>
          <cell r="D129">
            <v>30908</v>
          </cell>
          <cell r="E129">
            <v>19200</v>
          </cell>
          <cell r="F129">
            <v>11708</v>
          </cell>
          <cell r="G129">
            <v>0</v>
          </cell>
          <cell r="H129">
            <v>11708</v>
          </cell>
        </row>
        <row r="130">
          <cell r="A130">
            <v>43064010</v>
          </cell>
          <cell r="B130" t="str">
            <v>Membership &amp; Subscription - Fees</v>
          </cell>
          <cell r="C130">
            <v>0</v>
          </cell>
          <cell r="D130">
            <v>5688</v>
          </cell>
          <cell r="E130">
            <v>0</v>
          </cell>
          <cell r="F130">
            <v>5688</v>
          </cell>
          <cell r="G130">
            <v>0</v>
          </cell>
          <cell r="H130">
            <v>5688</v>
          </cell>
        </row>
        <row r="131">
          <cell r="A131">
            <v>43066020</v>
          </cell>
          <cell r="B131" t="str">
            <v>Printing &amp; Stationery</v>
          </cell>
          <cell r="C131">
            <v>0</v>
          </cell>
          <cell r="D131">
            <v>72827</v>
          </cell>
          <cell r="E131">
            <v>25000</v>
          </cell>
          <cell r="F131">
            <v>47827</v>
          </cell>
          <cell r="G131">
            <v>0</v>
          </cell>
          <cell r="H131">
            <v>47827</v>
          </cell>
        </row>
        <row r="132">
          <cell r="A132">
            <v>43084010</v>
          </cell>
          <cell r="B132" t="str">
            <v>Miscellaneous Expenses</v>
          </cell>
          <cell r="C132">
            <v>0</v>
          </cell>
          <cell r="D132">
            <v>21060</v>
          </cell>
          <cell r="E132">
            <v>0</v>
          </cell>
          <cell r="F132">
            <v>21060</v>
          </cell>
          <cell r="G132">
            <v>0</v>
          </cell>
          <cell r="H132">
            <v>21060</v>
          </cell>
        </row>
        <row r="133">
          <cell r="A133">
            <v>43084020</v>
          </cell>
          <cell r="B133" t="str">
            <v>Testing Charges</v>
          </cell>
          <cell r="C133">
            <v>0</v>
          </cell>
          <cell r="D133">
            <v>8934</v>
          </cell>
          <cell r="E133">
            <v>0</v>
          </cell>
          <cell r="F133">
            <v>8934</v>
          </cell>
          <cell r="G133">
            <v>0</v>
          </cell>
          <cell r="H133">
            <v>8934</v>
          </cell>
        </row>
        <row r="134">
          <cell r="A134">
            <v>43084030</v>
          </cell>
          <cell r="B134" t="str">
            <v>Rounding Off</v>
          </cell>
          <cell r="C134">
            <v>0</v>
          </cell>
          <cell r="D134">
            <v>71.98</v>
          </cell>
          <cell r="E134">
            <v>59.87</v>
          </cell>
          <cell r="F134">
            <v>12.11</v>
          </cell>
          <cell r="G134">
            <v>0</v>
          </cell>
          <cell r="H134">
            <v>12.11</v>
          </cell>
        </row>
        <row r="135">
          <cell r="A135">
            <v>44010040</v>
          </cell>
          <cell r="B135" t="str">
            <v>Bank Charges</v>
          </cell>
          <cell r="C135">
            <v>0</v>
          </cell>
          <cell r="D135">
            <v>115.45</v>
          </cell>
          <cell r="E135">
            <v>0</v>
          </cell>
          <cell r="F135">
            <v>115.45</v>
          </cell>
          <cell r="G135">
            <v>0</v>
          </cell>
          <cell r="H135">
            <v>115.45</v>
          </cell>
        </row>
        <row r="136">
          <cell r="A136">
            <v>45010010</v>
          </cell>
          <cell r="B136" t="str">
            <v>Depreciation</v>
          </cell>
          <cell r="C136">
            <v>0</v>
          </cell>
          <cell r="D136">
            <v>2769426</v>
          </cell>
          <cell r="E136">
            <v>0</v>
          </cell>
          <cell r="F136">
            <v>2769426</v>
          </cell>
          <cell r="G136">
            <v>0</v>
          </cell>
          <cell r="H136">
            <v>2769426</v>
          </cell>
        </row>
        <row r="137">
          <cell r="A137">
            <v>52000000</v>
          </cell>
          <cell r="B137" t="str">
            <v>Inter Branch Control Account</v>
          </cell>
          <cell r="C137">
            <v>-151599801.74000001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-151599801.74000001</v>
          </cell>
        </row>
        <row r="138">
          <cell r="A138">
            <v>52000809</v>
          </cell>
          <cell r="B138" t="str">
            <v>Inter branch control account for 08-09</v>
          </cell>
          <cell r="C138">
            <v>700034.73</v>
          </cell>
          <cell r="D138">
            <v>30756201</v>
          </cell>
          <cell r="E138">
            <v>28855075</v>
          </cell>
          <cell r="F138">
            <v>1901126</v>
          </cell>
          <cell r="G138">
            <v>0</v>
          </cell>
          <cell r="H138">
            <v>2601160.73</v>
          </cell>
        </row>
        <row r="139">
          <cell r="A139">
            <v>61000200</v>
          </cell>
          <cell r="B139" t="str">
            <v>Stock Transfer Control Account</v>
          </cell>
          <cell r="C139">
            <v>0</v>
          </cell>
          <cell r="D139">
            <v>54712.69</v>
          </cell>
          <cell r="E139">
            <v>54712.69</v>
          </cell>
          <cell r="F139">
            <v>0</v>
          </cell>
          <cell r="G139">
            <v>0</v>
          </cell>
          <cell r="H139">
            <v>0</v>
          </cell>
        </row>
        <row r="140">
          <cell r="A140">
            <v>62000000</v>
          </cell>
          <cell r="B140" t="str">
            <v>Inter branch Clearing account</v>
          </cell>
          <cell r="C140">
            <v>0</v>
          </cell>
          <cell r="D140">
            <v>55939061</v>
          </cell>
          <cell r="E140">
            <v>55939061</v>
          </cell>
          <cell r="F140">
            <v>0</v>
          </cell>
          <cell r="G140">
            <v>0</v>
          </cell>
          <cell r="H140">
            <v>0</v>
          </cell>
        </row>
        <row r="141">
          <cell r="B141" t="str">
            <v>Total</v>
          </cell>
          <cell r="D141">
            <v>0</v>
          </cell>
          <cell r="E141">
            <v>620955002.64999998</v>
          </cell>
          <cell r="F141">
            <v>620955002.64999998</v>
          </cell>
          <cell r="G141">
            <v>0</v>
          </cell>
          <cell r="H141">
            <v>0</v>
          </cell>
        </row>
      </sheetData>
      <sheetData sheetId="15" refreshError="1">
        <row r="1">
          <cell r="A1" t="str">
            <v>RMC Readymix (I) Pvt. Ltd.,</v>
          </cell>
          <cell r="B1" t="str">
            <v>Trial balance</v>
          </cell>
          <cell r="C1">
            <v>39970</v>
          </cell>
          <cell r="D1">
            <v>0.421875</v>
          </cell>
          <cell r="E1" t="str">
            <v>Page 1</v>
          </cell>
          <cell r="F1" t="str">
            <v>LUCKNOW, (U.P.) PIN</v>
          </cell>
        </row>
        <row r="2">
          <cell r="A2" t="str">
            <v>Period</v>
          </cell>
          <cell r="B2">
            <v>39904</v>
          </cell>
          <cell r="C2">
            <v>39964</v>
          </cell>
        </row>
        <row r="3">
          <cell r="A3" t="str">
            <v>Ledger account</v>
          </cell>
          <cell r="B3" t="str">
            <v>Account name</v>
          </cell>
          <cell r="C3" t="str">
            <v>Opening balance</v>
          </cell>
          <cell r="D3" t="str">
            <v>Debit</v>
          </cell>
          <cell r="E3" t="str">
            <v>Credit</v>
          </cell>
          <cell r="F3" t="str">
            <v>Net difference</v>
          </cell>
          <cell r="G3" t="str">
            <v>Closing transactions</v>
          </cell>
          <cell r="H3" t="str">
            <v>Closing balance</v>
          </cell>
        </row>
        <row r="4">
          <cell r="A4">
            <v>11010020</v>
          </cell>
          <cell r="B4" t="str">
            <v>Leasehold Land</v>
          </cell>
          <cell r="C4">
            <v>5985886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5985886</v>
          </cell>
        </row>
        <row r="5">
          <cell r="A5">
            <v>11015010</v>
          </cell>
          <cell r="B5" t="str">
            <v>Buildings</v>
          </cell>
          <cell r="C5">
            <v>16385426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16385426</v>
          </cell>
        </row>
        <row r="6">
          <cell r="A6">
            <v>11025010</v>
          </cell>
          <cell r="B6" t="str">
            <v>Plant and Machinery</v>
          </cell>
          <cell r="C6">
            <v>17243215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17243215</v>
          </cell>
        </row>
        <row r="7">
          <cell r="A7">
            <v>11030010</v>
          </cell>
          <cell r="B7" t="str">
            <v>Electrical Installations</v>
          </cell>
          <cell r="C7">
            <v>1341383.5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1341383.5</v>
          </cell>
        </row>
        <row r="8">
          <cell r="A8">
            <v>11035010</v>
          </cell>
          <cell r="B8" t="str">
            <v>Furniture &amp; Fixtures</v>
          </cell>
          <cell r="C8">
            <v>1133043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1133043</v>
          </cell>
        </row>
        <row r="9">
          <cell r="A9">
            <v>11040010</v>
          </cell>
          <cell r="B9" t="str">
            <v>Office &amp; Electrical Appliances</v>
          </cell>
          <cell r="C9">
            <v>646074.5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646074.5</v>
          </cell>
        </row>
        <row r="10">
          <cell r="A10">
            <v>11045010</v>
          </cell>
          <cell r="B10" t="str">
            <v>Truck Mixers, Loaders &amp; Truck Dumpers</v>
          </cell>
          <cell r="C10">
            <v>16531998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16531998</v>
          </cell>
        </row>
        <row r="11">
          <cell r="A11">
            <v>13010030</v>
          </cell>
          <cell r="B11" t="str">
            <v>Loose Tools - Cube Moulds</v>
          </cell>
          <cell r="C11">
            <v>7359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7359</v>
          </cell>
        </row>
        <row r="12">
          <cell r="A12">
            <v>13015010</v>
          </cell>
          <cell r="B12" t="str">
            <v>Balance Sheet Stock of Raw material - RMC</v>
          </cell>
          <cell r="C12">
            <v>853877.77</v>
          </cell>
          <cell r="D12">
            <v>2253291.48</v>
          </cell>
          <cell r="E12">
            <v>853877.77</v>
          </cell>
          <cell r="F12">
            <v>1399413.71</v>
          </cell>
          <cell r="G12">
            <v>0</v>
          </cell>
          <cell r="H12">
            <v>2253291.48</v>
          </cell>
        </row>
        <row r="13">
          <cell r="A13">
            <v>13020010</v>
          </cell>
          <cell r="B13" t="str">
            <v>Sundry Debtors Account</v>
          </cell>
          <cell r="C13">
            <v>14553808</v>
          </cell>
          <cell r="D13">
            <v>39089346</v>
          </cell>
          <cell r="E13">
            <v>36005419.689999998</v>
          </cell>
          <cell r="F13">
            <v>3083926.31</v>
          </cell>
          <cell r="G13">
            <v>0</v>
          </cell>
          <cell r="H13">
            <v>17637734.309999999</v>
          </cell>
        </row>
        <row r="14">
          <cell r="A14">
            <v>13025010</v>
          </cell>
          <cell r="B14" t="str">
            <v>Cash In Hand</v>
          </cell>
          <cell r="C14">
            <v>4873</v>
          </cell>
          <cell r="D14">
            <v>984752</v>
          </cell>
          <cell r="E14">
            <v>974362</v>
          </cell>
          <cell r="F14">
            <v>10390</v>
          </cell>
          <cell r="G14">
            <v>0</v>
          </cell>
          <cell r="H14">
            <v>15263</v>
          </cell>
        </row>
        <row r="15">
          <cell r="A15">
            <v>13035010</v>
          </cell>
          <cell r="B15" t="str">
            <v>Bank Account</v>
          </cell>
          <cell r="C15">
            <v>6620.76</v>
          </cell>
          <cell r="D15">
            <v>36147346.689999998</v>
          </cell>
          <cell r="E15">
            <v>40747689.350000001</v>
          </cell>
          <cell r="F15">
            <v>-4600342.66</v>
          </cell>
          <cell r="G15">
            <v>0</v>
          </cell>
          <cell r="H15">
            <v>-4593721.9000000004</v>
          </cell>
        </row>
        <row r="16">
          <cell r="A16">
            <v>13045020</v>
          </cell>
          <cell r="B16" t="str">
            <v>Loans and advances to employees</v>
          </cell>
          <cell r="C16">
            <v>0</v>
          </cell>
          <cell r="D16">
            <v>72000</v>
          </cell>
          <cell r="E16">
            <v>0</v>
          </cell>
          <cell r="F16">
            <v>72000</v>
          </cell>
          <cell r="G16">
            <v>0</v>
          </cell>
          <cell r="H16">
            <v>72000</v>
          </cell>
        </row>
        <row r="17">
          <cell r="A17">
            <v>13050020</v>
          </cell>
          <cell r="B17" t="str">
            <v>TDS ON RECEIPTS - 08-09</v>
          </cell>
          <cell r="C17">
            <v>9871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9871</v>
          </cell>
        </row>
        <row r="18">
          <cell r="A18">
            <v>13055020</v>
          </cell>
          <cell r="B18" t="str">
            <v>Prepaid Expenses</v>
          </cell>
          <cell r="C18">
            <v>138659.29999999999</v>
          </cell>
          <cell r="D18">
            <v>144469</v>
          </cell>
          <cell r="E18">
            <v>84087.75</v>
          </cell>
          <cell r="F18">
            <v>60381.25</v>
          </cell>
          <cell r="G18">
            <v>0</v>
          </cell>
          <cell r="H18">
            <v>199040.55</v>
          </cell>
        </row>
        <row r="19">
          <cell r="A19">
            <v>13055060</v>
          </cell>
          <cell r="B19" t="str">
            <v>VAT Credit Receivable (Inputs)</v>
          </cell>
          <cell r="C19">
            <v>1253828</v>
          </cell>
          <cell r="D19">
            <v>1522177</v>
          </cell>
          <cell r="E19">
            <v>1962996</v>
          </cell>
          <cell r="F19">
            <v>-440819</v>
          </cell>
          <cell r="G19">
            <v>0</v>
          </cell>
          <cell r="H19">
            <v>813009</v>
          </cell>
        </row>
        <row r="20">
          <cell r="A20">
            <v>13055090</v>
          </cell>
          <cell r="B20" t="str">
            <v>Sundry Deposits</v>
          </cell>
          <cell r="C20">
            <v>108619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108619</v>
          </cell>
        </row>
        <row r="21">
          <cell r="A21">
            <v>25005010</v>
          </cell>
          <cell r="B21" t="str">
            <v>Creditors Control</v>
          </cell>
          <cell r="C21">
            <v>-16439320.25</v>
          </cell>
          <cell r="D21">
            <v>32753529.25</v>
          </cell>
          <cell r="E21">
            <v>27968330.199999999</v>
          </cell>
          <cell r="F21">
            <v>4785199.05</v>
          </cell>
          <cell r="G21">
            <v>0</v>
          </cell>
          <cell r="H21">
            <v>-11654121.199999999</v>
          </cell>
        </row>
        <row r="22">
          <cell r="A22">
            <v>25005050</v>
          </cell>
          <cell r="B22" t="str">
            <v>Creditors liability for material received but bill not recei</v>
          </cell>
          <cell r="C22">
            <v>-3898.5</v>
          </cell>
          <cell r="D22">
            <v>24873966.91</v>
          </cell>
          <cell r="E22">
            <v>28562826.510000002</v>
          </cell>
          <cell r="F22">
            <v>-3688859.6</v>
          </cell>
          <cell r="G22">
            <v>0</v>
          </cell>
          <cell r="H22">
            <v>-3692758.1</v>
          </cell>
        </row>
        <row r="23">
          <cell r="A23">
            <v>25010020</v>
          </cell>
          <cell r="B23" t="str">
            <v>Outstanding Liabilities For Expenses</v>
          </cell>
          <cell r="C23">
            <v>-31070</v>
          </cell>
          <cell r="D23">
            <v>31070</v>
          </cell>
          <cell r="E23">
            <v>0</v>
          </cell>
          <cell r="F23">
            <v>31070</v>
          </cell>
          <cell r="G23">
            <v>0</v>
          </cell>
          <cell r="H23">
            <v>0</v>
          </cell>
        </row>
        <row r="24">
          <cell r="A24">
            <v>25010060</v>
          </cell>
          <cell r="B24" t="str">
            <v>T.D.S.payable account</v>
          </cell>
          <cell r="C24">
            <v>-74475</v>
          </cell>
          <cell r="D24">
            <v>103651</v>
          </cell>
          <cell r="E24">
            <v>69780</v>
          </cell>
          <cell r="F24">
            <v>33871</v>
          </cell>
          <cell r="G24">
            <v>0</v>
          </cell>
          <cell r="H24">
            <v>-40604</v>
          </cell>
        </row>
        <row r="25">
          <cell r="A25">
            <v>25010190</v>
          </cell>
          <cell r="B25" t="str">
            <v>VAT  Payable account</v>
          </cell>
          <cell r="C25">
            <v>-1725040</v>
          </cell>
          <cell r="D25">
            <v>4074967</v>
          </cell>
          <cell r="E25">
            <v>4343384</v>
          </cell>
          <cell r="F25">
            <v>-268417</v>
          </cell>
          <cell r="G25">
            <v>0</v>
          </cell>
          <cell r="H25">
            <v>-1993457</v>
          </cell>
        </row>
        <row r="26">
          <cell r="A26">
            <v>25010200</v>
          </cell>
          <cell r="B26" t="str">
            <v>Provision for Expenses in MIS</v>
          </cell>
          <cell r="C26">
            <v>0</v>
          </cell>
          <cell r="D26">
            <v>527688</v>
          </cell>
          <cell r="E26">
            <v>2107799</v>
          </cell>
          <cell r="F26">
            <v>-1580111</v>
          </cell>
          <cell r="G26">
            <v>0</v>
          </cell>
          <cell r="H26">
            <v>-1580111</v>
          </cell>
        </row>
        <row r="27">
          <cell r="A27">
            <v>25020010</v>
          </cell>
          <cell r="B27" t="str">
            <v>E.S.I.C. Payable account</v>
          </cell>
          <cell r="C27">
            <v>-3287</v>
          </cell>
          <cell r="D27">
            <v>7202</v>
          </cell>
          <cell r="E27">
            <v>7830</v>
          </cell>
          <cell r="F27">
            <v>-628</v>
          </cell>
          <cell r="G27">
            <v>0</v>
          </cell>
          <cell r="H27">
            <v>-3915</v>
          </cell>
        </row>
        <row r="28">
          <cell r="A28">
            <v>26005020</v>
          </cell>
          <cell r="B28" t="str">
            <v>Provision For Bad &amp; Doubtful Debts</v>
          </cell>
          <cell r="C28">
            <v>-664913</v>
          </cell>
          <cell r="D28">
            <v>0</v>
          </cell>
          <cell r="E28">
            <v>192600</v>
          </cell>
          <cell r="F28">
            <v>-192600</v>
          </cell>
          <cell r="G28">
            <v>0</v>
          </cell>
          <cell r="H28">
            <v>-857513</v>
          </cell>
        </row>
        <row r="29">
          <cell r="A29">
            <v>26015010</v>
          </cell>
          <cell r="B29" t="str">
            <v>Prov For Dep.-  Buildings</v>
          </cell>
          <cell r="C29">
            <v>-504431.52</v>
          </cell>
          <cell r="D29">
            <v>0</v>
          </cell>
          <cell r="E29">
            <v>45086</v>
          </cell>
          <cell r="F29">
            <v>-45086</v>
          </cell>
          <cell r="G29">
            <v>0</v>
          </cell>
          <cell r="H29">
            <v>-549517.52</v>
          </cell>
        </row>
        <row r="30">
          <cell r="A30">
            <v>26025010</v>
          </cell>
          <cell r="B30" t="str">
            <v>Provision for Depreciation Plant &amp; Machinery</v>
          </cell>
          <cell r="C30">
            <v>-3439483.44</v>
          </cell>
          <cell r="D30">
            <v>0</v>
          </cell>
          <cell r="E30">
            <v>251338</v>
          </cell>
          <cell r="F30">
            <v>-251338</v>
          </cell>
          <cell r="G30">
            <v>0</v>
          </cell>
          <cell r="H30">
            <v>-3690821.44</v>
          </cell>
        </row>
        <row r="31">
          <cell r="A31">
            <v>26030010</v>
          </cell>
          <cell r="B31" t="str">
            <v>Provision For Dep.-Electrical Installations</v>
          </cell>
          <cell r="C31">
            <v>-245890.88</v>
          </cell>
          <cell r="D31">
            <v>0</v>
          </cell>
          <cell r="E31">
            <v>22533</v>
          </cell>
          <cell r="F31">
            <v>-22533</v>
          </cell>
          <cell r="G31">
            <v>0</v>
          </cell>
          <cell r="H31">
            <v>-268423.88</v>
          </cell>
        </row>
        <row r="32">
          <cell r="A32">
            <v>26035010</v>
          </cell>
          <cell r="B32" t="str">
            <v>Provision For Dep.-Furniture and Fixtures</v>
          </cell>
          <cell r="C32">
            <v>-265100.08</v>
          </cell>
          <cell r="D32">
            <v>0</v>
          </cell>
          <cell r="E32">
            <v>18799</v>
          </cell>
          <cell r="F32">
            <v>-18799</v>
          </cell>
          <cell r="G32">
            <v>0</v>
          </cell>
          <cell r="H32">
            <v>-283899.08</v>
          </cell>
        </row>
        <row r="33">
          <cell r="A33">
            <v>26040010</v>
          </cell>
          <cell r="B33" t="str">
            <v>Provision for Depreciation- Office and Electrical Appliances</v>
          </cell>
          <cell r="C33">
            <v>-190831</v>
          </cell>
          <cell r="D33">
            <v>0</v>
          </cell>
          <cell r="E33">
            <v>16413</v>
          </cell>
          <cell r="F33">
            <v>-16413</v>
          </cell>
          <cell r="G33">
            <v>0</v>
          </cell>
          <cell r="H33">
            <v>-207244</v>
          </cell>
        </row>
        <row r="34">
          <cell r="A34">
            <v>26045010</v>
          </cell>
          <cell r="B34" t="str">
            <v>Provision for Depreciation- Truck Mixers, Loaders &amp; Dumpers</v>
          </cell>
          <cell r="C34">
            <v>-4200874.5599999996</v>
          </cell>
          <cell r="D34">
            <v>0</v>
          </cell>
          <cell r="E34">
            <v>344721</v>
          </cell>
          <cell r="F34">
            <v>-344721</v>
          </cell>
          <cell r="G34">
            <v>0</v>
          </cell>
          <cell r="H34">
            <v>-4545595.5599999996</v>
          </cell>
        </row>
        <row r="35">
          <cell r="A35">
            <v>26055020</v>
          </cell>
          <cell r="B35" t="str">
            <v>Profit &amp; Loss A/c</v>
          </cell>
          <cell r="C35">
            <v>-18104730.600000001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-18104730.600000001</v>
          </cell>
        </row>
        <row r="36">
          <cell r="A36">
            <v>26055050</v>
          </cell>
          <cell r="B36" t="str">
            <v>Provision for Production linked incentive (KRA)</v>
          </cell>
          <cell r="C36">
            <v>0</v>
          </cell>
          <cell r="D36">
            <v>0</v>
          </cell>
          <cell r="E36">
            <v>54876</v>
          </cell>
          <cell r="F36">
            <v>-54876</v>
          </cell>
          <cell r="G36">
            <v>0</v>
          </cell>
          <cell r="H36">
            <v>-54876</v>
          </cell>
        </row>
        <row r="37">
          <cell r="A37">
            <v>31010010</v>
          </cell>
          <cell r="B37" t="str">
            <v>Sales</v>
          </cell>
          <cell r="C37">
            <v>0</v>
          </cell>
          <cell r="D37">
            <v>504533.19</v>
          </cell>
          <cell r="E37">
            <v>34652746.810000002</v>
          </cell>
          <cell r="F37">
            <v>-34148213.619999997</v>
          </cell>
          <cell r="G37">
            <v>0</v>
          </cell>
          <cell r="H37">
            <v>-34148213.619999997</v>
          </cell>
        </row>
        <row r="38">
          <cell r="A38">
            <v>32020020</v>
          </cell>
          <cell r="B38" t="str">
            <v>Misc Income - Scrap sales</v>
          </cell>
          <cell r="C38">
            <v>0</v>
          </cell>
          <cell r="D38">
            <v>0</v>
          </cell>
          <cell r="E38">
            <v>93210</v>
          </cell>
          <cell r="F38">
            <v>-93210</v>
          </cell>
          <cell r="G38">
            <v>0</v>
          </cell>
          <cell r="H38">
            <v>-93210</v>
          </cell>
        </row>
        <row r="39">
          <cell r="A39">
            <v>41010010</v>
          </cell>
          <cell r="B39" t="str">
            <v>Opening Stock - Cement</v>
          </cell>
          <cell r="C39">
            <v>0</v>
          </cell>
          <cell r="D39">
            <v>7070.45</v>
          </cell>
          <cell r="E39">
            <v>0</v>
          </cell>
          <cell r="F39">
            <v>7070.45</v>
          </cell>
          <cell r="G39">
            <v>0</v>
          </cell>
          <cell r="H39">
            <v>7070.45</v>
          </cell>
        </row>
        <row r="40">
          <cell r="A40">
            <v>41010020</v>
          </cell>
          <cell r="B40" t="str">
            <v>Opening Stock - Sand</v>
          </cell>
          <cell r="C40">
            <v>0</v>
          </cell>
          <cell r="D40">
            <v>91363.8</v>
          </cell>
          <cell r="E40">
            <v>0</v>
          </cell>
          <cell r="F40">
            <v>91363.8</v>
          </cell>
          <cell r="G40">
            <v>0</v>
          </cell>
          <cell r="H40">
            <v>91363.8</v>
          </cell>
        </row>
        <row r="41">
          <cell r="A41">
            <v>41010040</v>
          </cell>
          <cell r="B41" t="str">
            <v>Opening Stock - RMC Aggregates</v>
          </cell>
          <cell r="C41">
            <v>0</v>
          </cell>
          <cell r="D41">
            <v>347650.38</v>
          </cell>
          <cell r="E41">
            <v>0</v>
          </cell>
          <cell r="F41">
            <v>347650.38</v>
          </cell>
          <cell r="G41">
            <v>0</v>
          </cell>
          <cell r="H41">
            <v>347650.38</v>
          </cell>
        </row>
        <row r="42">
          <cell r="A42">
            <v>41010050</v>
          </cell>
          <cell r="B42" t="str">
            <v>Opening Stock - Admixtures</v>
          </cell>
          <cell r="C42">
            <v>0</v>
          </cell>
          <cell r="D42">
            <v>351375.53</v>
          </cell>
          <cell r="E42">
            <v>0</v>
          </cell>
          <cell r="F42">
            <v>351375.53</v>
          </cell>
          <cell r="G42">
            <v>0</v>
          </cell>
          <cell r="H42">
            <v>351375.53</v>
          </cell>
        </row>
        <row r="43">
          <cell r="A43">
            <v>41010070</v>
          </cell>
          <cell r="B43" t="str">
            <v>Opening Stock - Flyash</v>
          </cell>
          <cell r="C43">
            <v>0</v>
          </cell>
          <cell r="D43">
            <v>29368.26</v>
          </cell>
          <cell r="E43">
            <v>0</v>
          </cell>
          <cell r="F43">
            <v>29368.26</v>
          </cell>
          <cell r="G43">
            <v>0</v>
          </cell>
          <cell r="H43">
            <v>29368.26</v>
          </cell>
        </row>
        <row r="44">
          <cell r="A44">
            <v>41010080</v>
          </cell>
          <cell r="B44" t="str">
            <v>Opening Stock - Diesel</v>
          </cell>
          <cell r="C44">
            <v>0</v>
          </cell>
          <cell r="D44">
            <v>27049.35</v>
          </cell>
          <cell r="E44">
            <v>0</v>
          </cell>
          <cell r="F44">
            <v>27049.35</v>
          </cell>
          <cell r="G44">
            <v>0</v>
          </cell>
          <cell r="H44">
            <v>27049.35</v>
          </cell>
        </row>
        <row r="45">
          <cell r="A45">
            <v>41020010</v>
          </cell>
          <cell r="B45" t="str">
            <v>Raw Material Purchase - Cement</v>
          </cell>
          <cell r="C45">
            <v>0</v>
          </cell>
          <cell r="D45">
            <v>7506041.6200000001</v>
          </cell>
          <cell r="E45">
            <v>6302788.8700000001</v>
          </cell>
          <cell r="F45">
            <v>1203252.75</v>
          </cell>
          <cell r="G45">
            <v>0</v>
          </cell>
          <cell r="H45">
            <v>1203252.75</v>
          </cell>
        </row>
        <row r="46">
          <cell r="A46">
            <v>41020015</v>
          </cell>
          <cell r="B46" t="str">
            <v>Interim account cement received</v>
          </cell>
          <cell r="C46">
            <v>0</v>
          </cell>
          <cell r="D46">
            <v>7510654.8499999996</v>
          </cell>
          <cell r="E46">
            <v>7277125.25</v>
          </cell>
          <cell r="F46">
            <v>233529.60000000001</v>
          </cell>
          <cell r="G46">
            <v>0</v>
          </cell>
          <cell r="H46">
            <v>233529.60000000001</v>
          </cell>
        </row>
        <row r="47">
          <cell r="A47">
            <v>41020020</v>
          </cell>
          <cell r="B47" t="str">
            <v>Cement Consumption account</v>
          </cell>
          <cell r="C47">
            <v>0</v>
          </cell>
          <cell r="D47">
            <v>5781620.0899999999</v>
          </cell>
          <cell r="E47">
            <v>148272.87</v>
          </cell>
          <cell r="F47">
            <v>5633347.2199999997</v>
          </cell>
          <cell r="G47">
            <v>0</v>
          </cell>
          <cell r="H47">
            <v>5633347.2199999997</v>
          </cell>
        </row>
        <row r="48">
          <cell r="A48">
            <v>41020030</v>
          </cell>
          <cell r="B48" t="str">
            <v>Raw Material Purchase - Aggregates</v>
          </cell>
          <cell r="C48">
            <v>0</v>
          </cell>
          <cell r="D48">
            <v>10639539.83</v>
          </cell>
          <cell r="E48">
            <v>13290243.689999999</v>
          </cell>
          <cell r="F48">
            <v>-2650703.86</v>
          </cell>
          <cell r="G48">
            <v>0</v>
          </cell>
          <cell r="H48">
            <v>-2650703.86</v>
          </cell>
        </row>
        <row r="49">
          <cell r="A49">
            <v>41020035</v>
          </cell>
          <cell r="B49" t="str">
            <v>Interim account Aggregate received</v>
          </cell>
          <cell r="C49">
            <v>0</v>
          </cell>
          <cell r="D49">
            <v>13083303.25</v>
          </cell>
          <cell r="E49">
            <v>10285363.25</v>
          </cell>
          <cell r="F49">
            <v>2797940</v>
          </cell>
          <cell r="G49">
            <v>0</v>
          </cell>
          <cell r="H49">
            <v>2797940</v>
          </cell>
        </row>
        <row r="50">
          <cell r="A50">
            <v>41020040</v>
          </cell>
          <cell r="B50" t="str">
            <v>Aggregate Consumption account</v>
          </cell>
          <cell r="C50">
            <v>0</v>
          </cell>
          <cell r="D50">
            <v>13160500.380000001</v>
          </cell>
          <cell r="E50">
            <v>40082.949999999997</v>
          </cell>
          <cell r="F50">
            <v>13120417.43</v>
          </cell>
          <cell r="G50">
            <v>0</v>
          </cell>
          <cell r="H50">
            <v>13120417.43</v>
          </cell>
        </row>
        <row r="51">
          <cell r="A51">
            <v>41020050</v>
          </cell>
          <cell r="B51" t="str">
            <v>Raw Material Purchase - Sand</v>
          </cell>
          <cell r="C51">
            <v>0</v>
          </cell>
          <cell r="D51">
            <v>5404098.25</v>
          </cell>
          <cell r="E51">
            <v>6097545.2000000002</v>
          </cell>
          <cell r="F51">
            <v>-693446.95</v>
          </cell>
          <cell r="G51">
            <v>0</v>
          </cell>
          <cell r="H51">
            <v>-693446.95</v>
          </cell>
        </row>
        <row r="52">
          <cell r="A52">
            <v>41020055</v>
          </cell>
          <cell r="B52" t="str">
            <v>Interim account Sand Received</v>
          </cell>
          <cell r="C52">
            <v>0</v>
          </cell>
          <cell r="D52">
            <v>6061488.25</v>
          </cell>
          <cell r="E52">
            <v>5404098.25</v>
          </cell>
          <cell r="F52">
            <v>657390</v>
          </cell>
          <cell r="G52">
            <v>0</v>
          </cell>
          <cell r="H52">
            <v>657390</v>
          </cell>
        </row>
        <row r="53">
          <cell r="A53">
            <v>41020060</v>
          </cell>
          <cell r="B53" t="str">
            <v>Sand Consumption account</v>
          </cell>
          <cell r="C53">
            <v>0</v>
          </cell>
          <cell r="D53">
            <v>5895346.25</v>
          </cell>
          <cell r="E53">
            <v>0</v>
          </cell>
          <cell r="F53">
            <v>5895346.25</v>
          </cell>
          <cell r="G53">
            <v>0</v>
          </cell>
          <cell r="H53">
            <v>5895346.25</v>
          </cell>
        </row>
        <row r="54">
          <cell r="A54">
            <v>41020070</v>
          </cell>
          <cell r="B54" t="str">
            <v>Raw Material Purchase - Admixture</v>
          </cell>
          <cell r="C54">
            <v>0</v>
          </cell>
          <cell r="D54">
            <v>894214.29</v>
          </cell>
          <cell r="E54">
            <v>987812.43</v>
          </cell>
          <cell r="F54">
            <v>-93598.14</v>
          </cell>
          <cell r="G54">
            <v>0</v>
          </cell>
          <cell r="H54">
            <v>-93598.14</v>
          </cell>
        </row>
        <row r="55">
          <cell r="A55">
            <v>41020075</v>
          </cell>
          <cell r="B55" t="str">
            <v>Interim account Admixture received</v>
          </cell>
          <cell r="C55">
            <v>0</v>
          </cell>
          <cell r="D55">
            <v>821963.45</v>
          </cell>
          <cell r="E55">
            <v>821963.45</v>
          </cell>
          <cell r="F55">
            <v>0</v>
          </cell>
          <cell r="G55">
            <v>0</v>
          </cell>
          <cell r="H55">
            <v>0</v>
          </cell>
        </row>
        <row r="56">
          <cell r="A56">
            <v>41020080</v>
          </cell>
          <cell r="B56" t="str">
            <v>Admixture Consumption account</v>
          </cell>
          <cell r="C56">
            <v>0</v>
          </cell>
          <cell r="D56">
            <v>987812.43</v>
          </cell>
          <cell r="E56">
            <v>55653.599999999999</v>
          </cell>
          <cell r="F56">
            <v>932158.83</v>
          </cell>
          <cell r="G56">
            <v>0</v>
          </cell>
          <cell r="H56">
            <v>932158.83</v>
          </cell>
        </row>
        <row r="57">
          <cell r="A57">
            <v>41020090</v>
          </cell>
          <cell r="B57" t="str">
            <v>Raw Material  Purchase - Fly Ash</v>
          </cell>
          <cell r="C57">
            <v>0</v>
          </cell>
          <cell r="D57">
            <v>0</v>
          </cell>
          <cell r="E57">
            <v>29357.38</v>
          </cell>
          <cell r="F57">
            <v>-29357.38</v>
          </cell>
          <cell r="G57">
            <v>0</v>
          </cell>
          <cell r="H57">
            <v>-29357.38</v>
          </cell>
        </row>
        <row r="58">
          <cell r="A58">
            <v>41020100</v>
          </cell>
          <cell r="B58" t="str">
            <v>Fly Ash Consumption account</v>
          </cell>
          <cell r="C58">
            <v>0</v>
          </cell>
          <cell r="D58">
            <v>22176.58</v>
          </cell>
          <cell r="E58">
            <v>0</v>
          </cell>
          <cell r="F58">
            <v>22176.58</v>
          </cell>
          <cell r="G58">
            <v>0</v>
          </cell>
          <cell r="H58">
            <v>22176.58</v>
          </cell>
        </row>
        <row r="59">
          <cell r="A59">
            <v>41020150</v>
          </cell>
          <cell r="B59" t="str">
            <v>Loss/ gain on Stock</v>
          </cell>
          <cell r="C59">
            <v>0</v>
          </cell>
          <cell r="D59">
            <v>337610.56</v>
          </cell>
          <cell r="E59">
            <v>411334.37</v>
          </cell>
          <cell r="F59">
            <v>-73723.81</v>
          </cell>
          <cell r="G59">
            <v>0</v>
          </cell>
          <cell r="H59">
            <v>-73723.81</v>
          </cell>
        </row>
        <row r="60">
          <cell r="A60">
            <v>41020195</v>
          </cell>
          <cell r="B60" t="str">
            <v>Purchase of Diesel</v>
          </cell>
          <cell r="C60">
            <v>0</v>
          </cell>
          <cell r="D60">
            <v>1035542.51</v>
          </cell>
          <cell r="E60">
            <v>1061134.82</v>
          </cell>
          <cell r="F60">
            <v>-25592.31</v>
          </cell>
          <cell r="G60">
            <v>0</v>
          </cell>
          <cell r="H60">
            <v>-25592.31</v>
          </cell>
        </row>
        <row r="61">
          <cell r="A61">
            <v>41020200</v>
          </cell>
          <cell r="B61" t="str">
            <v>Interim account for diesel received</v>
          </cell>
          <cell r="C61">
            <v>0</v>
          </cell>
          <cell r="D61">
            <v>1035542.51</v>
          </cell>
          <cell r="E61">
            <v>1035542.51</v>
          </cell>
          <cell r="F61">
            <v>0</v>
          </cell>
          <cell r="G61">
            <v>0</v>
          </cell>
          <cell r="H61">
            <v>0</v>
          </cell>
        </row>
        <row r="62">
          <cell r="A62">
            <v>41020205</v>
          </cell>
          <cell r="B62" t="str">
            <v>Diesel Consumption account</v>
          </cell>
          <cell r="C62">
            <v>0</v>
          </cell>
          <cell r="D62">
            <v>1061134.82</v>
          </cell>
          <cell r="E62">
            <v>1061212.95</v>
          </cell>
          <cell r="F62">
            <v>-78.13</v>
          </cell>
          <cell r="G62">
            <v>0</v>
          </cell>
          <cell r="H62">
            <v>-78.13</v>
          </cell>
        </row>
        <row r="63">
          <cell r="A63">
            <v>41050010</v>
          </cell>
          <cell r="B63" t="str">
            <v>Closing Stock - Cement</v>
          </cell>
          <cell r="C63">
            <v>0</v>
          </cell>
          <cell r="D63">
            <v>0</v>
          </cell>
          <cell r="E63">
            <v>1443852.8</v>
          </cell>
          <cell r="F63">
            <v>-1443852.8</v>
          </cell>
          <cell r="G63">
            <v>0</v>
          </cell>
          <cell r="H63">
            <v>-1443852.8</v>
          </cell>
        </row>
        <row r="64">
          <cell r="A64">
            <v>41050020</v>
          </cell>
          <cell r="B64" t="str">
            <v>Closing Stock - Sand</v>
          </cell>
          <cell r="C64">
            <v>0</v>
          </cell>
          <cell r="D64">
            <v>0</v>
          </cell>
          <cell r="E64">
            <v>55306.85</v>
          </cell>
          <cell r="F64">
            <v>-55306.85</v>
          </cell>
          <cell r="G64">
            <v>0</v>
          </cell>
          <cell r="H64">
            <v>-55306.85</v>
          </cell>
        </row>
        <row r="65">
          <cell r="A65">
            <v>41050040</v>
          </cell>
          <cell r="B65" t="str">
            <v>Closing Stock - RMC Aggregates</v>
          </cell>
          <cell r="C65">
            <v>0</v>
          </cell>
          <cell r="D65">
            <v>0</v>
          </cell>
          <cell r="E65">
            <v>494886.52</v>
          </cell>
          <cell r="F65">
            <v>-494886.52</v>
          </cell>
          <cell r="G65">
            <v>0</v>
          </cell>
          <cell r="H65">
            <v>-494886.52</v>
          </cell>
        </row>
        <row r="66">
          <cell r="A66">
            <v>41050050</v>
          </cell>
          <cell r="B66" t="str">
            <v>Closing Stock - Admixtures</v>
          </cell>
          <cell r="C66">
            <v>0</v>
          </cell>
          <cell r="D66">
            <v>0</v>
          </cell>
          <cell r="E66">
            <v>257777.39</v>
          </cell>
          <cell r="F66">
            <v>-257777.39</v>
          </cell>
          <cell r="G66">
            <v>0</v>
          </cell>
          <cell r="H66">
            <v>-257777.39</v>
          </cell>
        </row>
        <row r="67">
          <cell r="A67">
            <v>41050070</v>
          </cell>
          <cell r="B67" t="str">
            <v>Closing Stock - Flyash</v>
          </cell>
          <cell r="C67">
            <v>0</v>
          </cell>
          <cell r="D67">
            <v>0</v>
          </cell>
          <cell r="E67">
            <v>10.88</v>
          </cell>
          <cell r="F67">
            <v>-10.88</v>
          </cell>
          <cell r="G67">
            <v>0</v>
          </cell>
          <cell r="H67">
            <v>-10.88</v>
          </cell>
        </row>
        <row r="68">
          <cell r="A68">
            <v>41050080</v>
          </cell>
          <cell r="B68" t="str">
            <v>Closing Stock - Diesel</v>
          </cell>
          <cell r="C68">
            <v>0</v>
          </cell>
          <cell r="D68">
            <v>0</v>
          </cell>
          <cell r="E68">
            <v>1457.04</v>
          </cell>
          <cell r="F68">
            <v>-1457.04</v>
          </cell>
          <cell r="G68">
            <v>0</v>
          </cell>
          <cell r="H68">
            <v>-1457.04</v>
          </cell>
        </row>
        <row r="69">
          <cell r="A69">
            <v>42010010</v>
          </cell>
          <cell r="B69" t="str">
            <v>Salary - Basic</v>
          </cell>
          <cell r="C69">
            <v>0</v>
          </cell>
          <cell r="D69">
            <v>488863</v>
          </cell>
          <cell r="E69">
            <v>244163</v>
          </cell>
          <cell r="F69">
            <v>244700</v>
          </cell>
          <cell r="G69">
            <v>0</v>
          </cell>
          <cell r="H69">
            <v>244700</v>
          </cell>
        </row>
        <row r="70">
          <cell r="A70">
            <v>42010020</v>
          </cell>
          <cell r="B70" t="str">
            <v>House Rent Allowance</v>
          </cell>
          <cell r="C70">
            <v>0</v>
          </cell>
          <cell r="D70">
            <v>122350</v>
          </cell>
          <cell r="E70">
            <v>0</v>
          </cell>
          <cell r="F70">
            <v>122350</v>
          </cell>
          <cell r="G70">
            <v>0</v>
          </cell>
          <cell r="H70">
            <v>122350</v>
          </cell>
        </row>
        <row r="71">
          <cell r="A71">
            <v>42010030</v>
          </cell>
          <cell r="B71" t="str">
            <v>Education Allowance</v>
          </cell>
          <cell r="C71">
            <v>0</v>
          </cell>
          <cell r="D71">
            <v>19600</v>
          </cell>
          <cell r="E71">
            <v>0</v>
          </cell>
          <cell r="F71">
            <v>19600</v>
          </cell>
          <cell r="G71">
            <v>0</v>
          </cell>
          <cell r="H71">
            <v>19600</v>
          </cell>
        </row>
        <row r="72">
          <cell r="A72">
            <v>42010040</v>
          </cell>
          <cell r="B72" t="str">
            <v>Special Allowance</v>
          </cell>
          <cell r="C72">
            <v>0</v>
          </cell>
          <cell r="D72">
            <v>39536</v>
          </cell>
          <cell r="E72">
            <v>0</v>
          </cell>
          <cell r="F72">
            <v>39536</v>
          </cell>
          <cell r="G72">
            <v>0</v>
          </cell>
          <cell r="H72">
            <v>39536</v>
          </cell>
        </row>
        <row r="73">
          <cell r="A73">
            <v>42010060</v>
          </cell>
          <cell r="B73" t="str">
            <v>Leave Travel Allowance</v>
          </cell>
          <cell r="C73">
            <v>0</v>
          </cell>
          <cell r="D73">
            <v>24440</v>
          </cell>
          <cell r="E73">
            <v>0</v>
          </cell>
          <cell r="F73">
            <v>24440</v>
          </cell>
          <cell r="G73">
            <v>0</v>
          </cell>
          <cell r="H73">
            <v>24440</v>
          </cell>
        </row>
        <row r="74">
          <cell r="A74">
            <v>42010100</v>
          </cell>
          <cell r="B74" t="str">
            <v>Transport Allowance</v>
          </cell>
          <cell r="C74">
            <v>0</v>
          </cell>
          <cell r="D74">
            <v>52400</v>
          </cell>
          <cell r="E74">
            <v>0</v>
          </cell>
          <cell r="F74">
            <v>52400</v>
          </cell>
          <cell r="G74">
            <v>0</v>
          </cell>
          <cell r="H74">
            <v>52400</v>
          </cell>
        </row>
        <row r="75">
          <cell r="A75">
            <v>42010130</v>
          </cell>
          <cell r="B75" t="str">
            <v>Production Linked Incentive</v>
          </cell>
          <cell r="C75">
            <v>0</v>
          </cell>
          <cell r="D75">
            <v>54876</v>
          </cell>
          <cell r="E75">
            <v>0</v>
          </cell>
          <cell r="F75">
            <v>54876</v>
          </cell>
          <cell r="G75">
            <v>0</v>
          </cell>
          <cell r="H75">
            <v>54876</v>
          </cell>
        </row>
        <row r="76">
          <cell r="A76">
            <v>42010220</v>
          </cell>
          <cell r="B76" t="str">
            <v>Adhoc Allowance</v>
          </cell>
          <cell r="C76">
            <v>0</v>
          </cell>
          <cell r="D76">
            <v>9740</v>
          </cell>
          <cell r="E76">
            <v>0</v>
          </cell>
          <cell r="F76">
            <v>9740</v>
          </cell>
          <cell r="G76">
            <v>0</v>
          </cell>
          <cell r="H76">
            <v>9740</v>
          </cell>
        </row>
        <row r="77">
          <cell r="A77">
            <v>42020010</v>
          </cell>
          <cell r="B77" t="str">
            <v>Provident Funds - Employer's Conribution</v>
          </cell>
          <cell r="C77">
            <v>0</v>
          </cell>
          <cell r="D77">
            <v>29426</v>
          </cell>
          <cell r="E77">
            <v>14682</v>
          </cell>
          <cell r="F77">
            <v>14744</v>
          </cell>
          <cell r="G77">
            <v>0</v>
          </cell>
          <cell r="H77">
            <v>14744</v>
          </cell>
        </row>
        <row r="78">
          <cell r="A78">
            <v>42020020</v>
          </cell>
          <cell r="B78" t="str">
            <v>Pension Fund - Employer's Contribution</v>
          </cell>
          <cell r="C78">
            <v>0</v>
          </cell>
          <cell r="D78">
            <v>14620</v>
          </cell>
          <cell r="E78">
            <v>0</v>
          </cell>
          <cell r="F78">
            <v>14620</v>
          </cell>
          <cell r="G78">
            <v>0</v>
          </cell>
          <cell r="H78">
            <v>14620</v>
          </cell>
        </row>
        <row r="79">
          <cell r="A79">
            <v>42020070</v>
          </cell>
          <cell r="B79" t="str">
            <v>E.S.I.S. - Employer's Contribution</v>
          </cell>
          <cell r="C79">
            <v>0</v>
          </cell>
          <cell r="D79">
            <v>8118</v>
          </cell>
          <cell r="E79">
            <v>2400</v>
          </cell>
          <cell r="F79">
            <v>5718</v>
          </cell>
          <cell r="G79">
            <v>0</v>
          </cell>
          <cell r="H79">
            <v>5718</v>
          </cell>
        </row>
        <row r="80">
          <cell r="A80">
            <v>42030020</v>
          </cell>
          <cell r="B80" t="str">
            <v>Purchases of Safety &amp; Welfare Items</v>
          </cell>
          <cell r="C80">
            <v>0</v>
          </cell>
          <cell r="D80">
            <v>6397</v>
          </cell>
          <cell r="E80">
            <v>692</v>
          </cell>
          <cell r="F80">
            <v>5705</v>
          </cell>
          <cell r="G80">
            <v>0</v>
          </cell>
          <cell r="H80">
            <v>5705</v>
          </cell>
        </row>
        <row r="81">
          <cell r="A81">
            <v>42030040</v>
          </cell>
          <cell r="B81" t="str">
            <v>Staff Welfare Expenses - FBT</v>
          </cell>
          <cell r="C81">
            <v>0</v>
          </cell>
          <cell r="D81">
            <v>17625</v>
          </cell>
          <cell r="E81">
            <v>3000</v>
          </cell>
          <cell r="F81">
            <v>14625</v>
          </cell>
          <cell r="G81">
            <v>0</v>
          </cell>
          <cell r="H81">
            <v>14625</v>
          </cell>
        </row>
        <row r="82">
          <cell r="A82">
            <v>43001010</v>
          </cell>
          <cell r="B82" t="str">
            <v>Electricity Charges</v>
          </cell>
          <cell r="C82">
            <v>0</v>
          </cell>
          <cell r="D82">
            <v>185335</v>
          </cell>
          <cell r="E82">
            <v>0</v>
          </cell>
          <cell r="F82">
            <v>185335</v>
          </cell>
          <cell r="G82">
            <v>0</v>
          </cell>
          <cell r="H82">
            <v>185335</v>
          </cell>
        </row>
        <row r="83">
          <cell r="A83">
            <v>43001030</v>
          </cell>
          <cell r="B83" t="str">
            <v>Fuel For Diesel Generator Set</v>
          </cell>
          <cell r="C83">
            <v>0</v>
          </cell>
          <cell r="D83">
            <v>56389.8</v>
          </cell>
          <cell r="E83">
            <v>0</v>
          </cell>
          <cell r="F83">
            <v>56389.8</v>
          </cell>
          <cell r="G83">
            <v>0</v>
          </cell>
          <cell r="H83">
            <v>56389.8</v>
          </cell>
        </row>
        <row r="84">
          <cell r="A84">
            <v>43012010</v>
          </cell>
          <cell r="B84" t="str">
            <v>Lab Consumables</v>
          </cell>
          <cell r="C84">
            <v>0</v>
          </cell>
          <cell r="D84">
            <v>439</v>
          </cell>
          <cell r="E84">
            <v>0</v>
          </cell>
          <cell r="F84">
            <v>439</v>
          </cell>
          <cell r="G84">
            <v>0</v>
          </cell>
          <cell r="H84">
            <v>439</v>
          </cell>
        </row>
        <row r="85">
          <cell r="A85">
            <v>43012020</v>
          </cell>
          <cell r="B85" t="str">
            <v>Labour / sub contractor for - Pumping Expenses Incurred</v>
          </cell>
          <cell r="C85">
            <v>0</v>
          </cell>
          <cell r="D85">
            <v>232830</v>
          </cell>
          <cell r="E85">
            <v>0</v>
          </cell>
          <cell r="F85">
            <v>232830</v>
          </cell>
          <cell r="G85">
            <v>0</v>
          </cell>
          <cell r="H85">
            <v>232830</v>
          </cell>
        </row>
        <row r="86">
          <cell r="A86">
            <v>43018010</v>
          </cell>
          <cell r="B86" t="str">
            <v>Repairs &amp; Maintenance</v>
          </cell>
          <cell r="C86">
            <v>0</v>
          </cell>
          <cell r="D86">
            <v>175320.79</v>
          </cell>
          <cell r="E86">
            <v>0</v>
          </cell>
          <cell r="F86">
            <v>175320.79</v>
          </cell>
          <cell r="G86">
            <v>0</v>
          </cell>
          <cell r="H86">
            <v>175320.79</v>
          </cell>
        </row>
        <row r="87">
          <cell r="A87">
            <v>43018020</v>
          </cell>
          <cell r="B87" t="str">
            <v>Oil &amp; Grease</v>
          </cell>
          <cell r="C87">
            <v>0</v>
          </cell>
          <cell r="D87">
            <v>27401.72</v>
          </cell>
          <cell r="E87">
            <v>0</v>
          </cell>
          <cell r="F87">
            <v>27401.72</v>
          </cell>
          <cell r="G87">
            <v>0</v>
          </cell>
          <cell r="H87">
            <v>27401.72</v>
          </cell>
        </row>
        <row r="88">
          <cell r="A88">
            <v>43020030</v>
          </cell>
          <cell r="B88" t="str">
            <v>Tyres</v>
          </cell>
          <cell r="C88">
            <v>0</v>
          </cell>
          <cell r="D88">
            <v>44254</v>
          </cell>
          <cell r="E88">
            <v>0</v>
          </cell>
          <cell r="F88">
            <v>44254</v>
          </cell>
          <cell r="G88">
            <v>0</v>
          </cell>
          <cell r="H88">
            <v>44254</v>
          </cell>
        </row>
        <row r="89">
          <cell r="A89">
            <v>43022010</v>
          </cell>
          <cell r="B89" t="str">
            <v>Plant / Office Up Keep Exps</v>
          </cell>
          <cell r="C89">
            <v>0</v>
          </cell>
          <cell r="D89">
            <v>241978</v>
          </cell>
          <cell r="E89">
            <v>0</v>
          </cell>
          <cell r="F89">
            <v>241978</v>
          </cell>
          <cell r="G89">
            <v>0</v>
          </cell>
          <cell r="H89">
            <v>241978</v>
          </cell>
        </row>
        <row r="90">
          <cell r="A90">
            <v>43030010</v>
          </cell>
          <cell r="B90" t="str">
            <v>Transportation Exps-Labour</v>
          </cell>
          <cell r="C90">
            <v>0</v>
          </cell>
          <cell r="D90">
            <v>151851</v>
          </cell>
          <cell r="E90">
            <v>0</v>
          </cell>
          <cell r="F90">
            <v>151851</v>
          </cell>
          <cell r="G90">
            <v>0</v>
          </cell>
          <cell r="H90">
            <v>151851</v>
          </cell>
        </row>
        <row r="91">
          <cell r="A91">
            <v>43032040</v>
          </cell>
          <cell r="B91" t="str">
            <v>Lease Rentals- Machinery</v>
          </cell>
          <cell r="C91">
            <v>0</v>
          </cell>
          <cell r="D91">
            <v>149874</v>
          </cell>
          <cell r="E91">
            <v>0</v>
          </cell>
          <cell r="F91">
            <v>149874</v>
          </cell>
          <cell r="G91">
            <v>0</v>
          </cell>
          <cell r="H91">
            <v>149874</v>
          </cell>
        </row>
        <row r="92">
          <cell r="A92">
            <v>43032045</v>
          </cell>
          <cell r="B92" t="str">
            <v>Towing Expenses</v>
          </cell>
          <cell r="C92">
            <v>0</v>
          </cell>
          <cell r="D92">
            <v>120000</v>
          </cell>
          <cell r="E92">
            <v>0</v>
          </cell>
          <cell r="F92">
            <v>120000</v>
          </cell>
          <cell r="G92">
            <v>0</v>
          </cell>
          <cell r="H92">
            <v>120000</v>
          </cell>
        </row>
        <row r="93">
          <cell r="A93">
            <v>43036010</v>
          </cell>
          <cell r="B93" t="str">
            <v>Insurance Expenses</v>
          </cell>
          <cell r="C93">
            <v>0</v>
          </cell>
          <cell r="D93">
            <v>24896</v>
          </cell>
          <cell r="E93">
            <v>0</v>
          </cell>
          <cell r="F93">
            <v>24896</v>
          </cell>
          <cell r="G93">
            <v>0</v>
          </cell>
          <cell r="H93">
            <v>24896</v>
          </cell>
        </row>
        <row r="94">
          <cell r="A94">
            <v>43038010</v>
          </cell>
          <cell r="B94" t="str">
            <v>Postage Expenses</v>
          </cell>
          <cell r="C94">
            <v>0</v>
          </cell>
          <cell r="D94">
            <v>49</v>
          </cell>
          <cell r="E94">
            <v>0</v>
          </cell>
          <cell r="F94">
            <v>49</v>
          </cell>
          <cell r="G94">
            <v>0</v>
          </cell>
          <cell r="H94">
            <v>49</v>
          </cell>
        </row>
        <row r="95">
          <cell r="A95">
            <v>43038020</v>
          </cell>
          <cell r="B95" t="str">
            <v>Courier Expenses</v>
          </cell>
          <cell r="C95">
            <v>0</v>
          </cell>
          <cell r="D95">
            <v>2061</v>
          </cell>
          <cell r="E95">
            <v>0</v>
          </cell>
          <cell r="F95">
            <v>2061</v>
          </cell>
          <cell r="G95">
            <v>0</v>
          </cell>
          <cell r="H95">
            <v>2061</v>
          </cell>
        </row>
        <row r="96">
          <cell r="A96">
            <v>43038030</v>
          </cell>
          <cell r="B96" t="str">
            <v>Telephone Expenses</v>
          </cell>
          <cell r="C96">
            <v>0</v>
          </cell>
          <cell r="D96">
            <v>11696</v>
          </cell>
          <cell r="E96">
            <v>0</v>
          </cell>
          <cell r="F96">
            <v>11696</v>
          </cell>
          <cell r="G96">
            <v>0</v>
          </cell>
          <cell r="H96">
            <v>11696</v>
          </cell>
        </row>
        <row r="97">
          <cell r="A97">
            <v>43038050</v>
          </cell>
          <cell r="B97" t="str">
            <v>Telephone Chgs - Mobile  FBT</v>
          </cell>
          <cell r="C97">
            <v>0</v>
          </cell>
          <cell r="D97">
            <v>33024</v>
          </cell>
          <cell r="E97">
            <v>200</v>
          </cell>
          <cell r="F97">
            <v>32824</v>
          </cell>
          <cell r="G97">
            <v>0</v>
          </cell>
          <cell r="H97">
            <v>32824</v>
          </cell>
        </row>
        <row r="98">
          <cell r="A98">
            <v>43040010</v>
          </cell>
          <cell r="B98" t="str">
            <v>Conveyance Expenses - FBT</v>
          </cell>
          <cell r="C98">
            <v>0</v>
          </cell>
          <cell r="D98">
            <v>76156</v>
          </cell>
          <cell r="E98">
            <v>29887</v>
          </cell>
          <cell r="F98">
            <v>46269</v>
          </cell>
          <cell r="G98">
            <v>0</v>
          </cell>
          <cell r="H98">
            <v>46269</v>
          </cell>
        </row>
        <row r="99">
          <cell r="A99">
            <v>43040030</v>
          </cell>
          <cell r="B99" t="str">
            <v>Motor Car Hire Expenses - FBT</v>
          </cell>
          <cell r="C99">
            <v>0</v>
          </cell>
          <cell r="D99">
            <v>3850</v>
          </cell>
          <cell r="E99">
            <v>0</v>
          </cell>
          <cell r="F99">
            <v>3850</v>
          </cell>
          <cell r="G99">
            <v>0</v>
          </cell>
          <cell r="H99">
            <v>3850</v>
          </cell>
        </row>
        <row r="100">
          <cell r="A100">
            <v>43040040</v>
          </cell>
          <cell r="B100" t="str">
            <v>Motor Car Hire Expenses</v>
          </cell>
          <cell r="C100">
            <v>0</v>
          </cell>
          <cell r="D100">
            <v>51000</v>
          </cell>
          <cell r="E100">
            <v>17000</v>
          </cell>
          <cell r="F100">
            <v>34000</v>
          </cell>
          <cell r="G100">
            <v>0</v>
          </cell>
          <cell r="H100">
            <v>34000</v>
          </cell>
        </row>
        <row r="101">
          <cell r="A101">
            <v>43040080</v>
          </cell>
          <cell r="B101" t="str">
            <v>Travelling Expenses - Domestic - FBT</v>
          </cell>
          <cell r="C101">
            <v>0</v>
          </cell>
          <cell r="D101">
            <v>18307</v>
          </cell>
          <cell r="E101">
            <v>0</v>
          </cell>
          <cell r="F101">
            <v>18307</v>
          </cell>
          <cell r="G101">
            <v>0</v>
          </cell>
          <cell r="H101">
            <v>18307</v>
          </cell>
        </row>
        <row r="102">
          <cell r="A102">
            <v>43042010</v>
          </cell>
          <cell r="B102" t="str">
            <v>Fuel - Truck Mixers</v>
          </cell>
          <cell r="C102">
            <v>0</v>
          </cell>
          <cell r="D102">
            <v>313229.07</v>
          </cell>
          <cell r="E102">
            <v>0</v>
          </cell>
          <cell r="F102">
            <v>313229.07</v>
          </cell>
          <cell r="G102">
            <v>0</v>
          </cell>
          <cell r="H102">
            <v>313229.07</v>
          </cell>
        </row>
        <row r="103">
          <cell r="A103">
            <v>43042020</v>
          </cell>
          <cell r="B103" t="str">
            <v>Fuel - Loader</v>
          </cell>
          <cell r="C103">
            <v>0</v>
          </cell>
          <cell r="D103">
            <v>81691.94</v>
          </cell>
          <cell r="E103">
            <v>0</v>
          </cell>
          <cell r="F103">
            <v>81691.94</v>
          </cell>
          <cell r="G103">
            <v>0</v>
          </cell>
          <cell r="H103">
            <v>81691.94</v>
          </cell>
        </row>
        <row r="104">
          <cell r="A104">
            <v>43042030</v>
          </cell>
          <cell r="B104" t="str">
            <v>Fuel - Others</v>
          </cell>
          <cell r="C104">
            <v>0</v>
          </cell>
          <cell r="D104">
            <v>9131.16</v>
          </cell>
          <cell r="E104">
            <v>0</v>
          </cell>
          <cell r="F104">
            <v>9131.16</v>
          </cell>
          <cell r="G104">
            <v>0</v>
          </cell>
          <cell r="H104">
            <v>9131.16</v>
          </cell>
        </row>
        <row r="105">
          <cell r="A105">
            <v>43042040</v>
          </cell>
          <cell r="B105" t="str">
            <v>Fuel -  Company Vehicle Expenses  FBT</v>
          </cell>
          <cell r="C105">
            <v>0</v>
          </cell>
          <cell r="D105">
            <v>9676.06</v>
          </cell>
          <cell r="E105">
            <v>0</v>
          </cell>
          <cell r="F105">
            <v>9676.06</v>
          </cell>
          <cell r="G105">
            <v>0</v>
          </cell>
          <cell r="H105">
            <v>9676.06</v>
          </cell>
        </row>
        <row r="106">
          <cell r="A106">
            <v>43042050</v>
          </cell>
          <cell r="B106" t="str">
            <v>Fuel -  External Trucks/Pumps</v>
          </cell>
          <cell r="C106">
            <v>0</v>
          </cell>
          <cell r="D106">
            <v>504865.12</v>
          </cell>
          <cell r="E106">
            <v>0</v>
          </cell>
          <cell r="F106">
            <v>504865.12</v>
          </cell>
          <cell r="G106">
            <v>0</v>
          </cell>
          <cell r="H106">
            <v>504865.12</v>
          </cell>
        </row>
        <row r="107">
          <cell r="A107">
            <v>43042060</v>
          </cell>
          <cell r="B107" t="str">
            <v>Fuel - Concrete Pumps</v>
          </cell>
          <cell r="C107">
            <v>0</v>
          </cell>
          <cell r="D107">
            <v>86229.8</v>
          </cell>
          <cell r="E107">
            <v>0</v>
          </cell>
          <cell r="F107">
            <v>86229.8</v>
          </cell>
          <cell r="G107">
            <v>0</v>
          </cell>
          <cell r="H107">
            <v>86229.8</v>
          </cell>
        </row>
        <row r="108">
          <cell r="A108">
            <v>43046010</v>
          </cell>
          <cell r="B108" t="str">
            <v>Rates &amp; Taxes</v>
          </cell>
          <cell r="C108">
            <v>0</v>
          </cell>
          <cell r="D108">
            <v>2995</v>
          </cell>
          <cell r="E108">
            <v>632</v>
          </cell>
          <cell r="F108">
            <v>2363</v>
          </cell>
          <cell r="G108">
            <v>0</v>
          </cell>
          <cell r="H108">
            <v>2363</v>
          </cell>
        </row>
        <row r="109">
          <cell r="A109">
            <v>43046020</v>
          </cell>
          <cell r="B109" t="str">
            <v>Toll Charges- Truck Mixer</v>
          </cell>
          <cell r="C109">
            <v>0</v>
          </cell>
          <cell r="D109">
            <v>21700</v>
          </cell>
          <cell r="E109">
            <v>0</v>
          </cell>
          <cell r="F109">
            <v>21700</v>
          </cell>
          <cell r="G109">
            <v>0</v>
          </cell>
          <cell r="H109">
            <v>21700</v>
          </cell>
        </row>
        <row r="110">
          <cell r="A110">
            <v>43052010</v>
          </cell>
          <cell r="B110" t="str">
            <v>Security Service Charges</v>
          </cell>
          <cell r="C110">
            <v>0</v>
          </cell>
          <cell r="D110">
            <v>111729</v>
          </cell>
          <cell r="E110">
            <v>37243</v>
          </cell>
          <cell r="F110">
            <v>74486</v>
          </cell>
          <cell r="G110">
            <v>0</v>
          </cell>
          <cell r="H110">
            <v>74486</v>
          </cell>
        </row>
        <row r="111">
          <cell r="A111">
            <v>43054020</v>
          </cell>
          <cell r="B111" t="str">
            <v>Concrete Carrying Charges - TM</v>
          </cell>
          <cell r="C111">
            <v>0</v>
          </cell>
          <cell r="D111">
            <v>1393600</v>
          </cell>
          <cell r="E111">
            <v>187200</v>
          </cell>
          <cell r="F111">
            <v>1206400</v>
          </cell>
          <cell r="G111">
            <v>0</v>
          </cell>
          <cell r="H111">
            <v>1206400</v>
          </cell>
        </row>
        <row r="112">
          <cell r="A112">
            <v>43054030</v>
          </cell>
          <cell r="B112" t="str">
            <v>Concrete Placing Charges Pump</v>
          </cell>
          <cell r="C112">
            <v>0</v>
          </cell>
          <cell r="D112">
            <v>309400</v>
          </cell>
          <cell r="E112">
            <v>0</v>
          </cell>
          <cell r="F112">
            <v>309400</v>
          </cell>
          <cell r="G112">
            <v>0</v>
          </cell>
          <cell r="H112">
            <v>309400</v>
          </cell>
        </row>
        <row r="113">
          <cell r="A113">
            <v>43054040</v>
          </cell>
          <cell r="B113" t="str">
            <v>Hire Charges - Vehicle</v>
          </cell>
          <cell r="C113">
            <v>0</v>
          </cell>
          <cell r="D113">
            <v>17000</v>
          </cell>
          <cell r="E113">
            <v>17000</v>
          </cell>
          <cell r="F113">
            <v>0</v>
          </cell>
          <cell r="G113">
            <v>0</v>
          </cell>
          <cell r="H113">
            <v>0</v>
          </cell>
        </row>
        <row r="114">
          <cell r="A114">
            <v>43056010</v>
          </cell>
          <cell r="B114" t="str">
            <v>Professional &amp; Consultancy Fees</v>
          </cell>
          <cell r="C114">
            <v>0</v>
          </cell>
          <cell r="D114">
            <v>69114</v>
          </cell>
          <cell r="E114">
            <v>0</v>
          </cell>
          <cell r="F114">
            <v>69114</v>
          </cell>
          <cell r="G114">
            <v>0</v>
          </cell>
          <cell r="H114">
            <v>69114</v>
          </cell>
        </row>
        <row r="115">
          <cell r="A115">
            <v>43062010</v>
          </cell>
          <cell r="B115" t="str">
            <v>Computer Expenses</v>
          </cell>
          <cell r="C115">
            <v>0</v>
          </cell>
          <cell r="D115">
            <v>3780</v>
          </cell>
          <cell r="E115">
            <v>0</v>
          </cell>
          <cell r="F115">
            <v>3780</v>
          </cell>
          <cell r="G115">
            <v>0</v>
          </cell>
          <cell r="H115">
            <v>3780</v>
          </cell>
        </row>
        <row r="116">
          <cell r="A116">
            <v>43066020</v>
          </cell>
          <cell r="B116" t="str">
            <v>Printing &amp; Stationery</v>
          </cell>
          <cell r="C116">
            <v>0</v>
          </cell>
          <cell r="D116">
            <v>16703</v>
          </cell>
          <cell r="E116">
            <v>0</v>
          </cell>
          <cell r="F116">
            <v>16703</v>
          </cell>
          <cell r="G116">
            <v>0</v>
          </cell>
          <cell r="H116">
            <v>16703</v>
          </cell>
        </row>
        <row r="117">
          <cell r="A117">
            <v>43070040</v>
          </cell>
          <cell r="B117" t="str">
            <v>Business Promotion Expenses - FBT</v>
          </cell>
          <cell r="C117">
            <v>0</v>
          </cell>
          <cell r="D117">
            <v>956</v>
          </cell>
          <cell r="E117">
            <v>0</v>
          </cell>
          <cell r="F117">
            <v>956</v>
          </cell>
          <cell r="G117">
            <v>0</v>
          </cell>
          <cell r="H117">
            <v>956</v>
          </cell>
        </row>
        <row r="118">
          <cell r="A118">
            <v>43074010</v>
          </cell>
          <cell r="B118" t="str">
            <v>Provision For Bad &amp; Doubtful Debts W/Off</v>
          </cell>
          <cell r="C118">
            <v>0</v>
          </cell>
          <cell r="D118">
            <v>192600</v>
          </cell>
          <cell r="E118">
            <v>0</v>
          </cell>
          <cell r="F118">
            <v>192600</v>
          </cell>
          <cell r="G118">
            <v>0</v>
          </cell>
          <cell r="H118">
            <v>192600</v>
          </cell>
        </row>
        <row r="119">
          <cell r="A119">
            <v>43084010</v>
          </cell>
          <cell r="B119" t="str">
            <v>Miscellaneous Expenses</v>
          </cell>
          <cell r="C119">
            <v>0</v>
          </cell>
          <cell r="D119">
            <v>500</v>
          </cell>
          <cell r="E119">
            <v>0</v>
          </cell>
          <cell r="F119">
            <v>500</v>
          </cell>
          <cell r="G119">
            <v>0</v>
          </cell>
          <cell r="H119">
            <v>500</v>
          </cell>
        </row>
        <row r="120">
          <cell r="A120">
            <v>43084030</v>
          </cell>
          <cell r="B120" t="str">
            <v>Rounding Off</v>
          </cell>
          <cell r="C120">
            <v>0</v>
          </cell>
          <cell r="D120">
            <v>96.77</v>
          </cell>
          <cell r="E120">
            <v>31.14</v>
          </cell>
          <cell r="F120">
            <v>65.63</v>
          </cell>
          <cell r="G120">
            <v>0</v>
          </cell>
          <cell r="H120">
            <v>65.63</v>
          </cell>
        </row>
        <row r="121">
          <cell r="A121">
            <v>44010040</v>
          </cell>
          <cell r="B121" t="str">
            <v>Bank Charges</v>
          </cell>
          <cell r="C121">
            <v>0</v>
          </cell>
          <cell r="D121">
            <v>1905.1</v>
          </cell>
          <cell r="E121">
            <v>0</v>
          </cell>
          <cell r="F121">
            <v>1905.1</v>
          </cell>
          <cell r="G121">
            <v>0</v>
          </cell>
          <cell r="H121">
            <v>1905.1</v>
          </cell>
        </row>
        <row r="122">
          <cell r="A122">
            <v>45010010</v>
          </cell>
          <cell r="B122" t="str">
            <v>Depreciation</v>
          </cell>
          <cell r="C122">
            <v>0</v>
          </cell>
          <cell r="D122">
            <v>698890</v>
          </cell>
          <cell r="E122">
            <v>0</v>
          </cell>
          <cell r="F122">
            <v>698890</v>
          </cell>
          <cell r="G122">
            <v>0</v>
          </cell>
          <cell r="H122">
            <v>698890</v>
          </cell>
        </row>
        <row r="123">
          <cell r="A123">
            <v>52000000</v>
          </cell>
          <cell r="B123" t="str">
            <v>Inter Branch Control Account</v>
          </cell>
          <cell r="C123">
            <v>-45076913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-45076913</v>
          </cell>
        </row>
        <row r="124">
          <cell r="A124">
            <v>52000809</v>
          </cell>
          <cell r="B124" t="str">
            <v>Inter branch control account for 08-09</v>
          </cell>
          <cell r="C124">
            <v>14765717</v>
          </cell>
          <cell r="D124">
            <v>7702112</v>
          </cell>
          <cell r="E124">
            <v>2727406</v>
          </cell>
          <cell r="F124">
            <v>4974706</v>
          </cell>
          <cell r="G124">
            <v>0</v>
          </cell>
          <cell r="H124">
            <v>19740423</v>
          </cell>
        </row>
        <row r="125">
          <cell r="A125">
            <v>61000400</v>
          </cell>
          <cell r="B125" t="str">
            <v>Control Account Haulage Income</v>
          </cell>
          <cell r="C125">
            <v>0</v>
          </cell>
          <cell r="D125">
            <v>2534444</v>
          </cell>
          <cell r="E125">
            <v>2534444</v>
          </cell>
          <cell r="F125">
            <v>0</v>
          </cell>
          <cell r="G125">
            <v>0</v>
          </cell>
          <cell r="H125">
            <v>0</v>
          </cell>
        </row>
        <row r="126">
          <cell r="A126">
            <v>61000500</v>
          </cell>
          <cell r="B126" t="str">
            <v>Control Account for Pumping</v>
          </cell>
          <cell r="C126">
            <v>0</v>
          </cell>
          <cell r="D126">
            <v>965625</v>
          </cell>
          <cell r="E126">
            <v>965625</v>
          </cell>
          <cell r="F126">
            <v>0</v>
          </cell>
          <cell r="G126">
            <v>0</v>
          </cell>
          <cell r="H126">
            <v>0</v>
          </cell>
        </row>
        <row r="127">
          <cell r="A127">
            <v>62000000</v>
          </cell>
          <cell r="B127" t="str">
            <v>Inter branch Clearing account</v>
          </cell>
          <cell r="C127">
            <v>0</v>
          </cell>
          <cell r="D127">
            <v>7429518</v>
          </cell>
          <cell r="E127">
            <v>7429518</v>
          </cell>
          <cell r="F127">
            <v>0</v>
          </cell>
          <cell r="G127">
            <v>0</v>
          </cell>
          <cell r="H127">
            <v>0</v>
          </cell>
        </row>
        <row r="128">
          <cell r="B128" t="str">
            <v>Total</v>
          </cell>
          <cell r="D128">
            <v>0</v>
          </cell>
          <cell r="E128">
            <v>250154651.53999999</v>
          </cell>
          <cell r="F128">
            <v>250154651.53999999</v>
          </cell>
          <cell r="G128">
            <v>0</v>
          </cell>
          <cell r="H128">
            <v>0</v>
          </cell>
        </row>
      </sheetData>
      <sheetData sheetId="16" refreshError="1">
        <row r="1">
          <cell r="A1" t="str">
            <v>RMC Readymix (I) Pvt. Ltd.,</v>
          </cell>
          <cell r="B1" t="str">
            <v>Trial balance</v>
          </cell>
          <cell r="C1">
            <v>39942</v>
          </cell>
          <cell r="D1">
            <v>0.4539583333333333</v>
          </cell>
          <cell r="E1" t="str">
            <v>Page 1</v>
          </cell>
          <cell r="F1" t="str">
            <v>Kalahandi</v>
          </cell>
        </row>
        <row r="2">
          <cell r="A2" t="str">
            <v>Period</v>
          </cell>
          <cell r="B2">
            <v>39904</v>
          </cell>
          <cell r="C2">
            <v>39933</v>
          </cell>
        </row>
        <row r="3">
          <cell r="A3" t="str">
            <v>Ledger account</v>
          </cell>
          <cell r="B3" t="str">
            <v>Account name</v>
          </cell>
          <cell r="C3" t="str">
            <v>Opening balance</v>
          </cell>
          <cell r="D3" t="str">
            <v>Debit</v>
          </cell>
          <cell r="E3" t="str">
            <v>Credit</v>
          </cell>
          <cell r="F3" t="str">
            <v>Net difference</v>
          </cell>
          <cell r="G3" t="str">
            <v>Closing transactions</v>
          </cell>
          <cell r="H3" t="str">
            <v>Closing balance</v>
          </cell>
        </row>
        <row r="4">
          <cell r="A4">
            <v>13015010</v>
          </cell>
          <cell r="B4" t="str">
            <v>Balance Sheet Stock of Raw material - RMC</v>
          </cell>
          <cell r="C4">
            <v>1035453.84</v>
          </cell>
          <cell r="D4">
            <v>1573248.04</v>
          </cell>
          <cell r="E4">
            <v>1694149.63</v>
          </cell>
          <cell r="F4">
            <v>-120901.59</v>
          </cell>
          <cell r="G4">
            <v>0</v>
          </cell>
          <cell r="H4">
            <v>914552.25</v>
          </cell>
        </row>
        <row r="5">
          <cell r="A5">
            <v>13020010</v>
          </cell>
          <cell r="B5" t="str">
            <v>Sundry Debtors Account</v>
          </cell>
          <cell r="C5">
            <v>6840918</v>
          </cell>
          <cell r="D5">
            <v>159637</v>
          </cell>
          <cell r="E5">
            <v>0</v>
          </cell>
          <cell r="F5">
            <v>159637</v>
          </cell>
          <cell r="G5">
            <v>0</v>
          </cell>
          <cell r="H5">
            <v>7000555</v>
          </cell>
        </row>
        <row r="6">
          <cell r="A6">
            <v>13045020</v>
          </cell>
          <cell r="B6" t="str">
            <v>Loans and advances to employees</v>
          </cell>
          <cell r="C6">
            <v>-5893.21</v>
          </cell>
          <cell r="D6">
            <v>31118</v>
          </cell>
          <cell r="E6">
            <v>15762</v>
          </cell>
          <cell r="F6">
            <v>15356</v>
          </cell>
          <cell r="G6">
            <v>0</v>
          </cell>
          <cell r="H6">
            <v>9462.7900000000009</v>
          </cell>
        </row>
        <row r="7">
          <cell r="A7">
            <v>13055060</v>
          </cell>
          <cell r="B7" t="str">
            <v>VAT Credit Receivable (Inputs)</v>
          </cell>
          <cell r="C7">
            <v>14509</v>
          </cell>
          <cell r="D7">
            <v>0</v>
          </cell>
          <cell r="E7">
            <v>8496</v>
          </cell>
          <cell r="F7">
            <v>-8496</v>
          </cell>
          <cell r="G7">
            <v>0</v>
          </cell>
          <cell r="H7">
            <v>6013</v>
          </cell>
        </row>
        <row r="8">
          <cell r="A8">
            <v>25005010</v>
          </cell>
          <cell r="B8" t="str">
            <v>Creditors Control</v>
          </cell>
          <cell r="C8">
            <v>-4807158.6900000004</v>
          </cell>
          <cell r="D8">
            <v>1131012</v>
          </cell>
          <cell r="E8">
            <v>51806</v>
          </cell>
          <cell r="F8">
            <v>1079206</v>
          </cell>
          <cell r="G8">
            <v>0</v>
          </cell>
          <cell r="H8">
            <v>-3727952.69</v>
          </cell>
        </row>
        <row r="9">
          <cell r="A9">
            <v>25005050</v>
          </cell>
          <cell r="B9" t="str">
            <v>Creditors liability for material received but bill not recei</v>
          </cell>
          <cell r="C9">
            <v>0.33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0.33</v>
          </cell>
        </row>
        <row r="10">
          <cell r="A10">
            <v>25010020</v>
          </cell>
          <cell r="B10" t="str">
            <v>Outstanding Liabilities For Expenses</v>
          </cell>
          <cell r="C10">
            <v>-186009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-186009</v>
          </cell>
        </row>
        <row r="11">
          <cell r="A11">
            <v>25010060</v>
          </cell>
          <cell r="B11" t="str">
            <v>T.D.S.payable account</v>
          </cell>
          <cell r="C11">
            <v>-11647</v>
          </cell>
          <cell r="D11">
            <v>11647</v>
          </cell>
          <cell r="E11">
            <v>1177</v>
          </cell>
          <cell r="F11">
            <v>10470</v>
          </cell>
          <cell r="G11">
            <v>0</v>
          </cell>
          <cell r="H11">
            <v>-1177</v>
          </cell>
        </row>
        <row r="12">
          <cell r="A12">
            <v>25010190</v>
          </cell>
          <cell r="B12" t="str">
            <v>VAT  Payable account</v>
          </cell>
          <cell r="C12">
            <v>-54682</v>
          </cell>
          <cell r="D12">
            <v>54682</v>
          </cell>
          <cell r="E12">
            <v>17739</v>
          </cell>
          <cell r="F12">
            <v>36943</v>
          </cell>
          <cell r="G12">
            <v>0</v>
          </cell>
          <cell r="H12">
            <v>-17739</v>
          </cell>
        </row>
        <row r="13">
          <cell r="A13">
            <v>25010200</v>
          </cell>
          <cell r="B13" t="str">
            <v>Provision for Expenses in MIS</v>
          </cell>
          <cell r="C13">
            <v>0</v>
          </cell>
          <cell r="D13">
            <v>0</v>
          </cell>
          <cell r="E13">
            <v>76590</v>
          </cell>
          <cell r="F13">
            <v>-76590</v>
          </cell>
          <cell r="G13">
            <v>0</v>
          </cell>
          <cell r="H13">
            <v>-76590</v>
          </cell>
        </row>
        <row r="14">
          <cell r="A14">
            <v>26005020</v>
          </cell>
          <cell r="B14" t="str">
            <v>Provision For Bad &amp; Doubtful Debts</v>
          </cell>
          <cell r="C14">
            <v>-1450000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-1450000</v>
          </cell>
        </row>
        <row r="15">
          <cell r="A15">
            <v>26055020</v>
          </cell>
          <cell r="B15" t="str">
            <v>Profit &amp; Loss A/c</v>
          </cell>
          <cell r="C15">
            <v>-4072470.47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-4072470.47</v>
          </cell>
        </row>
        <row r="16">
          <cell r="A16">
            <v>26055050</v>
          </cell>
          <cell r="B16" t="str">
            <v>Provision for Production linked incentive (KRA)</v>
          </cell>
          <cell r="C16">
            <v>0</v>
          </cell>
          <cell r="D16">
            <v>0</v>
          </cell>
          <cell r="E16">
            <v>3333.33</v>
          </cell>
          <cell r="F16">
            <v>-3333.33</v>
          </cell>
          <cell r="G16">
            <v>0</v>
          </cell>
          <cell r="H16">
            <v>-3333.33</v>
          </cell>
        </row>
        <row r="17">
          <cell r="A17">
            <v>31010010</v>
          </cell>
          <cell r="B17" t="str">
            <v>Sales</v>
          </cell>
          <cell r="C17">
            <v>0</v>
          </cell>
          <cell r="D17">
            <v>0</v>
          </cell>
          <cell r="E17">
            <v>141897.5</v>
          </cell>
          <cell r="F17">
            <v>-141897.5</v>
          </cell>
          <cell r="G17">
            <v>0</v>
          </cell>
          <cell r="H17">
            <v>-141897.5</v>
          </cell>
        </row>
        <row r="18">
          <cell r="A18">
            <v>41010020</v>
          </cell>
          <cell r="B18" t="str">
            <v>Opening Stock - Sand</v>
          </cell>
          <cell r="C18">
            <v>0</v>
          </cell>
          <cell r="D18">
            <v>67220.67</v>
          </cell>
          <cell r="E18">
            <v>0</v>
          </cell>
          <cell r="F18">
            <v>67220.67</v>
          </cell>
          <cell r="G18">
            <v>0</v>
          </cell>
          <cell r="H18">
            <v>67220.67</v>
          </cell>
        </row>
        <row r="19">
          <cell r="A19">
            <v>41010040</v>
          </cell>
          <cell r="B19" t="str">
            <v>Opening Stock - RMC Aggregates</v>
          </cell>
          <cell r="C19">
            <v>0</v>
          </cell>
          <cell r="D19">
            <v>853074.08</v>
          </cell>
          <cell r="E19">
            <v>0</v>
          </cell>
          <cell r="F19">
            <v>853074.08</v>
          </cell>
          <cell r="G19">
            <v>0</v>
          </cell>
          <cell r="H19">
            <v>853074.08</v>
          </cell>
        </row>
        <row r="20">
          <cell r="A20">
            <v>41010050</v>
          </cell>
          <cell r="B20" t="str">
            <v>Opening Stock - Admixtures</v>
          </cell>
          <cell r="C20">
            <v>0</v>
          </cell>
          <cell r="D20">
            <v>110305.94</v>
          </cell>
          <cell r="E20">
            <v>0</v>
          </cell>
          <cell r="F20">
            <v>110305.94</v>
          </cell>
          <cell r="G20">
            <v>0</v>
          </cell>
          <cell r="H20">
            <v>110305.94</v>
          </cell>
        </row>
        <row r="21">
          <cell r="A21">
            <v>41010080</v>
          </cell>
          <cell r="B21" t="str">
            <v>Opening Stock - Diesel</v>
          </cell>
          <cell r="C21">
            <v>0</v>
          </cell>
          <cell r="D21">
            <v>4853.1499999999996</v>
          </cell>
          <cell r="E21">
            <v>0</v>
          </cell>
          <cell r="F21">
            <v>4853.1499999999996</v>
          </cell>
          <cell r="G21">
            <v>0</v>
          </cell>
          <cell r="H21">
            <v>4853.1499999999996</v>
          </cell>
        </row>
        <row r="22">
          <cell r="A22">
            <v>41020030</v>
          </cell>
          <cell r="B22" t="str">
            <v>Raw Material Purchase - Aggregates</v>
          </cell>
          <cell r="C22">
            <v>0</v>
          </cell>
          <cell r="D22">
            <v>0</v>
          </cell>
          <cell r="E22">
            <v>107646.92</v>
          </cell>
          <cell r="F22">
            <v>-107646.92</v>
          </cell>
          <cell r="G22">
            <v>0</v>
          </cell>
          <cell r="H22">
            <v>-107646.92</v>
          </cell>
        </row>
        <row r="23">
          <cell r="A23">
            <v>41020040</v>
          </cell>
          <cell r="B23" t="str">
            <v>Aggregate Consumption account</v>
          </cell>
          <cell r="C23">
            <v>0</v>
          </cell>
          <cell r="D23">
            <v>106022.02</v>
          </cell>
          <cell r="E23">
            <v>0</v>
          </cell>
          <cell r="F23">
            <v>106022.02</v>
          </cell>
          <cell r="G23">
            <v>0</v>
          </cell>
          <cell r="H23">
            <v>106022.02</v>
          </cell>
        </row>
        <row r="24">
          <cell r="A24">
            <v>41020050</v>
          </cell>
          <cell r="B24" t="str">
            <v>Raw Material Purchase - Sand</v>
          </cell>
          <cell r="C24">
            <v>0</v>
          </cell>
          <cell r="D24">
            <v>0</v>
          </cell>
          <cell r="E24">
            <v>10803.24</v>
          </cell>
          <cell r="F24">
            <v>-10803.24</v>
          </cell>
          <cell r="G24">
            <v>0</v>
          </cell>
          <cell r="H24">
            <v>-10803.24</v>
          </cell>
        </row>
        <row r="25">
          <cell r="A25">
            <v>41020060</v>
          </cell>
          <cell r="B25" t="str">
            <v>Sand Consumption account</v>
          </cell>
          <cell r="C25">
            <v>0</v>
          </cell>
          <cell r="D25">
            <v>10051.799999999999</v>
          </cell>
          <cell r="E25">
            <v>0</v>
          </cell>
          <cell r="F25">
            <v>10051.799999999999</v>
          </cell>
          <cell r="G25">
            <v>0</v>
          </cell>
          <cell r="H25">
            <v>10051.799999999999</v>
          </cell>
        </row>
        <row r="26">
          <cell r="A26">
            <v>41020070</v>
          </cell>
          <cell r="B26" t="str">
            <v>Raw Material Purchase - Admixture</v>
          </cell>
          <cell r="C26">
            <v>0</v>
          </cell>
          <cell r="D26">
            <v>1867.66</v>
          </cell>
          <cell r="E26">
            <v>4319.09</v>
          </cell>
          <cell r="F26">
            <v>-2451.4299999999998</v>
          </cell>
          <cell r="G26">
            <v>0</v>
          </cell>
          <cell r="H26">
            <v>-2451.4299999999998</v>
          </cell>
        </row>
        <row r="27">
          <cell r="A27">
            <v>41020080</v>
          </cell>
          <cell r="B27" t="str">
            <v>Admixture Consumption account</v>
          </cell>
          <cell r="C27">
            <v>0</v>
          </cell>
          <cell r="D27">
            <v>4319.09</v>
          </cell>
          <cell r="E27">
            <v>0</v>
          </cell>
          <cell r="F27">
            <v>4319.09</v>
          </cell>
          <cell r="G27">
            <v>0</v>
          </cell>
          <cell r="H27">
            <v>4319.09</v>
          </cell>
        </row>
        <row r="28">
          <cell r="A28">
            <v>41020150</v>
          </cell>
          <cell r="B28" t="str">
            <v>Loss/ gain on Stock</v>
          </cell>
          <cell r="C28">
            <v>0</v>
          </cell>
          <cell r="D28">
            <v>2376.34</v>
          </cell>
          <cell r="E28">
            <v>1867.66</v>
          </cell>
          <cell r="F28">
            <v>508.68</v>
          </cell>
          <cell r="G28">
            <v>0</v>
          </cell>
          <cell r="H28">
            <v>508.68</v>
          </cell>
        </row>
        <row r="29">
          <cell r="A29">
            <v>41050020</v>
          </cell>
          <cell r="B29" t="str">
            <v>Closing Stock - Sand</v>
          </cell>
          <cell r="C29">
            <v>0</v>
          </cell>
          <cell r="D29">
            <v>0</v>
          </cell>
          <cell r="E29">
            <v>56417.43</v>
          </cell>
          <cell r="F29">
            <v>-56417.43</v>
          </cell>
          <cell r="G29">
            <v>0</v>
          </cell>
          <cell r="H29">
            <v>-56417.43</v>
          </cell>
        </row>
        <row r="30">
          <cell r="A30">
            <v>41050040</v>
          </cell>
          <cell r="B30" t="str">
            <v>Closing Stock - RMC Aggregates</v>
          </cell>
          <cell r="C30">
            <v>0</v>
          </cell>
          <cell r="D30">
            <v>0</v>
          </cell>
          <cell r="E30">
            <v>745427.16</v>
          </cell>
          <cell r="F30">
            <v>-745427.16</v>
          </cell>
          <cell r="G30">
            <v>0</v>
          </cell>
          <cell r="H30">
            <v>-745427.16</v>
          </cell>
        </row>
        <row r="31">
          <cell r="A31">
            <v>41050050</v>
          </cell>
          <cell r="B31" t="str">
            <v>Closing Stock - Admixtures</v>
          </cell>
          <cell r="C31">
            <v>0</v>
          </cell>
          <cell r="D31">
            <v>0</v>
          </cell>
          <cell r="E31">
            <v>107854.51</v>
          </cell>
          <cell r="F31">
            <v>-107854.51</v>
          </cell>
          <cell r="G31">
            <v>0</v>
          </cell>
          <cell r="H31">
            <v>-107854.51</v>
          </cell>
        </row>
        <row r="32">
          <cell r="A32">
            <v>41050080</v>
          </cell>
          <cell r="B32" t="str">
            <v>Closing Stock - Diesel</v>
          </cell>
          <cell r="C32">
            <v>0</v>
          </cell>
          <cell r="D32">
            <v>0</v>
          </cell>
          <cell r="E32">
            <v>4853.1499999999996</v>
          </cell>
          <cell r="F32">
            <v>-4853.1499999999996</v>
          </cell>
          <cell r="G32">
            <v>0</v>
          </cell>
          <cell r="H32">
            <v>-4853.1499999999996</v>
          </cell>
        </row>
        <row r="33">
          <cell r="A33">
            <v>42010010</v>
          </cell>
          <cell r="B33" t="str">
            <v>Salary - Basic</v>
          </cell>
          <cell r="C33">
            <v>0</v>
          </cell>
          <cell r="D33">
            <v>17850</v>
          </cell>
          <cell r="E33">
            <v>0</v>
          </cell>
          <cell r="F33">
            <v>17850</v>
          </cell>
          <cell r="G33">
            <v>0</v>
          </cell>
          <cell r="H33">
            <v>17850</v>
          </cell>
        </row>
        <row r="34">
          <cell r="A34">
            <v>42010020</v>
          </cell>
          <cell r="B34" t="str">
            <v>House Rent Allowance</v>
          </cell>
          <cell r="C34">
            <v>0</v>
          </cell>
          <cell r="D34">
            <v>8925</v>
          </cell>
          <cell r="E34">
            <v>0</v>
          </cell>
          <cell r="F34">
            <v>8925</v>
          </cell>
          <cell r="G34">
            <v>0</v>
          </cell>
          <cell r="H34">
            <v>8925</v>
          </cell>
        </row>
        <row r="35">
          <cell r="A35">
            <v>42010030</v>
          </cell>
          <cell r="B35" t="str">
            <v>Education Allowance</v>
          </cell>
          <cell r="C35">
            <v>0</v>
          </cell>
          <cell r="D35">
            <v>1800</v>
          </cell>
          <cell r="E35">
            <v>0</v>
          </cell>
          <cell r="F35">
            <v>1800</v>
          </cell>
          <cell r="G35">
            <v>0</v>
          </cell>
          <cell r="H35">
            <v>1800</v>
          </cell>
        </row>
        <row r="36">
          <cell r="A36">
            <v>42010040</v>
          </cell>
          <cell r="B36" t="str">
            <v>Special Allowance</v>
          </cell>
          <cell r="C36">
            <v>0</v>
          </cell>
          <cell r="D36">
            <v>2678</v>
          </cell>
          <cell r="E36">
            <v>0</v>
          </cell>
          <cell r="F36">
            <v>2678</v>
          </cell>
          <cell r="G36">
            <v>0</v>
          </cell>
          <cell r="H36">
            <v>2678</v>
          </cell>
        </row>
        <row r="37">
          <cell r="A37">
            <v>42010100</v>
          </cell>
          <cell r="B37" t="str">
            <v>Transport Allowance</v>
          </cell>
          <cell r="C37">
            <v>0</v>
          </cell>
          <cell r="D37">
            <v>2400</v>
          </cell>
          <cell r="E37">
            <v>0</v>
          </cell>
          <cell r="F37">
            <v>2400</v>
          </cell>
          <cell r="G37">
            <v>0</v>
          </cell>
          <cell r="H37">
            <v>2400</v>
          </cell>
        </row>
        <row r="38">
          <cell r="A38">
            <v>42010130</v>
          </cell>
          <cell r="B38" t="str">
            <v>Production Linked Incentive</v>
          </cell>
          <cell r="C38">
            <v>0</v>
          </cell>
          <cell r="D38">
            <v>3333.33</v>
          </cell>
          <cell r="E38">
            <v>0</v>
          </cell>
          <cell r="F38">
            <v>3333.33</v>
          </cell>
          <cell r="G38">
            <v>0</v>
          </cell>
          <cell r="H38">
            <v>3333.33</v>
          </cell>
        </row>
        <row r="39">
          <cell r="A39">
            <v>42020010</v>
          </cell>
          <cell r="B39" t="str">
            <v>Provident Funds - Employer's Conribution</v>
          </cell>
          <cell r="C39">
            <v>0</v>
          </cell>
          <cell r="D39">
            <v>2142</v>
          </cell>
          <cell r="E39">
            <v>0</v>
          </cell>
          <cell r="F39">
            <v>2142</v>
          </cell>
          <cell r="G39">
            <v>0</v>
          </cell>
          <cell r="H39">
            <v>2142</v>
          </cell>
        </row>
        <row r="40">
          <cell r="A40">
            <v>42020070</v>
          </cell>
          <cell r="B40" t="str">
            <v>E.S.I.S. - Employer's Contribution</v>
          </cell>
          <cell r="C40">
            <v>0</v>
          </cell>
          <cell r="D40">
            <v>361</v>
          </cell>
          <cell r="E40">
            <v>0</v>
          </cell>
          <cell r="F40">
            <v>361</v>
          </cell>
          <cell r="G40">
            <v>0</v>
          </cell>
          <cell r="H40">
            <v>361</v>
          </cell>
        </row>
        <row r="41">
          <cell r="A41">
            <v>42030050</v>
          </cell>
          <cell r="B41" t="str">
            <v>Staff Welfare Expenses</v>
          </cell>
          <cell r="C41">
            <v>0</v>
          </cell>
          <cell r="D41">
            <v>7980</v>
          </cell>
          <cell r="E41">
            <v>0</v>
          </cell>
          <cell r="F41">
            <v>7980</v>
          </cell>
          <cell r="G41">
            <v>0</v>
          </cell>
          <cell r="H41">
            <v>7980</v>
          </cell>
        </row>
        <row r="42">
          <cell r="A42">
            <v>42030070</v>
          </cell>
          <cell r="B42" t="str">
            <v>Food &amp; Beverage Exps</v>
          </cell>
          <cell r="C42">
            <v>0</v>
          </cell>
          <cell r="D42">
            <v>150</v>
          </cell>
          <cell r="E42">
            <v>0</v>
          </cell>
          <cell r="F42">
            <v>150</v>
          </cell>
          <cell r="G42">
            <v>0</v>
          </cell>
          <cell r="H42">
            <v>150</v>
          </cell>
        </row>
        <row r="43">
          <cell r="A43">
            <v>43012020</v>
          </cell>
          <cell r="B43" t="str">
            <v>Labour / sub contractor for - Pumping Expenses Incurred</v>
          </cell>
          <cell r="C43">
            <v>0</v>
          </cell>
          <cell r="D43">
            <v>53066</v>
          </cell>
          <cell r="E43">
            <v>0</v>
          </cell>
          <cell r="F43">
            <v>53066</v>
          </cell>
          <cell r="G43">
            <v>0</v>
          </cell>
          <cell r="H43">
            <v>53066</v>
          </cell>
        </row>
        <row r="44">
          <cell r="A44">
            <v>43020040</v>
          </cell>
          <cell r="B44" t="str">
            <v>Repairs &amp; Maintenance - Vehicles - FBT</v>
          </cell>
          <cell r="C44">
            <v>0</v>
          </cell>
          <cell r="D44">
            <v>5780</v>
          </cell>
          <cell r="E44">
            <v>0</v>
          </cell>
          <cell r="F44">
            <v>5780</v>
          </cell>
          <cell r="G44">
            <v>0</v>
          </cell>
          <cell r="H44">
            <v>5780</v>
          </cell>
        </row>
        <row r="45">
          <cell r="A45">
            <v>43030010</v>
          </cell>
          <cell r="B45" t="str">
            <v>Transportation Exps-Labour</v>
          </cell>
          <cell r="C45">
            <v>0</v>
          </cell>
          <cell r="D45">
            <v>38860</v>
          </cell>
          <cell r="E45">
            <v>0</v>
          </cell>
          <cell r="F45">
            <v>38860</v>
          </cell>
          <cell r="G45">
            <v>0</v>
          </cell>
          <cell r="H45">
            <v>38860</v>
          </cell>
        </row>
        <row r="46">
          <cell r="A46">
            <v>43032040</v>
          </cell>
          <cell r="B46" t="str">
            <v>Lease Rentals- Machinery</v>
          </cell>
          <cell r="C46">
            <v>0</v>
          </cell>
          <cell r="D46">
            <v>85479</v>
          </cell>
          <cell r="E46">
            <v>0</v>
          </cell>
          <cell r="F46">
            <v>85479</v>
          </cell>
          <cell r="G46">
            <v>0</v>
          </cell>
          <cell r="H46">
            <v>85479</v>
          </cell>
        </row>
        <row r="47">
          <cell r="A47">
            <v>43038030</v>
          </cell>
          <cell r="B47" t="str">
            <v>Telephone Expenses</v>
          </cell>
          <cell r="C47">
            <v>0</v>
          </cell>
          <cell r="D47">
            <v>90</v>
          </cell>
          <cell r="E47">
            <v>0</v>
          </cell>
          <cell r="F47">
            <v>90</v>
          </cell>
          <cell r="G47">
            <v>0</v>
          </cell>
          <cell r="H47">
            <v>90</v>
          </cell>
        </row>
        <row r="48">
          <cell r="A48">
            <v>43040080</v>
          </cell>
          <cell r="B48" t="str">
            <v>Travelling Expenses - Domestic - FBT</v>
          </cell>
          <cell r="C48">
            <v>0</v>
          </cell>
          <cell r="D48">
            <v>4860</v>
          </cell>
          <cell r="E48">
            <v>0</v>
          </cell>
          <cell r="F48">
            <v>4860</v>
          </cell>
          <cell r="G48">
            <v>0</v>
          </cell>
          <cell r="H48">
            <v>4860</v>
          </cell>
        </row>
        <row r="49">
          <cell r="A49">
            <v>43040120</v>
          </cell>
          <cell r="B49" t="str">
            <v>Guest House Expenses</v>
          </cell>
          <cell r="C49">
            <v>0</v>
          </cell>
          <cell r="D49">
            <v>9970</v>
          </cell>
          <cell r="E49">
            <v>0</v>
          </cell>
          <cell r="F49">
            <v>9970</v>
          </cell>
          <cell r="G49">
            <v>0</v>
          </cell>
          <cell r="H49">
            <v>9970</v>
          </cell>
        </row>
        <row r="50">
          <cell r="A50">
            <v>43054040</v>
          </cell>
          <cell r="B50" t="str">
            <v>Hire Charges - Vehicle</v>
          </cell>
          <cell r="C50">
            <v>0</v>
          </cell>
          <cell r="D50">
            <v>30000</v>
          </cell>
          <cell r="E50">
            <v>0</v>
          </cell>
          <cell r="F50">
            <v>30000</v>
          </cell>
          <cell r="G50">
            <v>0</v>
          </cell>
          <cell r="H50">
            <v>30000</v>
          </cell>
        </row>
        <row r="51">
          <cell r="A51">
            <v>43056010</v>
          </cell>
          <cell r="B51" t="str">
            <v>Professional &amp; Consultancy Fees</v>
          </cell>
          <cell r="C51">
            <v>0</v>
          </cell>
          <cell r="D51">
            <v>2000</v>
          </cell>
          <cell r="E51">
            <v>2000</v>
          </cell>
          <cell r="F51">
            <v>0</v>
          </cell>
          <cell r="G51">
            <v>0</v>
          </cell>
          <cell r="H51">
            <v>0</v>
          </cell>
        </row>
        <row r="52">
          <cell r="A52">
            <v>43066020</v>
          </cell>
          <cell r="B52" t="str">
            <v>Printing &amp; Stationery</v>
          </cell>
          <cell r="C52">
            <v>0</v>
          </cell>
          <cell r="D52">
            <v>67</v>
          </cell>
          <cell r="E52">
            <v>0</v>
          </cell>
          <cell r="F52">
            <v>67</v>
          </cell>
          <cell r="G52">
            <v>0</v>
          </cell>
          <cell r="H52">
            <v>67</v>
          </cell>
        </row>
        <row r="53">
          <cell r="A53">
            <v>43084030</v>
          </cell>
          <cell r="B53" t="str">
            <v>Rounding Off</v>
          </cell>
          <cell r="C53">
            <v>0</v>
          </cell>
          <cell r="D53">
            <v>0</v>
          </cell>
          <cell r="E53">
            <v>0.5</v>
          </cell>
          <cell r="F53">
            <v>-0.5</v>
          </cell>
          <cell r="G53">
            <v>0</v>
          </cell>
          <cell r="H53">
            <v>-0.5</v>
          </cell>
        </row>
        <row r="54">
          <cell r="A54">
            <v>52000000</v>
          </cell>
          <cell r="B54" t="str">
            <v>Inter Branch Control Account</v>
          </cell>
          <cell r="C54">
            <v>734174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734174</v>
          </cell>
        </row>
        <row r="55">
          <cell r="A55">
            <v>52000809</v>
          </cell>
          <cell r="B55" t="str">
            <v>Inter branch control account for 08-09</v>
          </cell>
          <cell r="C55">
            <v>1962805.2</v>
          </cell>
          <cell r="D55">
            <v>3100</v>
          </cell>
          <cell r="E55">
            <v>1350186</v>
          </cell>
          <cell r="F55">
            <v>-1347086</v>
          </cell>
          <cell r="G55">
            <v>0</v>
          </cell>
          <cell r="H55">
            <v>615719.19999999995</v>
          </cell>
        </row>
        <row r="56">
          <cell r="A56">
            <v>61000400</v>
          </cell>
          <cell r="B56" t="str">
            <v>Control Account Haulage Income</v>
          </cell>
          <cell r="C56">
            <v>0</v>
          </cell>
          <cell r="D56">
            <v>130119</v>
          </cell>
          <cell r="E56">
            <v>130119</v>
          </cell>
          <cell r="F56">
            <v>0</v>
          </cell>
          <cell r="G56">
            <v>0</v>
          </cell>
          <cell r="H56">
            <v>0</v>
          </cell>
        </row>
        <row r="57">
          <cell r="A57">
            <v>62000000</v>
          </cell>
          <cell r="B57" t="str">
            <v>Inter branch Clearing account</v>
          </cell>
          <cell r="C57">
            <v>0</v>
          </cell>
          <cell r="D57">
            <v>1352186</v>
          </cell>
          <cell r="E57">
            <v>1352186</v>
          </cell>
          <cell r="F57">
            <v>0</v>
          </cell>
          <cell r="G57">
            <v>0</v>
          </cell>
          <cell r="H57">
            <v>0</v>
          </cell>
        </row>
        <row r="58">
          <cell r="B58" t="str">
            <v>Total</v>
          </cell>
          <cell r="D58">
            <v>0</v>
          </cell>
          <cell r="E58">
            <v>5884631.1200000001</v>
          </cell>
          <cell r="F58">
            <v>5884631.1200000001</v>
          </cell>
          <cell r="G58">
            <v>0</v>
          </cell>
          <cell r="H58">
            <v>0</v>
          </cell>
        </row>
      </sheetData>
      <sheetData sheetId="17" refreshError="1">
        <row r="1">
          <cell r="A1" t="str">
            <v>RMC Readymix (I) Pvt. Ltd.,</v>
          </cell>
          <cell r="B1" t="str">
            <v>Trial balance</v>
          </cell>
          <cell r="C1">
            <v>39970</v>
          </cell>
          <cell r="D1">
            <v>0.42363425925925924</v>
          </cell>
          <cell r="E1" t="str">
            <v>Page 1</v>
          </cell>
          <cell r="F1" t="str">
            <v>Mangalore</v>
          </cell>
        </row>
        <row r="2">
          <cell r="A2" t="str">
            <v>Period</v>
          </cell>
          <cell r="B2">
            <v>39904</v>
          </cell>
          <cell r="C2">
            <v>39964</v>
          </cell>
        </row>
        <row r="3">
          <cell r="A3" t="str">
            <v>Ledger account</v>
          </cell>
          <cell r="B3" t="str">
            <v>Account name</v>
          </cell>
          <cell r="C3" t="str">
            <v>Opening balance</v>
          </cell>
          <cell r="D3" t="str">
            <v>Debit</v>
          </cell>
          <cell r="E3" t="str">
            <v>Credit</v>
          </cell>
          <cell r="F3" t="str">
            <v>Net difference</v>
          </cell>
          <cell r="G3" t="str">
            <v>Closing transactions</v>
          </cell>
          <cell r="H3" t="str">
            <v>Closing balance</v>
          </cell>
        </row>
        <row r="4">
          <cell r="A4">
            <v>11010010</v>
          </cell>
          <cell r="B4" t="str">
            <v>Freehold Land</v>
          </cell>
          <cell r="C4">
            <v>32636418</v>
          </cell>
          <cell r="D4">
            <v>8350</v>
          </cell>
          <cell r="E4">
            <v>0</v>
          </cell>
          <cell r="F4">
            <v>8350</v>
          </cell>
          <cell r="G4">
            <v>0</v>
          </cell>
          <cell r="H4">
            <v>32644768</v>
          </cell>
        </row>
        <row r="5">
          <cell r="A5">
            <v>11015010</v>
          </cell>
          <cell r="B5" t="str">
            <v>Buildings</v>
          </cell>
          <cell r="C5">
            <v>15921628.5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15921628.5</v>
          </cell>
        </row>
        <row r="6">
          <cell r="A6">
            <v>11025010</v>
          </cell>
          <cell r="B6" t="str">
            <v>Plant and Machinery</v>
          </cell>
          <cell r="C6">
            <v>112262077.3</v>
          </cell>
          <cell r="D6">
            <v>394956</v>
          </cell>
          <cell r="E6">
            <v>0</v>
          </cell>
          <cell r="F6">
            <v>394956</v>
          </cell>
          <cell r="G6">
            <v>0</v>
          </cell>
          <cell r="H6">
            <v>112657033.3</v>
          </cell>
        </row>
        <row r="7">
          <cell r="A7">
            <v>11030010</v>
          </cell>
          <cell r="B7" t="str">
            <v>Electrical Installations</v>
          </cell>
          <cell r="C7">
            <v>4353418.26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4353418.26</v>
          </cell>
        </row>
        <row r="8">
          <cell r="A8">
            <v>11035010</v>
          </cell>
          <cell r="B8" t="str">
            <v>Furniture &amp; Fixtures</v>
          </cell>
          <cell r="C8">
            <v>1901104.76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1901104.76</v>
          </cell>
        </row>
        <row r="9">
          <cell r="A9">
            <v>11040010</v>
          </cell>
          <cell r="B9" t="str">
            <v>Office &amp; Electrical Appliances</v>
          </cell>
          <cell r="C9">
            <v>1456315.5</v>
          </cell>
          <cell r="D9">
            <v>7650</v>
          </cell>
          <cell r="E9">
            <v>0</v>
          </cell>
          <cell r="F9">
            <v>7650</v>
          </cell>
          <cell r="G9">
            <v>0</v>
          </cell>
          <cell r="H9">
            <v>1463965.5</v>
          </cell>
        </row>
        <row r="10">
          <cell r="A10">
            <v>11045010</v>
          </cell>
          <cell r="B10" t="str">
            <v>Truck Mixers, Loaders &amp; Truck Dumpers</v>
          </cell>
          <cell r="C10">
            <v>21509676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21509676</v>
          </cell>
        </row>
        <row r="11">
          <cell r="A11">
            <v>11060010</v>
          </cell>
          <cell r="B11" t="str">
            <v>Capital W.I.P</v>
          </cell>
          <cell r="C11">
            <v>0</v>
          </cell>
          <cell r="D11">
            <v>618086</v>
          </cell>
          <cell r="E11">
            <v>411056</v>
          </cell>
          <cell r="F11">
            <v>207030</v>
          </cell>
          <cell r="G11">
            <v>0</v>
          </cell>
          <cell r="H11">
            <v>207030</v>
          </cell>
        </row>
        <row r="12">
          <cell r="A12">
            <v>13005010</v>
          </cell>
          <cell r="B12" t="str">
            <v>Stores and spare  Local</v>
          </cell>
          <cell r="C12">
            <v>1089045</v>
          </cell>
          <cell r="D12">
            <v>0</v>
          </cell>
          <cell r="E12">
            <v>135796</v>
          </cell>
          <cell r="F12">
            <v>-135796</v>
          </cell>
          <cell r="G12">
            <v>0</v>
          </cell>
          <cell r="H12">
            <v>953249</v>
          </cell>
        </row>
        <row r="13">
          <cell r="A13">
            <v>13015010</v>
          </cell>
          <cell r="B13" t="str">
            <v>Balance Sheet Stock of Raw material - RMC</v>
          </cell>
          <cell r="C13">
            <v>3452819.87</v>
          </cell>
          <cell r="D13">
            <v>5345069.32</v>
          </cell>
          <cell r="E13">
            <v>5747331.2300000004</v>
          </cell>
          <cell r="F13">
            <v>-402261.91</v>
          </cell>
          <cell r="G13">
            <v>0</v>
          </cell>
          <cell r="H13">
            <v>3050557.96</v>
          </cell>
        </row>
        <row r="14">
          <cell r="A14">
            <v>13015020</v>
          </cell>
          <cell r="B14" t="str">
            <v>Balance sheet Boulder production</v>
          </cell>
          <cell r="C14">
            <v>467750.39</v>
          </cell>
          <cell r="D14">
            <v>604565.69999999995</v>
          </cell>
          <cell r="E14">
            <v>1419241.38</v>
          </cell>
          <cell r="F14">
            <v>-814675.68</v>
          </cell>
          <cell r="G14">
            <v>0</v>
          </cell>
          <cell r="H14">
            <v>-346925.29</v>
          </cell>
        </row>
        <row r="15">
          <cell r="A15">
            <v>13015030</v>
          </cell>
          <cell r="B15" t="str">
            <v>Balance sheet Aggregate Production</v>
          </cell>
          <cell r="C15">
            <v>1139490.51</v>
          </cell>
          <cell r="D15">
            <v>2572836.17</v>
          </cell>
          <cell r="E15">
            <v>3605325.41</v>
          </cell>
          <cell r="F15">
            <v>-1032489.24</v>
          </cell>
          <cell r="G15">
            <v>0</v>
          </cell>
          <cell r="H15">
            <v>107001.27</v>
          </cell>
        </row>
        <row r="16">
          <cell r="A16">
            <v>13015040</v>
          </cell>
          <cell r="B16" t="str">
            <v>Balance Sheet CRF Production</v>
          </cell>
          <cell r="C16">
            <v>0</v>
          </cell>
          <cell r="D16">
            <v>96</v>
          </cell>
          <cell r="E16">
            <v>4.0999999999999996</v>
          </cell>
          <cell r="F16">
            <v>91.9</v>
          </cell>
          <cell r="G16">
            <v>0</v>
          </cell>
          <cell r="H16">
            <v>91.9</v>
          </cell>
        </row>
        <row r="17">
          <cell r="A17">
            <v>13015050</v>
          </cell>
          <cell r="B17" t="str">
            <v>Balance Sheet Quarry Stock Valuation</v>
          </cell>
          <cell r="C17">
            <v>0</v>
          </cell>
          <cell r="D17">
            <v>1607240.9</v>
          </cell>
          <cell r="E17">
            <v>0</v>
          </cell>
          <cell r="F17">
            <v>1607240.9</v>
          </cell>
          <cell r="G17">
            <v>0</v>
          </cell>
          <cell r="H17">
            <v>1607240.9</v>
          </cell>
        </row>
        <row r="18">
          <cell r="A18">
            <v>13020010</v>
          </cell>
          <cell r="B18" t="str">
            <v>Sundry Debtors Account</v>
          </cell>
          <cell r="C18">
            <v>23068091.18</v>
          </cell>
          <cell r="D18">
            <v>62509507.280000001</v>
          </cell>
          <cell r="E18">
            <v>60692707.740000002</v>
          </cell>
          <cell r="F18">
            <v>1816799.54</v>
          </cell>
          <cell r="G18">
            <v>0</v>
          </cell>
          <cell r="H18">
            <v>24884890.719999999</v>
          </cell>
        </row>
        <row r="19">
          <cell r="A19">
            <v>13025010</v>
          </cell>
          <cell r="B19" t="str">
            <v>Cash In Hand</v>
          </cell>
          <cell r="C19">
            <v>51353.4</v>
          </cell>
          <cell r="D19">
            <v>189638</v>
          </cell>
          <cell r="E19">
            <v>201614.76</v>
          </cell>
          <cell r="F19">
            <v>-11976.76</v>
          </cell>
          <cell r="G19">
            <v>0</v>
          </cell>
          <cell r="H19">
            <v>39376.639999999999</v>
          </cell>
        </row>
        <row r="20">
          <cell r="A20">
            <v>13035010</v>
          </cell>
          <cell r="B20" t="str">
            <v>Bank Account</v>
          </cell>
          <cell r="C20">
            <v>511167.78</v>
          </cell>
          <cell r="D20">
            <v>63055077.740000002</v>
          </cell>
          <cell r="E20">
            <v>51815182.299999997</v>
          </cell>
          <cell r="F20">
            <v>11239895.439999999</v>
          </cell>
          <cell r="G20">
            <v>0</v>
          </cell>
          <cell r="H20">
            <v>11751063.220000001</v>
          </cell>
        </row>
        <row r="21">
          <cell r="A21">
            <v>13040030</v>
          </cell>
          <cell r="B21" t="str">
            <v>Cheques in Hand collected from parties as on 31.03</v>
          </cell>
          <cell r="C21">
            <v>3627350</v>
          </cell>
          <cell r="D21">
            <v>0</v>
          </cell>
          <cell r="E21">
            <v>3627350</v>
          </cell>
          <cell r="F21">
            <v>-3627350</v>
          </cell>
          <cell r="G21">
            <v>0</v>
          </cell>
          <cell r="H21">
            <v>0</v>
          </cell>
        </row>
        <row r="22">
          <cell r="A22">
            <v>13045020</v>
          </cell>
          <cell r="B22" t="str">
            <v>Loans and advances to employees</v>
          </cell>
          <cell r="C22">
            <v>2300</v>
          </cell>
          <cell r="D22">
            <v>19886</v>
          </cell>
          <cell r="E22">
            <v>7489</v>
          </cell>
          <cell r="F22">
            <v>12397</v>
          </cell>
          <cell r="G22">
            <v>0</v>
          </cell>
          <cell r="H22">
            <v>14697</v>
          </cell>
        </row>
        <row r="23">
          <cell r="A23">
            <v>13050018</v>
          </cell>
          <cell r="B23" t="str">
            <v>TDS ON RECEIPTS - 06-07</v>
          </cell>
          <cell r="C23">
            <v>1433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1433</v>
          </cell>
        </row>
        <row r="24">
          <cell r="A24">
            <v>13050020</v>
          </cell>
          <cell r="B24" t="str">
            <v>TDS ON RECEIPTS - 08-09</v>
          </cell>
          <cell r="C24">
            <v>135844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135844</v>
          </cell>
        </row>
        <row r="25">
          <cell r="A25">
            <v>13055020</v>
          </cell>
          <cell r="B25" t="str">
            <v>Prepaid Expenses</v>
          </cell>
          <cell r="C25">
            <v>631153</v>
          </cell>
          <cell r="D25">
            <v>226319</v>
          </cell>
          <cell r="E25">
            <v>97108</v>
          </cell>
          <cell r="F25">
            <v>129211</v>
          </cell>
          <cell r="G25">
            <v>0</v>
          </cell>
          <cell r="H25">
            <v>760364</v>
          </cell>
        </row>
        <row r="26">
          <cell r="A26">
            <v>13055060</v>
          </cell>
          <cell r="B26" t="str">
            <v>VAT Credit Receivable (Inputs)</v>
          </cell>
          <cell r="C26">
            <v>1175958</v>
          </cell>
          <cell r="D26">
            <v>2173887</v>
          </cell>
          <cell r="E26">
            <v>2301437</v>
          </cell>
          <cell r="F26">
            <v>-127550</v>
          </cell>
          <cell r="G26">
            <v>0</v>
          </cell>
          <cell r="H26">
            <v>1048408</v>
          </cell>
        </row>
        <row r="27">
          <cell r="A27">
            <v>13055078</v>
          </cell>
          <cell r="B27" t="str">
            <v>VAT TDS on aggregate sale receivable</v>
          </cell>
          <cell r="C27">
            <v>0</v>
          </cell>
          <cell r="D27">
            <v>3562</v>
          </cell>
          <cell r="E27">
            <v>3562</v>
          </cell>
          <cell r="F27">
            <v>0</v>
          </cell>
          <cell r="G27">
            <v>0</v>
          </cell>
          <cell r="H27">
            <v>0</v>
          </cell>
        </row>
        <row r="28">
          <cell r="A28">
            <v>13055090</v>
          </cell>
          <cell r="B28" t="str">
            <v>Sundry Deposits</v>
          </cell>
          <cell r="C28">
            <v>1484789</v>
          </cell>
          <cell r="D28">
            <v>100000</v>
          </cell>
          <cell r="E28">
            <v>21217</v>
          </cell>
          <cell r="F28">
            <v>78783</v>
          </cell>
          <cell r="G28">
            <v>0</v>
          </cell>
          <cell r="H28">
            <v>1563572</v>
          </cell>
        </row>
        <row r="29">
          <cell r="A29">
            <v>13070010</v>
          </cell>
          <cell r="B29" t="str">
            <v>TCS On Royalty</v>
          </cell>
          <cell r="C29">
            <v>0</v>
          </cell>
          <cell r="D29">
            <v>5136</v>
          </cell>
          <cell r="E29">
            <v>1890</v>
          </cell>
          <cell r="F29">
            <v>3246</v>
          </cell>
          <cell r="G29">
            <v>0</v>
          </cell>
          <cell r="H29">
            <v>3246</v>
          </cell>
        </row>
        <row r="30">
          <cell r="A30">
            <v>25005010</v>
          </cell>
          <cell r="B30" t="str">
            <v>Creditors Control</v>
          </cell>
          <cell r="C30">
            <v>-12123301.99</v>
          </cell>
          <cell r="D30">
            <v>43818619</v>
          </cell>
          <cell r="E30">
            <v>35881889.359999999</v>
          </cell>
          <cell r="F30">
            <v>7936729.6399999997</v>
          </cell>
          <cell r="G30">
            <v>0</v>
          </cell>
          <cell r="H30">
            <v>-4186572.35</v>
          </cell>
        </row>
        <row r="31">
          <cell r="A31">
            <v>25005050</v>
          </cell>
          <cell r="B31" t="str">
            <v>Creditors liability for material received but bill not recei</v>
          </cell>
          <cell r="C31">
            <v>-2535651.6</v>
          </cell>
          <cell r="D31">
            <v>29712716.809999999</v>
          </cell>
          <cell r="E31">
            <v>33554489.479999997</v>
          </cell>
          <cell r="F31">
            <v>-3841772.67</v>
          </cell>
          <cell r="G31">
            <v>0</v>
          </cell>
          <cell r="H31">
            <v>-6377424.2699999996</v>
          </cell>
        </row>
        <row r="32">
          <cell r="A32">
            <v>25010020</v>
          </cell>
          <cell r="B32" t="str">
            <v>Outstanding Liabilities For Expenses</v>
          </cell>
          <cell r="C32">
            <v>-673577</v>
          </cell>
          <cell r="D32">
            <v>673577</v>
          </cell>
          <cell r="E32">
            <v>0</v>
          </cell>
          <cell r="F32">
            <v>673577</v>
          </cell>
          <cell r="G32">
            <v>0</v>
          </cell>
          <cell r="H32">
            <v>0</v>
          </cell>
        </row>
        <row r="33">
          <cell r="A33">
            <v>25010060</v>
          </cell>
          <cell r="B33" t="str">
            <v>T.D.S.payable account</v>
          </cell>
          <cell r="C33">
            <v>-328497</v>
          </cell>
          <cell r="D33">
            <v>347929</v>
          </cell>
          <cell r="E33">
            <v>186694</v>
          </cell>
          <cell r="F33">
            <v>161235</v>
          </cell>
          <cell r="G33">
            <v>0</v>
          </cell>
          <cell r="H33">
            <v>-167262</v>
          </cell>
        </row>
        <row r="34">
          <cell r="A34">
            <v>25010120</v>
          </cell>
          <cell r="B34" t="str">
            <v>Service Tax Payable</v>
          </cell>
          <cell r="C34">
            <v>-0.22</v>
          </cell>
          <cell r="D34">
            <v>2607</v>
          </cell>
          <cell r="E34">
            <v>2607</v>
          </cell>
          <cell r="F34">
            <v>0</v>
          </cell>
          <cell r="G34">
            <v>0</v>
          </cell>
          <cell r="H34">
            <v>-0.22</v>
          </cell>
        </row>
        <row r="35">
          <cell r="A35">
            <v>25010122</v>
          </cell>
          <cell r="B35" t="str">
            <v>Job Order Service tax Payable</v>
          </cell>
          <cell r="C35">
            <v>39633</v>
          </cell>
          <cell r="D35">
            <v>48064</v>
          </cell>
          <cell r="E35">
            <v>119403</v>
          </cell>
          <cell r="F35">
            <v>-71339</v>
          </cell>
          <cell r="G35">
            <v>0</v>
          </cell>
          <cell r="H35">
            <v>-31706</v>
          </cell>
        </row>
        <row r="36">
          <cell r="A36">
            <v>25010190</v>
          </cell>
          <cell r="B36" t="str">
            <v>VAT  Payable account</v>
          </cell>
          <cell r="C36">
            <v>-2475499.94</v>
          </cell>
          <cell r="D36">
            <v>5736465</v>
          </cell>
          <cell r="E36">
            <v>6484634</v>
          </cell>
          <cell r="F36">
            <v>-748169</v>
          </cell>
          <cell r="G36">
            <v>0</v>
          </cell>
          <cell r="H36">
            <v>-3223668.94</v>
          </cell>
        </row>
        <row r="37">
          <cell r="A37">
            <v>25010192</v>
          </cell>
          <cell r="B37" t="str">
            <v>VAT TDS on raw material purchase payable</v>
          </cell>
          <cell r="C37">
            <v>-221674</v>
          </cell>
          <cell r="D37">
            <v>396579</v>
          </cell>
          <cell r="E37">
            <v>421089</v>
          </cell>
          <cell r="F37">
            <v>-24510</v>
          </cell>
          <cell r="G37">
            <v>0</v>
          </cell>
          <cell r="H37">
            <v>-246184</v>
          </cell>
        </row>
        <row r="38">
          <cell r="A38">
            <v>25010200</v>
          </cell>
          <cell r="B38" t="str">
            <v>Provision for Expenses in MIS</v>
          </cell>
          <cell r="C38">
            <v>0</v>
          </cell>
          <cell r="D38">
            <v>2059127</v>
          </cell>
          <cell r="E38">
            <v>5882229</v>
          </cell>
          <cell r="F38">
            <v>-3823102</v>
          </cell>
          <cell r="G38">
            <v>0</v>
          </cell>
          <cell r="H38">
            <v>-3823102</v>
          </cell>
        </row>
        <row r="39">
          <cell r="A39">
            <v>25010210</v>
          </cell>
          <cell r="B39" t="str">
            <v>Provision for Expenses Cumulative in Nature</v>
          </cell>
          <cell r="C39">
            <v>0</v>
          </cell>
          <cell r="D39">
            <v>54988</v>
          </cell>
          <cell r="E39">
            <v>54988</v>
          </cell>
          <cell r="F39">
            <v>0</v>
          </cell>
          <cell r="G39">
            <v>0</v>
          </cell>
          <cell r="H39">
            <v>0</v>
          </cell>
        </row>
        <row r="40">
          <cell r="A40">
            <v>26005020</v>
          </cell>
          <cell r="B40" t="str">
            <v>Provision For Bad &amp; Doubtful Debts</v>
          </cell>
          <cell r="C40">
            <v>-133449</v>
          </cell>
          <cell r="D40">
            <v>21950</v>
          </cell>
          <cell r="E40">
            <v>315000</v>
          </cell>
          <cell r="F40">
            <v>-293050</v>
          </cell>
          <cell r="G40">
            <v>0</v>
          </cell>
          <cell r="H40">
            <v>-426499</v>
          </cell>
        </row>
        <row r="41">
          <cell r="A41">
            <v>26015010</v>
          </cell>
          <cell r="B41" t="str">
            <v>Prov For Dep.-  Buildings</v>
          </cell>
          <cell r="C41">
            <v>-5211142.46</v>
          </cell>
          <cell r="D41">
            <v>0</v>
          </cell>
          <cell r="E41">
            <v>680017</v>
          </cell>
          <cell r="F41">
            <v>-680017</v>
          </cell>
          <cell r="G41">
            <v>0</v>
          </cell>
          <cell r="H41">
            <v>-5891159.46</v>
          </cell>
        </row>
        <row r="42">
          <cell r="A42">
            <v>26025010</v>
          </cell>
          <cell r="B42" t="str">
            <v>Provision for Depreciation Plant &amp; Machinery</v>
          </cell>
          <cell r="C42">
            <v>-23982619.850000001</v>
          </cell>
          <cell r="D42">
            <v>0</v>
          </cell>
          <cell r="E42">
            <v>1572993.3</v>
          </cell>
          <cell r="F42">
            <v>-1572993.3</v>
          </cell>
          <cell r="G42">
            <v>0</v>
          </cell>
          <cell r="H42">
            <v>-25555613.149999999</v>
          </cell>
        </row>
        <row r="43">
          <cell r="A43">
            <v>26030010</v>
          </cell>
          <cell r="B43" t="str">
            <v>Provision For Dep.-Electrical Installations</v>
          </cell>
          <cell r="C43">
            <v>-1244304.1299999999</v>
          </cell>
          <cell r="D43">
            <v>0</v>
          </cell>
          <cell r="E43">
            <v>72085</v>
          </cell>
          <cell r="F43">
            <v>-72085</v>
          </cell>
          <cell r="G43">
            <v>0</v>
          </cell>
          <cell r="H43">
            <v>-1316389.1299999999</v>
          </cell>
        </row>
        <row r="44">
          <cell r="A44">
            <v>26035010</v>
          </cell>
          <cell r="B44" t="str">
            <v>Provision For Dep.-Furniture and Fixtures</v>
          </cell>
          <cell r="C44">
            <v>-365512.54</v>
          </cell>
          <cell r="D44">
            <v>0</v>
          </cell>
          <cell r="E44">
            <v>28728</v>
          </cell>
          <cell r="F44">
            <v>-28728</v>
          </cell>
          <cell r="G44">
            <v>0</v>
          </cell>
          <cell r="H44">
            <v>-394240.54</v>
          </cell>
        </row>
        <row r="45">
          <cell r="A45">
            <v>26040010</v>
          </cell>
          <cell r="B45" t="str">
            <v>Provision for Depreciation- Office and Electrical Appliances</v>
          </cell>
          <cell r="C45">
            <v>-721793.17</v>
          </cell>
          <cell r="D45">
            <v>0</v>
          </cell>
          <cell r="E45">
            <v>42387</v>
          </cell>
          <cell r="F45">
            <v>-42387</v>
          </cell>
          <cell r="G45">
            <v>0</v>
          </cell>
          <cell r="H45">
            <v>-764180.17</v>
          </cell>
        </row>
        <row r="46">
          <cell r="A46">
            <v>26045010</v>
          </cell>
          <cell r="B46" t="str">
            <v>Provision for Depreciation- Truck Mixers, Loaders &amp; Dumpers</v>
          </cell>
          <cell r="C46">
            <v>-9754162.3399999999</v>
          </cell>
          <cell r="D46">
            <v>0</v>
          </cell>
          <cell r="E46">
            <v>313515</v>
          </cell>
          <cell r="F46">
            <v>-313515</v>
          </cell>
          <cell r="G46">
            <v>0</v>
          </cell>
          <cell r="H46">
            <v>-10067677.34</v>
          </cell>
        </row>
        <row r="47">
          <cell r="A47">
            <v>26055020</v>
          </cell>
          <cell r="B47" t="str">
            <v>Profit &amp; Loss A/c</v>
          </cell>
          <cell r="C47">
            <v>-24335599.66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-24335599.66</v>
          </cell>
        </row>
        <row r="48">
          <cell r="A48">
            <v>31010010</v>
          </cell>
          <cell r="B48" t="str">
            <v>Sales</v>
          </cell>
          <cell r="C48">
            <v>0</v>
          </cell>
          <cell r="D48">
            <v>3058897.93</v>
          </cell>
          <cell r="E48">
            <v>53840575.93</v>
          </cell>
          <cell r="F48">
            <v>-50781678</v>
          </cell>
          <cell r="G48">
            <v>0</v>
          </cell>
          <cell r="H48">
            <v>-50781678</v>
          </cell>
        </row>
        <row r="49">
          <cell r="A49">
            <v>31010060</v>
          </cell>
          <cell r="B49" t="str">
            <v>Income from Processing, transportation &amp; Laying of concrete</v>
          </cell>
          <cell r="C49">
            <v>0</v>
          </cell>
          <cell r="D49">
            <v>0</v>
          </cell>
          <cell r="E49">
            <v>1159210</v>
          </cell>
          <cell r="F49">
            <v>-1159210</v>
          </cell>
          <cell r="G49">
            <v>0</v>
          </cell>
          <cell r="H49">
            <v>-1159210</v>
          </cell>
        </row>
        <row r="50">
          <cell r="A50">
            <v>32020020</v>
          </cell>
          <cell r="B50" t="str">
            <v>Misc Income - Scrap sales</v>
          </cell>
          <cell r="C50">
            <v>0</v>
          </cell>
          <cell r="D50">
            <v>0</v>
          </cell>
          <cell r="E50">
            <v>31086.55</v>
          </cell>
          <cell r="F50">
            <v>-31086.55</v>
          </cell>
          <cell r="G50">
            <v>0</v>
          </cell>
          <cell r="H50">
            <v>-31086.55</v>
          </cell>
        </row>
        <row r="51">
          <cell r="A51">
            <v>41010010</v>
          </cell>
          <cell r="B51" t="str">
            <v>Opening Stock - Cement</v>
          </cell>
          <cell r="C51">
            <v>0</v>
          </cell>
          <cell r="D51">
            <v>1433318.43</v>
          </cell>
          <cell r="E51">
            <v>0</v>
          </cell>
          <cell r="F51">
            <v>1433318.43</v>
          </cell>
          <cell r="G51">
            <v>0</v>
          </cell>
          <cell r="H51">
            <v>1433318.43</v>
          </cell>
        </row>
        <row r="52">
          <cell r="A52">
            <v>41010020</v>
          </cell>
          <cell r="B52" t="str">
            <v>Opening Stock - Sand</v>
          </cell>
          <cell r="C52">
            <v>0</v>
          </cell>
          <cell r="D52">
            <v>203888.5</v>
          </cell>
          <cell r="E52">
            <v>0</v>
          </cell>
          <cell r="F52">
            <v>203888.5</v>
          </cell>
          <cell r="G52">
            <v>0</v>
          </cell>
          <cell r="H52">
            <v>203888.5</v>
          </cell>
        </row>
        <row r="53">
          <cell r="A53">
            <v>41010030</v>
          </cell>
          <cell r="B53" t="str">
            <v>Opening Stock - CRF</v>
          </cell>
          <cell r="C53">
            <v>0</v>
          </cell>
          <cell r="D53">
            <v>72667.05</v>
          </cell>
          <cell r="E53">
            <v>0</v>
          </cell>
          <cell r="F53">
            <v>72667.05</v>
          </cell>
          <cell r="G53">
            <v>0</v>
          </cell>
          <cell r="H53">
            <v>72667.05</v>
          </cell>
        </row>
        <row r="54">
          <cell r="A54">
            <v>41010040</v>
          </cell>
          <cell r="B54" t="str">
            <v>Opening Stock - RMC Aggregates</v>
          </cell>
          <cell r="C54">
            <v>0</v>
          </cell>
          <cell r="D54">
            <v>538958.9</v>
          </cell>
          <cell r="E54">
            <v>0</v>
          </cell>
          <cell r="F54">
            <v>538958.9</v>
          </cell>
          <cell r="G54">
            <v>0</v>
          </cell>
          <cell r="H54">
            <v>538958.9</v>
          </cell>
        </row>
        <row r="55">
          <cell r="A55">
            <v>41010050</v>
          </cell>
          <cell r="B55" t="str">
            <v>Opening Stock - Admixtures</v>
          </cell>
          <cell r="C55">
            <v>0</v>
          </cell>
          <cell r="D55">
            <v>836025.75</v>
          </cell>
          <cell r="E55">
            <v>0</v>
          </cell>
          <cell r="F55">
            <v>836025.75</v>
          </cell>
          <cell r="G55">
            <v>0</v>
          </cell>
          <cell r="H55">
            <v>836025.75</v>
          </cell>
        </row>
        <row r="56">
          <cell r="A56">
            <v>41010070</v>
          </cell>
          <cell r="B56" t="str">
            <v>Opening Stock - Flyash</v>
          </cell>
          <cell r="C56">
            <v>0</v>
          </cell>
          <cell r="D56">
            <v>19579.669999999998</v>
          </cell>
          <cell r="E56">
            <v>0</v>
          </cell>
          <cell r="F56">
            <v>19579.669999999998</v>
          </cell>
          <cell r="G56">
            <v>0</v>
          </cell>
          <cell r="H56">
            <v>19579.669999999998</v>
          </cell>
        </row>
        <row r="57">
          <cell r="A57">
            <v>41010080</v>
          </cell>
          <cell r="B57" t="str">
            <v>Opening Stock - Diesel</v>
          </cell>
          <cell r="C57">
            <v>0</v>
          </cell>
          <cell r="D57">
            <v>129189.08</v>
          </cell>
          <cell r="E57">
            <v>0</v>
          </cell>
          <cell r="F57">
            <v>129189.08</v>
          </cell>
          <cell r="G57">
            <v>0</v>
          </cell>
          <cell r="H57">
            <v>129189.08</v>
          </cell>
        </row>
        <row r="58">
          <cell r="A58">
            <v>41010090</v>
          </cell>
          <cell r="B58" t="str">
            <v>Opening Stock Boulders</v>
          </cell>
          <cell r="C58">
            <v>0</v>
          </cell>
          <cell r="D58">
            <v>467750.39</v>
          </cell>
          <cell r="E58">
            <v>0</v>
          </cell>
          <cell r="F58">
            <v>467750.39</v>
          </cell>
          <cell r="G58">
            <v>0</v>
          </cell>
          <cell r="H58">
            <v>467750.39</v>
          </cell>
        </row>
        <row r="59">
          <cell r="A59">
            <v>41010100</v>
          </cell>
          <cell r="B59" t="str">
            <v>Opening Stock Aggregates at Crusher</v>
          </cell>
          <cell r="C59">
            <v>0</v>
          </cell>
          <cell r="D59">
            <v>1139490.51</v>
          </cell>
          <cell r="E59">
            <v>0</v>
          </cell>
          <cell r="F59">
            <v>1139490.51</v>
          </cell>
          <cell r="G59">
            <v>0</v>
          </cell>
          <cell r="H59">
            <v>1139490.51</v>
          </cell>
        </row>
        <row r="60">
          <cell r="A60">
            <v>41010110</v>
          </cell>
          <cell r="B60" t="str">
            <v>Opening Stock GGBS</v>
          </cell>
          <cell r="C60">
            <v>0</v>
          </cell>
          <cell r="D60">
            <v>219192.49</v>
          </cell>
          <cell r="E60">
            <v>0</v>
          </cell>
          <cell r="F60">
            <v>219192.49</v>
          </cell>
          <cell r="G60">
            <v>0</v>
          </cell>
          <cell r="H60">
            <v>219192.49</v>
          </cell>
        </row>
        <row r="61">
          <cell r="A61">
            <v>41020010</v>
          </cell>
          <cell r="B61" t="str">
            <v>Raw Material Purchase - Cement</v>
          </cell>
          <cell r="C61">
            <v>0</v>
          </cell>
          <cell r="D61">
            <v>13020534.140000001</v>
          </cell>
          <cell r="E61">
            <v>13692500.9</v>
          </cell>
          <cell r="F61">
            <v>-671966.76</v>
          </cell>
          <cell r="G61">
            <v>0</v>
          </cell>
          <cell r="H61">
            <v>-671966.76</v>
          </cell>
        </row>
        <row r="62">
          <cell r="A62">
            <v>41020015</v>
          </cell>
          <cell r="B62" t="str">
            <v>Interim account cement received</v>
          </cell>
          <cell r="C62">
            <v>0</v>
          </cell>
          <cell r="D62">
            <v>13082304.869999999</v>
          </cell>
          <cell r="E62">
            <v>12512713.789999999</v>
          </cell>
          <cell r="F62">
            <v>569591.07999999996</v>
          </cell>
          <cell r="G62">
            <v>0</v>
          </cell>
          <cell r="H62">
            <v>569591.07999999996</v>
          </cell>
        </row>
        <row r="63">
          <cell r="A63">
            <v>41020020</v>
          </cell>
          <cell r="B63" t="str">
            <v>Cement Consumption account</v>
          </cell>
          <cell r="C63">
            <v>0</v>
          </cell>
          <cell r="D63">
            <v>13407824.279999999</v>
          </cell>
          <cell r="E63">
            <v>505410.74</v>
          </cell>
          <cell r="F63">
            <v>12902413.539999999</v>
          </cell>
          <cell r="G63">
            <v>0</v>
          </cell>
          <cell r="H63">
            <v>12902413.539999999</v>
          </cell>
        </row>
        <row r="64">
          <cell r="A64">
            <v>41020030</v>
          </cell>
          <cell r="B64" t="str">
            <v>Raw Material Purchase - Aggregates</v>
          </cell>
          <cell r="C64">
            <v>0</v>
          </cell>
          <cell r="D64">
            <v>8087989.4900000002</v>
          </cell>
          <cell r="E64">
            <v>9876965.3800000008</v>
          </cell>
          <cell r="F64">
            <v>-1788975.89</v>
          </cell>
          <cell r="G64">
            <v>0</v>
          </cell>
          <cell r="H64">
            <v>-1788975.89</v>
          </cell>
        </row>
        <row r="65">
          <cell r="A65">
            <v>41020035</v>
          </cell>
          <cell r="B65" t="str">
            <v>Interim account Aggregate received</v>
          </cell>
          <cell r="C65">
            <v>0</v>
          </cell>
          <cell r="D65">
            <v>9543357.3300000001</v>
          </cell>
          <cell r="E65">
            <v>7834001.6299999999</v>
          </cell>
          <cell r="F65">
            <v>1709355.7</v>
          </cell>
          <cell r="G65">
            <v>0</v>
          </cell>
          <cell r="H65">
            <v>1709355.7</v>
          </cell>
        </row>
        <row r="66">
          <cell r="A66">
            <v>41020040</v>
          </cell>
          <cell r="B66" t="str">
            <v>Aggregate Consumption account</v>
          </cell>
          <cell r="C66">
            <v>0</v>
          </cell>
          <cell r="D66">
            <v>9821541</v>
          </cell>
          <cell r="E66">
            <v>206635.47</v>
          </cell>
          <cell r="F66">
            <v>9614905.5299999993</v>
          </cell>
          <cell r="G66">
            <v>0</v>
          </cell>
          <cell r="H66">
            <v>9614905.5299999993</v>
          </cell>
        </row>
        <row r="67">
          <cell r="A67">
            <v>41020050</v>
          </cell>
          <cell r="B67" t="str">
            <v>Raw Material Purchase - Sand</v>
          </cell>
          <cell r="C67">
            <v>0</v>
          </cell>
          <cell r="D67">
            <v>1754035.04</v>
          </cell>
          <cell r="E67">
            <v>1984326.03</v>
          </cell>
          <cell r="F67">
            <v>-230290.99</v>
          </cell>
          <cell r="G67">
            <v>0</v>
          </cell>
          <cell r="H67">
            <v>-230290.99</v>
          </cell>
        </row>
        <row r="68">
          <cell r="A68">
            <v>41020055</v>
          </cell>
          <cell r="B68" t="str">
            <v>Interim account Sand Received</v>
          </cell>
          <cell r="C68">
            <v>0</v>
          </cell>
          <cell r="D68">
            <v>1972481.61</v>
          </cell>
          <cell r="E68">
            <v>1751716.63</v>
          </cell>
          <cell r="F68">
            <v>220764.98</v>
          </cell>
          <cell r="G68">
            <v>0</v>
          </cell>
          <cell r="H68">
            <v>220764.98</v>
          </cell>
        </row>
        <row r="69">
          <cell r="A69">
            <v>41020060</v>
          </cell>
          <cell r="B69" t="str">
            <v>Sand Consumption account</v>
          </cell>
          <cell r="C69">
            <v>0</v>
          </cell>
          <cell r="D69">
            <v>1946144.97</v>
          </cell>
          <cell r="E69">
            <v>0</v>
          </cell>
          <cell r="F69">
            <v>1946144.97</v>
          </cell>
          <cell r="G69">
            <v>0</v>
          </cell>
          <cell r="H69">
            <v>1946144.97</v>
          </cell>
        </row>
        <row r="70">
          <cell r="A70">
            <v>41020070</v>
          </cell>
          <cell r="B70" t="str">
            <v>Raw Material Purchase - Admixture</v>
          </cell>
          <cell r="C70">
            <v>0</v>
          </cell>
          <cell r="D70">
            <v>1008311.38</v>
          </cell>
          <cell r="E70">
            <v>1152263.74</v>
          </cell>
          <cell r="F70">
            <v>-143952.35999999999</v>
          </cell>
          <cell r="G70">
            <v>0</v>
          </cell>
          <cell r="H70">
            <v>-143952.35999999999</v>
          </cell>
        </row>
        <row r="71">
          <cell r="A71">
            <v>41020075</v>
          </cell>
          <cell r="B71" t="str">
            <v>Interim account Admixture received</v>
          </cell>
          <cell r="C71">
            <v>0</v>
          </cell>
          <cell r="D71">
            <v>997810.25</v>
          </cell>
          <cell r="E71">
            <v>997810</v>
          </cell>
          <cell r="F71">
            <v>0.25</v>
          </cell>
          <cell r="G71">
            <v>0</v>
          </cell>
          <cell r="H71">
            <v>0.25</v>
          </cell>
        </row>
        <row r="72">
          <cell r="A72">
            <v>41020080</v>
          </cell>
          <cell r="B72" t="str">
            <v>Admixture Consumption account</v>
          </cell>
          <cell r="C72">
            <v>0</v>
          </cell>
          <cell r="D72">
            <v>1117988.93</v>
          </cell>
          <cell r="E72">
            <v>10501.38</v>
          </cell>
          <cell r="F72">
            <v>1107487.55</v>
          </cell>
          <cell r="G72">
            <v>0</v>
          </cell>
          <cell r="H72">
            <v>1107487.55</v>
          </cell>
        </row>
        <row r="73">
          <cell r="A73">
            <v>41020090</v>
          </cell>
          <cell r="B73" t="str">
            <v>Raw Material  Purchase - Fly Ash</v>
          </cell>
          <cell r="C73">
            <v>0</v>
          </cell>
          <cell r="D73">
            <v>2784.86</v>
          </cell>
          <cell r="E73">
            <v>4090.24</v>
          </cell>
          <cell r="F73">
            <v>-1305.3800000000001</v>
          </cell>
          <cell r="G73">
            <v>0</v>
          </cell>
          <cell r="H73">
            <v>-1305.3800000000001</v>
          </cell>
        </row>
        <row r="74">
          <cell r="A74">
            <v>41020100</v>
          </cell>
          <cell r="B74" t="str">
            <v>Fly Ash Consumption account</v>
          </cell>
          <cell r="C74">
            <v>0</v>
          </cell>
          <cell r="D74">
            <v>4090.24</v>
          </cell>
          <cell r="E74">
            <v>2784.86</v>
          </cell>
          <cell r="F74">
            <v>1305.3800000000001</v>
          </cell>
          <cell r="G74">
            <v>0</v>
          </cell>
          <cell r="H74">
            <v>1305.3800000000001</v>
          </cell>
        </row>
        <row r="75">
          <cell r="A75">
            <v>41020110</v>
          </cell>
          <cell r="B75" t="str">
            <v>Raw Material Purchase GGBS</v>
          </cell>
          <cell r="C75">
            <v>0</v>
          </cell>
          <cell r="D75">
            <v>2993089.47</v>
          </cell>
          <cell r="E75">
            <v>3948207.07</v>
          </cell>
          <cell r="F75">
            <v>-955117.6</v>
          </cell>
          <cell r="G75">
            <v>0</v>
          </cell>
          <cell r="H75">
            <v>-955117.6</v>
          </cell>
        </row>
        <row r="76">
          <cell r="A76">
            <v>41020115</v>
          </cell>
          <cell r="B76" t="str">
            <v>Interim account for GGBS received</v>
          </cell>
          <cell r="C76">
            <v>0</v>
          </cell>
          <cell r="D76">
            <v>3889923.35</v>
          </cell>
          <cell r="E76">
            <v>2965426.29</v>
          </cell>
          <cell r="F76">
            <v>924497.06</v>
          </cell>
          <cell r="G76">
            <v>0</v>
          </cell>
          <cell r="H76">
            <v>924497.06</v>
          </cell>
        </row>
        <row r="77">
          <cell r="A77">
            <v>41020120</v>
          </cell>
          <cell r="B77" t="str">
            <v>GGBS Consumption account</v>
          </cell>
          <cell r="C77">
            <v>0</v>
          </cell>
          <cell r="D77">
            <v>3798491.48</v>
          </cell>
          <cell r="E77">
            <v>25105.81</v>
          </cell>
          <cell r="F77">
            <v>3773385.67</v>
          </cell>
          <cell r="G77">
            <v>0</v>
          </cell>
          <cell r="H77">
            <v>3773385.67</v>
          </cell>
        </row>
        <row r="78">
          <cell r="A78">
            <v>41020130</v>
          </cell>
          <cell r="B78" t="str">
            <v>Raw Materials Purchase - CRF</v>
          </cell>
          <cell r="C78">
            <v>0</v>
          </cell>
          <cell r="D78">
            <v>973600.7</v>
          </cell>
          <cell r="E78">
            <v>1016448.14</v>
          </cell>
          <cell r="F78">
            <v>-42847.44</v>
          </cell>
          <cell r="G78">
            <v>0</v>
          </cell>
          <cell r="H78">
            <v>-42847.44</v>
          </cell>
        </row>
        <row r="79">
          <cell r="A79">
            <v>41020135</v>
          </cell>
          <cell r="B79" t="str">
            <v>Interim account for CRF received</v>
          </cell>
          <cell r="C79">
            <v>0</v>
          </cell>
          <cell r="D79">
            <v>1017567.88</v>
          </cell>
          <cell r="E79">
            <v>960536.12</v>
          </cell>
          <cell r="F79">
            <v>57031.76</v>
          </cell>
          <cell r="G79">
            <v>0</v>
          </cell>
          <cell r="H79">
            <v>57031.76</v>
          </cell>
        </row>
        <row r="80">
          <cell r="A80">
            <v>41020140</v>
          </cell>
          <cell r="B80" t="str">
            <v>CRF Consumption account</v>
          </cell>
          <cell r="C80">
            <v>0</v>
          </cell>
          <cell r="D80">
            <v>1016448.14</v>
          </cell>
          <cell r="E80">
            <v>4814.88</v>
          </cell>
          <cell r="F80">
            <v>1011633.26</v>
          </cell>
          <cell r="G80">
            <v>0</v>
          </cell>
          <cell r="H80">
            <v>1011633.26</v>
          </cell>
        </row>
        <row r="81">
          <cell r="A81">
            <v>41020150</v>
          </cell>
          <cell r="B81" t="str">
            <v>Loss/ gain on Stock</v>
          </cell>
          <cell r="C81">
            <v>0</v>
          </cell>
          <cell r="D81">
            <v>507272.72</v>
          </cell>
          <cell r="E81">
            <v>62887.48</v>
          </cell>
          <cell r="F81">
            <v>444385.24</v>
          </cell>
          <cell r="G81">
            <v>0</v>
          </cell>
          <cell r="H81">
            <v>444385.24</v>
          </cell>
        </row>
        <row r="82">
          <cell r="A82">
            <v>41020195</v>
          </cell>
          <cell r="B82" t="str">
            <v>Purchase of Diesel</v>
          </cell>
          <cell r="C82">
            <v>0</v>
          </cell>
          <cell r="D82">
            <v>2694613.99</v>
          </cell>
          <cell r="E82">
            <v>3104022.15</v>
          </cell>
          <cell r="F82">
            <v>-409408.16</v>
          </cell>
          <cell r="G82">
            <v>0</v>
          </cell>
          <cell r="H82">
            <v>-409408.16</v>
          </cell>
        </row>
        <row r="83">
          <cell r="A83">
            <v>41020200</v>
          </cell>
          <cell r="B83" t="str">
            <v>Interim account for diesel received</v>
          </cell>
          <cell r="C83">
            <v>0</v>
          </cell>
          <cell r="D83">
            <v>3048098.83</v>
          </cell>
          <cell r="E83">
            <v>2687736.99</v>
          </cell>
          <cell r="F83">
            <v>360361.84</v>
          </cell>
          <cell r="G83">
            <v>0</v>
          </cell>
          <cell r="H83">
            <v>360361.84</v>
          </cell>
        </row>
        <row r="84">
          <cell r="A84">
            <v>41050010</v>
          </cell>
          <cell r="B84" t="str">
            <v>Closing Stock - Cement</v>
          </cell>
          <cell r="C84">
            <v>0</v>
          </cell>
          <cell r="D84">
            <v>0</v>
          </cell>
          <cell r="E84">
            <v>1330942.75</v>
          </cell>
          <cell r="F84">
            <v>-1330942.75</v>
          </cell>
          <cell r="G84">
            <v>0</v>
          </cell>
          <cell r="H84">
            <v>-1330942.75</v>
          </cell>
        </row>
        <row r="85">
          <cell r="A85">
            <v>41050020</v>
          </cell>
          <cell r="B85" t="str">
            <v>Closing Stock - Sand</v>
          </cell>
          <cell r="C85">
            <v>0</v>
          </cell>
          <cell r="D85">
            <v>0</v>
          </cell>
          <cell r="E85">
            <v>194362.49</v>
          </cell>
          <cell r="F85">
            <v>-194362.49</v>
          </cell>
          <cell r="G85">
            <v>0</v>
          </cell>
          <cell r="H85">
            <v>-194362.49</v>
          </cell>
        </row>
        <row r="86">
          <cell r="A86">
            <v>41050030</v>
          </cell>
          <cell r="B86" t="str">
            <v>Closing Stock - CRF</v>
          </cell>
          <cell r="C86">
            <v>0</v>
          </cell>
          <cell r="D86">
            <v>0</v>
          </cell>
          <cell r="E86">
            <v>86851.37</v>
          </cell>
          <cell r="F86">
            <v>-86851.37</v>
          </cell>
          <cell r="G86">
            <v>0</v>
          </cell>
          <cell r="H86">
            <v>-86851.37</v>
          </cell>
        </row>
        <row r="87">
          <cell r="A87">
            <v>41050040</v>
          </cell>
          <cell r="B87" t="str">
            <v>Closing Stock - RMC Aggregates</v>
          </cell>
          <cell r="C87">
            <v>0</v>
          </cell>
          <cell r="D87">
            <v>0</v>
          </cell>
          <cell r="E87">
            <v>459338.71</v>
          </cell>
          <cell r="F87">
            <v>-459338.71</v>
          </cell>
          <cell r="G87">
            <v>0</v>
          </cell>
          <cell r="H87">
            <v>-459338.71</v>
          </cell>
        </row>
        <row r="88">
          <cell r="A88">
            <v>41050050</v>
          </cell>
          <cell r="B88" t="str">
            <v>Closing Stock - Admixtures</v>
          </cell>
          <cell r="C88">
            <v>0</v>
          </cell>
          <cell r="D88">
            <v>0</v>
          </cell>
          <cell r="E88">
            <v>692073.64</v>
          </cell>
          <cell r="F88">
            <v>-692073.64</v>
          </cell>
          <cell r="G88">
            <v>0</v>
          </cell>
          <cell r="H88">
            <v>-692073.64</v>
          </cell>
        </row>
        <row r="89">
          <cell r="A89">
            <v>41050070</v>
          </cell>
          <cell r="B89" t="str">
            <v>Closing Stock - Flyash</v>
          </cell>
          <cell r="C89">
            <v>0</v>
          </cell>
          <cell r="D89">
            <v>0</v>
          </cell>
          <cell r="E89">
            <v>18274.29</v>
          </cell>
          <cell r="F89">
            <v>-18274.29</v>
          </cell>
          <cell r="G89">
            <v>0</v>
          </cell>
          <cell r="H89">
            <v>-18274.29</v>
          </cell>
        </row>
        <row r="90">
          <cell r="A90">
            <v>41050080</v>
          </cell>
          <cell r="B90" t="str">
            <v>Closing Stock - Diesel</v>
          </cell>
          <cell r="C90">
            <v>0</v>
          </cell>
          <cell r="D90">
            <v>0</v>
          </cell>
          <cell r="E90">
            <v>80142.759999999995</v>
          </cell>
          <cell r="F90">
            <v>-80142.759999999995</v>
          </cell>
          <cell r="G90">
            <v>0</v>
          </cell>
          <cell r="H90">
            <v>-80142.759999999995</v>
          </cell>
        </row>
        <row r="91">
          <cell r="A91">
            <v>41050090</v>
          </cell>
          <cell r="B91" t="str">
            <v>Closing Stock Boulders</v>
          </cell>
          <cell r="C91">
            <v>0</v>
          </cell>
          <cell r="D91">
            <v>951490.99</v>
          </cell>
          <cell r="E91">
            <v>1072316.0900000001</v>
          </cell>
          <cell r="F91">
            <v>-120825.1</v>
          </cell>
          <cell r="G91">
            <v>0</v>
          </cell>
          <cell r="H91">
            <v>-120825.1</v>
          </cell>
        </row>
        <row r="92">
          <cell r="A92">
            <v>41050100</v>
          </cell>
          <cell r="B92" t="str">
            <v>Closing Stock Crusher Aggregates</v>
          </cell>
          <cell r="C92">
            <v>0</v>
          </cell>
          <cell r="D92">
            <v>2465834.9</v>
          </cell>
          <cell r="E92">
            <v>3712326.68</v>
          </cell>
          <cell r="F92">
            <v>-1246491.78</v>
          </cell>
          <cell r="G92">
            <v>0</v>
          </cell>
          <cell r="H92">
            <v>-1246491.78</v>
          </cell>
        </row>
        <row r="93">
          <cell r="A93">
            <v>41050105</v>
          </cell>
          <cell r="B93" t="str">
            <v>Closing Stock Crusher CRF</v>
          </cell>
          <cell r="C93">
            <v>0</v>
          </cell>
          <cell r="D93">
            <v>4.0999999999999996</v>
          </cell>
          <cell r="E93">
            <v>96</v>
          </cell>
          <cell r="F93">
            <v>-91.9</v>
          </cell>
          <cell r="G93">
            <v>0</v>
          </cell>
          <cell r="H93">
            <v>-91.9</v>
          </cell>
        </row>
        <row r="94">
          <cell r="A94">
            <v>41050110</v>
          </cell>
          <cell r="B94" t="str">
            <v>Closing Stock GGBS</v>
          </cell>
          <cell r="C94">
            <v>0</v>
          </cell>
          <cell r="D94">
            <v>0</v>
          </cell>
          <cell r="E94">
            <v>188571.95</v>
          </cell>
          <cell r="F94">
            <v>-188571.95</v>
          </cell>
          <cell r="G94">
            <v>0</v>
          </cell>
          <cell r="H94">
            <v>-188571.95</v>
          </cell>
        </row>
        <row r="95">
          <cell r="A95">
            <v>42010010</v>
          </cell>
          <cell r="B95" t="str">
            <v>Salary - Basic</v>
          </cell>
          <cell r="C95">
            <v>0</v>
          </cell>
          <cell r="D95">
            <v>669773</v>
          </cell>
          <cell r="E95">
            <v>81100</v>
          </cell>
          <cell r="F95">
            <v>588673</v>
          </cell>
          <cell r="G95">
            <v>0</v>
          </cell>
          <cell r="H95">
            <v>588673</v>
          </cell>
        </row>
        <row r="96">
          <cell r="A96">
            <v>42010020</v>
          </cell>
          <cell r="B96" t="str">
            <v>House Rent Allowance</v>
          </cell>
          <cell r="C96">
            <v>0</v>
          </cell>
          <cell r="D96">
            <v>334017</v>
          </cell>
          <cell r="E96">
            <v>40210</v>
          </cell>
          <cell r="F96">
            <v>293807</v>
          </cell>
          <cell r="G96">
            <v>0</v>
          </cell>
          <cell r="H96">
            <v>293807</v>
          </cell>
        </row>
        <row r="97">
          <cell r="A97">
            <v>42010030</v>
          </cell>
          <cell r="B97" t="str">
            <v>Education Allowance</v>
          </cell>
          <cell r="C97">
            <v>0</v>
          </cell>
          <cell r="D97">
            <v>61480</v>
          </cell>
          <cell r="E97">
            <v>3200</v>
          </cell>
          <cell r="F97">
            <v>58280</v>
          </cell>
          <cell r="G97">
            <v>0</v>
          </cell>
          <cell r="H97">
            <v>58280</v>
          </cell>
        </row>
        <row r="98">
          <cell r="A98">
            <v>42010040</v>
          </cell>
          <cell r="B98" t="str">
            <v>Special Allowance</v>
          </cell>
          <cell r="C98">
            <v>0</v>
          </cell>
          <cell r="D98">
            <v>107383</v>
          </cell>
          <cell r="E98">
            <v>13720</v>
          </cell>
          <cell r="F98">
            <v>93663</v>
          </cell>
          <cell r="G98">
            <v>0</v>
          </cell>
          <cell r="H98">
            <v>93663</v>
          </cell>
        </row>
        <row r="99">
          <cell r="A99">
            <v>42010050</v>
          </cell>
          <cell r="B99" t="str">
            <v>Medical Expense Reimbursement</v>
          </cell>
          <cell r="C99">
            <v>0</v>
          </cell>
          <cell r="D99">
            <v>142480</v>
          </cell>
          <cell r="E99">
            <v>8000</v>
          </cell>
          <cell r="F99">
            <v>134480</v>
          </cell>
          <cell r="G99">
            <v>0</v>
          </cell>
          <cell r="H99">
            <v>134480</v>
          </cell>
        </row>
        <row r="100">
          <cell r="A100">
            <v>42010060</v>
          </cell>
          <cell r="B100" t="str">
            <v>Leave Travel Allowance</v>
          </cell>
          <cell r="C100">
            <v>0</v>
          </cell>
          <cell r="D100">
            <v>104361</v>
          </cell>
          <cell r="E100">
            <v>0</v>
          </cell>
          <cell r="F100">
            <v>104361</v>
          </cell>
          <cell r="G100">
            <v>0</v>
          </cell>
          <cell r="H100">
            <v>104361</v>
          </cell>
        </row>
        <row r="101">
          <cell r="A101">
            <v>42010090</v>
          </cell>
          <cell r="B101" t="str">
            <v>Overtime Payment</v>
          </cell>
          <cell r="C101">
            <v>0</v>
          </cell>
          <cell r="D101">
            <v>16441</v>
          </cell>
          <cell r="E101">
            <v>11436</v>
          </cell>
          <cell r="F101">
            <v>5005</v>
          </cell>
          <cell r="G101">
            <v>0</v>
          </cell>
          <cell r="H101">
            <v>5005</v>
          </cell>
        </row>
        <row r="102">
          <cell r="A102">
            <v>42010100</v>
          </cell>
          <cell r="B102" t="str">
            <v>Transport Allowance</v>
          </cell>
          <cell r="C102">
            <v>0</v>
          </cell>
          <cell r="D102">
            <v>121307</v>
          </cell>
          <cell r="E102">
            <v>3200</v>
          </cell>
          <cell r="F102">
            <v>118107</v>
          </cell>
          <cell r="G102">
            <v>0</v>
          </cell>
          <cell r="H102">
            <v>118107</v>
          </cell>
        </row>
        <row r="103">
          <cell r="A103">
            <v>42010110</v>
          </cell>
          <cell r="B103" t="str">
            <v>Lunch Allowance</v>
          </cell>
          <cell r="C103">
            <v>0</v>
          </cell>
          <cell r="D103">
            <v>975</v>
          </cell>
          <cell r="E103">
            <v>400</v>
          </cell>
          <cell r="F103">
            <v>575</v>
          </cell>
          <cell r="G103">
            <v>0</v>
          </cell>
          <cell r="H103">
            <v>575</v>
          </cell>
        </row>
        <row r="104">
          <cell r="A104">
            <v>42010130</v>
          </cell>
          <cell r="B104" t="str">
            <v>Production Linked Incentive</v>
          </cell>
          <cell r="C104">
            <v>0</v>
          </cell>
          <cell r="D104">
            <v>254430</v>
          </cell>
          <cell r="E104">
            <v>0</v>
          </cell>
          <cell r="F104">
            <v>254430</v>
          </cell>
          <cell r="G104">
            <v>0</v>
          </cell>
          <cell r="H104">
            <v>254430</v>
          </cell>
        </row>
        <row r="105">
          <cell r="A105">
            <v>42010220</v>
          </cell>
          <cell r="B105" t="str">
            <v>Adhoc Allowance</v>
          </cell>
          <cell r="C105">
            <v>0</v>
          </cell>
          <cell r="D105">
            <v>27060</v>
          </cell>
          <cell r="E105">
            <v>9750</v>
          </cell>
          <cell r="F105">
            <v>17310</v>
          </cell>
          <cell r="G105">
            <v>0</v>
          </cell>
          <cell r="H105">
            <v>17310</v>
          </cell>
        </row>
        <row r="106">
          <cell r="A106">
            <v>42010230</v>
          </cell>
          <cell r="B106" t="str">
            <v>Car Allowance</v>
          </cell>
          <cell r="C106">
            <v>0</v>
          </cell>
          <cell r="D106">
            <v>42000</v>
          </cell>
          <cell r="E106">
            <v>24000</v>
          </cell>
          <cell r="F106">
            <v>18000</v>
          </cell>
          <cell r="G106">
            <v>0</v>
          </cell>
          <cell r="H106">
            <v>18000</v>
          </cell>
        </row>
        <row r="107">
          <cell r="A107">
            <v>42010240</v>
          </cell>
          <cell r="B107" t="str">
            <v>Driver Allowance</v>
          </cell>
          <cell r="C107">
            <v>0</v>
          </cell>
          <cell r="D107">
            <v>24000</v>
          </cell>
          <cell r="E107">
            <v>12000</v>
          </cell>
          <cell r="F107">
            <v>12000</v>
          </cell>
          <cell r="G107">
            <v>0</v>
          </cell>
          <cell r="H107">
            <v>12000</v>
          </cell>
        </row>
        <row r="108">
          <cell r="A108">
            <v>42010260</v>
          </cell>
          <cell r="B108" t="str">
            <v>Dearness Allowance</v>
          </cell>
          <cell r="C108">
            <v>0</v>
          </cell>
          <cell r="D108">
            <v>700</v>
          </cell>
          <cell r="E108">
            <v>700</v>
          </cell>
          <cell r="F108">
            <v>0</v>
          </cell>
          <cell r="G108">
            <v>0</v>
          </cell>
          <cell r="H108">
            <v>0</v>
          </cell>
        </row>
        <row r="109">
          <cell r="A109">
            <v>42010270</v>
          </cell>
          <cell r="B109" t="str">
            <v>Variable Dearness Allowance</v>
          </cell>
          <cell r="C109">
            <v>0</v>
          </cell>
          <cell r="D109">
            <v>768</v>
          </cell>
          <cell r="E109">
            <v>768</v>
          </cell>
          <cell r="F109">
            <v>0</v>
          </cell>
          <cell r="G109">
            <v>0</v>
          </cell>
          <cell r="H109">
            <v>0</v>
          </cell>
        </row>
        <row r="110">
          <cell r="A110">
            <v>42020010</v>
          </cell>
          <cell r="B110" t="str">
            <v>Provident Funds - Employer's Conribution</v>
          </cell>
          <cell r="C110">
            <v>0</v>
          </cell>
          <cell r="D110">
            <v>74537</v>
          </cell>
          <cell r="E110">
            <v>9908</v>
          </cell>
          <cell r="F110">
            <v>64629</v>
          </cell>
          <cell r="G110">
            <v>0</v>
          </cell>
          <cell r="H110">
            <v>64629</v>
          </cell>
        </row>
        <row r="111">
          <cell r="A111">
            <v>42020060</v>
          </cell>
          <cell r="B111" t="str">
            <v>Labour Welfare Fund - Employer's Contribution</v>
          </cell>
          <cell r="C111">
            <v>0</v>
          </cell>
          <cell r="D111">
            <v>37561</v>
          </cell>
          <cell r="E111">
            <v>37561</v>
          </cell>
          <cell r="F111">
            <v>0</v>
          </cell>
          <cell r="G111">
            <v>0</v>
          </cell>
          <cell r="H111">
            <v>0</v>
          </cell>
        </row>
        <row r="112">
          <cell r="A112">
            <v>42020070</v>
          </cell>
          <cell r="B112" t="str">
            <v>E.S.I.S. - Employer's Contribution</v>
          </cell>
          <cell r="C112">
            <v>0</v>
          </cell>
          <cell r="D112">
            <v>22979</v>
          </cell>
          <cell r="E112">
            <v>2017</v>
          </cell>
          <cell r="F112">
            <v>20962</v>
          </cell>
          <cell r="G112">
            <v>0</v>
          </cell>
          <cell r="H112">
            <v>20962</v>
          </cell>
        </row>
        <row r="113">
          <cell r="A113">
            <v>42030010</v>
          </cell>
          <cell r="B113" t="str">
            <v>Purchases of Safety &amp; Welfare Items - FBT</v>
          </cell>
          <cell r="C113">
            <v>0</v>
          </cell>
          <cell r="D113">
            <v>151</v>
          </cell>
          <cell r="E113">
            <v>1428</v>
          </cell>
          <cell r="F113">
            <v>-1277</v>
          </cell>
          <cell r="G113">
            <v>0</v>
          </cell>
          <cell r="H113">
            <v>-1277</v>
          </cell>
        </row>
        <row r="114">
          <cell r="A114">
            <v>42030020</v>
          </cell>
          <cell r="B114" t="str">
            <v>Purchases of Safety &amp; Welfare Items</v>
          </cell>
          <cell r="C114">
            <v>0</v>
          </cell>
          <cell r="D114">
            <v>14723</v>
          </cell>
          <cell r="E114">
            <v>0</v>
          </cell>
          <cell r="F114">
            <v>14723</v>
          </cell>
          <cell r="G114">
            <v>0</v>
          </cell>
          <cell r="H114">
            <v>14723</v>
          </cell>
        </row>
        <row r="115">
          <cell r="A115">
            <v>42030040</v>
          </cell>
          <cell r="B115" t="str">
            <v>Staff Welfare Expenses - FBT</v>
          </cell>
          <cell r="C115">
            <v>0</v>
          </cell>
          <cell r="D115">
            <v>17674.599999999999</v>
          </cell>
          <cell r="E115">
            <v>0</v>
          </cell>
          <cell r="F115">
            <v>17674.599999999999</v>
          </cell>
          <cell r="G115">
            <v>0</v>
          </cell>
          <cell r="H115">
            <v>17674.599999999999</v>
          </cell>
        </row>
        <row r="116">
          <cell r="A116">
            <v>42030050</v>
          </cell>
          <cell r="B116" t="str">
            <v>Staff Welfare Expenses</v>
          </cell>
          <cell r="C116">
            <v>0</v>
          </cell>
          <cell r="D116">
            <v>7985</v>
          </cell>
          <cell r="E116">
            <v>4000</v>
          </cell>
          <cell r="F116">
            <v>3985</v>
          </cell>
          <cell r="G116">
            <v>0</v>
          </cell>
          <cell r="H116">
            <v>3985</v>
          </cell>
        </row>
        <row r="117">
          <cell r="A117">
            <v>42030060</v>
          </cell>
          <cell r="B117" t="str">
            <v>Food &amp; Beverage Exps - FBT</v>
          </cell>
          <cell r="C117">
            <v>0</v>
          </cell>
          <cell r="D117">
            <v>34651</v>
          </cell>
          <cell r="E117">
            <v>5556</v>
          </cell>
          <cell r="F117">
            <v>29095</v>
          </cell>
          <cell r="G117">
            <v>0</v>
          </cell>
          <cell r="H117">
            <v>29095</v>
          </cell>
        </row>
        <row r="118">
          <cell r="A118">
            <v>42030070</v>
          </cell>
          <cell r="B118" t="str">
            <v>Food &amp; Beverage Exps</v>
          </cell>
          <cell r="C118">
            <v>0</v>
          </cell>
          <cell r="D118">
            <v>8724</v>
          </cell>
          <cell r="E118">
            <v>0</v>
          </cell>
          <cell r="F118">
            <v>8724</v>
          </cell>
          <cell r="G118">
            <v>0</v>
          </cell>
          <cell r="H118">
            <v>8724</v>
          </cell>
        </row>
        <row r="119">
          <cell r="A119">
            <v>42030080</v>
          </cell>
          <cell r="B119" t="str">
            <v>Washing Allowance</v>
          </cell>
          <cell r="C119">
            <v>0</v>
          </cell>
          <cell r="D119">
            <v>500</v>
          </cell>
          <cell r="E119">
            <v>300</v>
          </cell>
          <cell r="F119">
            <v>200</v>
          </cell>
          <cell r="G119">
            <v>0</v>
          </cell>
          <cell r="H119">
            <v>200</v>
          </cell>
        </row>
        <row r="120">
          <cell r="A120">
            <v>42030090</v>
          </cell>
          <cell r="B120" t="str">
            <v>Pooja &amp; Festival Celebration Expenses - FBT</v>
          </cell>
          <cell r="C120">
            <v>0</v>
          </cell>
          <cell r="D120">
            <v>4173</v>
          </cell>
          <cell r="E120">
            <v>0</v>
          </cell>
          <cell r="F120">
            <v>4173</v>
          </cell>
          <cell r="G120">
            <v>0</v>
          </cell>
          <cell r="H120">
            <v>4173</v>
          </cell>
        </row>
        <row r="121">
          <cell r="A121">
            <v>43001010</v>
          </cell>
          <cell r="B121" t="str">
            <v>Electricity Charges</v>
          </cell>
          <cell r="C121">
            <v>0</v>
          </cell>
          <cell r="D121">
            <v>391238</v>
          </cell>
          <cell r="E121">
            <v>158492</v>
          </cell>
          <cell r="F121">
            <v>232746</v>
          </cell>
          <cell r="G121">
            <v>0</v>
          </cell>
          <cell r="H121">
            <v>232746</v>
          </cell>
        </row>
        <row r="122">
          <cell r="A122">
            <v>43001020</v>
          </cell>
          <cell r="B122" t="str">
            <v>Water Charges</v>
          </cell>
          <cell r="C122">
            <v>0</v>
          </cell>
          <cell r="D122">
            <v>46491</v>
          </cell>
          <cell r="E122">
            <v>0</v>
          </cell>
          <cell r="F122">
            <v>46491</v>
          </cell>
          <cell r="G122">
            <v>0</v>
          </cell>
          <cell r="H122">
            <v>46491</v>
          </cell>
        </row>
        <row r="123">
          <cell r="A123">
            <v>43001030</v>
          </cell>
          <cell r="B123" t="str">
            <v>Fuel For Diesel Generator Set</v>
          </cell>
          <cell r="C123">
            <v>0</v>
          </cell>
          <cell r="D123">
            <v>236344.76</v>
          </cell>
          <cell r="E123">
            <v>165114.93</v>
          </cell>
          <cell r="F123">
            <v>71229.83</v>
          </cell>
          <cell r="G123">
            <v>0</v>
          </cell>
          <cell r="H123">
            <v>71229.83</v>
          </cell>
        </row>
        <row r="124">
          <cell r="A124">
            <v>43006030</v>
          </cell>
          <cell r="B124" t="str">
            <v>Drilling Charges</v>
          </cell>
          <cell r="C124">
            <v>0</v>
          </cell>
          <cell r="D124">
            <v>394459</v>
          </cell>
          <cell r="E124">
            <v>138010</v>
          </cell>
          <cell r="F124">
            <v>256449</v>
          </cell>
          <cell r="G124">
            <v>0</v>
          </cell>
          <cell r="H124">
            <v>256449</v>
          </cell>
        </row>
        <row r="125">
          <cell r="A125">
            <v>43006040</v>
          </cell>
          <cell r="B125" t="str">
            <v>Blasting Expenses</v>
          </cell>
          <cell r="C125">
            <v>0</v>
          </cell>
          <cell r="D125">
            <v>346219</v>
          </cell>
          <cell r="E125">
            <v>172800</v>
          </cell>
          <cell r="F125">
            <v>173419</v>
          </cell>
          <cell r="G125">
            <v>0</v>
          </cell>
          <cell r="H125">
            <v>173419</v>
          </cell>
        </row>
        <row r="126">
          <cell r="A126">
            <v>43006060</v>
          </cell>
          <cell r="B126" t="str">
            <v>Drilling Expenses</v>
          </cell>
          <cell r="C126">
            <v>0</v>
          </cell>
          <cell r="D126">
            <v>9000</v>
          </cell>
          <cell r="E126">
            <v>4500</v>
          </cell>
          <cell r="F126">
            <v>4500</v>
          </cell>
          <cell r="G126">
            <v>0</v>
          </cell>
          <cell r="H126">
            <v>4500</v>
          </cell>
        </row>
        <row r="127">
          <cell r="A127">
            <v>43010010</v>
          </cell>
          <cell r="B127" t="str">
            <v>Consumables</v>
          </cell>
          <cell r="C127">
            <v>0</v>
          </cell>
          <cell r="D127">
            <v>164448.98000000001</v>
          </cell>
          <cell r="E127">
            <v>0</v>
          </cell>
          <cell r="F127">
            <v>164448.98000000001</v>
          </cell>
          <cell r="G127">
            <v>0</v>
          </cell>
          <cell r="H127">
            <v>164448.98000000001</v>
          </cell>
        </row>
        <row r="128">
          <cell r="A128">
            <v>43012010</v>
          </cell>
          <cell r="B128" t="str">
            <v>Lab Consumables</v>
          </cell>
          <cell r="C128">
            <v>0</v>
          </cell>
          <cell r="D128">
            <v>576</v>
          </cell>
          <cell r="E128">
            <v>0</v>
          </cell>
          <cell r="F128">
            <v>576</v>
          </cell>
          <cell r="G128">
            <v>0</v>
          </cell>
          <cell r="H128">
            <v>576</v>
          </cell>
        </row>
        <row r="129">
          <cell r="A129">
            <v>43012020</v>
          </cell>
          <cell r="B129" t="str">
            <v>Labour / sub contractor for - Pumping Expenses Incurred</v>
          </cell>
          <cell r="C129">
            <v>0</v>
          </cell>
          <cell r="D129">
            <v>272000</v>
          </cell>
          <cell r="E129">
            <v>3150</v>
          </cell>
          <cell r="F129">
            <v>268850</v>
          </cell>
          <cell r="G129">
            <v>0</v>
          </cell>
          <cell r="H129">
            <v>268850</v>
          </cell>
        </row>
        <row r="130">
          <cell r="A130">
            <v>43012030</v>
          </cell>
          <cell r="B130" t="str">
            <v>Labour Charges - Quarry/Crusher</v>
          </cell>
          <cell r="C130">
            <v>0</v>
          </cell>
          <cell r="D130">
            <v>449505</v>
          </cell>
          <cell r="E130">
            <v>152000</v>
          </cell>
          <cell r="F130">
            <v>297505</v>
          </cell>
          <cell r="G130">
            <v>0</v>
          </cell>
          <cell r="H130">
            <v>297505</v>
          </cell>
        </row>
        <row r="131">
          <cell r="A131">
            <v>43016010</v>
          </cell>
          <cell r="B131" t="str">
            <v>Transportation Charges</v>
          </cell>
          <cell r="C131">
            <v>0</v>
          </cell>
          <cell r="D131">
            <v>247958</v>
          </cell>
          <cell r="E131">
            <v>74043</v>
          </cell>
          <cell r="F131">
            <v>173915</v>
          </cell>
          <cell r="G131">
            <v>0</v>
          </cell>
          <cell r="H131">
            <v>173915</v>
          </cell>
        </row>
        <row r="132">
          <cell r="A132">
            <v>43018010</v>
          </cell>
          <cell r="B132" t="str">
            <v>Repairs &amp; Maintenance</v>
          </cell>
          <cell r="C132">
            <v>0</v>
          </cell>
          <cell r="D132">
            <v>2311140.37</v>
          </cell>
          <cell r="E132">
            <v>386434</v>
          </cell>
          <cell r="F132">
            <v>1924706.37</v>
          </cell>
          <cell r="G132">
            <v>0</v>
          </cell>
          <cell r="H132">
            <v>1924706.37</v>
          </cell>
        </row>
        <row r="133">
          <cell r="A133">
            <v>43018020</v>
          </cell>
          <cell r="B133" t="str">
            <v>Oil &amp; Grease</v>
          </cell>
          <cell r="C133">
            <v>0</v>
          </cell>
          <cell r="D133">
            <v>40535.32</v>
          </cell>
          <cell r="E133">
            <v>5047</v>
          </cell>
          <cell r="F133">
            <v>35488.32</v>
          </cell>
          <cell r="G133">
            <v>0</v>
          </cell>
          <cell r="H133">
            <v>35488.32</v>
          </cell>
        </row>
        <row r="134">
          <cell r="A134">
            <v>43020030</v>
          </cell>
          <cell r="B134" t="str">
            <v>Tyres</v>
          </cell>
          <cell r="C134">
            <v>0</v>
          </cell>
          <cell r="D134">
            <v>79041</v>
          </cell>
          <cell r="E134">
            <v>0</v>
          </cell>
          <cell r="F134">
            <v>79041</v>
          </cell>
          <cell r="G134">
            <v>0</v>
          </cell>
          <cell r="H134">
            <v>79041</v>
          </cell>
        </row>
        <row r="135">
          <cell r="A135">
            <v>43020040</v>
          </cell>
          <cell r="B135" t="str">
            <v>Repairs &amp; Maintenance - Vehicles - FBT</v>
          </cell>
          <cell r="C135">
            <v>0</v>
          </cell>
          <cell r="D135">
            <v>1580</v>
          </cell>
          <cell r="E135">
            <v>0</v>
          </cell>
          <cell r="F135">
            <v>1580</v>
          </cell>
          <cell r="G135">
            <v>0</v>
          </cell>
          <cell r="H135">
            <v>1580</v>
          </cell>
        </row>
        <row r="136">
          <cell r="A136">
            <v>43022010</v>
          </cell>
          <cell r="B136" t="str">
            <v>Plant / Office Up Keep Exps</v>
          </cell>
          <cell r="C136">
            <v>0</v>
          </cell>
          <cell r="D136">
            <v>286944.8</v>
          </cell>
          <cell r="E136">
            <v>48800</v>
          </cell>
          <cell r="F136">
            <v>238144.8</v>
          </cell>
          <cell r="G136">
            <v>0</v>
          </cell>
          <cell r="H136">
            <v>238144.8</v>
          </cell>
        </row>
        <row r="137">
          <cell r="A137">
            <v>43032010</v>
          </cell>
          <cell r="B137" t="str">
            <v>Rent - Plant</v>
          </cell>
          <cell r="C137">
            <v>0</v>
          </cell>
          <cell r="D137">
            <v>133334</v>
          </cell>
          <cell r="E137">
            <v>0</v>
          </cell>
          <cell r="F137">
            <v>133334</v>
          </cell>
          <cell r="G137">
            <v>0</v>
          </cell>
          <cell r="H137">
            <v>133334</v>
          </cell>
        </row>
        <row r="138">
          <cell r="A138">
            <v>43032020</v>
          </cell>
          <cell r="B138" t="str">
            <v>Guest house Lease Rental - FBT</v>
          </cell>
          <cell r="C138">
            <v>0</v>
          </cell>
          <cell r="D138">
            <v>19500</v>
          </cell>
          <cell r="E138">
            <v>0</v>
          </cell>
          <cell r="F138">
            <v>19500</v>
          </cell>
          <cell r="G138">
            <v>0</v>
          </cell>
          <cell r="H138">
            <v>19500</v>
          </cell>
        </row>
        <row r="139">
          <cell r="A139">
            <v>43032040</v>
          </cell>
          <cell r="B139" t="str">
            <v>Lease Rentals- Machinery</v>
          </cell>
          <cell r="C139">
            <v>0</v>
          </cell>
          <cell r="D139">
            <v>666362</v>
          </cell>
          <cell r="E139">
            <v>0</v>
          </cell>
          <cell r="F139">
            <v>666362</v>
          </cell>
          <cell r="G139">
            <v>0</v>
          </cell>
          <cell r="H139">
            <v>666362</v>
          </cell>
        </row>
        <row r="140">
          <cell r="A140">
            <v>43032045</v>
          </cell>
          <cell r="B140" t="str">
            <v>Towing Expenses</v>
          </cell>
          <cell r="C140">
            <v>0</v>
          </cell>
          <cell r="D140">
            <v>291125</v>
          </cell>
          <cell r="E140">
            <v>40000</v>
          </cell>
          <cell r="F140">
            <v>251125</v>
          </cell>
          <cell r="G140">
            <v>0</v>
          </cell>
          <cell r="H140">
            <v>251125</v>
          </cell>
        </row>
        <row r="141">
          <cell r="A141">
            <v>43036010</v>
          </cell>
          <cell r="B141" t="str">
            <v>Insurance Expenses</v>
          </cell>
          <cell r="C141">
            <v>0</v>
          </cell>
          <cell r="D141">
            <v>49342</v>
          </cell>
          <cell r="E141">
            <v>0</v>
          </cell>
          <cell r="F141">
            <v>49342</v>
          </cell>
          <cell r="G141">
            <v>0</v>
          </cell>
          <cell r="H141">
            <v>49342</v>
          </cell>
        </row>
        <row r="142">
          <cell r="A142">
            <v>43038010</v>
          </cell>
          <cell r="B142" t="str">
            <v>Postage Expenses</v>
          </cell>
          <cell r="C142">
            <v>0</v>
          </cell>
          <cell r="D142">
            <v>1220</v>
          </cell>
          <cell r="E142">
            <v>0</v>
          </cell>
          <cell r="F142">
            <v>1220</v>
          </cell>
          <cell r="G142">
            <v>0</v>
          </cell>
          <cell r="H142">
            <v>1220</v>
          </cell>
        </row>
        <row r="143">
          <cell r="A143">
            <v>43038020</v>
          </cell>
          <cell r="B143" t="str">
            <v>Courier Expenses</v>
          </cell>
          <cell r="C143">
            <v>0</v>
          </cell>
          <cell r="D143">
            <v>8592</v>
          </cell>
          <cell r="E143">
            <v>0</v>
          </cell>
          <cell r="F143">
            <v>8592</v>
          </cell>
          <cell r="G143">
            <v>0</v>
          </cell>
          <cell r="H143">
            <v>8592</v>
          </cell>
        </row>
        <row r="144">
          <cell r="A144">
            <v>43038030</v>
          </cell>
          <cell r="B144" t="str">
            <v>Telephone Expenses</v>
          </cell>
          <cell r="C144">
            <v>0</v>
          </cell>
          <cell r="D144">
            <v>27019</v>
          </cell>
          <cell r="E144">
            <v>0</v>
          </cell>
          <cell r="F144">
            <v>27019</v>
          </cell>
          <cell r="G144">
            <v>0</v>
          </cell>
          <cell r="H144">
            <v>27019</v>
          </cell>
        </row>
        <row r="145">
          <cell r="A145">
            <v>43038040</v>
          </cell>
          <cell r="B145" t="str">
            <v>Fax Expenses</v>
          </cell>
          <cell r="C145">
            <v>0</v>
          </cell>
          <cell r="D145">
            <v>64</v>
          </cell>
          <cell r="E145">
            <v>0</v>
          </cell>
          <cell r="F145">
            <v>64</v>
          </cell>
          <cell r="G145">
            <v>0</v>
          </cell>
          <cell r="H145">
            <v>64</v>
          </cell>
        </row>
        <row r="146">
          <cell r="A146">
            <v>43038050</v>
          </cell>
          <cell r="B146" t="str">
            <v>Telephone Chgs - Mobile  FBT</v>
          </cell>
          <cell r="C146">
            <v>0</v>
          </cell>
          <cell r="D146">
            <v>119536</v>
          </cell>
          <cell r="E146">
            <v>35638</v>
          </cell>
          <cell r="F146">
            <v>83898</v>
          </cell>
          <cell r="G146">
            <v>0</v>
          </cell>
          <cell r="H146">
            <v>83898</v>
          </cell>
        </row>
        <row r="147">
          <cell r="A147">
            <v>43040010</v>
          </cell>
          <cell r="B147" t="str">
            <v>Conveyance Expenses - FBT</v>
          </cell>
          <cell r="C147">
            <v>0</v>
          </cell>
          <cell r="D147">
            <v>108789</v>
          </cell>
          <cell r="E147">
            <v>0</v>
          </cell>
          <cell r="F147">
            <v>108789</v>
          </cell>
          <cell r="G147">
            <v>0</v>
          </cell>
          <cell r="H147">
            <v>108789</v>
          </cell>
        </row>
        <row r="148">
          <cell r="A148">
            <v>43040040</v>
          </cell>
          <cell r="B148" t="str">
            <v>Motor Car Hire Expenses</v>
          </cell>
          <cell r="C148">
            <v>0</v>
          </cell>
          <cell r="D148">
            <v>257209</v>
          </cell>
          <cell r="E148">
            <v>91912</v>
          </cell>
          <cell r="F148">
            <v>165297</v>
          </cell>
          <cell r="G148">
            <v>0</v>
          </cell>
          <cell r="H148">
            <v>165297</v>
          </cell>
        </row>
        <row r="149">
          <cell r="A149">
            <v>43040080</v>
          </cell>
          <cell r="B149" t="str">
            <v>Travelling Expenses - Domestic - FBT</v>
          </cell>
          <cell r="C149">
            <v>0</v>
          </cell>
          <cell r="D149">
            <v>4962</v>
          </cell>
          <cell r="E149">
            <v>0</v>
          </cell>
          <cell r="F149">
            <v>4962</v>
          </cell>
          <cell r="G149">
            <v>0</v>
          </cell>
          <cell r="H149">
            <v>4962</v>
          </cell>
        </row>
        <row r="150">
          <cell r="A150">
            <v>43040100</v>
          </cell>
          <cell r="B150" t="str">
            <v>Hotel Expenses  - FBT</v>
          </cell>
          <cell r="C150">
            <v>0</v>
          </cell>
          <cell r="D150">
            <v>2690</v>
          </cell>
          <cell r="E150">
            <v>0</v>
          </cell>
          <cell r="F150">
            <v>2690</v>
          </cell>
          <cell r="G150">
            <v>0</v>
          </cell>
          <cell r="H150">
            <v>2690</v>
          </cell>
        </row>
        <row r="151">
          <cell r="A151">
            <v>43040120</v>
          </cell>
          <cell r="B151" t="str">
            <v>Guest House Expenses</v>
          </cell>
          <cell r="C151">
            <v>0</v>
          </cell>
          <cell r="D151">
            <v>11477.81</v>
          </cell>
          <cell r="E151">
            <v>0</v>
          </cell>
          <cell r="F151">
            <v>11477.81</v>
          </cell>
          <cell r="G151">
            <v>0</v>
          </cell>
          <cell r="H151">
            <v>11477.81</v>
          </cell>
        </row>
        <row r="152">
          <cell r="A152">
            <v>43042010</v>
          </cell>
          <cell r="B152" t="str">
            <v>Fuel - Truck Mixers</v>
          </cell>
          <cell r="C152">
            <v>0</v>
          </cell>
          <cell r="D152">
            <v>2127911.73</v>
          </cell>
          <cell r="E152">
            <v>1044203.61</v>
          </cell>
          <cell r="F152">
            <v>1083708.1200000001</v>
          </cell>
          <cell r="G152">
            <v>0</v>
          </cell>
          <cell r="H152">
            <v>1083708.1200000001</v>
          </cell>
        </row>
        <row r="153">
          <cell r="A153">
            <v>43042020</v>
          </cell>
          <cell r="B153" t="str">
            <v>Fuel - Loader</v>
          </cell>
          <cell r="C153">
            <v>0</v>
          </cell>
          <cell r="D153">
            <v>606965.9</v>
          </cell>
          <cell r="E153">
            <v>197520.27</v>
          </cell>
          <cell r="F153">
            <v>409445.63</v>
          </cell>
          <cell r="G153">
            <v>0</v>
          </cell>
          <cell r="H153">
            <v>409445.63</v>
          </cell>
        </row>
        <row r="154">
          <cell r="A154">
            <v>43042030</v>
          </cell>
          <cell r="B154" t="str">
            <v>Fuel - Others</v>
          </cell>
          <cell r="C154">
            <v>0</v>
          </cell>
          <cell r="D154">
            <v>757582.27</v>
          </cell>
          <cell r="E154">
            <v>504808.67</v>
          </cell>
          <cell r="F154">
            <v>252773.6</v>
          </cell>
          <cell r="G154">
            <v>0</v>
          </cell>
          <cell r="H154">
            <v>252773.6</v>
          </cell>
        </row>
        <row r="155">
          <cell r="A155">
            <v>43042050</v>
          </cell>
          <cell r="B155" t="str">
            <v>Fuel -  External Trucks/Pumps</v>
          </cell>
          <cell r="C155">
            <v>0</v>
          </cell>
          <cell r="D155">
            <v>1849596.82</v>
          </cell>
          <cell r="E155">
            <v>904548.11</v>
          </cell>
          <cell r="F155">
            <v>945048.71</v>
          </cell>
          <cell r="G155">
            <v>0</v>
          </cell>
          <cell r="H155">
            <v>945048.71</v>
          </cell>
        </row>
        <row r="156">
          <cell r="A156">
            <v>43042060</v>
          </cell>
          <cell r="B156" t="str">
            <v>Fuel - Concrete Pumps</v>
          </cell>
          <cell r="C156">
            <v>0</v>
          </cell>
          <cell r="D156">
            <v>302204.90000000002</v>
          </cell>
          <cell r="E156">
            <v>134109.92000000001</v>
          </cell>
          <cell r="F156">
            <v>168094.98</v>
          </cell>
          <cell r="G156">
            <v>0</v>
          </cell>
          <cell r="H156">
            <v>168094.98</v>
          </cell>
        </row>
        <row r="157">
          <cell r="A157">
            <v>43044010</v>
          </cell>
          <cell r="B157" t="str">
            <v>Royalty</v>
          </cell>
          <cell r="C157">
            <v>0</v>
          </cell>
          <cell r="D157">
            <v>419276</v>
          </cell>
          <cell r="E157">
            <v>249777</v>
          </cell>
          <cell r="F157">
            <v>169499</v>
          </cell>
          <cell r="G157">
            <v>0</v>
          </cell>
          <cell r="H157">
            <v>169499</v>
          </cell>
        </row>
        <row r="158">
          <cell r="A158">
            <v>43046010</v>
          </cell>
          <cell r="B158" t="str">
            <v>Rates &amp; Taxes</v>
          </cell>
          <cell r="C158">
            <v>0</v>
          </cell>
          <cell r="D158">
            <v>349651</v>
          </cell>
          <cell r="E158">
            <v>100000</v>
          </cell>
          <cell r="F158">
            <v>249651</v>
          </cell>
          <cell r="G158">
            <v>0</v>
          </cell>
          <cell r="H158">
            <v>249651</v>
          </cell>
        </row>
        <row r="159">
          <cell r="A159">
            <v>43052010</v>
          </cell>
          <cell r="B159" t="str">
            <v>Security Service Charges</v>
          </cell>
          <cell r="C159">
            <v>0</v>
          </cell>
          <cell r="D159">
            <v>420058</v>
          </cell>
          <cell r="E159">
            <v>132962</v>
          </cell>
          <cell r="F159">
            <v>287096</v>
          </cell>
          <cell r="G159">
            <v>0</v>
          </cell>
          <cell r="H159">
            <v>287096</v>
          </cell>
        </row>
        <row r="160">
          <cell r="A160">
            <v>43054010</v>
          </cell>
          <cell r="B160" t="str">
            <v>Hire Charges - Machine</v>
          </cell>
          <cell r="C160">
            <v>0</v>
          </cell>
          <cell r="D160">
            <v>30485</v>
          </cell>
          <cell r="E160">
            <v>6860</v>
          </cell>
          <cell r="F160">
            <v>23625</v>
          </cell>
          <cell r="G160">
            <v>0</v>
          </cell>
          <cell r="H160">
            <v>23625</v>
          </cell>
        </row>
        <row r="161">
          <cell r="A161">
            <v>43054020</v>
          </cell>
          <cell r="B161" t="str">
            <v>Concrete Carrying Charges - TM</v>
          </cell>
          <cell r="C161">
            <v>0</v>
          </cell>
          <cell r="D161">
            <v>1820000</v>
          </cell>
          <cell r="E161">
            <v>42150</v>
          </cell>
          <cell r="F161">
            <v>1777850</v>
          </cell>
          <cell r="G161">
            <v>0</v>
          </cell>
          <cell r="H161">
            <v>1777850</v>
          </cell>
        </row>
        <row r="162">
          <cell r="A162">
            <v>43054040</v>
          </cell>
          <cell r="B162" t="str">
            <v>Hire Charges - Vehicle</v>
          </cell>
          <cell r="C162">
            <v>0</v>
          </cell>
          <cell r="D162">
            <v>30341</v>
          </cell>
          <cell r="E162">
            <v>0</v>
          </cell>
          <cell r="F162">
            <v>30341</v>
          </cell>
          <cell r="G162">
            <v>0</v>
          </cell>
          <cell r="H162">
            <v>30341</v>
          </cell>
        </row>
        <row r="163">
          <cell r="A163">
            <v>43056010</v>
          </cell>
          <cell r="B163" t="str">
            <v>Professional &amp; Consultancy Fees</v>
          </cell>
          <cell r="C163">
            <v>0</v>
          </cell>
          <cell r="D163">
            <v>58818</v>
          </cell>
          <cell r="E163">
            <v>0</v>
          </cell>
          <cell r="F163">
            <v>58818</v>
          </cell>
          <cell r="G163">
            <v>0</v>
          </cell>
          <cell r="H163">
            <v>58818</v>
          </cell>
        </row>
        <row r="164">
          <cell r="A164">
            <v>43062010</v>
          </cell>
          <cell r="B164" t="str">
            <v>Computer Expenses</v>
          </cell>
          <cell r="C164">
            <v>0</v>
          </cell>
          <cell r="D164">
            <v>18358</v>
          </cell>
          <cell r="E164">
            <v>0</v>
          </cell>
          <cell r="F164">
            <v>18358</v>
          </cell>
          <cell r="G164">
            <v>0</v>
          </cell>
          <cell r="H164">
            <v>18358</v>
          </cell>
        </row>
        <row r="165">
          <cell r="A165">
            <v>43064010</v>
          </cell>
          <cell r="B165" t="str">
            <v>Membership &amp; Subscription - Fees</v>
          </cell>
          <cell r="C165">
            <v>0</v>
          </cell>
          <cell r="D165">
            <v>1533.85</v>
          </cell>
          <cell r="E165">
            <v>0</v>
          </cell>
          <cell r="F165">
            <v>1533.85</v>
          </cell>
          <cell r="G165">
            <v>0</v>
          </cell>
          <cell r="H165">
            <v>1533.85</v>
          </cell>
        </row>
        <row r="166">
          <cell r="A166">
            <v>43066020</v>
          </cell>
          <cell r="B166" t="str">
            <v>Printing &amp; Stationery</v>
          </cell>
          <cell r="C166">
            <v>0</v>
          </cell>
          <cell r="D166">
            <v>15374</v>
          </cell>
          <cell r="E166">
            <v>70</v>
          </cell>
          <cell r="F166">
            <v>15304</v>
          </cell>
          <cell r="G166">
            <v>0</v>
          </cell>
          <cell r="H166">
            <v>15304</v>
          </cell>
        </row>
        <row r="167">
          <cell r="A167">
            <v>43068010</v>
          </cell>
          <cell r="B167" t="str">
            <v>Donation</v>
          </cell>
          <cell r="C167">
            <v>0</v>
          </cell>
          <cell r="D167">
            <v>5500</v>
          </cell>
          <cell r="E167">
            <v>0</v>
          </cell>
          <cell r="F167">
            <v>5500</v>
          </cell>
          <cell r="G167">
            <v>0</v>
          </cell>
          <cell r="H167">
            <v>5500</v>
          </cell>
        </row>
        <row r="168">
          <cell r="A168">
            <v>43072010</v>
          </cell>
          <cell r="B168" t="str">
            <v>Bad Debts</v>
          </cell>
          <cell r="C168">
            <v>0</v>
          </cell>
          <cell r="D168">
            <v>6950</v>
          </cell>
          <cell r="E168">
            <v>0</v>
          </cell>
          <cell r="F168">
            <v>6950</v>
          </cell>
          <cell r="G168">
            <v>0</v>
          </cell>
          <cell r="H168">
            <v>6950</v>
          </cell>
        </row>
        <row r="169">
          <cell r="A169">
            <v>43074010</v>
          </cell>
          <cell r="B169" t="str">
            <v>Provision For Bad &amp; Doubtful Debts W/Off</v>
          </cell>
          <cell r="C169">
            <v>0</v>
          </cell>
          <cell r="D169">
            <v>315000</v>
          </cell>
          <cell r="E169">
            <v>21950</v>
          </cell>
          <cell r="F169">
            <v>293050</v>
          </cell>
          <cell r="G169">
            <v>0</v>
          </cell>
          <cell r="H169">
            <v>293050</v>
          </cell>
        </row>
        <row r="170">
          <cell r="A170">
            <v>43084010</v>
          </cell>
          <cell r="B170" t="str">
            <v>Miscellaneous Expenses</v>
          </cell>
          <cell r="C170">
            <v>0</v>
          </cell>
          <cell r="D170">
            <v>807</v>
          </cell>
          <cell r="E170">
            <v>0</v>
          </cell>
          <cell r="F170">
            <v>807</v>
          </cell>
          <cell r="G170">
            <v>0</v>
          </cell>
          <cell r="H170">
            <v>807</v>
          </cell>
        </row>
        <row r="171">
          <cell r="A171">
            <v>43084020</v>
          </cell>
          <cell r="B171" t="str">
            <v>Testing Charges</v>
          </cell>
          <cell r="C171">
            <v>0</v>
          </cell>
          <cell r="D171">
            <v>26142</v>
          </cell>
          <cell r="E171">
            <v>0</v>
          </cell>
          <cell r="F171">
            <v>26142</v>
          </cell>
          <cell r="G171">
            <v>0</v>
          </cell>
          <cell r="H171">
            <v>26142</v>
          </cell>
        </row>
        <row r="172">
          <cell r="A172">
            <v>43084030</v>
          </cell>
          <cell r="B172" t="str">
            <v>Rounding Off</v>
          </cell>
          <cell r="C172">
            <v>0</v>
          </cell>
          <cell r="D172">
            <v>135.93</v>
          </cell>
          <cell r="E172">
            <v>150.4</v>
          </cell>
          <cell r="F172">
            <v>-14.47</v>
          </cell>
          <cell r="G172">
            <v>0</v>
          </cell>
          <cell r="H172">
            <v>-14.47</v>
          </cell>
        </row>
        <row r="173">
          <cell r="A173">
            <v>44010040</v>
          </cell>
          <cell r="B173" t="str">
            <v>Bank Charges</v>
          </cell>
          <cell r="C173">
            <v>0</v>
          </cell>
          <cell r="D173">
            <v>785.3</v>
          </cell>
          <cell r="E173">
            <v>0</v>
          </cell>
          <cell r="F173">
            <v>785.3</v>
          </cell>
          <cell r="G173">
            <v>0</v>
          </cell>
          <cell r="H173">
            <v>785.3</v>
          </cell>
        </row>
        <row r="174">
          <cell r="A174">
            <v>45010010</v>
          </cell>
          <cell r="B174" t="str">
            <v>Depreciation</v>
          </cell>
          <cell r="C174">
            <v>0</v>
          </cell>
          <cell r="D174">
            <v>2709724</v>
          </cell>
          <cell r="E174">
            <v>0</v>
          </cell>
          <cell r="F174">
            <v>2709724</v>
          </cell>
          <cell r="G174">
            <v>0</v>
          </cell>
          <cell r="H174">
            <v>2709724</v>
          </cell>
        </row>
        <row r="175">
          <cell r="A175">
            <v>52000000</v>
          </cell>
          <cell r="B175" t="str">
            <v>Inter Branch Control Account</v>
          </cell>
          <cell r="C175">
            <v>-84119403.909999996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-84119403.909999996</v>
          </cell>
        </row>
        <row r="176">
          <cell r="A176">
            <v>52000809</v>
          </cell>
          <cell r="B176" t="str">
            <v>Inter branch control account for 08-09</v>
          </cell>
          <cell r="C176">
            <v>-58692627.640000001</v>
          </cell>
          <cell r="D176">
            <v>5881409</v>
          </cell>
          <cell r="E176">
            <v>7462785</v>
          </cell>
          <cell r="F176">
            <v>-1581376</v>
          </cell>
          <cell r="G176">
            <v>0</v>
          </cell>
          <cell r="H176">
            <v>-60274003.640000001</v>
          </cell>
        </row>
        <row r="177">
          <cell r="A177">
            <v>61000200</v>
          </cell>
          <cell r="B177" t="str">
            <v>Stock Transfer Control Account</v>
          </cell>
          <cell r="C177">
            <v>0</v>
          </cell>
          <cell r="D177">
            <v>211305.42</v>
          </cell>
          <cell r="E177">
            <v>211305.42</v>
          </cell>
          <cell r="F177">
            <v>0</v>
          </cell>
          <cell r="G177">
            <v>0</v>
          </cell>
          <cell r="H177">
            <v>0</v>
          </cell>
        </row>
        <row r="178">
          <cell r="A178">
            <v>61000400</v>
          </cell>
          <cell r="B178" t="str">
            <v>Control Account Haulage Income</v>
          </cell>
          <cell r="C178">
            <v>0</v>
          </cell>
          <cell r="D178">
            <v>5727004</v>
          </cell>
          <cell r="E178">
            <v>5727004</v>
          </cell>
          <cell r="F178">
            <v>0</v>
          </cell>
          <cell r="G178">
            <v>0</v>
          </cell>
          <cell r="H178">
            <v>0</v>
          </cell>
        </row>
        <row r="179">
          <cell r="A179">
            <v>61000500</v>
          </cell>
          <cell r="B179" t="str">
            <v>Control Account for Pumping</v>
          </cell>
          <cell r="C179">
            <v>0</v>
          </cell>
          <cell r="D179">
            <v>1398991</v>
          </cell>
          <cell r="E179">
            <v>1398991</v>
          </cell>
          <cell r="F179">
            <v>0</v>
          </cell>
          <cell r="G179">
            <v>0</v>
          </cell>
          <cell r="H179">
            <v>0</v>
          </cell>
        </row>
        <row r="180">
          <cell r="A180">
            <v>62000000</v>
          </cell>
          <cell r="B180" t="str">
            <v>Inter branch Clearing account</v>
          </cell>
          <cell r="C180">
            <v>0</v>
          </cell>
          <cell r="D180">
            <v>10463841</v>
          </cell>
          <cell r="E180">
            <v>10463841</v>
          </cell>
          <cell r="F180">
            <v>0</v>
          </cell>
          <cell r="G180">
            <v>0</v>
          </cell>
          <cell r="H180">
            <v>0</v>
          </cell>
        </row>
        <row r="181">
          <cell r="B181" t="str">
            <v>Total</v>
          </cell>
          <cell r="D181">
            <v>0</v>
          </cell>
          <cell r="E181">
            <v>374222366.31999999</v>
          </cell>
          <cell r="F181">
            <v>374222366.31999999</v>
          </cell>
          <cell r="G181">
            <v>0</v>
          </cell>
          <cell r="H181">
            <v>0</v>
          </cell>
        </row>
      </sheetData>
      <sheetData sheetId="18" refreshError="1">
        <row r="1">
          <cell r="A1" t="str">
            <v>RMC Readymix (India) Pvt. Ltd.</v>
          </cell>
          <cell r="B1" t="str">
            <v>Trial balance</v>
          </cell>
          <cell r="C1">
            <v>39970</v>
          </cell>
          <cell r="D1">
            <v>0.43267361111111113</v>
          </cell>
          <cell r="E1" t="str">
            <v>Page 1</v>
          </cell>
          <cell r="F1" t="str">
            <v>Mohali</v>
          </cell>
        </row>
        <row r="2">
          <cell r="A2" t="str">
            <v>Period</v>
          </cell>
          <cell r="B2">
            <v>39904</v>
          </cell>
          <cell r="C2">
            <v>39964</v>
          </cell>
        </row>
        <row r="3">
          <cell r="A3" t="str">
            <v>Ledger account</v>
          </cell>
          <cell r="B3" t="str">
            <v>Account name</v>
          </cell>
          <cell r="C3" t="str">
            <v>Opening balance</v>
          </cell>
          <cell r="D3" t="str">
            <v>Debit</v>
          </cell>
          <cell r="E3" t="str">
            <v>Credit</v>
          </cell>
          <cell r="F3" t="str">
            <v>Net difference</v>
          </cell>
          <cell r="G3" t="str">
            <v>Closing transactions</v>
          </cell>
          <cell r="H3" t="str">
            <v>Closing balance</v>
          </cell>
        </row>
        <row r="4">
          <cell r="A4">
            <v>11015010</v>
          </cell>
          <cell r="B4" t="str">
            <v>Buildings</v>
          </cell>
          <cell r="C4">
            <v>10327867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10327867</v>
          </cell>
        </row>
        <row r="5">
          <cell r="A5">
            <v>11025010</v>
          </cell>
          <cell r="B5" t="str">
            <v>Plant and Machinery</v>
          </cell>
          <cell r="C5">
            <v>17886816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17886816</v>
          </cell>
        </row>
        <row r="6">
          <cell r="A6">
            <v>11030010</v>
          </cell>
          <cell r="B6" t="str">
            <v>Electrical Installations</v>
          </cell>
          <cell r="C6">
            <v>1218360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1218360</v>
          </cell>
        </row>
        <row r="7">
          <cell r="A7">
            <v>11035010</v>
          </cell>
          <cell r="B7" t="str">
            <v>Furniture &amp; Fixtures</v>
          </cell>
          <cell r="C7">
            <v>952668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952668</v>
          </cell>
        </row>
        <row r="8">
          <cell r="A8">
            <v>11040010</v>
          </cell>
          <cell r="B8" t="str">
            <v>Office &amp; Electrical Appliances</v>
          </cell>
          <cell r="C8">
            <v>647098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647098</v>
          </cell>
        </row>
        <row r="9">
          <cell r="A9">
            <v>13015010</v>
          </cell>
          <cell r="B9" t="str">
            <v>Balance Sheet Stock of Raw material - RMC</v>
          </cell>
          <cell r="C9">
            <v>271915.8</v>
          </cell>
          <cell r="D9">
            <v>1431334.47</v>
          </cell>
          <cell r="E9">
            <v>271915.8</v>
          </cell>
          <cell r="F9">
            <v>1159418.67</v>
          </cell>
          <cell r="G9">
            <v>0</v>
          </cell>
          <cell r="H9">
            <v>1431334.47</v>
          </cell>
        </row>
        <row r="10">
          <cell r="A10">
            <v>13020010</v>
          </cell>
          <cell r="B10" t="str">
            <v>Sundry Debtors Account</v>
          </cell>
          <cell r="C10">
            <v>7611013</v>
          </cell>
          <cell r="D10">
            <v>17343181</v>
          </cell>
          <cell r="E10">
            <v>17721661</v>
          </cell>
          <cell r="F10">
            <v>-378480</v>
          </cell>
          <cell r="G10">
            <v>0</v>
          </cell>
          <cell r="H10">
            <v>7232533</v>
          </cell>
        </row>
        <row r="11">
          <cell r="A11">
            <v>13025010</v>
          </cell>
          <cell r="B11" t="str">
            <v>Cash In Hand</v>
          </cell>
          <cell r="C11">
            <v>3176</v>
          </cell>
          <cell r="D11">
            <v>200636</v>
          </cell>
          <cell r="E11">
            <v>172100</v>
          </cell>
          <cell r="F11">
            <v>28536</v>
          </cell>
          <cell r="G11">
            <v>0</v>
          </cell>
          <cell r="H11">
            <v>31712</v>
          </cell>
        </row>
        <row r="12">
          <cell r="A12">
            <v>13035010</v>
          </cell>
          <cell r="B12" t="str">
            <v>Bank Account</v>
          </cell>
          <cell r="C12">
            <v>130266.98</v>
          </cell>
          <cell r="D12">
            <v>17739148</v>
          </cell>
          <cell r="E12">
            <v>17471706</v>
          </cell>
          <cell r="F12">
            <v>267442</v>
          </cell>
          <cell r="G12">
            <v>0</v>
          </cell>
          <cell r="H12">
            <v>397708.98</v>
          </cell>
        </row>
        <row r="13">
          <cell r="A13">
            <v>13045020</v>
          </cell>
          <cell r="B13" t="str">
            <v>Loans and advances to employees</v>
          </cell>
          <cell r="C13">
            <v>0</v>
          </cell>
          <cell r="D13">
            <v>0</v>
          </cell>
          <cell r="E13">
            <v>10826</v>
          </cell>
          <cell r="F13">
            <v>-10826</v>
          </cell>
          <cell r="G13">
            <v>0</v>
          </cell>
          <cell r="H13">
            <v>-10826</v>
          </cell>
        </row>
        <row r="14">
          <cell r="A14">
            <v>13055020</v>
          </cell>
          <cell r="B14" t="str">
            <v>Prepaid Expenses</v>
          </cell>
          <cell r="C14">
            <v>96944</v>
          </cell>
          <cell r="D14">
            <v>31567</v>
          </cell>
          <cell r="E14">
            <v>42626</v>
          </cell>
          <cell r="F14">
            <v>-11059</v>
          </cell>
          <cell r="G14">
            <v>0</v>
          </cell>
          <cell r="H14">
            <v>85885</v>
          </cell>
        </row>
        <row r="15">
          <cell r="A15">
            <v>13055040</v>
          </cell>
          <cell r="B15" t="str">
            <v>Insurance Recoverable</v>
          </cell>
          <cell r="C15">
            <v>500000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500000</v>
          </cell>
        </row>
        <row r="16">
          <cell r="A16">
            <v>13055060</v>
          </cell>
          <cell r="B16" t="str">
            <v>VAT Credit Receivable (Inputs)</v>
          </cell>
          <cell r="C16">
            <v>0</v>
          </cell>
          <cell r="D16">
            <v>1158750</v>
          </cell>
          <cell r="E16">
            <v>1158750</v>
          </cell>
          <cell r="F16">
            <v>0</v>
          </cell>
          <cell r="G16">
            <v>0</v>
          </cell>
          <cell r="H16">
            <v>0</v>
          </cell>
        </row>
        <row r="17">
          <cell r="A17">
            <v>13055090</v>
          </cell>
          <cell r="B17" t="str">
            <v>Sundry Deposits</v>
          </cell>
          <cell r="C17">
            <v>1103500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1103500</v>
          </cell>
        </row>
        <row r="18">
          <cell r="A18">
            <v>25005010</v>
          </cell>
          <cell r="B18" t="str">
            <v>Creditors Control</v>
          </cell>
          <cell r="C18">
            <v>-8122788.2800000003</v>
          </cell>
          <cell r="D18">
            <v>15673688</v>
          </cell>
          <cell r="E18">
            <v>16817369</v>
          </cell>
          <cell r="F18">
            <v>-1143681</v>
          </cell>
          <cell r="G18">
            <v>0</v>
          </cell>
          <cell r="H18">
            <v>-9266469.2799999993</v>
          </cell>
        </row>
        <row r="19">
          <cell r="A19">
            <v>25005050</v>
          </cell>
          <cell r="B19" t="str">
            <v>Creditors liability for material received but bill not recei</v>
          </cell>
          <cell r="C19">
            <v>4.5599999999999996</v>
          </cell>
          <cell r="D19">
            <v>13004592.58</v>
          </cell>
          <cell r="E19">
            <v>13004592</v>
          </cell>
          <cell r="F19">
            <v>0.57999999999999996</v>
          </cell>
          <cell r="G19">
            <v>0</v>
          </cell>
          <cell r="H19">
            <v>5.14</v>
          </cell>
        </row>
        <row r="20">
          <cell r="A20">
            <v>25010020</v>
          </cell>
          <cell r="B20" t="str">
            <v>Outstanding Liabilities For Expenses</v>
          </cell>
          <cell r="C20">
            <v>-64992</v>
          </cell>
          <cell r="D20">
            <v>64992</v>
          </cell>
          <cell r="E20">
            <v>0</v>
          </cell>
          <cell r="F20">
            <v>64992</v>
          </cell>
          <cell r="G20">
            <v>0</v>
          </cell>
          <cell r="H20">
            <v>0</v>
          </cell>
        </row>
        <row r="21">
          <cell r="A21">
            <v>25010050</v>
          </cell>
          <cell r="B21" t="str">
            <v>Salary Payable</v>
          </cell>
          <cell r="C21">
            <v>0</v>
          </cell>
          <cell r="D21">
            <v>337311</v>
          </cell>
          <cell r="E21">
            <v>579580</v>
          </cell>
          <cell r="F21">
            <v>-242269</v>
          </cell>
          <cell r="G21">
            <v>0</v>
          </cell>
          <cell r="H21">
            <v>-242269</v>
          </cell>
        </row>
        <row r="22">
          <cell r="A22">
            <v>25010060</v>
          </cell>
          <cell r="B22" t="str">
            <v>T.D.S.payable account</v>
          </cell>
          <cell r="C22">
            <v>-41232</v>
          </cell>
          <cell r="D22">
            <v>106814</v>
          </cell>
          <cell r="E22">
            <v>131391</v>
          </cell>
          <cell r="F22">
            <v>-24577</v>
          </cell>
          <cell r="G22">
            <v>0</v>
          </cell>
          <cell r="H22">
            <v>-65809</v>
          </cell>
        </row>
        <row r="23">
          <cell r="A23">
            <v>25010190</v>
          </cell>
          <cell r="B23" t="str">
            <v>VAT  Payable account</v>
          </cell>
          <cell r="C23">
            <v>-299985.96999999997</v>
          </cell>
          <cell r="D23">
            <v>1736178</v>
          </cell>
          <cell r="E23">
            <v>1704042</v>
          </cell>
          <cell r="F23">
            <v>32136</v>
          </cell>
          <cell r="G23">
            <v>0</v>
          </cell>
          <cell r="H23">
            <v>-267849.96999999997</v>
          </cell>
        </row>
        <row r="24">
          <cell r="A24">
            <v>25010195</v>
          </cell>
          <cell r="B24" t="str">
            <v>CST Payable Account</v>
          </cell>
          <cell r="C24">
            <v>-30401</v>
          </cell>
          <cell r="D24">
            <v>64050</v>
          </cell>
          <cell r="E24">
            <v>86158</v>
          </cell>
          <cell r="F24">
            <v>-22108</v>
          </cell>
          <cell r="G24">
            <v>0</v>
          </cell>
          <cell r="H24">
            <v>-52509</v>
          </cell>
        </row>
        <row r="25">
          <cell r="A25">
            <v>25010200</v>
          </cell>
          <cell r="B25" t="str">
            <v>Provision for Expenses in MIS</v>
          </cell>
          <cell r="C25">
            <v>0</v>
          </cell>
          <cell r="D25">
            <v>70926</v>
          </cell>
          <cell r="E25">
            <v>137941</v>
          </cell>
          <cell r="F25">
            <v>-67015</v>
          </cell>
          <cell r="G25">
            <v>0</v>
          </cell>
          <cell r="H25">
            <v>-67015</v>
          </cell>
        </row>
        <row r="26">
          <cell r="A26">
            <v>25020010</v>
          </cell>
          <cell r="B26" t="str">
            <v>E.S.I.C. Payable account</v>
          </cell>
          <cell r="C26">
            <v>-1712</v>
          </cell>
          <cell r="D26">
            <v>3424</v>
          </cell>
          <cell r="E26">
            <v>3424</v>
          </cell>
          <cell r="F26">
            <v>0</v>
          </cell>
          <cell r="G26">
            <v>0</v>
          </cell>
          <cell r="H26">
            <v>-1712</v>
          </cell>
        </row>
        <row r="27">
          <cell r="A27">
            <v>25020020</v>
          </cell>
          <cell r="B27" t="str">
            <v>Labour Welfare fund Liability</v>
          </cell>
          <cell r="C27">
            <v>-252</v>
          </cell>
          <cell r="D27">
            <v>252</v>
          </cell>
          <cell r="E27">
            <v>0</v>
          </cell>
          <cell r="F27">
            <v>252</v>
          </cell>
          <cell r="G27">
            <v>0</v>
          </cell>
          <cell r="H27">
            <v>0</v>
          </cell>
        </row>
        <row r="28">
          <cell r="A28">
            <v>26005020</v>
          </cell>
          <cell r="B28" t="str">
            <v>Provision For Bad &amp; Doubtful Debts</v>
          </cell>
          <cell r="C28">
            <v>-743286</v>
          </cell>
          <cell r="D28">
            <v>0</v>
          </cell>
          <cell r="E28">
            <v>81377</v>
          </cell>
          <cell r="F28">
            <v>-81377</v>
          </cell>
          <cell r="G28">
            <v>0</v>
          </cell>
          <cell r="H28">
            <v>-824663</v>
          </cell>
        </row>
        <row r="29">
          <cell r="A29">
            <v>26015010</v>
          </cell>
          <cell r="B29" t="str">
            <v>Prov For Dep.-  Buildings</v>
          </cell>
          <cell r="C29">
            <v>-1992792</v>
          </cell>
          <cell r="D29">
            <v>0</v>
          </cell>
          <cell r="E29">
            <v>184993</v>
          </cell>
          <cell r="F29">
            <v>-184993</v>
          </cell>
          <cell r="G29">
            <v>0</v>
          </cell>
          <cell r="H29">
            <v>-2177785</v>
          </cell>
        </row>
        <row r="30">
          <cell r="A30">
            <v>26025010</v>
          </cell>
          <cell r="B30" t="str">
            <v>Provision for Depreciation Plant &amp; Machinery</v>
          </cell>
          <cell r="C30">
            <v>-2744896.23</v>
          </cell>
          <cell r="D30">
            <v>0</v>
          </cell>
          <cell r="E30">
            <v>256753</v>
          </cell>
          <cell r="F30">
            <v>-256753</v>
          </cell>
          <cell r="G30">
            <v>0</v>
          </cell>
          <cell r="H30">
            <v>-3001649.23</v>
          </cell>
        </row>
        <row r="31">
          <cell r="A31">
            <v>26030010</v>
          </cell>
          <cell r="B31" t="str">
            <v>Provision For Dep.-Electrical Installations</v>
          </cell>
          <cell r="C31">
            <v>-220637</v>
          </cell>
          <cell r="D31">
            <v>0</v>
          </cell>
          <cell r="E31">
            <v>20153</v>
          </cell>
          <cell r="F31">
            <v>-20153</v>
          </cell>
          <cell r="G31">
            <v>0</v>
          </cell>
          <cell r="H31">
            <v>-240790</v>
          </cell>
        </row>
        <row r="32">
          <cell r="A32">
            <v>26035010</v>
          </cell>
          <cell r="B32" t="str">
            <v>Provision For Dep.-Furniture and Fixtures</v>
          </cell>
          <cell r="C32">
            <v>-140558.29999999999</v>
          </cell>
          <cell r="D32">
            <v>0</v>
          </cell>
          <cell r="E32">
            <v>15608</v>
          </cell>
          <cell r="F32">
            <v>-15608</v>
          </cell>
          <cell r="G32">
            <v>0</v>
          </cell>
          <cell r="H32">
            <v>-156166.29999999999</v>
          </cell>
        </row>
        <row r="33">
          <cell r="A33">
            <v>26040010</v>
          </cell>
          <cell r="B33" t="str">
            <v>Provision for Depreciation- Office and Electrical Appliances</v>
          </cell>
          <cell r="C33">
            <v>-210464.53</v>
          </cell>
          <cell r="D33">
            <v>0</v>
          </cell>
          <cell r="E33">
            <v>16969</v>
          </cell>
          <cell r="F33">
            <v>-16969</v>
          </cell>
          <cell r="G33">
            <v>0</v>
          </cell>
          <cell r="H33">
            <v>-227433.53</v>
          </cell>
        </row>
        <row r="34">
          <cell r="A34">
            <v>26055020</v>
          </cell>
          <cell r="B34" t="str">
            <v>Profit &amp; Loss A/c</v>
          </cell>
          <cell r="C34">
            <v>21590091.629999999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21590091.629999999</v>
          </cell>
        </row>
        <row r="35">
          <cell r="A35">
            <v>26055050</v>
          </cell>
          <cell r="B35" t="str">
            <v>Provision for Production linked incentive (KRA)</v>
          </cell>
          <cell r="C35">
            <v>0</v>
          </cell>
          <cell r="D35">
            <v>0</v>
          </cell>
          <cell r="E35">
            <v>69136</v>
          </cell>
          <cell r="F35">
            <v>-69136</v>
          </cell>
          <cell r="G35">
            <v>0</v>
          </cell>
          <cell r="H35">
            <v>-69136</v>
          </cell>
        </row>
        <row r="36">
          <cell r="A36">
            <v>31010010</v>
          </cell>
          <cell r="B36" t="str">
            <v>Sales</v>
          </cell>
          <cell r="C36">
            <v>0</v>
          </cell>
          <cell r="D36">
            <v>134260.16</v>
          </cell>
          <cell r="E36">
            <v>14633465.73</v>
          </cell>
          <cell r="F36">
            <v>-14499205.57</v>
          </cell>
          <cell r="G36">
            <v>0</v>
          </cell>
          <cell r="H36">
            <v>-14499205.57</v>
          </cell>
        </row>
        <row r="37">
          <cell r="A37">
            <v>32020020</v>
          </cell>
          <cell r="B37" t="str">
            <v>Misc Income - Scrap sales</v>
          </cell>
          <cell r="C37">
            <v>0</v>
          </cell>
          <cell r="D37">
            <v>0</v>
          </cell>
          <cell r="E37">
            <v>2784</v>
          </cell>
          <cell r="F37">
            <v>-2784</v>
          </cell>
          <cell r="G37">
            <v>0</v>
          </cell>
          <cell r="H37">
            <v>-2784</v>
          </cell>
        </row>
        <row r="38">
          <cell r="A38">
            <v>32020080</v>
          </cell>
          <cell r="B38" t="str">
            <v>Customer/Vendor balances written back</v>
          </cell>
          <cell r="C38">
            <v>0</v>
          </cell>
          <cell r="D38">
            <v>219</v>
          </cell>
          <cell r="E38">
            <v>0</v>
          </cell>
          <cell r="F38">
            <v>219</v>
          </cell>
          <cell r="G38">
            <v>0</v>
          </cell>
          <cell r="H38">
            <v>219</v>
          </cell>
        </row>
        <row r="39">
          <cell r="A39">
            <v>41010010</v>
          </cell>
          <cell r="B39" t="str">
            <v>Opening Stock - Cement</v>
          </cell>
          <cell r="C39">
            <v>0</v>
          </cell>
          <cell r="D39">
            <v>19650.439999999999</v>
          </cell>
          <cell r="E39">
            <v>0</v>
          </cell>
          <cell r="F39">
            <v>19650.439999999999</v>
          </cell>
          <cell r="G39">
            <v>0</v>
          </cell>
          <cell r="H39">
            <v>19650.439999999999</v>
          </cell>
        </row>
        <row r="40">
          <cell r="A40">
            <v>41010020</v>
          </cell>
          <cell r="B40" t="str">
            <v>Opening Stock - Sand</v>
          </cell>
          <cell r="C40">
            <v>0</v>
          </cell>
          <cell r="D40">
            <v>44390.19</v>
          </cell>
          <cell r="E40">
            <v>0</v>
          </cell>
          <cell r="F40">
            <v>44390.19</v>
          </cell>
          <cell r="G40">
            <v>0</v>
          </cell>
          <cell r="H40">
            <v>44390.19</v>
          </cell>
        </row>
        <row r="41">
          <cell r="A41">
            <v>41010030</v>
          </cell>
          <cell r="B41" t="str">
            <v>Opening Stock - CRF</v>
          </cell>
          <cell r="C41">
            <v>0</v>
          </cell>
          <cell r="D41">
            <v>3590.38</v>
          </cell>
          <cell r="E41">
            <v>0</v>
          </cell>
          <cell r="F41">
            <v>3590.38</v>
          </cell>
          <cell r="G41">
            <v>0</v>
          </cell>
          <cell r="H41">
            <v>3590.38</v>
          </cell>
        </row>
        <row r="42">
          <cell r="A42">
            <v>41010050</v>
          </cell>
          <cell r="B42" t="str">
            <v>Opening Stock - Admixtures</v>
          </cell>
          <cell r="C42">
            <v>0</v>
          </cell>
          <cell r="D42">
            <v>47984.09</v>
          </cell>
          <cell r="E42">
            <v>0</v>
          </cell>
          <cell r="F42">
            <v>47984.09</v>
          </cell>
          <cell r="G42">
            <v>0</v>
          </cell>
          <cell r="H42">
            <v>47984.09</v>
          </cell>
        </row>
        <row r="43">
          <cell r="A43">
            <v>41010070</v>
          </cell>
          <cell r="B43" t="str">
            <v>Opening Stock - Flyash</v>
          </cell>
          <cell r="C43">
            <v>0</v>
          </cell>
          <cell r="D43">
            <v>124211.94</v>
          </cell>
          <cell r="E43">
            <v>0</v>
          </cell>
          <cell r="F43">
            <v>124211.94</v>
          </cell>
          <cell r="G43">
            <v>0</v>
          </cell>
          <cell r="H43">
            <v>124211.94</v>
          </cell>
        </row>
        <row r="44">
          <cell r="A44">
            <v>41010080</v>
          </cell>
          <cell r="B44" t="str">
            <v>Opening Stock - Diesel</v>
          </cell>
          <cell r="C44">
            <v>0</v>
          </cell>
          <cell r="D44">
            <v>32088.76</v>
          </cell>
          <cell r="E44">
            <v>0</v>
          </cell>
          <cell r="F44">
            <v>32088.76</v>
          </cell>
          <cell r="G44">
            <v>0</v>
          </cell>
          <cell r="H44">
            <v>32088.76</v>
          </cell>
        </row>
        <row r="45">
          <cell r="A45">
            <v>41020010</v>
          </cell>
          <cell r="B45" t="str">
            <v>Raw Material Purchase - Cement</v>
          </cell>
          <cell r="C45">
            <v>0</v>
          </cell>
          <cell r="D45">
            <v>6720623.3300000001</v>
          </cell>
          <cell r="E45">
            <v>5835706.3499999996</v>
          </cell>
          <cell r="F45">
            <v>884916.98</v>
          </cell>
          <cell r="G45">
            <v>0</v>
          </cell>
          <cell r="H45">
            <v>884916.98</v>
          </cell>
        </row>
        <row r="46">
          <cell r="A46">
            <v>41020015</v>
          </cell>
          <cell r="B46" t="str">
            <v>Interim account cement received</v>
          </cell>
          <cell r="C46">
            <v>0</v>
          </cell>
          <cell r="D46">
            <v>6709060.2800000003</v>
          </cell>
          <cell r="E46">
            <v>6709060.2800000003</v>
          </cell>
          <cell r="F46">
            <v>0</v>
          </cell>
          <cell r="G46">
            <v>0</v>
          </cell>
          <cell r="H46">
            <v>0</v>
          </cell>
        </row>
        <row r="47">
          <cell r="A47">
            <v>41020020</v>
          </cell>
          <cell r="B47" t="str">
            <v>Cement Consumption account</v>
          </cell>
          <cell r="C47">
            <v>0</v>
          </cell>
          <cell r="D47">
            <v>5800719.29</v>
          </cell>
          <cell r="E47">
            <v>4838.4399999999996</v>
          </cell>
          <cell r="F47">
            <v>5795880.8499999996</v>
          </cell>
          <cell r="G47">
            <v>0</v>
          </cell>
          <cell r="H47">
            <v>5795880.8499999996</v>
          </cell>
        </row>
        <row r="48">
          <cell r="A48">
            <v>41020030</v>
          </cell>
          <cell r="B48" t="str">
            <v>Raw Material Purchase - Aggregates</v>
          </cell>
          <cell r="C48">
            <v>0</v>
          </cell>
          <cell r="D48">
            <v>2572623.5699999998</v>
          </cell>
          <cell r="E48">
            <v>2495436.23</v>
          </cell>
          <cell r="F48">
            <v>77187.34</v>
          </cell>
          <cell r="G48">
            <v>0</v>
          </cell>
          <cell r="H48">
            <v>77187.34</v>
          </cell>
        </row>
        <row r="49">
          <cell r="A49">
            <v>41020035</v>
          </cell>
          <cell r="B49" t="str">
            <v>Interim account Aggregate received</v>
          </cell>
          <cell r="C49">
            <v>0</v>
          </cell>
          <cell r="D49">
            <v>2542987.25</v>
          </cell>
          <cell r="E49">
            <v>2542988.44</v>
          </cell>
          <cell r="F49">
            <v>-1.19</v>
          </cell>
          <cell r="G49">
            <v>0</v>
          </cell>
          <cell r="H49">
            <v>-1.19</v>
          </cell>
        </row>
        <row r="50">
          <cell r="A50">
            <v>41020040</v>
          </cell>
          <cell r="B50" t="str">
            <v>Aggregate Consumption account</v>
          </cell>
          <cell r="C50">
            <v>0</v>
          </cell>
          <cell r="D50">
            <v>2355468.92</v>
          </cell>
          <cell r="E50">
            <v>5653.96</v>
          </cell>
          <cell r="F50">
            <v>2349814.96</v>
          </cell>
          <cell r="G50">
            <v>0</v>
          </cell>
          <cell r="H50">
            <v>2349814.96</v>
          </cell>
        </row>
        <row r="51">
          <cell r="A51">
            <v>41020050</v>
          </cell>
          <cell r="B51" t="str">
            <v>Raw Material Purchase - Sand</v>
          </cell>
          <cell r="C51">
            <v>0</v>
          </cell>
          <cell r="D51">
            <v>1217990.46</v>
          </cell>
          <cell r="E51">
            <v>1199211.45</v>
          </cell>
          <cell r="F51">
            <v>18779.009999999998</v>
          </cell>
          <cell r="G51">
            <v>0</v>
          </cell>
          <cell r="H51">
            <v>18779.009999999998</v>
          </cell>
        </row>
        <row r="52">
          <cell r="A52">
            <v>41020055</v>
          </cell>
          <cell r="B52" t="str">
            <v>Interim account Sand Received</v>
          </cell>
          <cell r="C52">
            <v>0</v>
          </cell>
          <cell r="D52">
            <v>1217989.8999999999</v>
          </cell>
          <cell r="E52">
            <v>1217990.46</v>
          </cell>
          <cell r="F52">
            <v>-0.56000000000000005</v>
          </cell>
          <cell r="G52">
            <v>0</v>
          </cell>
          <cell r="H52">
            <v>-0.56000000000000005</v>
          </cell>
        </row>
        <row r="53">
          <cell r="A53">
            <v>41020060</v>
          </cell>
          <cell r="B53" t="str">
            <v>Sand Consumption account</v>
          </cell>
          <cell r="C53">
            <v>0</v>
          </cell>
          <cell r="D53">
            <v>1127785.1599999999</v>
          </cell>
          <cell r="E53">
            <v>0</v>
          </cell>
          <cell r="F53">
            <v>1127785.1599999999</v>
          </cell>
          <cell r="G53">
            <v>0</v>
          </cell>
          <cell r="H53">
            <v>1127785.1599999999</v>
          </cell>
        </row>
        <row r="54">
          <cell r="A54">
            <v>41020070</v>
          </cell>
          <cell r="B54" t="str">
            <v>Raw Material Purchase - Admixture</v>
          </cell>
          <cell r="C54">
            <v>0</v>
          </cell>
          <cell r="D54">
            <v>817051.07</v>
          </cell>
          <cell r="E54">
            <v>630029.5</v>
          </cell>
          <cell r="F54">
            <v>187021.57</v>
          </cell>
          <cell r="G54">
            <v>0</v>
          </cell>
          <cell r="H54">
            <v>187021.57</v>
          </cell>
        </row>
        <row r="55">
          <cell r="A55">
            <v>41020075</v>
          </cell>
          <cell r="B55" t="str">
            <v>Interim account Admixture received</v>
          </cell>
          <cell r="C55">
            <v>0</v>
          </cell>
          <cell r="D55">
            <v>810075</v>
          </cell>
          <cell r="E55">
            <v>810074</v>
          </cell>
          <cell r="F55">
            <v>1</v>
          </cell>
          <cell r="G55">
            <v>0</v>
          </cell>
          <cell r="H55">
            <v>1</v>
          </cell>
        </row>
        <row r="56">
          <cell r="A56">
            <v>41020080</v>
          </cell>
          <cell r="B56" t="str">
            <v>Admixture Consumption account</v>
          </cell>
          <cell r="C56">
            <v>0</v>
          </cell>
          <cell r="D56">
            <v>629868.03</v>
          </cell>
          <cell r="E56">
            <v>0</v>
          </cell>
          <cell r="F56">
            <v>629868.03</v>
          </cell>
          <cell r="G56">
            <v>0</v>
          </cell>
          <cell r="H56">
            <v>629868.03</v>
          </cell>
        </row>
        <row r="57">
          <cell r="A57">
            <v>41020090</v>
          </cell>
          <cell r="B57" t="str">
            <v>Raw Material  Purchase - Fly Ash</v>
          </cell>
          <cell r="C57">
            <v>0</v>
          </cell>
          <cell r="D57">
            <v>416232.89</v>
          </cell>
          <cell r="E57">
            <v>427187.71</v>
          </cell>
          <cell r="F57">
            <v>-10954.82</v>
          </cell>
          <cell r="G57">
            <v>0</v>
          </cell>
          <cell r="H57">
            <v>-10954.82</v>
          </cell>
        </row>
        <row r="58">
          <cell r="A58">
            <v>41020095</v>
          </cell>
          <cell r="B58" t="str">
            <v>Interim account fly ash received</v>
          </cell>
          <cell r="C58">
            <v>0</v>
          </cell>
          <cell r="D58">
            <v>409362.22</v>
          </cell>
          <cell r="E58">
            <v>409361.95</v>
          </cell>
          <cell r="F58">
            <v>0.27</v>
          </cell>
          <cell r="G58">
            <v>0</v>
          </cell>
          <cell r="H58">
            <v>0.27</v>
          </cell>
        </row>
        <row r="59">
          <cell r="A59">
            <v>41020100</v>
          </cell>
          <cell r="B59" t="str">
            <v>Fly Ash Consumption account</v>
          </cell>
          <cell r="C59">
            <v>0</v>
          </cell>
          <cell r="D59">
            <v>413937.8</v>
          </cell>
          <cell r="E59">
            <v>2296.75</v>
          </cell>
          <cell r="F59">
            <v>411641.05</v>
          </cell>
          <cell r="G59">
            <v>0</v>
          </cell>
          <cell r="H59">
            <v>411641.05</v>
          </cell>
        </row>
        <row r="60">
          <cell r="A60">
            <v>41020130</v>
          </cell>
          <cell r="B60" t="str">
            <v>Raw Materials Purchase - CRF</v>
          </cell>
          <cell r="C60">
            <v>0</v>
          </cell>
          <cell r="D60">
            <v>35973.82</v>
          </cell>
          <cell r="E60">
            <v>30607.360000000001</v>
          </cell>
          <cell r="F60">
            <v>5366.46</v>
          </cell>
          <cell r="G60">
            <v>0</v>
          </cell>
          <cell r="H60">
            <v>5366.46</v>
          </cell>
        </row>
        <row r="61">
          <cell r="A61">
            <v>41020135</v>
          </cell>
          <cell r="B61" t="str">
            <v>Interim account for CRF received</v>
          </cell>
          <cell r="C61">
            <v>0</v>
          </cell>
          <cell r="D61">
            <v>35973.72</v>
          </cell>
          <cell r="E61">
            <v>35973.82</v>
          </cell>
          <cell r="F61">
            <v>-0.1</v>
          </cell>
          <cell r="G61">
            <v>0</v>
          </cell>
          <cell r="H61">
            <v>-0.1</v>
          </cell>
        </row>
        <row r="62">
          <cell r="A62">
            <v>41020140</v>
          </cell>
          <cell r="B62" t="str">
            <v>CRF Consumption account</v>
          </cell>
          <cell r="C62">
            <v>0</v>
          </cell>
          <cell r="D62">
            <v>29002.89</v>
          </cell>
          <cell r="E62">
            <v>0</v>
          </cell>
          <cell r="F62">
            <v>29002.89</v>
          </cell>
          <cell r="G62">
            <v>0</v>
          </cell>
          <cell r="H62">
            <v>29002.89</v>
          </cell>
        </row>
        <row r="63">
          <cell r="A63">
            <v>41020150</v>
          </cell>
          <cell r="B63" t="str">
            <v>Loss/ gain on Stock</v>
          </cell>
          <cell r="C63">
            <v>0</v>
          </cell>
          <cell r="D63">
            <v>166783.81</v>
          </cell>
          <cell r="E63">
            <v>42257.04</v>
          </cell>
          <cell r="F63">
            <v>124526.77</v>
          </cell>
          <cell r="G63">
            <v>0</v>
          </cell>
          <cell r="H63">
            <v>124526.77</v>
          </cell>
        </row>
        <row r="64">
          <cell r="A64">
            <v>41020175</v>
          </cell>
          <cell r="B64" t="str">
            <v>Purchase of Concrete</v>
          </cell>
          <cell r="C64">
            <v>0</v>
          </cell>
          <cell r="D64">
            <v>717329.53</v>
          </cell>
          <cell r="E64">
            <v>5600</v>
          </cell>
          <cell r="F64">
            <v>711729.53</v>
          </cell>
          <cell r="G64">
            <v>0</v>
          </cell>
          <cell r="H64">
            <v>711729.53</v>
          </cell>
        </row>
        <row r="65">
          <cell r="A65">
            <v>41020180</v>
          </cell>
          <cell r="B65" t="str">
            <v>Interim account for Concrete purchased</v>
          </cell>
          <cell r="C65">
            <v>0</v>
          </cell>
          <cell r="D65">
            <v>717329.53</v>
          </cell>
          <cell r="E65">
            <v>717329.53</v>
          </cell>
          <cell r="F65">
            <v>0</v>
          </cell>
          <cell r="G65">
            <v>0</v>
          </cell>
          <cell r="H65">
            <v>0</v>
          </cell>
        </row>
        <row r="66">
          <cell r="A66">
            <v>41020195</v>
          </cell>
          <cell r="B66" t="str">
            <v>Purchase of Diesel</v>
          </cell>
          <cell r="C66">
            <v>0</v>
          </cell>
          <cell r="D66">
            <v>544418.78</v>
          </cell>
          <cell r="E66">
            <v>547316.06999999995</v>
          </cell>
          <cell r="F66">
            <v>-2897.29</v>
          </cell>
          <cell r="G66">
            <v>0</v>
          </cell>
          <cell r="H66">
            <v>-2897.29</v>
          </cell>
        </row>
        <row r="67">
          <cell r="A67">
            <v>41020200</v>
          </cell>
          <cell r="B67" t="str">
            <v>Interim account for diesel received</v>
          </cell>
          <cell r="C67">
            <v>0</v>
          </cell>
          <cell r="D67">
            <v>516814.1</v>
          </cell>
          <cell r="E67">
            <v>516814.1</v>
          </cell>
          <cell r="F67">
            <v>0</v>
          </cell>
          <cell r="G67">
            <v>0</v>
          </cell>
          <cell r="H67">
            <v>0</v>
          </cell>
        </row>
        <row r="68">
          <cell r="A68">
            <v>41020205</v>
          </cell>
          <cell r="B68" t="str">
            <v>Diesel Consumption account</v>
          </cell>
          <cell r="C68">
            <v>0</v>
          </cell>
          <cell r="D68">
            <v>547316.06999999995</v>
          </cell>
          <cell r="E68">
            <v>547316.06999999995</v>
          </cell>
          <cell r="F68">
            <v>0</v>
          </cell>
          <cell r="G68">
            <v>0</v>
          </cell>
          <cell r="H68">
            <v>0</v>
          </cell>
        </row>
        <row r="69">
          <cell r="A69">
            <v>41050010</v>
          </cell>
          <cell r="B69" t="str">
            <v>Closing Stock - Cement</v>
          </cell>
          <cell r="C69">
            <v>0</v>
          </cell>
          <cell r="D69">
            <v>0</v>
          </cell>
          <cell r="E69">
            <v>904567.42</v>
          </cell>
          <cell r="F69">
            <v>-904567.42</v>
          </cell>
          <cell r="G69">
            <v>0</v>
          </cell>
          <cell r="H69">
            <v>-904567.42</v>
          </cell>
        </row>
        <row r="70">
          <cell r="A70">
            <v>41050020</v>
          </cell>
          <cell r="B70" t="str">
            <v>Closing Stock - Sand</v>
          </cell>
          <cell r="C70">
            <v>0</v>
          </cell>
          <cell r="D70">
            <v>0</v>
          </cell>
          <cell r="E70">
            <v>63168.639999999999</v>
          </cell>
          <cell r="F70">
            <v>-63168.639999999999</v>
          </cell>
          <cell r="G70">
            <v>0</v>
          </cell>
          <cell r="H70">
            <v>-63168.639999999999</v>
          </cell>
        </row>
        <row r="71">
          <cell r="A71">
            <v>41050030</v>
          </cell>
          <cell r="B71" t="str">
            <v>Closing Stock - CRF</v>
          </cell>
          <cell r="C71">
            <v>0</v>
          </cell>
          <cell r="D71">
            <v>0</v>
          </cell>
          <cell r="E71">
            <v>8956.74</v>
          </cell>
          <cell r="F71">
            <v>-8956.74</v>
          </cell>
          <cell r="G71">
            <v>0</v>
          </cell>
          <cell r="H71">
            <v>-8956.74</v>
          </cell>
        </row>
        <row r="72">
          <cell r="A72">
            <v>41050040</v>
          </cell>
          <cell r="B72" t="str">
            <v>Closing Stock - RMC Aggregates</v>
          </cell>
          <cell r="C72">
            <v>0</v>
          </cell>
          <cell r="D72">
            <v>0</v>
          </cell>
          <cell r="E72">
            <v>77186.149999999994</v>
          </cell>
          <cell r="F72">
            <v>-77186.149999999994</v>
          </cell>
          <cell r="G72">
            <v>0</v>
          </cell>
          <cell r="H72">
            <v>-77186.149999999994</v>
          </cell>
        </row>
        <row r="73">
          <cell r="A73">
            <v>41050050</v>
          </cell>
          <cell r="B73" t="str">
            <v>Closing Stock - Admixtures</v>
          </cell>
          <cell r="C73">
            <v>0</v>
          </cell>
          <cell r="D73">
            <v>0</v>
          </cell>
          <cell r="E73">
            <v>235006.66</v>
          </cell>
          <cell r="F73">
            <v>-235006.66</v>
          </cell>
          <cell r="G73">
            <v>0</v>
          </cell>
          <cell r="H73">
            <v>-235006.66</v>
          </cell>
        </row>
        <row r="74">
          <cell r="A74">
            <v>41050070</v>
          </cell>
          <cell r="B74" t="str">
            <v>Closing Stock - Flyash</v>
          </cell>
          <cell r="C74">
            <v>0</v>
          </cell>
          <cell r="D74">
            <v>0</v>
          </cell>
          <cell r="E74">
            <v>113257.39</v>
          </cell>
          <cell r="F74">
            <v>-113257.39</v>
          </cell>
          <cell r="G74">
            <v>0</v>
          </cell>
          <cell r="H74">
            <v>-113257.39</v>
          </cell>
        </row>
        <row r="75">
          <cell r="A75">
            <v>41050080</v>
          </cell>
          <cell r="B75" t="str">
            <v>Closing Stock - Diesel</v>
          </cell>
          <cell r="C75">
            <v>0</v>
          </cell>
          <cell r="D75">
            <v>0</v>
          </cell>
          <cell r="E75">
            <v>29191.47</v>
          </cell>
          <cell r="F75">
            <v>-29191.47</v>
          </cell>
          <cell r="G75">
            <v>0</v>
          </cell>
          <cell r="H75">
            <v>-29191.47</v>
          </cell>
        </row>
        <row r="76">
          <cell r="A76">
            <v>42010010</v>
          </cell>
          <cell r="B76" t="str">
            <v>Salary - Basic</v>
          </cell>
          <cell r="C76">
            <v>0</v>
          </cell>
          <cell r="D76">
            <v>263000</v>
          </cell>
          <cell r="E76">
            <v>0</v>
          </cell>
          <cell r="F76">
            <v>263000</v>
          </cell>
          <cell r="G76">
            <v>0</v>
          </cell>
          <cell r="H76">
            <v>263000</v>
          </cell>
        </row>
        <row r="77">
          <cell r="A77">
            <v>42010020</v>
          </cell>
          <cell r="B77" t="str">
            <v>House Rent Allowance</v>
          </cell>
          <cell r="C77">
            <v>0</v>
          </cell>
          <cell r="D77">
            <v>131500</v>
          </cell>
          <cell r="E77">
            <v>0</v>
          </cell>
          <cell r="F77">
            <v>131500</v>
          </cell>
          <cell r="G77">
            <v>0</v>
          </cell>
          <cell r="H77">
            <v>131500</v>
          </cell>
        </row>
        <row r="78">
          <cell r="A78">
            <v>42010030</v>
          </cell>
          <cell r="B78" t="str">
            <v>Education Allowance</v>
          </cell>
          <cell r="C78">
            <v>0</v>
          </cell>
          <cell r="D78">
            <v>16800</v>
          </cell>
          <cell r="E78">
            <v>0</v>
          </cell>
          <cell r="F78">
            <v>16800</v>
          </cell>
          <cell r="G78">
            <v>0</v>
          </cell>
          <cell r="H78">
            <v>16800</v>
          </cell>
        </row>
        <row r="79">
          <cell r="A79">
            <v>42010040</v>
          </cell>
          <cell r="B79" t="str">
            <v>Special Allowance</v>
          </cell>
          <cell r="C79">
            <v>0</v>
          </cell>
          <cell r="D79">
            <v>46370</v>
          </cell>
          <cell r="E79">
            <v>0</v>
          </cell>
          <cell r="F79">
            <v>46370</v>
          </cell>
          <cell r="G79">
            <v>0</v>
          </cell>
          <cell r="H79">
            <v>46370</v>
          </cell>
        </row>
        <row r="80">
          <cell r="A80">
            <v>42010100</v>
          </cell>
          <cell r="B80" t="str">
            <v>Transport Allowance</v>
          </cell>
          <cell r="C80">
            <v>0</v>
          </cell>
          <cell r="D80">
            <v>42400</v>
          </cell>
          <cell r="E80">
            <v>0</v>
          </cell>
          <cell r="F80">
            <v>42400</v>
          </cell>
          <cell r="G80">
            <v>0</v>
          </cell>
          <cell r="H80">
            <v>42400</v>
          </cell>
        </row>
        <row r="81">
          <cell r="A81">
            <v>42010130</v>
          </cell>
          <cell r="B81" t="str">
            <v>Production Linked Incentive</v>
          </cell>
          <cell r="C81">
            <v>0</v>
          </cell>
          <cell r="D81">
            <v>69136</v>
          </cell>
          <cell r="E81">
            <v>0</v>
          </cell>
          <cell r="F81">
            <v>69136</v>
          </cell>
          <cell r="G81">
            <v>0</v>
          </cell>
          <cell r="H81">
            <v>69136</v>
          </cell>
        </row>
        <row r="82">
          <cell r="A82">
            <v>42010220</v>
          </cell>
          <cell r="B82" t="str">
            <v>Adhoc Allowance</v>
          </cell>
          <cell r="C82">
            <v>0</v>
          </cell>
          <cell r="D82">
            <v>17950</v>
          </cell>
          <cell r="E82">
            <v>0</v>
          </cell>
          <cell r="F82">
            <v>17950</v>
          </cell>
          <cell r="G82">
            <v>0</v>
          </cell>
          <cell r="H82">
            <v>17950</v>
          </cell>
        </row>
        <row r="83">
          <cell r="A83">
            <v>42010230</v>
          </cell>
          <cell r="B83" t="str">
            <v>Car Allowance</v>
          </cell>
          <cell r="C83">
            <v>0</v>
          </cell>
          <cell r="D83">
            <v>18000</v>
          </cell>
          <cell r="E83">
            <v>0</v>
          </cell>
          <cell r="F83">
            <v>18000</v>
          </cell>
          <cell r="G83">
            <v>0</v>
          </cell>
          <cell r="H83">
            <v>18000</v>
          </cell>
        </row>
        <row r="84">
          <cell r="A84">
            <v>42010240</v>
          </cell>
          <cell r="B84" t="str">
            <v>Driver Allowance</v>
          </cell>
          <cell r="C84">
            <v>0</v>
          </cell>
          <cell r="D84">
            <v>12000</v>
          </cell>
          <cell r="E84">
            <v>0</v>
          </cell>
          <cell r="F84">
            <v>12000</v>
          </cell>
          <cell r="G84">
            <v>0</v>
          </cell>
          <cell r="H84">
            <v>12000</v>
          </cell>
        </row>
        <row r="85">
          <cell r="A85">
            <v>42020010</v>
          </cell>
          <cell r="B85" t="str">
            <v>Provident Funds - Employer's Conribution</v>
          </cell>
          <cell r="C85">
            <v>0</v>
          </cell>
          <cell r="D85">
            <v>31560</v>
          </cell>
          <cell r="E85">
            <v>0</v>
          </cell>
          <cell r="F85">
            <v>31560</v>
          </cell>
          <cell r="G85">
            <v>0</v>
          </cell>
          <cell r="H85">
            <v>31560</v>
          </cell>
        </row>
        <row r="86">
          <cell r="A86">
            <v>42020070</v>
          </cell>
          <cell r="B86" t="str">
            <v>E.S.I.S. - Employer's Contribution</v>
          </cell>
          <cell r="C86">
            <v>0</v>
          </cell>
          <cell r="D86">
            <v>3424</v>
          </cell>
          <cell r="E86">
            <v>922</v>
          </cell>
          <cell r="F86">
            <v>2502</v>
          </cell>
          <cell r="G86">
            <v>0</v>
          </cell>
          <cell r="H86">
            <v>2502</v>
          </cell>
        </row>
        <row r="87">
          <cell r="A87">
            <v>42030020</v>
          </cell>
          <cell r="B87" t="str">
            <v>Purchases of Safety &amp; Welfare Items</v>
          </cell>
          <cell r="C87">
            <v>0</v>
          </cell>
          <cell r="D87">
            <v>4746</v>
          </cell>
          <cell r="E87">
            <v>0</v>
          </cell>
          <cell r="F87">
            <v>4746</v>
          </cell>
          <cell r="G87">
            <v>0</v>
          </cell>
          <cell r="H87">
            <v>4746</v>
          </cell>
        </row>
        <row r="88">
          <cell r="A88">
            <v>42030040</v>
          </cell>
          <cell r="B88" t="str">
            <v>Staff Welfare Expenses - FBT</v>
          </cell>
          <cell r="C88">
            <v>0</v>
          </cell>
          <cell r="D88">
            <v>9858</v>
          </cell>
          <cell r="E88">
            <v>178</v>
          </cell>
          <cell r="F88">
            <v>9680</v>
          </cell>
          <cell r="G88">
            <v>0</v>
          </cell>
          <cell r="H88">
            <v>9680</v>
          </cell>
        </row>
        <row r="89">
          <cell r="A89">
            <v>42030050</v>
          </cell>
          <cell r="B89" t="str">
            <v>Staff Welfare Expenses</v>
          </cell>
          <cell r="C89">
            <v>0</v>
          </cell>
          <cell r="D89">
            <v>16542</v>
          </cell>
          <cell r="E89">
            <v>1358</v>
          </cell>
          <cell r="F89">
            <v>15184</v>
          </cell>
          <cell r="G89">
            <v>0</v>
          </cell>
          <cell r="H89">
            <v>15184</v>
          </cell>
        </row>
        <row r="90">
          <cell r="A90">
            <v>43001010</v>
          </cell>
          <cell r="B90" t="str">
            <v>Electricity Charges</v>
          </cell>
          <cell r="C90">
            <v>0</v>
          </cell>
          <cell r="D90">
            <v>120336</v>
          </cell>
          <cell r="E90">
            <v>60145</v>
          </cell>
          <cell r="F90">
            <v>60191</v>
          </cell>
          <cell r="G90">
            <v>0</v>
          </cell>
          <cell r="H90">
            <v>60191</v>
          </cell>
        </row>
        <row r="91">
          <cell r="A91">
            <v>43001020</v>
          </cell>
          <cell r="B91" t="str">
            <v>Water Charges</v>
          </cell>
          <cell r="C91">
            <v>0</v>
          </cell>
          <cell r="D91">
            <v>71143</v>
          </cell>
          <cell r="E91">
            <v>0</v>
          </cell>
          <cell r="F91">
            <v>71143</v>
          </cell>
          <cell r="G91">
            <v>0</v>
          </cell>
          <cell r="H91">
            <v>71143</v>
          </cell>
        </row>
        <row r="92">
          <cell r="A92">
            <v>43001030</v>
          </cell>
          <cell r="B92" t="str">
            <v>Fuel For Diesel Generator Set</v>
          </cell>
          <cell r="C92">
            <v>0</v>
          </cell>
          <cell r="D92">
            <v>30390</v>
          </cell>
          <cell r="E92">
            <v>0</v>
          </cell>
          <cell r="F92">
            <v>30390</v>
          </cell>
          <cell r="G92">
            <v>0</v>
          </cell>
          <cell r="H92">
            <v>30390</v>
          </cell>
        </row>
        <row r="93">
          <cell r="A93">
            <v>43012020</v>
          </cell>
          <cell r="B93" t="str">
            <v>Labour / sub contractor for - Pumping Expenses Incurred</v>
          </cell>
          <cell r="C93">
            <v>0</v>
          </cell>
          <cell r="D93">
            <v>417075</v>
          </cell>
          <cell r="E93">
            <v>74305</v>
          </cell>
          <cell r="F93">
            <v>342770</v>
          </cell>
          <cell r="G93">
            <v>0</v>
          </cell>
          <cell r="H93">
            <v>342770</v>
          </cell>
        </row>
        <row r="94">
          <cell r="A94">
            <v>43018010</v>
          </cell>
          <cell r="B94" t="str">
            <v>Repairs &amp; Maintenance</v>
          </cell>
          <cell r="C94">
            <v>0</v>
          </cell>
          <cell r="D94">
            <v>349085.05</v>
          </cell>
          <cell r="E94">
            <v>4300</v>
          </cell>
          <cell r="F94">
            <v>344785.05</v>
          </cell>
          <cell r="G94">
            <v>0</v>
          </cell>
          <cell r="H94">
            <v>344785.05</v>
          </cell>
        </row>
        <row r="95">
          <cell r="A95">
            <v>43018020</v>
          </cell>
          <cell r="B95" t="str">
            <v>Oil &amp; Grease</v>
          </cell>
          <cell r="C95">
            <v>0</v>
          </cell>
          <cell r="D95">
            <v>40962.32</v>
          </cell>
          <cell r="E95">
            <v>16867</v>
          </cell>
          <cell r="F95">
            <v>24095.32</v>
          </cell>
          <cell r="G95">
            <v>0</v>
          </cell>
          <cell r="H95">
            <v>24095.32</v>
          </cell>
        </row>
        <row r="96">
          <cell r="A96">
            <v>43020030</v>
          </cell>
          <cell r="B96" t="str">
            <v>Tyres</v>
          </cell>
          <cell r="C96">
            <v>0</v>
          </cell>
          <cell r="D96">
            <v>6000</v>
          </cell>
          <cell r="E96">
            <v>0</v>
          </cell>
          <cell r="F96">
            <v>6000</v>
          </cell>
          <cell r="G96">
            <v>0</v>
          </cell>
          <cell r="H96">
            <v>6000</v>
          </cell>
        </row>
        <row r="97">
          <cell r="A97">
            <v>43022010</v>
          </cell>
          <cell r="B97" t="str">
            <v>Plant / Office Up Keep Exps</v>
          </cell>
          <cell r="C97">
            <v>0</v>
          </cell>
          <cell r="D97">
            <v>109866</v>
          </cell>
          <cell r="E97">
            <v>0</v>
          </cell>
          <cell r="F97">
            <v>109866</v>
          </cell>
          <cell r="G97">
            <v>0</v>
          </cell>
          <cell r="H97">
            <v>109866</v>
          </cell>
        </row>
        <row r="98">
          <cell r="A98">
            <v>43030010</v>
          </cell>
          <cell r="B98" t="str">
            <v>Transportation Exps-Labour</v>
          </cell>
          <cell r="C98">
            <v>0</v>
          </cell>
          <cell r="D98">
            <v>115870</v>
          </cell>
          <cell r="E98">
            <v>8125</v>
          </cell>
          <cell r="F98">
            <v>107745</v>
          </cell>
          <cell r="G98">
            <v>0</v>
          </cell>
          <cell r="H98">
            <v>107745</v>
          </cell>
        </row>
        <row r="99">
          <cell r="A99">
            <v>43032010</v>
          </cell>
          <cell r="B99" t="str">
            <v>Rent - Plant</v>
          </cell>
          <cell r="C99">
            <v>0</v>
          </cell>
          <cell r="D99">
            <v>280000</v>
          </cell>
          <cell r="E99">
            <v>0</v>
          </cell>
          <cell r="F99">
            <v>280000</v>
          </cell>
          <cell r="G99">
            <v>0</v>
          </cell>
          <cell r="H99">
            <v>280000</v>
          </cell>
        </row>
        <row r="100">
          <cell r="A100">
            <v>43032040</v>
          </cell>
          <cell r="B100" t="str">
            <v>Lease Rentals- Machinery</v>
          </cell>
          <cell r="C100">
            <v>0</v>
          </cell>
          <cell r="D100">
            <v>1023670</v>
          </cell>
          <cell r="E100">
            <v>0</v>
          </cell>
          <cell r="F100">
            <v>1023670</v>
          </cell>
          <cell r="G100">
            <v>0</v>
          </cell>
          <cell r="H100">
            <v>1023670</v>
          </cell>
        </row>
        <row r="101">
          <cell r="A101">
            <v>43032045</v>
          </cell>
          <cell r="B101" t="str">
            <v>Towing Expenses</v>
          </cell>
          <cell r="C101">
            <v>0</v>
          </cell>
          <cell r="D101">
            <v>41650</v>
          </cell>
          <cell r="E101">
            <v>0</v>
          </cell>
          <cell r="F101">
            <v>41650</v>
          </cell>
          <cell r="G101">
            <v>0</v>
          </cell>
          <cell r="H101">
            <v>41650</v>
          </cell>
        </row>
        <row r="102">
          <cell r="A102">
            <v>43036010</v>
          </cell>
          <cell r="B102" t="str">
            <v>Insurance Expenses</v>
          </cell>
          <cell r="C102">
            <v>0</v>
          </cell>
          <cell r="D102">
            <v>30262</v>
          </cell>
          <cell r="E102">
            <v>2630</v>
          </cell>
          <cell r="F102">
            <v>27632</v>
          </cell>
          <cell r="G102">
            <v>0</v>
          </cell>
          <cell r="H102">
            <v>27632</v>
          </cell>
        </row>
        <row r="103">
          <cell r="A103">
            <v>43038020</v>
          </cell>
          <cell r="B103" t="str">
            <v>Courier Expenses</v>
          </cell>
          <cell r="C103">
            <v>0</v>
          </cell>
          <cell r="D103">
            <v>7754</v>
          </cell>
          <cell r="E103">
            <v>0</v>
          </cell>
          <cell r="F103">
            <v>7754</v>
          </cell>
          <cell r="G103">
            <v>0</v>
          </cell>
          <cell r="H103">
            <v>7754</v>
          </cell>
        </row>
        <row r="104">
          <cell r="A104">
            <v>43038030</v>
          </cell>
          <cell r="B104" t="str">
            <v>Telephone Expenses</v>
          </cell>
          <cell r="C104">
            <v>0</v>
          </cell>
          <cell r="D104">
            <v>9795</v>
          </cell>
          <cell r="E104">
            <v>6200</v>
          </cell>
          <cell r="F104">
            <v>3595</v>
          </cell>
          <cell r="G104">
            <v>0</v>
          </cell>
          <cell r="H104">
            <v>3595</v>
          </cell>
        </row>
        <row r="105">
          <cell r="A105">
            <v>43038050</v>
          </cell>
          <cell r="B105" t="str">
            <v>Telephone Chgs - Mobile  FBT</v>
          </cell>
          <cell r="C105">
            <v>0</v>
          </cell>
          <cell r="D105">
            <v>61044</v>
          </cell>
          <cell r="E105">
            <v>26810</v>
          </cell>
          <cell r="F105">
            <v>34234</v>
          </cell>
          <cell r="G105">
            <v>0</v>
          </cell>
          <cell r="H105">
            <v>34234</v>
          </cell>
        </row>
        <row r="106">
          <cell r="A106">
            <v>43040010</v>
          </cell>
          <cell r="B106" t="str">
            <v>Conveyance Expenses - FBT</v>
          </cell>
          <cell r="C106">
            <v>0</v>
          </cell>
          <cell r="D106">
            <v>67970</v>
          </cell>
          <cell r="E106">
            <v>21915</v>
          </cell>
          <cell r="F106">
            <v>46055</v>
          </cell>
          <cell r="G106">
            <v>0</v>
          </cell>
          <cell r="H106">
            <v>46055</v>
          </cell>
        </row>
        <row r="107">
          <cell r="A107">
            <v>43040040</v>
          </cell>
          <cell r="B107" t="str">
            <v>Motor Car Hire Expenses</v>
          </cell>
          <cell r="C107">
            <v>0</v>
          </cell>
          <cell r="D107">
            <v>58798</v>
          </cell>
          <cell r="E107">
            <v>20000</v>
          </cell>
          <cell r="F107">
            <v>38798</v>
          </cell>
          <cell r="G107">
            <v>0</v>
          </cell>
          <cell r="H107">
            <v>38798</v>
          </cell>
        </row>
        <row r="108">
          <cell r="A108">
            <v>43042010</v>
          </cell>
          <cell r="B108" t="str">
            <v>Fuel - Truck Mixers</v>
          </cell>
          <cell r="C108">
            <v>0</v>
          </cell>
          <cell r="D108">
            <v>246179.39</v>
          </cell>
          <cell r="E108">
            <v>0</v>
          </cell>
          <cell r="F108">
            <v>246179.39</v>
          </cell>
          <cell r="G108">
            <v>0</v>
          </cell>
          <cell r="H108">
            <v>246179.39</v>
          </cell>
        </row>
        <row r="109">
          <cell r="A109">
            <v>43042020</v>
          </cell>
          <cell r="B109" t="str">
            <v>Fuel - Loader</v>
          </cell>
          <cell r="C109">
            <v>0</v>
          </cell>
          <cell r="D109">
            <v>34732</v>
          </cell>
          <cell r="E109">
            <v>0</v>
          </cell>
          <cell r="F109">
            <v>34732</v>
          </cell>
          <cell r="G109">
            <v>0</v>
          </cell>
          <cell r="H109">
            <v>34732</v>
          </cell>
        </row>
        <row r="110">
          <cell r="A110">
            <v>43042030</v>
          </cell>
          <cell r="B110" t="str">
            <v>Fuel - Others</v>
          </cell>
          <cell r="C110">
            <v>0</v>
          </cell>
          <cell r="D110">
            <v>36647</v>
          </cell>
          <cell r="E110">
            <v>8443</v>
          </cell>
          <cell r="F110">
            <v>28204</v>
          </cell>
          <cell r="G110">
            <v>0</v>
          </cell>
          <cell r="H110">
            <v>28204</v>
          </cell>
        </row>
        <row r="111">
          <cell r="A111">
            <v>43042050</v>
          </cell>
          <cell r="B111" t="str">
            <v>Fuel -  External Trucks/Pumps</v>
          </cell>
          <cell r="C111">
            <v>0</v>
          </cell>
          <cell r="D111">
            <v>108826</v>
          </cell>
          <cell r="E111">
            <v>0</v>
          </cell>
          <cell r="F111">
            <v>108826</v>
          </cell>
          <cell r="G111">
            <v>0</v>
          </cell>
          <cell r="H111">
            <v>108826</v>
          </cell>
        </row>
        <row r="112">
          <cell r="A112">
            <v>43042060</v>
          </cell>
          <cell r="B112" t="str">
            <v>Fuel - Concrete Pumps</v>
          </cell>
          <cell r="C112">
            <v>0</v>
          </cell>
          <cell r="D112">
            <v>71380</v>
          </cell>
          <cell r="E112">
            <v>0</v>
          </cell>
          <cell r="F112">
            <v>71380</v>
          </cell>
          <cell r="G112">
            <v>0</v>
          </cell>
          <cell r="H112">
            <v>71380</v>
          </cell>
        </row>
        <row r="113">
          <cell r="A113">
            <v>43046010</v>
          </cell>
          <cell r="B113" t="str">
            <v>Rates &amp; Taxes</v>
          </cell>
          <cell r="C113">
            <v>0</v>
          </cell>
          <cell r="D113">
            <v>8872</v>
          </cell>
          <cell r="E113">
            <v>0</v>
          </cell>
          <cell r="F113">
            <v>8872</v>
          </cell>
          <cell r="G113">
            <v>0</v>
          </cell>
          <cell r="H113">
            <v>8872</v>
          </cell>
        </row>
        <row r="114">
          <cell r="A114">
            <v>43052010</v>
          </cell>
          <cell r="B114" t="str">
            <v>Security Service Charges</v>
          </cell>
          <cell r="C114">
            <v>0</v>
          </cell>
          <cell r="D114">
            <v>71729</v>
          </cell>
          <cell r="E114">
            <v>0</v>
          </cell>
          <cell r="F114">
            <v>71729</v>
          </cell>
          <cell r="G114">
            <v>0</v>
          </cell>
          <cell r="H114">
            <v>71729</v>
          </cell>
        </row>
        <row r="115">
          <cell r="A115">
            <v>43054010</v>
          </cell>
          <cell r="B115" t="str">
            <v>Hire Charges - Machine</v>
          </cell>
          <cell r="C115">
            <v>0</v>
          </cell>
          <cell r="D115">
            <v>1500</v>
          </cell>
          <cell r="E115">
            <v>0</v>
          </cell>
          <cell r="F115">
            <v>1500</v>
          </cell>
          <cell r="G115">
            <v>0</v>
          </cell>
          <cell r="H115">
            <v>1500</v>
          </cell>
        </row>
        <row r="116">
          <cell r="A116">
            <v>43062010</v>
          </cell>
          <cell r="B116" t="str">
            <v>Computer Expenses</v>
          </cell>
          <cell r="C116">
            <v>0</v>
          </cell>
          <cell r="D116">
            <v>220</v>
          </cell>
          <cell r="E116">
            <v>0</v>
          </cell>
          <cell r="F116">
            <v>220</v>
          </cell>
          <cell r="G116">
            <v>0</v>
          </cell>
          <cell r="H116">
            <v>220</v>
          </cell>
        </row>
        <row r="117">
          <cell r="A117">
            <v>43066010</v>
          </cell>
          <cell r="B117" t="str">
            <v>Books &amp; Periodicals</v>
          </cell>
          <cell r="C117">
            <v>0</v>
          </cell>
          <cell r="D117">
            <v>815</v>
          </cell>
          <cell r="E117">
            <v>280</v>
          </cell>
          <cell r="F117">
            <v>535</v>
          </cell>
          <cell r="G117">
            <v>0</v>
          </cell>
          <cell r="H117">
            <v>535</v>
          </cell>
        </row>
        <row r="118">
          <cell r="A118">
            <v>43066020</v>
          </cell>
          <cell r="B118" t="str">
            <v>Printing &amp; Stationery</v>
          </cell>
          <cell r="C118">
            <v>0</v>
          </cell>
          <cell r="D118">
            <v>9507</v>
          </cell>
          <cell r="E118">
            <v>0</v>
          </cell>
          <cell r="F118">
            <v>9507</v>
          </cell>
          <cell r="G118">
            <v>0</v>
          </cell>
          <cell r="H118">
            <v>9507</v>
          </cell>
        </row>
        <row r="119">
          <cell r="A119">
            <v>43074010</v>
          </cell>
          <cell r="B119" t="str">
            <v>Provision For Bad &amp; Doubtful Debts W/Off</v>
          </cell>
          <cell r="C119">
            <v>0</v>
          </cell>
          <cell r="D119">
            <v>81377</v>
          </cell>
          <cell r="E119">
            <v>0</v>
          </cell>
          <cell r="F119">
            <v>81377</v>
          </cell>
          <cell r="G119">
            <v>0</v>
          </cell>
          <cell r="H119">
            <v>81377</v>
          </cell>
        </row>
        <row r="120">
          <cell r="A120">
            <v>43084030</v>
          </cell>
          <cell r="B120" t="str">
            <v>Rounding Off</v>
          </cell>
          <cell r="C120">
            <v>0</v>
          </cell>
          <cell r="D120">
            <v>46.7</v>
          </cell>
          <cell r="E120">
            <v>40.380000000000003</v>
          </cell>
          <cell r="F120">
            <v>6.32</v>
          </cell>
          <cell r="G120">
            <v>0</v>
          </cell>
          <cell r="H120">
            <v>6.32</v>
          </cell>
        </row>
        <row r="121">
          <cell r="A121">
            <v>44010040</v>
          </cell>
          <cell r="B121" t="str">
            <v>Bank Charges</v>
          </cell>
          <cell r="C121">
            <v>0</v>
          </cell>
          <cell r="D121">
            <v>690</v>
          </cell>
          <cell r="E121">
            <v>0</v>
          </cell>
          <cell r="F121">
            <v>690</v>
          </cell>
          <cell r="G121">
            <v>0</v>
          </cell>
          <cell r="H121">
            <v>690</v>
          </cell>
        </row>
        <row r="122">
          <cell r="A122">
            <v>45010010</v>
          </cell>
          <cell r="B122" t="str">
            <v>Depreciation</v>
          </cell>
          <cell r="C122">
            <v>0</v>
          </cell>
          <cell r="D122">
            <v>494476</v>
          </cell>
          <cell r="E122">
            <v>0</v>
          </cell>
          <cell r="F122">
            <v>494476</v>
          </cell>
          <cell r="G122">
            <v>0</v>
          </cell>
          <cell r="H122">
            <v>494476</v>
          </cell>
        </row>
        <row r="123">
          <cell r="A123">
            <v>52000000</v>
          </cell>
          <cell r="B123" t="str">
            <v>Inter Branch Control Account</v>
          </cell>
          <cell r="C123">
            <v>-45133824.659999996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-45133824.659999996</v>
          </cell>
        </row>
        <row r="124">
          <cell r="A124">
            <v>52000809</v>
          </cell>
          <cell r="B124" t="str">
            <v>Inter branch control account for 08-09</v>
          </cell>
          <cell r="C124">
            <v>-2591899</v>
          </cell>
          <cell r="D124">
            <v>485460</v>
          </cell>
          <cell r="E124">
            <v>611147</v>
          </cell>
          <cell r="F124">
            <v>-125687</v>
          </cell>
          <cell r="G124">
            <v>0</v>
          </cell>
          <cell r="H124">
            <v>-2717586</v>
          </cell>
        </row>
        <row r="125">
          <cell r="A125">
            <v>61000400</v>
          </cell>
          <cell r="B125" t="str">
            <v>Control Account Haulage Income</v>
          </cell>
          <cell r="C125">
            <v>0</v>
          </cell>
          <cell r="D125">
            <v>1788268</v>
          </cell>
          <cell r="E125">
            <v>1788268</v>
          </cell>
          <cell r="F125">
            <v>0</v>
          </cell>
          <cell r="G125">
            <v>0</v>
          </cell>
          <cell r="H125">
            <v>0</v>
          </cell>
        </row>
        <row r="126">
          <cell r="A126">
            <v>61000500</v>
          </cell>
          <cell r="B126" t="str">
            <v>Control Account for Pumping</v>
          </cell>
          <cell r="C126">
            <v>0</v>
          </cell>
          <cell r="D126">
            <v>606844</v>
          </cell>
          <cell r="E126">
            <v>606844</v>
          </cell>
          <cell r="F126">
            <v>0</v>
          </cell>
          <cell r="G126">
            <v>0</v>
          </cell>
          <cell r="H126">
            <v>0</v>
          </cell>
        </row>
        <row r="127">
          <cell r="A127">
            <v>62000000</v>
          </cell>
          <cell r="B127" t="str">
            <v>Inter branch Clearing account</v>
          </cell>
          <cell r="C127">
            <v>0</v>
          </cell>
          <cell r="D127">
            <v>611147</v>
          </cell>
          <cell r="E127">
            <v>611147</v>
          </cell>
          <cell r="F127">
            <v>0</v>
          </cell>
          <cell r="G127">
            <v>0</v>
          </cell>
          <cell r="H127">
            <v>0</v>
          </cell>
        </row>
        <row r="128">
          <cell r="B128" t="str">
            <v>Total</v>
          </cell>
          <cell r="D128">
            <v>0</v>
          </cell>
          <cell r="E128">
            <v>114629628.89</v>
          </cell>
          <cell r="F128">
            <v>114629628.89</v>
          </cell>
          <cell r="G128">
            <v>0</v>
          </cell>
          <cell r="H128">
            <v>0</v>
          </cell>
        </row>
      </sheetData>
      <sheetData sheetId="19" refreshError="1">
        <row r="1">
          <cell r="A1" t="str">
            <v>RMC Readymix (I) Pvt. Ltd.,</v>
          </cell>
          <cell r="B1" t="str">
            <v>Trial balance</v>
          </cell>
          <cell r="C1">
            <v>39969</v>
          </cell>
          <cell r="D1">
            <v>0.73938657407407404</v>
          </cell>
          <cell r="E1" t="str">
            <v>Page 1</v>
          </cell>
          <cell r="F1" t="str">
            <v>Hyderabad</v>
          </cell>
        </row>
        <row r="2">
          <cell r="A2" t="str">
            <v>Period</v>
          </cell>
          <cell r="B2">
            <v>39904</v>
          </cell>
          <cell r="C2">
            <v>39964</v>
          </cell>
        </row>
        <row r="3">
          <cell r="A3" t="str">
            <v>Ledger account</v>
          </cell>
          <cell r="B3" t="str">
            <v>Account name</v>
          </cell>
          <cell r="C3" t="str">
            <v>Opening balance</v>
          </cell>
          <cell r="D3" t="str">
            <v>Debit</v>
          </cell>
          <cell r="E3" t="str">
            <v>Credit</v>
          </cell>
          <cell r="F3" t="str">
            <v>Net difference</v>
          </cell>
          <cell r="G3" t="str">
            <v>Closing transactions</v>
          </cell>
          <cell r="H3" t="str">
            <v>Closing balance</v>
          </cell>
        </row>
        <row r="4">
          <cell r="A4">
            <v>11015010</v>
          </cell>
          <cell r="B4" t="str">
            <v>Buildings</v>
          </cell>
          <cell r="C4">
            <v>3433098.55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3433098.55</v>
          </cell>
        </row>
        <row r="5">
          <cell r="A5">
            <v>11025010</v>
          </cell>
          <cell r="B5" t="str">
            <v>Plant and Machinery</v>
          </cell>
          <cell r="C5">
            <v>11960725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11960725</v>
          </cell>
        </row>
        <row r="6">
          <cell r="A6">
            <v>11030010</v>
          </cell>
          <cell r="B6" t="str">
            <v>Electrical Installations</v>
          </cell>
          <cell r="C6">
            <v>741544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741544</v>
          </cell>
        </row>
        <row r="7">
          <cell r="A7">
            <v>11035010</v>
          </cell>
          <cell r="B7" t="str">
            <v>Furniture &amp; Fixtures</v>
          </cell>
          <cell r="C7">
            <v>1043024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1043024</v>
          </cell>
        </row>
        <row r="8">
          <cell r="A8">
            <v>11040010</v>
          </cell>
          <cell r="B8" t="str">
            <v>Office &amp; Electrical Appliances</v>
          </cell>
          <cell r="C8">
            <v>151545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151545</v>
          </cell>
        </row>
        <row r="9">
          <cell r="A9">
            <v>11045010</v>
          </cell>
          <cell r="B9" t="str">
            <v>Truck Mixers, Loaders &amp; Truck Dumpers</v>
          </cell>
          <cell r="C9">
            <v>2150000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2150000</v>
          </cell>
        </row>
        <row r="10">
          <cell r="A10">
            <v>11060010</v>
          </cell>
          <cell r="B10" t="str">
            <v>Capital W.I.P</v>
          </cell>
          <cell r="C10">
            <v>0.19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0.19</v>
          </cell>
        </row>
        <row r="11">
          <cell r="A11">
            <v>13015010</v>
          </cell>
          <cell r="B11" t="str">
            <v>Balance Sheet Stock of Raw material - RMC</v>
          </cell>
          <cell r="C11">
            <v>303803.46000000002</v>
          </cell>
          <cell r="D11">
            <v>25458.69</v>
          </cell>
          <cell r="E11">
            <v>303803.46000000002</v>
          </cell>
          <cell r="F11">
            <v>-278344.77</v>
          </cell>
          <cell r="G11">
            <v>0</v>
          </cell>
          <cell r="H11">
            <v>25458.69</v>
          </cell>
        </row>
        <row r="12">
          <cell r="A12">
            <v>13020010</v>
          </cell>
          <cell r="B12" t="str">
            <v>Sundry Debtors Account</v>
          </cell>
          <cell r="C12">
            <v>6644550</v>
          </cell>
          <cell r="D12">
            <v>1354665</v>
          </cell>
          <cell r="E12">
            <v>1062025</v>
          </cell>
          <cell r="F12">
            <v>292640</v>
          </cell>
          <cell r="G12">
            <v>0</v>
          </cell>
          <cell r="H12">
            <v>6937190</v>
          </cell>
        </row>
        <row r="13">
          <cell r="A13">
            <v>13055020</v>
          </cell>
          <cell r="B13" t="str">
            <v>Prepaid Expenses</v>
          </cell>
          <cell r="C13">
            <v>0</v>
          </cell>
          <cell r="D13">
            <v>10817</v>
          </cell>
          <cell r="E13">
            <v>0</v>
          </cell>
          <cell r="F13">
            <v>10817</v>
          </cell>
          <cell r="G13">
            <v>0</v>
          </cell>
          <cell r="H13">
            <v>10817</v>
          </cell>
        </row>
        <row r="14">
          <cell r="A14">
            <v>25005010</v>
          </cell>
          <cell r="B14" t="str">
            <v>Creditors Control</v>
          </cell>
          <cell r="C14">
            <v>-643241.02</v>
          </cell>
          <cell r="D14">
            <v>114578</v>
          </cell>
          <cell r="E14">
            <v>101092</v>
          </cell>
          <cell r="F14">
            <v>13486</v>
          </cell>
          <cell r="G14">
            <v>0</v>
          </cell>
          <cell r="H14">
            <v>-629755.02</v>
          </cell>
        </row>
        <row r="15">
          <cell r="A15">
            <v>25005050</v>
          </cell>
          <cell r="B15" t="str">
            <v>Creditors liability for material received but bill not recei</v>
          </cell>
          <cell r="C15">
            <v>0</v>
          </cell>
          <cell r="D15">
            <v>58992</v>
          </cell>
          <cell r="E15">
            <v>58992</v>
          </cell>
          <cell r="F15">
            <v>0</v>
          </cell>
          <cell r="G15">
            <v>0</v>
          </cell>
          <cell r="H15">
            <v>0</v>
          </cell>
        </row>
        <row r="16">
          <cell r="A16">
            <v>25010060</v>
          </cell>
          <cell r="B16" t="str">
            <v>T.D.S.payable account</v>
          </cell>
          <cell r="C16">
            <v>-10465</v>
          </cell>
          <cell r="D16">
            <v>11804</v>
          </cell>
          <cell r="E16">
            <v>2069</v>
          </cell>
          <cell r="F16">
            <v>9735</v>
          </cell>
          <cell r="G16">
            <v>0</v>
          </cell>
          <cell r="H16">
            <v>-730</v>
          </cell>
        </row>
        <row r="17">
          <cell r="A17">
            <v>25010190</v>
          </cell>
          <cell r="B17" t="str">
            <v>VAT  Payable account</v>
          </cell>
          <cell r="C17">
            <v>-1063</v>
          </cell>
          <cell r="D17">
            <v>1518</v>
          </cell>
          <cell r="E17">
            <v>455</v>
          </cell>
          <cell r="F17">
            <v>1063</v>
          </cell>
          <cell r="G17">
            <v>0</v>
          </cell>
          <cell r="H17">
            <v>0</v>
          </cell>
        </row>
        <row r="18">
          <cell r="A18">
            <v>25010200</v>
          </cell>
          <cell r="B18" t="str">
            <v>Provision for Expenses in MIS</v>
          </cell>
          <cell r="C18">
            <v>0</v>
          </cell>
          <cell r="D18">
            <v>41000</v>
          </cell>
          <cell r="E18">
            <v>74000</v>
          </cell>
          <cell r="F18">
            <v>-33000</v>
          </cell>
          <cell r="G18">
            <v>0</v>
          </cell>
          <cell r="H18">
            <v>-33000</v>
          </cell>
        </row>
        <row r="19">
          <cell r="A19">
            <v>26005020</v>
          </cell>
          <cell r="B19" t="str">
            <v>Provision For Bad &amp; Doubtful Debts</v>
          </cell>
          <cell r="C19">
            <v>-55035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-55035</v>
          </cell>
        </row>
        <row r="20">
          <cell r="A20">
            <v>26015010</v>
          </cell>
          <cell r="B20" t="str">
            <v>Prov For Dep.-  Buildings</v>
          </cell>
          <cell r="C20">
            <v>-896291.97</v>
          </cell>
          <cell r="D20">
            <v>0</v>
          </cell>
          <cell r="E20">
            <v>242129</v>
          </cell>
          <cell r="F20">
            <v>-242129</v>
          </cell>
          <cell r="G20">
            <v>0</v>
          </cell>
          <cell r="H20">
            <v>-1138420.97</v>
          </cell>
        </row>
        <row r="21">
          <cell r="A21">
            <v>26025010</v>
          </cell>
          <cell r="B21" t="str">
            <v>Provision for Depreciation Plant &amp; Machinery</v>
          </cell>
          <cell r="C21">
            <v>-698577</v>
          </cell>
          <cell r="D21">
            <v>0</v>
          </cell>
          <cell r="E21">
            <v>151178.1</v>
          </cell>
          <cell r="F21">
            <v>-151178.1</v>
          </cell>
          <cell r="G21">
            <v>0</v>
          </cell>
          <cell r="H21">
            <v>-849755.1</v>
          </cell>
        </row>
        <row r="22">
          <cell r="A22">
            <v>26030010</v>
          </cell>
          <cell r="B22" t="str">
            <v>Provision For Dep.-Electrical Installations</v>
          </cell>
          <cell r="C22">
            <v>-53645.120000000003</v>
          </cell>
          <cell r="D22">
            <v>0</v>
          </cell>
          <cell r="E22">
            <v>12356</v>
          </cell>
          <cell r="F22">
            <v>-12356</v>
          </cell>
          <cell r="G22">
            <v>0</v>
          </cell>
          <cell r="H22">
            <v>-66001.119999999995</v>
          </cell>
        </row>
        <row r="23">
          <cell r="A23">
            <v>26035010</v>
          </cell>
          <cell r="B23" t="str">
            <v>Provision For Dep.-Furniture and Fixtures</v>
          </cell>
          <cell r="C23">
            <v>-98499.37</v>
          </cell>
          <cell r="D23">
            <v>0</v>
          </cell>
          <cell r="E23">
            <v>17013.3</v>
          </cell>
          <cell r="F23">
            <v>-17013.3</v>
          </cell>
          <cell r="G23">
            <v>0</v>
          </cell>
          <cell r="H23">
            <v>-115512.67</v>
          </cell>
        </row>
        <row r="24">
          <cell r="A24">
            <v>26040010</v>
          </cell>
          <cell r="B24" t="str">
            <v>Provision for Depreciation- Office and Electrical Appliances</v>
          </cell>
          <cell r="C24">
            <v>-17405.86</v>
          </cell>
          <cell r="D24">
            <v>0</v>
          </cell>
          <cell r="E24">
            <v>2408.1</v>
          </cell>
          <cell r="F24">
            <v>-2408.1</v>
          </cell>
          <cell r="G24">
            <v>0</v>
          </cell>
          <cell r="H24">
            <v>-19813.96</v>
          </cell>
        </row>
        <row r="25">
          <cell r="A25">
            <v>26045010</v>
          </cell>
          <cell r="B25" t="str">
            <v>Provision for Depreciation- Truck Mixers, Loaders &amp; Dumpers</v>
          </cell>
          <cell r="C25">
            <v>-201563.66</v>
          </cell>
          <cell r="D25">
            <v>0</v>
          </cell>
          <cell r="E25">
            <v>44792</v>
          </cell>
          <cell r="F25">
            <v>-44792</v>
          </cell>
          <cell r="G25">
            <v>0</v>
          </cell>
          <cell r="H25">
            <v>-246355.66</v>
          </cell>
        </row>
        <row r="26">
          <cell r="A26">
            <v>26055020</v>
          </cell>
          <cell r="B26" t="str">
            <v>Profit &amp; Loss A/c</v>
          </cell>
          <cell r="C26">
            <v>-4416295.42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-4416295.42</v>
          </cell>
        </row>
        <row r="27">
          <cell r="A27">
            <v>31010010</v>
          </cell>
          <cell r="B27" t="str">
            <v>Sales</v>
          </cell>
          <cell r="C27">
            <v>0</v>
          </cell>
          <cell r="D27">
            <v>0</v>
          </cell>
          <cell r="E27">
            <v>1342840</v>
          </cell>
          <cell r="F27">
            <v>-1342840</v>
          </cell>
          <cell r="G27">
            <v>0</v>
          </cell>
          <cell r="H27">
            <v>-1342840</v>
          </cell>
        </row>
        <row r="28">
          <cell r="A28">
            <v>41010020</v>
          </cell>
          <cell r="B28" t="str">
            <v>Opening Stock - Sand</v>
          </cell>
          <cell r="C28">
            <v>0</v>
          </cell>
          <cell r="D28">
            <v>194458.49</v>
          </cell>
          <cell r="E28">
            <v>0</v>
          </cell>
          <cell r="F28">
            <v>194458.49</v>
          </cell>
          <cell r="G28">
            <v>0</v>
          </cell>
          <cell r="H28">
            <v>194458.49</v>
          </cell>
        </row>
        <row r="29">
          <cell r="A29">
            <v>41010050</v>
          </cell>
          <cell r="B29" t="str">
            <v>Opening Stock - Admixtures</v>
          </cell>
          <cell r="C29">
            <v>0</v>
          </cell>
          <cell r="D29">
            <v>46354.54</v>
          </cell>
          <cell r="E29">
            <v>0</v>
          </cell>
          <cell r="F29">
            <v>46354.54</v>
          </cell>
          <cell r="G29">
            <v>0</v>
          </cell>
          <cell r="H29">
            <v>46354.54</v>
          </cell>
        </row>
        <row r="30">
          <cell r="A30">
            <v>41010070</v>
          </cell>
          <cell r="B30" t="str">
            <v>Opening Stock - Flyash</v>
          </cell>
          <cell r="C30">
            <v>0</v>
          </cell>
          <cell r="D30">
            <v>56166.1</v>
          </cell>
          <cell r="E30">
            <v>0</v>
          </cell>
          <cell r="F30">
            <v>56166.1</v>
          </cell>
          <cell r="G30">
            <v>0</v>
          </cell>
          <cell r="H30">
            <v>56166.1</v>
          </cell>
        </row>
        <row r="31">
          <cell r="A31">
            <v>41010080</v>
          </cell>
          <cell r="B31" t="str">
            <v>Opening Stock - Diesel</v>
          </cell>
          <cell r="C31">
            <v>0</v>
          </cell>
          <cell r="D31">
            <v>6824.33</v>
          </cell>
          <cell r="E31">
            <v>0</v>
          </cell>
          <cell r="F31">
            <v>6824.33</v>
          </cell>
          <cell r="G31">
            <v>0</v>
          </cell>
          <cell r="H31">
            <v>6824.33</v>
          </cell>
        </row>
        <row r="32">
          <cell r="A32">
            <v>41020050</v>
          </cell>
          <cell r="B32" t="str">
            <v>Raw Material Purchase - Sand</v>
          </cell>
          <cell r="C32">
            <v>0</v>
          </cell>
          <cell r="D32">
            <v>14039.3</v>
          </cell>
          <cell r="E32">
            <v>198000.75</v>
          </cell>
          <cell r="F32">
            <v>-183961.45</v>
          </cell>
          <cell r="G32">
            <v>0</v>
          </cell>
          <cell r="H32">
            <v>-183961.45</v>
          </cell>
        </row>
        <row r="33">
          <cell r="A33">
            <v>41020060</v>
          </cell>
          <cell r="B33" t="str">
            <v>Sand Consumption account</v>
          </cell>
          <cell r="C33">
            <v>0</v>
          </cell>
          <cell r="D33">
            <v>157195</v>
          </cell>
          <cell r="E33">
            <v>0</v>
          </cell>
          <cell r="F33">
            <v>157195</v>
          </cell>
          <cell r="G33">
            <v>0</v>
          </cell>
          <cell r="H33">
            <v>157195</v>
          </cell>
        </row>
        <row r="34">
          <cell r="A34">
            <v>41020070</v>
          </cell>
          <cell r="B34" t="str">
            <v>Raw Material Purchase - Admixture</v>
          </cell>
          <cell r="C34">
            <v>0</v>
          </cell>
          <cell r="D34">
            <v>74786.98</v>
          </cell>
          <cell r="E34">
            <v>114204.03</v>
          </cell>
          <cell r="F34">
            <v>-39417.050000000003</v>
          </cell>
          <cell r="G34">
            <v>0</v>
          </cell>
          <cell r="H34">
            <v>-39417.050000000003</v>
          </cell>
        </row>
        <row r="35">
          <cell r="A35">
            <v>41020080</v>
          </cell>
          <cell r="B35" t="str">
            <v>Admixture Consumption account</v>
          </cell>
          <cell r="C35">
            <v>0</v>
          </cell>
          <cell r="D35">
            <v>107327.4</v>
          </cell>
          <cell r="E35">
            <v>0</v>
          </cell>
          <cell r="F35">
            <v>107327.4</v>
          </cell>
          <cell r="G35">
            <v>0</v>
          </cell>
          <cell r="H35">
            <v>107327.4</v>
          </cell>
        </row>
        <row r="36">
          <cell r="A36">
            <v>41020090</v>
          </cell>
          <cell r="B36" t="str">
            <v>Raw Material  Purchase - Fly Ash</v>
          </cell>
          <cell r="C36">
            <v>0</v>
          </cell>
          <cell r="D36">
            <v>58992</v>
          </cell>
          <cell r="E36">
            <v>108835.95</v>
          </cell>
          <cell r="F36">
            <v>-49843.95</v>
          </cell>
          <cell r="G36">
            <v>0</v>
          </cell>
          <cell r="H36">
            <v>-49843.95</v>
          </cell>
        </row>
        <row r="37">
          <cell r="A37">
            <v>41020095</v>
          </cell>
          <cell r="B37" t="str">
            <v>Interim account fly ash received</v>
          </cell>
          <cell r="C37">
            <v>0</v>
          </cell>
          <cell r="D37">
            <v>58992</v>
          </cell>
          <cell r="E37">
            <v>58992</v>
          </cell>
          <cell r="F37">
            <v>0</v>
          </cell>
          <cell r="G37">
            <v>0</v>
          </cell>
          <cell r="H37">
            <v>0</v>
          </cell>
        </row>
        <row r="38">
          <cell r="A38">
            <v>41020100</v>
          </cell>
          <cell r="B38" t="str">
            <v>Fly Ash Consumption account</v>
          </cell>
          <cell r="C38">
            <v>0</v>
          </cell>
          <cell r="D38">
            <v>98929.13</v>
          </cell>
          <cell r="E38">
            <v>0</v>
          </cell>
          <cell r="F38">
            <v>98929.13</v>
          </cell>
          <cell r="G38">
            <v>0</v>
          </cell>
          <cell r="H38">
            <v>98929.13</v>
          </cell>
        </row>
        <row r="39">
          <cell r="A39">
            <v>41020150</v>
          </cell>
          <cell r="B39" t="str">
            <v>Loss/ gain on Stock</v>
          </cell>
          <cell r="C39">
            <v>0</v>
          </cell>
          <cell r="D39">
            <v>34858.800000000003</v>
          </cell>
          <cell r="E39">
            <v>23702.09</v>
          </cell>
          <cell r="F39">
            <v>11156.71</v>
          </cell>
          <cell r="G39">
            <v>0</v>
          </cell>
          <cell r="H39">
            <v>11156.71</v>
          </cell>
        </row>
        <row r="40">
          <cell r="A40">
            <v>41020195</v>
          </cell>
          <cell r="B40" t="str">
            <v>Purchase of Diesel</v>
          </cell>
          <cell r="C40">
            <v>0</v>
          </cell>
          <cell r="D40">
            <v>74581.77</v>
          </cell>
          <cell r="E40">
            <v>79704.09</v>
          </cell>
          <cell r="F40">
            <v>-5122.32</v>
          </cell>
          <cell r="G40">
            <v>0</v>
          </cell>
          <cell r="H40">
            <v>-5122.32</v>
          </cell>
        </row>
        <row r="41">
          <cell r="A41">
            <v>41050020</v>
          </cell>
          <cell r="B41" t="str">
            <v>Closing Stock - Sand</v>
          </cell>
          <cell r="C41">
            <v>0</v>
          </cell>
          <cell r="D41">
            <v>0</v>
          </cell>
          <cell r="E41">
            <v>10497.04</v>
          </cell>
          <cell r="F41">
            <v>-10497.04</v>
          </cell>
          <cell r="G41">
            <v>0</v>
          </cell>
          <cell r="H41">
            <v>-10497.04</v>
          </cell>
        </row>
        <row r="42">
          <cell r="A42">
            <v>41050050</v>
          </cell>
          <cell r="B42" t="str">
            <v>Closing Stock - Admixtures</v>
          </cell>
          <cell r="C42">
            <v>0</v>
          </cell>
          <cell r="D42">
            <v>0</v>
          </cell>
          <cell r="E42">
            <v>6937.49</v>
          </cell>
          <cell r="F42">
            <v>-6937.49</v>
          </cell>
          <cell r="G42">
            <v>0</v>
          </cell>
          <cell r="H42">
            <v>-6937.49</v>
          </cell>
        </row>
        <row r="43">
          <cell r="A43">
            <v>41050070</v>
          </cell>
          <cell r="B43" t="str">
            <v>Closing Stock - Flyash</v>
          </cell>
          <cell r="C43">
            <v>0</v>
          </cell>
          <cell r="D43">
            <v>0</v>
          </cell>
          <cell r="E43">
            <v>6322.15</v>
          </cell>
          <cell r="F43">
            <v>-6322.15</v>
          </cell>
          <cell r="G43">
            <v>0</v>
          </cell>
          <cell r="H43">
            <v>-6322.15</v>
          </cell>
        </row>
        <row r="44">
          <cell r="A44">
            <v>41050080</v>
          </cell>
          <cell r="B44" t="str">
            <v>Closing Stock - Diesel</v>
          </cell>
          <cell r="C44">
            <v>0</v>
          </cell>
          <cell r="D44">
            <v>0</v>
          </cell>
          <cell r="E44">
            <v>1702.01</v>
          </cell>
          <cell r="F44">
            <v>-1702.01</v>
          </cell>
          <cell r="G44">
            <v>0</v>
          </cell>
          <cell r="H44">
            <v>-1702.01</v>
          </cell>
        </row>
        <row r="45">
          <cell r="A45">
            <v>43001020</v>
          </cell>
          <cell r="B45" t="str">
            <v>Water Charges</v>
          </cell>
          <cell r="C45">
            <v>0</v>
          </cell>
          <cell r="D45">
            <v>42400</v>
          </cell>
          <cell r="E45">
            <v>15000</v>
          </cell>
          <cell r="F45">
            <v>27400</v>
          </cell>
          <cell r="G45">
            <v>0</v>
          </cell>
          <cell r="H45">
            <v>27400</v>
          </cell>
        </row>
        <row r="46">
          <cell r="A46">
            <v>43001030</v>
          </cell>
          <cell r="B46" t="str">
            <v>Fuel For Diesel Generator Set</v>
          </cell>
          <cell r="C46">
            <v>0</v>
          </cell>
          <cell r="D46">
            <v>70167.42</v>
          </cell>
          <cell r="E46">
            <v>0</v>
          </cell>
          <cell r="F46">
            <v>70167.42</v>
          </cell>
          <cell r="G46">
            <v>0</v>
          </cell>
          <cell r="H46">
            <v>70167.42</v>
          </cell>
        </row>
        <row r="47">
          <cell r="A47">
            <v>43018010</v>
          </cell>
          <cell r="B47" t="str">
            <v>Repairs &amp; Maintenance</v>
          </cell>
          <cell r="C47">
            <v>0</v>
          </cell>
          <cell r="D47">
            <v>10000</v>
          </cell>
          <cell r="E47">
            <v>0</v>
          </cell>
          <cell r="F47">
            <v>10000</v>
          </cell>
          <cell r="G47">
            <v>0</v>
          </cell>
          <cell r="H47">
            <v>10000</v>
          </cell>
        </row>
        <row r="48">
          <cell r="A48">
            <v>43042010</v>
          </cell>
          <cell r="B48" t="str">
            <v>Fuel - Truck Mixers</v>
          </cell>
          <cell r="C48">
            <v>0</v>
          </cell>
          <cell r="D48">
            <v>3750.06</v>
          </cell>
          <cell r="E48">
            <v>1875.03</v>
          </cell>
          <cell r="F48">
            <v>1875.03</v>
          </cell>
          <cell r="G48">
            <v>0</v>
          </cell>
          <cell r="H48">
            <v>1875.03</v>
          </cell>
        </row>
        <row r="49">
          <cell r="A49">
            <v>43042020</v>
          </cell>
          <cell r="B49" t="str">
            <v>Fuel - Loader</v>
          </cell>
          <cell r="C49">
            <v>0</v>
          </cell>
          <cell r="D49">
            <v>5957.07</v>
          </cell>
          <cell r="E49">
            <v>0</v>
          </cell>
          <cell r="F49">
            <v>5957.07</v>
          </cell>
          <cell r="G49">
            <v>0</v>
          </cell>
          <cell r="H49">
            <v>5957.07</v>
          </cell>
        </row>
        <row r="50">
          <cell r="A50">
            <v>43042050</v>
          </cell>
          <cell r="B50" t="str">
            <v>Fuel -  External Trucks/Pumps</v>
          </cell>
          <cell r="C50">
            <v>0</v>
          </cell>
          <cell r="D50">
            <v>6819.57</v>
          </cell>
          <cell r="E50">
            <v>6819.57</v>
          </cell>
          <cell r="F50">
            <v>0</v>
          </cell>
          <cell r="G50">
            <v>0</v>
          </cell>
          <cell r="H50">
            <v>0</v>
          </cell>
        </row>
        <row r="51">
          <cell r="A51">
            <v>43052010</v>
          </cell>
          <cell r="B51" t="str">
            <v>Security Service Charges</v>
          </cell>
          <cell r="C51">
            <v>0</v>
          </cell>
          <cell r="D51">
            <v>63700</v>
          </cell>
          <cell r="E51">
            <v>26000</v>
          </cell>
          <cell r="F51">
            <v>37700</v>
          </cell>
          <cell r="G51">
            <v>0</v>
          </cell>
          <cell r="H51">
            <v>37700</v>
          </cell>
        </row>
        <row r="52">
          <cell r="A52">
            <v>43084030</v>
          </cell>
          <cell r="B52" t="str">
            <v>Rounding Off</v>
          </cell>
          <cell r="C52">
            <v>0</v>
          </cell>
          <cell r="D52">
            <v>0.5</v>
          </cell>
          <cell r="E52">
            <v>0.49</v>
          </cell>
          <cell r="F52">
            <v>0.01</v>
          </cell>
          <cell r="G52">
            <v>0</v>
          </cell>
          <cell r="H52">
            <v>0.01</v>
          </cell>
        </row>
        <row r="53">
          <cell r="A53">
            <v>45010010</v>
          </cell>
          <cell r="B53" t="str">
            <v>Depreciation</v>
          </cell>
          <cell r="C53">
            <v>0</v>
          </cell>
          <cell r="D53">
            <v>469876</v>
          </cell>
          <cell r="E53">
            <v>0</v>
          </cell>
          <cell r="F53">
            <v>469876</v>
          </cell>
          <cell r="G53">
            <v>0</v>
          </cell>
          <cell r="H53">
            <v>469876</v>
          </cell>
        </row>
        <row r="54">
          <cell r="A54">
            <v>52000000</v>
          </cell>
          <cell r="B54" t="str">
            <v>Inter Branch Control Account</v>
          </cell>
          <cell r="C54">
            <v>-19785315.379999999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-19785315.379999999</v>
          </cell>
        </row>
        <row r="55">
          <cell r="A55">
            <v>52000809</v>
          </cell>
          <cell r="B55" t="str">
            <v>Inter branch control account for 08-09</v>
          </cell>
          <cell r="C55">
            <v>449107.6</v>
          </cell>
          <cell r="D55">
            <v>1063729.57</v>
          </cell>
          <cell r="E55">
            <v>264993.07</v>
          </cell>
          <cell r="F55">
            <v>798736.5</v>
          </cell>
          <cell r="G55">
            <v>0</v>
          </cell>
          <cell r="H55">
            <v>1247844.1000000001</v>
          </cell>
        </row>
        <row r="56">
          <cell r="A56">
            <v>61000400</v>
          </cell>
          <cell r="B56" t="str">
            <v>Control Account Haulage Income</v>
          </cell>
          <cell r="C56">
            <v>0</v>
          </cell>
          <cell r="D56">
            <v>640643.57999999996</v>
          </cell>
          <cell r="E56">
            <v>640643.57999999996</v>
          </cell>
          <cell r="F56">
            <v>0</v>
          </cell>
          <cell r="G56">
            <v>0</v>
          </cell>
          <cell r="H56">
            <v>0</v>
          </cell>
        </row>
        <row r="57">
          <cell r="A57">
            <v>62000000</v>
          </cell>
          <cell r="B57" t="str">
            <v>Inter branch Clearing account</v>
          </cell>
          <cell r="C57">
            <v>0</v>
          </cell>
          <cell r="D57">
            <v>1436758.13</v>
          </cell>
          <cell r="E57">
            <v>1436758.13</v>
          </cell>
          <cell r="F57">
            <v>0</v>
          </cell>
          <cell r="G57">
            <v>0</v>
          </cell>
          <cell r="H57">
            <v>0</v>
          </cell>
        </row>
        <row r="58">
          <cell r="B58" t="str">
            <v>Total</v>
          </cell>
          <cell r="D58">
            <v>0</v>
          </cell>
          <cell r="E58">
            <v>6416140.4299999997</v>
          </cell>
          <cell r="F58">
            <v>6416140.4299999997</v>
          </cell>
          <cell r="G58">
            <v>0</v>
          </cell>
          <cell r="H58">
            <v>0</v>
          </cell>
        </row>
      </sheetData>
      <sheetData sheetId="20" refreshError="1">
        <row r="1">
          <cell r="A1" t="str">
            <v>RMC Readymix (India) Pvt. Ltd.</v>
          </cell>
          <cell r="B1" t="str">
            <v>Trial balance</v>
          </cell>
          <cell r="C1">
            <v>39970</v>
          </cell>
          <cell r="D1">
            <v>0.69398148148148142</v>
          </cell>
          <cell r="E1" t="str">
            <v>Page 1</v>
          </cell>
          <cell r="F1" t="str">
            <v>Mumbai</v>
          </cell>
        </row>
        <row r="2">
          <cell r="A2" t="str">
            <v>Period</v>
          </cell>
          <cell r="B2">
            <v>39904</v>
          </cell>
          <cell r="C2">
            <v>39964</v>
          </cell>
        </row>
        <row r="3">
          <cell r="A3" t="str">
            <v>Ledger account</v>
          </cell>
          <cell r="B3" t="str">
            <v>Account name</v>
          </cell>
          <cell r="C3" t="str">
            <v>Opening balance</v>
          </cell>
          <cell r="D3" t="str">
            <v>Debit</v>
          </cell>
          <cell r="E3" t="str">
            <v>Credit</v>
          </cell>
          <cell r="F3" t="str">
            <v>Net difference</v>
          </cell>
          <cell r="G3" t="str">
            <v>Closing transactions</v>
          </cell>
          <cell r="H3" t="str">
            <v>Closing balance</v>
          </cell>
        </row>
        <row r="4">
          <cell r="A4">
            <v>11010010</v>
          </cell>
          <cell r="B4" t="str">
            <v>Freehold Land</v>
          </cell>
          <cell r="C4">
            <v>9621389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9621389</v>
          </cell>
        </row>
        <row r="5">
          <cell r="A5">
            <v>11010020</v>
          </cell>
          <cell r="B5" t="str">
            <v>Leasehold Land</v>
          </cell>
          <cell r="C5">
            <v>26595131.850000001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26595131.850000001</v>
          </cell>
        </row>
        <row r="6">
          <cell r="A6">
            <v>11010030</v>
          </cell>
          <cell r="B6" t="str">
            <v>Leasehold Improvements</v>
          </cell>
          <cell r="C6">
            <v>13704382.51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13704382.51</v>
          </cell>
        </row>
        <row r="7">
          <cell r="A7">
            <v>11015010</v>
          </cell>
          <cell r="B7" t="str">
            <v>Buildings</v>
          </cell>
          <cell r="C7">
            <v>138470474.13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138470474.13</v>
          </cell>
        </row>
        <row r="8">
          <cell r="A8">
            <v>11025010</v>
          </cell>
          <cell r="B8" t="str">
            <v>Plant and Machinery</v>
          </cell>
          <cell r="C8">
            <v>169690861.22999999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169690861.22999999</v>
          </cell>
        </row>
        <row r="9">
          <cell r="A9">
            <v>11030010</v>
          </cell>
          <cell r="B9" t="str">
            <v>Electrical Installations</v>
          </cell>
          <cell r="C9">
            <v>12396467.029999999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12396467.029999999</v>
          </cell>
        </row>
        <row r="10">
          <cell r="A10">
            <v>11035010</v>
          </cell>
          <cell r="B10" t="str">
            <v>Furniture &amp; Fixtures</v>
          </cell>
          <cell r="C10">
            <v>25230961.780000001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25230961.780000001</v>
          </cell>
        </row>
        <row r="11">
          <cell r="A11">
            <v>11040010</v>
          </cell>
          <cell r="B11" t="str">
            <v>Office &amp; Electrical Appliances</v>
          </cell>
          <cell r="C11">
            <v>17242739.050000001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17242739.050000001</v>
          </cell>
        </row>
        <row r="12">
          <cell r="A12">
            <v>11045010</v>
          </cell>
          <cell r="B12" t="str">
            <v>Truck Mixers, Loaders &amp; Truck Dumpers</v>
          </cell>
          <cell r="C12">
            <v>88822822.700000003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88822822.700000003</v>
          </cell>
        </row>
        <row r="13">
          <cell r="A13">
            <v>11050010</v>
          </cell>
          <cell r="B13" t="str">
            <v>Motor Vehicles &amp; Technical Vans</v>
          </cell>
          <cell r="C13">
            <v>7142811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7142811</v>
          </cell>
        </row>
        <row r="14">
          <cell r="A14">
            <v>11056010</v>
          </cell>
          <cell r="B14" t="str">
            <v>Intangible Assets</v>
          </cell>
          <cell r="C14">
            <v>10368372.27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10368372.27</v>
          </cell>
        </row>
        <row r="15">
          <cell r="A15">
            <v>11060010</v>
          </cell>
          <cell r="B15" t="str">
            <v>Capital W.I.P</v>
          </cell>
          <cell r="C15">
            <v>2585292.87</v>
          </cell>
          <cell r="D15">
            <v>558327.9</v>
          </cell>
          <cell r="E15">
            <v>13094.19</v>
          </cell>
          <cell r="F15">
            <v>545233.71</v>
          </cell>
          <cell r="G15">
            <v>0</v>
          </cell>
          <cell r="H15">
            <v>3130526.58</v>
          </cell>
        </row>
        <row r="16">
          <cell r="A16">
            <v>13010030</v>
          </cell>
          <cell r="B16" t="str">
            <v>Loose Tools - Cube Moulds</v>
          </cell>
          <cell r="C16">
            <v>-2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-2</v>
          </cell>
        </row>
        <row r="17">
          <cell r="A17">
            <v>13015010</v>
          </cell>
          <cell r="B17" t="str">
            <v>Balance Sheet Stock of Raw material - RMC</v>
          </cell>
          <cell r="C17">
            <v>8673289.8300000001</v>
          </cell>
          <cell r="D17">
            <v>9496333.7799999993</v>
          </cell>
          <cell r="E17">
            <v>9270481.5999999996</v>
          </cell>
          <cell r="F17">
            <v>225852.18</v>
          </cell>
          <cell r="G17">
            <v>0</v>
          </cell>
          <cell r="H17">
            <v>8899142.0099999998</v>
          </cell>
        </row>
        <row r="18">
          <cell r="A18">
            <v>13015020</v>
          </cell>
          <cell r="B18" t="str">
            <v>Balance sheet Boulder production</v>
          </cell>
          <cell r="C18">
            <v>2254710.73</v>
          </cell>
          <cell r="D18">
            <v>21191107.690000001</v>
          </cell>
          <cell r="E18">
            <v>22819207.02</v>
          </cell>
          <cell r="F18">
            <v>-1628099.33</v>
          </cell>
          <cell r="G18">
            <v>0</v>
          </cell>
          <cell r="H18">
            <v>626611.4</v>
          </cell>
        </row>
        <row r="19">
          <cell r="A19">
            <v>13015030</v>
          </cell>
          <cell r="B19" t="str">
            <v>Balance sheet Aggregate Production</v>
          </cell>
          <cell r="C19">
            <v>3885178.99</v>
          </cell>
          <cell r="D19">
            <v>8055652.29</v>
          </cell>
          <cell r="E19">
            <v>11726164.470000001</v>
          </cell>
          <cell r="F19">
            <v>-3670512.18</v>
          </cell>
          <cell r="G19">
            <v>0</v>
          </cell>
          <cell r="H19">
            <v>214666.81</v>
          </cell>
        </row>
        <row r="20">
          <cell r="A20">
            <v>13015040</v>
          </cell>
          <cell r="B20" t="str">
            <v>Balance Sheet CRF Production</v>
          </cell>
          <cell r="C20">
            <v>77224.09</v>
          </cell>
          <cell r="D20">
            <v>0</v>
          </cell>
          <cell r="E20">
            <v>154448.9</v>
          </cell>
          <cell r="F20">
            <v>-154448.9</v>
          </cell>
          <cell r="G20">
            <v>0</v>
          </cell>
          <cell r="H20">
            <v>-77224.81</v>
          </cell>
        </row>
        <row r="21">
          <cell r="A21">
            <v>13015050</v>
          </cell>
          <cell r="B21" t="str">
            <v>Balance Sheet Quarry Stock Valuation</v>
          </cell>
          <cell r="C21">
            <v>4901854.54</v>
          </cell>
          <cell r="D21">
            <v>11018337.35</v>
          </cell>
          <cell r="E21">
            <v>4901854.54</v>
          </cell>
          <cell r="F21">
            <v>6116482.8099999996</v>
          </cell>
          <cell r="G21">
            <v>0</v>
          </cell>
          <cell r="H21">
            <v>11018337.35</v>
          </cell>
        </row>
        <row r="22">
          <cell r="A22">
            <v>13020010</v>
          </cell>
          <cell r="B22" t="str">
            <v>Sundry Debtors Account</v>
          </cell>
          <cell r="C22">
            <v>115982213.79000001</v>
          </cell>
          <cell r="D22">
            <v>235338170.94</v>
          </cell>
          <cell r="E22">
            <v>220923312.59999999</v>
          </cell>
          <cell r="F22">
            <v>14414858.34</v>
          </cell>
          <cell r="G22">
            <v>0</v>
          </cell>
          <cell r="H22">
            <v>130397072.13</v>
          </cell>
        </row>
        <row r="23">
          <cell r="A23">
            <v>13025010</v>
          </cell>
          <cell r="B23" t="str">
            <v>Cash In Hand</v>
          </cell>
          <cell r="C23">
            <v>67996</v>
          </cell>
          <cell r="D23">
            <v>1518900</v>
          </cell>
          <cell r="E23">
            <v>1229910</v>
          </cell>
          <cell r="F23">
            <v>288990</v>
          </cell>
          <cell r="G23">
            <v>0</v>
          </cell>
          <cell r="H23">
            <v>356986</v>
          </cell>
        </row>
        <row r="24">
          <cell r="A24">
            <v>13035010</v>
          </cell>
          <cell r="B24" t="str">
            <v>Bank Account</v>
          </cell>
          <cell r="C24">
            <v>-85979064.540000007</v>
          </cell>
          <cell r="D24">
            <v>543690629.26999998</v>
          </cell>
          <cell r="E24">
            <v>523836561.91000003</v>
          </cell>
          <cell r="F24">
            <v>19854067.359999999</v>
          </cell>
          <cell r="G24">
            <v>0</v>
          </cell>
          <cell r="H24">
            <v>-66124997.18</v>
          </cell>
        </row>
        <row r="25">
          <cell r="A25">
            <v>13040010</v>
          </cell>
          <cell r="B25" t="str">
            <v>Fixed Deposit With Banks</v>
          </cell>
          <cell r="C25">
            <v>17617000</v>
          </cell>
          <cell r="D25">
            <v>17500000</v>
          </cell>
          <cell r="E25">
            <v>17500000</v>
          </cell>
          <cell r="F25">
            <v>0</v>
          </cell>
          <cell r="G25">
            <v>0</v>
          </cell>
          <cell r="H25">
            <v>17617000</v>
          </cell>
        </row>
        <row r="26">
          <cell r="A26">
            <v>13045020</v>
          </cell>
          <cell r="B26" t="str">
            <v>Loans and advances to employees</v>
          </cell>
          <cell r="C26">
            <v>2851284.78</v>
          </cell>
          <cell r="D26">
            <v>1440962.51</v>
          </cell>
          <cell r="E26">
            <v>1121695.29</v>
          </cell>
          <cell r="F26">
            <v>319267.21999999997</v>
          </cell>
          <cell r="G26">
            <v>0</v>
          </cell>
          <cell r="H26">
            <v>3170552</v>
          </cell>
        </row>
        <row r="27">
          <cell r="A27">
            <v>13045030</v>
          </cell>
          <cell r="B27" t="str">
            <v>Other Advances</v>
          </cell>
          <cell r="C27">
            <v>20828.5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20828.5</v>
          </cell>
        </row>
        <row r="28">
          <cell r="A28">
            <v>13050002</v>
          </cell>
          <cell r="B28" t="str">
            <v>T.D.S. ON RECEIPTS 98-99</v>
          </cell>
          <cell r="C28">
            <v>326913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326913</v>
          </cell>
        </row>
        <row r="29">
          <cell r="A29">
            <v>13050004</v>
          </cell>
          <cell r="B29" t="str">
            <v>T.D.S. ON RECEIPTS 99-00</v>
          </cell>
          <cell r="C29">
            <v>-19696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-19696</v>
          </cell>
        </row>
        <row r="30">
          <cell r="A30">
            <v>13050006</v>
          </cell>
          <cell r="B30" t="str">
            <v>T.D.S. ON RECEIPTS 00-01</v>
          </cell>
          <cell r="C30">
            <v>3268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3268</v>
          </cell>
        </row>
        <row r="31">
          <cell r="A31">
            <v>13050008</v>
          </cell>
          <cell r="B31" t="str">
            <v>T.D.S. ON RECEIPTS 01-02</v>
          </cell>
          <cell r="C31">
            <v>108904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108904</v>
          </cell>
        </row>
        <row r="32">
          <cell r="A32">
            <v>13050010</v>
          </cell>
          <cell r="B32" t="str">
            <v>T.D.S. ON RECEIPTS 02-03</v>
          </cell>
          <cell r="C32">
            <v>2551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2551</v>
          </cell>
        </row>
        <row r="33">
          <cell r="A33">
            <v>13050012</v>
          </cell>
          <cell r="B33" t="str">
            <v>T.D.S. ON RECEIPTS 03-04</v>
          </cell>
          <cell r="C33">
            <v>-268258.5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-268258.5</v>
          </cell>
        </row>
        <row r="34">
          <cell r="A34">
            <v>13050014</v>
          </cell>
          <cell r="B34" t="str">
            <v>T.D.S. ON RECEIPTS - 04-05</v>
          </cell>
          <cell r="C34">
            <v>202371.15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202371.15</v>
          </cell>
        </row>
        <row r="35">
          <cell r="A35">
            <v>13050016</v>
          </cell>
          <cell r="B35" t="str">
            <v>TDS ON RECEIPTS - 05-06</v>
          </cell>
          <cell r="C35">
            <v>1718272.19</v>
          </cell>
          <cell r="D35">
            <v>2353174</v>
          </cell>
          <cell r="E35">
            <v>0</v>
          </cell>
          <cell r="F35">
            <v>2353174</v>
          </cell>
          <cell r="G35">
            <v>0</v>
          </cell>
          <cell r="H35">
            <v>4071446.19</v>
          </cell>
        </row>
        <row r="36">
          <cell r="A36">
            <v>13050018</v>
          </cell>
          <cell r="B36" t="str">
            <v>TDS ON RECEIPTS - 06-07</v>
          </cell>
          <cell r="C36">
            <v>850821.01</v>
          </cell>
          <cell r="D36">
            <v>0</v>
          </cell>
          <cell r="E36">
            <v>4403185</v>
          </cell>
          <cell r="F36">
            <v>-4403185</v>
          </cell>
          <cell r="G36">
            <v>0</v>
          </cell>
          <cell r="H36">
            <v>-3552363.99</v>
          </cell>
        </row>
        <row r="37">
          <cell r="A37">
            <v>13050019</v>
          </cell>
          <cell r="B37" t="str">
            <v>TDS ON RECEIPTS - 07-08</v>
          </cell>
          <cell r="C37">
            <v>5379658.8399999999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5379658.8399999999</v>
          </cell>
        </row>
        <row r="38">
          <cell r="A38">
            <v>13050020</v>
          </cell>
          <cell r="B38" t="str">
            <v>TDS ON RECEIPTS - 08-09</v>
          </cell>
          <cell r="C38">
            <v>152882.07999999999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152882.07999999999</v>
          </cell>
        </row>
        <row r="39">
          <cell r="A39">
            <v>13050021</v>
          </cell>
          <cell r="B39" t="str">
            <v>TDS ON RECEIPTS - 09-10</v>
          </cell>
          <cell r="C39">
            <v>0</v>
          </cell>
          <cell r="D39">
            <v>28790.62</v>
          </cell>
          <cell r="E39">
            <v>0</v>
          </cell>
          <cell r="F39">
            <v>28790.62</v>
          </cell>
          <cell r="G39">
            <v>0</v>
          </cell>
          <cell r="H39">
            <v>28790.62</v>
          </cell>
        </row>
        <row r="40">
          <cell r="A40">
            <v>13050120</v>
          </cell>
          <cell r="B40" t="str">
            <v>ADVANCE INCOME TAX 05-06</v>
          </cell>
          <cell r="C40">
            <v>2000000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2000000</v>
          </cell>
        </row>
        <row r="41">
          <cell r="A41">
            <v>13050130</v>
          </cell>
          <cell r="B41" t="str">
            <v>ADVANCE INCOME TAX 06-07</v>
          </cell>
          <cell r="C41">
            <v>10500000</v>
          </cell>
          <cell r="D41">
            <v>2680479</v>
          </cell>
          <cell r="E41">
            <v>2680479</v>
          </cell>
          <cell r="F41">
            <v>0</v>
          </cell>
          <cell r="G41">
            <v>0</v>
          </cell>
          <cell r="H41">
            <v>10500000</v>
          </cell>
        </row>
        <row r="42">
          <cell r="A42">
            <v>13050140</v>
          </cell>
          <cell r="B42" t="str">
            <v>ADVANCE INCOME TAX 0708</v>
          </cell>
          <cell r="C42">
            <v>4200000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4200000</v>
          </cell>
        </row>
        <row r="43">
          <cell r="A43">
            <v>13050150</v>
          </cell>
          <cell r="B43" t="str">
            <v>ADVANCE INCOME TAX PY 08-09</v>
          </cell>
          <cell r="C43">
            <v>1100000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1100000</v>
          </cell>
        </row>
        <row r="44">
          <cell r="A44">
            <v>13051010</v>
          </cell>
          <cell r="B44" t="str">
            <v>ADVANCE TAX FOR FBT AY 06-07</v>
          </cell>
          <cell r="C44">
            <v>3106299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3106299</v>
          </cell>
        </row>
        <row r="45">
          <cell r="A45">
            <v>13051020</v>
          </cell>
          <cell r="B45" t="str">
            <v>ADVANCE TAX FOR FBT AY 07-08</v>
          </cell>
          <cell r="C45">
            <v>3189050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3189050</v>
          </cell>
        </row>
        <row r="46">
          <cell r="A46">
            <v>13051030</v>
          </cell>
          <cell r="B46" t="str">
            <v>ADVANCE TAX FOR FBT AY 08-09</v>
          </cell>
          <cell r="C46">
            <v>5500000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5500000</v>
          </cell>
        </row>
        <row r="47">
          <cell r="A47">
            <v>13051040</v>
          </cell>
          <cell r="B47" t="str">
            <v>ADVANCE TAX FOR FBT AY 09-10</v>
          </cell>
          <cell r="C47">
            <v>6000000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6000000</v>
          </cell>
        </row>
        <row r="48">
          <cell r="A48">
            <v>13052010</v>
          </cell>
          <cell r="B48" t="str">
            <v>Self Assement Tax FBT  - AY 06-07</v>
          </cell>
          <cell r="C48">
            <v>63000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63000</v>
          </cell>
        </row>
        <row r="49">
          <cell r="A49">
            <v>13052020</v>
          </cell>
          <cell r="B49" t="str">
            <v>Self Assement Tax FBT - AY 07-08</v>
          </cell>
          <cell r="C49">
            <v>300000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300000</v>
          </cell>
        </row>
        <row r="50">
          <cell r="A50">
            <v>13052030</v>
          </cell>
          <cell r="B50" t="str">
            <v>Self Assement Tax FBT - AY 08-09</v>
          </cell>
          <cell r="C50">
            <v>970000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970000</v>
          </cell>
        </row>
        <row r="51">
          <cell r="A51">
            <v>13053010</v>
          </cell>
          <cell r="B51" t="str">
            <v>MAT Credit Entitlement</v>
          </cell>
          <cell r="C51">
            <v>12470000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12470000</v>
          </cell>
        </row>
        <row r="52">
          <cell r="A52">
            <v>13055010</v>
          </cell>
          <cell r="B52" t="str">
            <v>WCT Deducted On Jobs</v>
          </cell>
          <cell r="C52">
            <v>479107.47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479107.47</v>
          </cell>
        </row>
        <row r="53">
          <cell r="A53">
            <v>13055020</v>
          </cell>
          <cell r="B53" t="str">
            <v>Prepaid Expenses</v>
          </cell>
          <cell r="C53">
            <v>7380815.6299999999</v>
          </cell>
          <cell r="D53">
            <v>13403390</v>
          </cell>
          <cell r="E53">
            <v>7295212</v>
          </cell>
          <cell r="F53">
            <v>6108178</v>
          </cell>
          <cell r="G53">
            <v>0</v>
          </cell>
          <cell r="H53">
            <v>13488993.630000001</v>
          </cell>
        </row>
        <row r="54">
          <cell r="A54">
            <v>13055030</v>
          </cell>
          <cell r="B54" t="str">
            <v>Interest Receivable</v>
          </cell>
          <cell r="C54">
            <v>-948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-948</v>
          </cell>
        </row>
        <row r="55">
          <cell r="A55">
            <v>13055040</v>
          </cell>
          <cell r="B55" t="str">
            <v>Insurance Recoverable</v>
          </cell>
          <cell r="C55">
            <v>100000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100000</v>
          </cell>
        </row>
        <row r="56">
          <cell r="A56">
            <v>13055060</v>
          </cell>
          <cell r="B56" t="str">
            <v>VAT Credit Receivable (Inputs)</v>
          </cell>
          <cell r="C56">
            <v>8895503.5299999993</v>
          </cell>
          <cell r="D56">
            <v>6240247</v>
          </cell>
          <cell r="E56">
            <v>14464995</v>
          </cell>
          <cell r="F56">
            <v>-8224748</v>
          </cell>
          <cell r="G56">
            <v>0</v>
          </cell>
          <cell r="H56">
            <v>670755.53</v>
          </cell>
        </row>
        <row r="57">
          <cell r="A57">
            <v>13055070</v>
          </cell>
          <cell r="B57" t="str">
            <v>Vat Credit Receivable (Capital Goods)</v>
          </cell>
          <cell r="C57">
            <v>536326.34</v>
          </cell>
          <cell r="D57">
            <v>5292</v>
          </cell>
          <cell r="E57">
            <v>403747</v>
          </cell>
          <cell r="F57">
            <v>-398455</v>
          </cell>
          <cell r="G57">
            <v>0</v>
          </cell>
          <cell r="H57">
            <v>137871.34</v>
          </cell>
        </row>
        <row r="58">
          <cell r="A58">
            <v>13055077</v>
          </cell>
          <cell r="B58" t="str">
            <v>VAT Receivable account 06-07</v>
          </cell>
          <cell r="C58">
            <v>1024331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1024331</v>
          </cell>
        </row>
        <row r="59">
          <cell r="A59">
            <v>13055080</v>
          </cell>
          <cell r="B59" t="str">
            <v>Interest Accrued but not due</v>
          </cell>
          <cell r="C59">
            <v>83750.679999999993</v>
          </cell>
          <cell r="D59">
            <v>0</v>
          </cell>
          <cell r="E59">
            <v>83750.679999999993</v>
          </cell>
          <cell r="F59">
            <v>-83750.679999999993</v>
          </cell>
          <cell r="G59">
            <v>0</v>
          </cell>
          <cell r="H59">
            <v>0</v>
          </cell>
        </row>
        <row r="60">
          <cell r="A60">
            <v>13055090</v>
          </cell>
          <cell r="B60" t="str">
            <v>Sundry Deposits</v>
          </cell>
          <cell r="C60">
            <v>35076510</v>
          </cell>
          <cell r="D60">
            <v>295995</v>
          </cell>
          <cell r="E60">
            <v>396759</v>
          </cell>
          <cell r="F60">
            <v>-100764</v>
          </cell>
          <cell r="G60">
            <v>0</v>
          </cell>
          <cell r="H60">
            <v>34975746</v>
          </cell>
        </row>
        <row r="61">
          <cell r="A61">
            <v>14010010</v>
          </cell>
          <cell r="B61" t="str">
            <v>Deferred Tax Asset</v>
          </cell>
          <cell r="C61">
            <v>8321685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8321685</v>
          </cell>
        </row>
        <row r="62">
          <cell r="A62">
            <v>21010010</v>
          </cell>
          <cell r="B62" t="str">
            <v>Paid Up Capital</v>
          </cell>
          <cell r="C62">
            <v>-705000000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-705000000</v>
          </cell>
        </row>
        <row r="63">
          <cell r="A63">
            <v>22010010</v>
          </cell>
          <cell r="B63" t="str">
            <v>Share Premium</v>
          </cell>
          <cell r="C63">
            <v>-545000000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-545000000</v>
          </cell>
        </row>
        <row r="64">
          <cell r="A64">
            <v>23010010</v>
          </cell>
          <cell r="B64" t="str">
            <v>Secured Loans</v>
          </cell>
          <cell r="C64">
            <v>-918752935.80999994</v>
          </cell>
          <cell r="D64">
            <v>56605891.149999999</v>
          </cell>
          <cell r="E64">
            <v>50000000</v>
          </cell>
          <cell r="F64">
            <v>6605891.1500000004</v>
          </cell>
          <cell r="G64">
            <v>0</v>
          </cell>
          <cell r="H64">
            <v>-912147044.65999997</v>
          </cell>
        </row>
        <row r="65">
          <cell r="A65">
            <v>25005010</v>
          </cell>
          <cell r="B65" t="str">
            <v>Creditors Control</v>
          </cell>
          <cell r="C65">
            <v>-177745099.52000001</v>
          </cell>
          <cell r="D65">
            <v>202105413.19</v>
          </cell>
          <cell r="E65">
            <v>119501114.98999999</v>
          </cell>
          <cell r="F65">
            <v>82604298.200000003</v>
          </cell>
          <cell r="G65">
            <v>0</v>
          </cell>
          <cell r="H65">
            <v>-95140801.319999993</v>
          </cell>
        </row>
        <row r="66">
          <cell r="A66">
            <v>25005050</v>
          </cell>
          <cell r="B66" t="str">
            <v>Creditors liability for material received but bill not recei</v>
          </cell>
          <cell r="C66">
            <v>-4505680.83</v>
          </cell>
          <cell r="D66">
            <v>71862224.599999994</v>
          </cell>
          <cell r="E66">
            <v>138770436.05000001</v>
          </cell>
          <cell r="F66">
            <v>-66908211.450000003</v>
          </cell>
          <cell r="G66">
            <v>0</v>
          </cell>
          <cell r="H66">
            <v>-71413892.280000001</v>
          </cell>
        </row>
        <row r="67">
          <cell r="A67">
            <v>25010020</v>
          </cell>
          <cell r="B67" t="str">
            <v>Outstanding Liabilities For Expenses</v>
          </cell>
          <cell r="C67">
            <v>-16902377.710000001</v>
          </cell>
          <cell r="D67">
            <v>3502378</v>
          </cell>
          <cell r="E67">
            <v>0</v>
          </cell>
          <cell r="F67">
            <v>3502378</v>
          </cell>
          <cell r="G67">
            <v>0</v>
          </cell>
          <cell r="H67">
            <v>-13399999.710000001</v>
          </cell>
        </row>
        <row r="68">
          <cell r="A68">
            <v>25010030</v>
          </cell>
          <cell r="B68" t="str">
            <v>Navi Mumbai Cess Payable A/c</v>
          </cell>
          <cell r="C68">
            <v>72806.649999999994</v>
          </cell>
          <cell r="D68">
            <v>216859</v>
          </cell>
          <cell r="E68">
            <v>246604.24</v>
          </cell>
          <cell r="F68">
            <v>-29745.24</v>
          </cell>
          <cell r="G68">
            <v>0</v>
          </cell>
          <cell r="H68">
            <v>43061.41</v>
          </cell>
        </row>
        <row r="69">
          <cell r="A69">
            <v>25010050</v>
          </cell>
          <cell r="B69" t="str">
            <v>Salary Payable</v>
          </cell>
          <cell r="C69">
            <v>-12226</v>
          </cell>
          <cell r="D69">
            <v>6567104</v>
          </cell>
          <cell r="E69">
            <v>13267060</v>
          </cell>
          <cell r="F69">
            <v>-6699956</v>
          </cell>
          <cell r="G69">
            <v>0</v>
          </cell>
          <cell r="H69">
            <v>-6712182</v>
          </cell>
        </row>
        <row r="70">
          <cell r="A70">
            <v>25010060</v>
          </cell>
          <cell r="B70" t="str">
            <v>T.D.S.payable account</v>
          </cell>
          <cell r="C70">
            <v>-2598608.71</v>
          </cell>
          <cell r="D70">
            <v>4343121</v>
          </cell>
          <cell r="E70">
            <v>3199108</v>
          </cell>
          <cell r="F70">
            <v>1144013</v>
          </cell>
          <cell r="G70">
            <v>0</v>
          </cell>
          <cell r="H70">
            <v>-1454595.71</v>
          </cell>
        </row>
        <row r="71">
          <cell r="A71">
            <v>25010120</v>
          </cell>
          <cell r="B71" t="str">
            <v>Service Tax Payable</v>
          </cell>
          <cell r="C71">
            <v>-175114</v>
          </cell>
          <cell r="D71">
            <v>397489</v>
          </cell>
          <cell r="E71">
            <v>295878</v>
          </cell>
          <cell r="F71">
            <v>101611</v>
          </cell>
          <cell r="G71">
            <v>0</v>
          </cell>
          <cell r="H71">
            <v>-73503</v>
          </cell>
        </row>
        <row r="72">
          <cell r="A72">
            <v>25010122</v>
          </cell>
          <cell r="B72" t="str">
            <v>Job Order Service tax Payable</v>
          </cell>
          <cell r="C72">
            <v>286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286</v>
          </cell>
        </row>
        <row r="73">
          <cell r="A73">
            <v>25010140</v>
          </cell>
          <cell r="B73" t="str">
            <v>Wealth Tax Payable</v>
          </cell>
          <cell r="C73">
            <v>-214949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-214949</v>
          </cell>
        </row>
        <row r="74">
          <cell r="A74">
            <v>25010190</v>
          </cell>
          <cell r="B74" t="str">
            <v>VAT  Payable account</v>
          </cell>
          <cell r="C74">
            <v>-10250687.460000001</v>
          </cell>
          <cell r="D74">
            <v>22736009</v>
          </cell>
          <cell r="E74">
            <v>24006458</v>
          </cell>
          <cell r="F74">
            <v>-1270449</v>
          </cell>
          <cell r="G74">
            <v>0</v>
          </cell>
          <cell r="H74">
            <v>-11521136.460000001</v>
          </cell>
        </row>
        <row r="75">
          <cell r="A75">
            <v>25010195</v>
          </cell>
          <cell r="B75" t="str">
            <v>CST Payable Account</v>
          </cell>
          <cell r="C75">
            <v>-3529</v>
          </cell>
          <cell r="D75">
            <v>12281</v>
          </cell>
          <cell r="E75">
            <v>14562</v>
          </cell>
          <cell r="F75">
            <v>-2281</v>
          </cell>
          <cell r="G75">
            <v>0</v>
          </cell>
          <cell r="H75">
            <v>-5810</v>
          </cell>
        </row>
        <row r="76">
          <cell r="A76">
            <v>25010200</v>
          </cell>
          <cell r="B76" t="str">
            <v>Provision for Expenses in MIS</v>
          </cell>
          <cell r="C76">
            <v>0</v>
          </cell>
          <cell r="D76">
            <v>13534070.51</v>
          </cell>
          <cell r="E76">
            <v>28413246.48</v>
          </cell>
          <cell r="F76">
            <v>-14879175.970000001</v>
          </cell>
          <cell r="G76">
            <v>0</v>
          </cell>
          <cell r="H76">
            <v>-14879175.970000001</v>
          </cell>
        </row>
        <row r="77">
          <cell r="A77">
            <v>25010210</v>
          </cell>
          <cell r="B77" t="str">
            <v>Provision for Expenses Cumulative in Nature</v>
          </cell>
          <cell r="C77">
            <v>0</v>
          </cell>
          <cell r="D77">
            <v>1756559</v>
          </cell>
          <cell r="E77">
            <v>8709059</v>
          </cell>
          <cell r="F77">
            <v>-6952500</v>
          </cell>
          <cell r="G77">
            <v>0</v>
          </cell>
          <cell r="H77">
            <v>-6952500</v>
          </cell>
        </row>
        <row r="78">
          <cell r="A78">
            <v>25015010</v>
          </cell>
          <cell r="B78" t="str">
            <v>PF Payable account</v>
          </cell>
          <cell r="C78">
            <v>-940144</v>
          </cell>
          <cell r="D78">
            <v>2099593</v>
          </cell>
          <cell r="E78">
            <v>2147594</v>
          </cell>
          <cell r="F78">
            <v>-48001</v>
          </cell>
          <cell r="G78">
            <v>0</v>
          </cell>
          <cell r="H78">
            <v>-988145</v>
          </cell>
        </row>
        <row r="79">
          <cell r="A79">
            <v>25020010</v>
          </cell>
          <cell r="B79" t="str">
            <v>E.S.I.C. Payable account</v>
          </cell>
          <cell r="C79">
            <v>42693</v>
          </cell>
          <cell r="D79">
            <v>84253</v>
          </cell>
          <cell r="E79">
            <v>30819</v>
          </cell>
          <cell r="F79">
            <v>53434</v>
          </cell>
          <cell r="G79">
            <v>0</v>
          </cell>
          <cell r="H79">
            <v>96127</v>
          </cell>
        </row>
        <row r="80">
          <cell r="A80">
            <v>25020030</v>
          </cell>
          <cell r="B80" t="str">
            <v>Contribution from employees</v>
          </cell>
          <cell r="C80">
            <v>-26400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-26400</v>
          </cell>
        </row>
        <row r="81">
          <cell r="A81">
            <v>25020040</v>
          </cell>
          <cell r="B81" t="str">
            <v>Profession Tax payable</v>
          </cell>
          <cell r="C81">
            <v>-59485</v>
          </cell>
          <cell r="D81">
            <v>119235</v>
          </cell>
          <cell r="E81">
            <v>117940</v>
          </cell>
          <cell r="F81">
            <v>1295</v>
          </cell>
          <cell r="G81">
            <v>0</v>
          </cell>
          <cell r="H81">
            <v>-58190</v>
          </cell>
        </row>
        <row r="82">
          <cell r="A82">
            <v>26000010</v>
          </cell>
          <cell r="B82" t="str">
            <v>Provision For Income Tax - Ass.Year 2005-2006</v>
          </cell>
          <cell r="C82">
            <v>-850000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-850000</v>
          </cell>
        </row>
        <row r="83">
          <cell r="A83">
            <v>26000030</v>
          </cell>
          <cell r="B83" t="str">
            <v>Provision For Income Tax - Ass.Year 2006-2007</v>
          </cell>
          <cell r="C83">
            <v>-5797980</v>
          </cell>
          <cell r="D83">
            <v>2297980</v>
          </cell>
          <cell r="E83">
            <v>2297980</v>
          </cell>
          <cell r="F83">
            <v>0</v>
          </cell>
          <cell r="G83">
            <v>0</v>
          </cell>
          <cell r="H83">
            <v>-5797980</v>
          </cell>
        </row>
        <row r="84">
          <cell r="A84">
            <v>26000040</v>
          </cell>
          <cell r="B84" t="str">
            <v>FRINGE BENEFIT TAX PAYABLE</v>
          </cell>
          <cell r="C84">
            <v>-5700000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-5700000</v>
          </cell>
        </row>
        <row r="85">
          <cell r="A85">
            <v>26000050</v>
          </cell>
          <cell r="B85" t="str">
            <v>Provision For Income Tax - Ass.Year 2007-2008</v>
          </cell>
          <cell r="C85">
            <v>-6170000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-6170000</v>
          </cell>
        </row>
        <row r="86">
          <cell r="A86">
            <v>26000060</v>
          </cell>
          <cell r="B86" t="str">
            <v>Provision For FBT Asst Year - 2006-2007</v>
          </cell>
          <cell r="C86">
            <v>-3106299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-3106299</v>
          </cell>
        </row>
        <row r="87">
          <cell r="A87">
            <v>26000070</v>
          </cell>
          <cell r="B87" t="str">
            <v>Provision For FBT Asst Year - 2007-2008</v>
          </cell>
          <cell r="C87">
            <v>-3439050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-3439050</v>
          </cell>
        </row>
        <row r="88">
          <cell r="A88">
            <v>26000080</v>
          </cell>
          <cell r="B88" t="str">
            <v>Provision For FBT Asst Year - 2008-2009</v>
          </cell>
          <cell r="C88">
            <v>-6300000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-6300000</v>
          </cell>
        </row>
        <row r="89">
          <cell r="A89">
            <v>26000090</v>
          </cell>
          <cell r="B89" t="str">
            <v>Provision For Income Tax - Ass.Year 2008-2009</v>
          </cell>
          <cell r="C89">
            <v>-6300000</v>
          </cell>
          <cell r="D89">
            <v>1700000</v>
          </cell>
          <cell r="E89">
            <v>1700000</v>
          </cell>
          <cell r="F89">
            <v>0</v>
          </cell>
          <cell r="G89">
            <v>0</v>
          </cell>
          <cell r="H89">
            <v>-6300000</v>
          </cell>
        </row>
        <row r="90">
          <cell r="A90">
            <v>26005020</v>
          </cell>
          <cell r="B90" t="str">
            <v>Provision For Bad &amp; Doubtful Debts</v>
          </cell>
          <cell r="C90">
            <v>-9100744.2200000007</v>
          </cell>
          <cell r="D90">
            <v>442786</v>
          </cell>
          <cell r="E90">
            <v>1435712</v>
          </cell>
          <cell r="F90">
            <v>-992926</v>
          </cell>
          <cell r="G90">
            <v>0</v>
          </cell>
          <cell r="H90">
            <v>-10093670.220000001</v>
          </cell>
        </row>
        <row r="91">
          <cell r="A91">
            <v>26010010</v>
          </cell>
          <cell r="B91" t="str">
            <v>Provisio for dep freehold</v>
          </cell>
          <cell r="C91">
            <v>-1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-1</v>
          </cell>
        </row>
        <row r="92">
          <cell r="A92">
            <v>26010020</v>
          </cell>
          <cell r="B92" t="str">
            <v>Provisio for dep lease hold</v>
          </cell>
          <cell r="C92">
            <v>-2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-2</v>
          </cell>
        </row>
        <row r="93">
          <cell r="A93">
            <v>26010030</v>
          </cell>
          <cell r="B93" t="str">
            <v>Prov For Dep.- Leasehold Improvements</v>
          </cell>
          <cell r="C93">
            <v>-13661460.99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-13661460.99</v>
          </cell>
        </row>
        <row r="94">
          <cell r="A94">
            <v>26015010</v>
          </cell>
          <cell r="B94" t="str">
            <v>Prov For Dep.-  Buildings</v>
          </cell>
          <cell r="C94">
            <v>-31717285.359999999</v>
          </cell>
          <cell r="D94">
            <v>0</v>
          </cell>
          <cell r="E94">
            <v>529753</v>
          </cell>
          <cell r="F94">
            <v>-529753</v>
          </cell>
          <cell r="G94">
            <v>0</v>
          </cell>
          <cell r="H94">
            <v>-32247038.359999999</v>
          </cell>
        </row>
        <row r="95">
          <cell r="A95">
            <v>26025010</v>
          </cell>
          <cell r="B95" t="str">
            <v>Provision for Depreciation Plant &amp; Machinery</v>
          </cell>
          <cell r="C95">
            <v>-80761848.049999997</v>
          </cell>
          <cell r="D95">
            <v>0</v>
          </cell>
          <cell r="E95">
            <v>2127197</v>
          </cell>
          <cell r="F95">
            <v>-2127197</v>
          </cell>
          <cell r="G95">
            <v>0</v>
          </cell>
          <cell r="H95">
            <v>-82889045.049999997</v>
          </cell>
        </row>
        <row r="96">
          <cell r="A96">
            <v>26030010</v>
          </cell>
          <cell r="B96" t="str">
            <v>Provision For Dep.-Electrical Installations</v>
          </cell>
          <cell r="C96">
            <v>-5851946.2400000002</v>
          </cell>
          <cell r="D96">
            <v>0</v>
          </cell>
          <cell r="E96">
            <v>149601</v>
          </cell>
          <cell r="F96">
            <v>-149601</v>
          </cell>
          <cell r="G96">
            <v>0</v>
          </cell>
          <cell r="H96">
            <v>-6001547.2400000002</v>
          </cell>
        </row>
        <row r="97">
          <cell r="A97">
            <v>26035010</v>
          </cell>
          <cell r="B97" t="str">
            <v>Provision For Dep.-Furniture and Fixtures</v>
          </cell>
          <cell r="C97">
            <v>-10540172.460000001</v>
          </cell>
          <cell r="D97">
            <v>0</v>
          </cell>
          <cell r="E97">
            <v>338919</v>
          </cell>
          <cell r="F97">
            <v>-338919</v>
          </cell>
          <cell r="G97">
            <v>0</v>
          </cell>
          <cell r="H97">
            <v>-10879091.460000001</v>
          </cell>
        </row>
        <row r="98">
          <cell r="A98">
            <v>26040010</v>
          </cell>
          <cell r="B98" t="str">
            <v>Provision for Depreciation- Office and Electrical Appliances</v>
          </cell>
          <cell r="C98">
            <v>-12436808.619999999</v>
          </cell>
          <cell r="D98">
            <v>0</v>
          </cell>
          <cell r="E98">
            <v>286212.2</v>
          </cell>
          <cell r="F98">
            <v>-286212.2</v>
          </cell>
          <cell r="G98">
            <v>0</v>
          </cell>
          <cell r="H98">
            <v>-12723020.82</v>
          </cell>
        </row>
        <row r="99">
          <cell r="A99">
            <v>26045010</v>
          </cell>
          <cell r="B99" t="str">
            <v>Provision for Depreciation- Truck Mixers, Loaders &amp; Dumpers</v>
          </cell>
          <cell r="C99">
            <v>-55166698.700000003</v>
          </cell>
          <cell r="D99">
            <v>0</v>
          </cell>
          <cell r="E99">
            <v>1111879</v>
          </cell>
          <cell r="F99">
            <v>-1111879</v>
          </cell>
          <cell r="G99">
            <v>0</v>
          </cell>
          <cell r="H99">
            <v>-56278577.700000003</v>
          </cell>
        </row>
        <row r="100">
          <cell r="A100">
            <v>26050010</v>
          </cell>
          <cell r="B100" t="str">
            <v>Provision for Depreciation Motor Vehicles &amp; Technical Vans</v>
          </cell>
          <cell r="C100">
            <v>-6085493.5599999996</v>
          </cell>
          <cell r="D100">
            <v>0</v>
          </cell>
          <cell r="E100">
            <v>123308</v>
          </cell>
          <cell r="F100">
            <v>-123308</v>
          </cell>
          <cell r="G100">
            <v>0</v>
          </cell>
          <cell r="H100">
            <v>-6208801.5599999996</v>
          </cell>
        </row>
        <row r="101">
          <cell r="A101">
            <v>26055020</v>
          </cell>
          <cell r="B101" t="str">
            <v>Profit &amp; Loss A/c</v>
          </cell>
          <cell r="C101">
            <v>623599788.66999996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623599788.66999996</v>
          </cell>
        </row>
        <row r="102">
          <cell r="A102">
            <v>26055030</v>
          </cell>
          <cell r="B102" t="str">
            <v>Provision for Leave encashment</v>
          </cell>
          <cell r="C102">
            <v>-15633276</v>
          </cell>
          <cell r="D102">
            <v>0</v>
          </cell>
          <cell r="E102">
            <v>825662</v>
          </cell>
          <cell r="F102">
            <v>-825662</v>
          </cell>
          <cell r="G102">
            <v>0</v>
          </cell>
          <cell r="H102">
            <v>-16458938</v>
          </cell>
        </row>
        <row r="103">
          <cell r="A103">
            <v>26055040</v>
          </cell>
          <cell r="B103" t="str">
            <v>Provision for Gratuity</v>
          </cell>
          <cell r="C103">
            <v>-5526421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-5526421</v>
          </cell>
        </row>
        <row r="104">
          <cell r="A104">
            <v>26055050</v>
          </cell>
          <cell r="B104" t="str">
            <v>Provision for Production linked incentive (KRA)</v>
          </cell>
          <cell r="C104">
            <v>0</v>
          </cell>
          <cell r="D104">
            <v>0</v>
          </cell>
          <cell r="E104">
            <v>1765618</v>
          </cell>
          <cell r="F104">
            <v>-1765618</v>
          </cell>
          <cell r="G104">
            <v>0</v>
          </cell>
          <cell r="H104">
            <v>-1765618</v>
          </cell>
        </row>
        <row r="105">
          <cell r="A105">
            <v>26056010</v>
          </cell>
          <cell r="B105" t="str">
            <v>Provision for Dep. Intangible Assets</v>
          </cell>
          <cell r="C105">
            <v>-4184337.2</v>
          </cell>
          <cell r="D105">
            <v>0</v>
          </cell>
          <cell r="E105">
            <v>446154.1</v>
          </cell>
          <cell r="F105">
            <v>-446154.1</v>
          </cell>
          <cell r="G105">
            <v>0</v>
          </cell>
          <cell r="H105">
            <v>-4630491.3</v>
          </cell>
        </row>
        <row r="106">
          <cell r="A106">
            <v>31010010</v>
          </cell>
          <cell r="B106" t="str">
            <v>Sales</v>
          </cell>
          <cell r="C106">
            <v>0</v>
          </cell>
          <cell r="D106">
            <v>4231889.9800000004</v>
          </cell>
          <cell r="E106">
            <v>195451394.90000001</v>
          </cell>
          <cell r="F106">
            <v>-191219504.91999999</v>
          </cell>
          <cell r="G106">
            <v>0</v>
          </cell>
          <cell r="H106">
            <v>-191219504.91999999</v>
          </cell>
        </row>
        <row r="107">
          <cell r="A107">
            <v>31010030</v>
          </cell>
          <cell r="B107" t="str">
            <v>Sales Rebates</v>
          </cell>
          <cell r="C107">
            <v>0</v>
          </cell>
          <cell r="D107">
            <v>0</v>
          </cell>
          <cell r="E107">
            <v>3.5</v>
          </cell>
          <cell r="F107">
            <v>-3.5</v>
          </cell>
          <cell r="G107">
            <v>0</v>
          </cell>
          <cell r="H107">
            <v>-3.5</v>
          </cell>
        </row>
        <row r="108">
          <cell r="A108">
            <v>31020010</v>
          </cell>
          <cell r="B108" t="str">
            <v>Pumping Charges</v>
          </cell>
          <cell r="C108">
            <v>0</v>
          </cell>
          <cell r="D108">
            <v>0</v>
          </cell>
          <cell r="E108">
            <v>7894</v>
          </cell>
          <cell r="F108">
            <v>-7894</v>
          </cell>
          <cell r="G108">
            <v>0</v>
          </cell>
          <cell r="H108">
            <v>-7894</v>
          </cell>
        </row>
        <row r="109">
          <cell r="A109">
            <v>31030020</v>
          </cell>
          <cell r="B109" t="str">
            <v>Waiting / Partload Charges</v>
          </cell>
          <cell r="C109">
            <v>0</v>
          </cell>
          <cell r="D109">
            <v>0</v>
          </cell>
          <cell r="E109">
            <v>17321.669999999998</v>
          </cell>
          <cell r="F109">
            <v>-17321.669999999998</v>
          </cell>
          <cell r="G109">
            <v>0</v>
          </cell>
          <cell r="H109">
            <v>-17321.669999999998</v>
          </cell>
        </row>
        <row r="110">
          <cell r="A110">
            <v>31040010</v>
          </cell>
          <cell r="B110" t="str">
            <v>Mobilisation Charges</v>
          </cell>
          <cell r="C110">
            <v>0</v>
          </cell>
          <cell r="D110">
            <v>0</v>
          </cell>
          <cell r="E110">
            <v>117044.27</v>
          </cell>
          <cell r="F110">
            <v>-117044.27</v>
          </cell>
          <cell r="G110">
            <v>0</v>
          </cell>
          <cell r="H110">
            <v>-117044.27</v>
          </cell>
        </row>
        <row r="111">
          <cell r="A111">
            <v>31040020</v>
          </cell>
          <cell r="B111" t="str">
            <v>Interest Income - Fixed Deposits</v>
          </cell>
          <cell r="C111">
            <v>0</v>
          </cell>
          <cell r="D111">
            <v>0</v>
          </cell>
          <cell r="E111">
            <v>139760.26999999999</v>
          </cell>
          <cell r="F111">
            <v>-139760.26999999999</v>
          </cell>
          <cell r="G111">
            <v>0</v>
          </cell>
          <cell r="H111">
            <v>-139760.26999999999</v>
          </cell>
        </row>
        <row r="112">
          <cell r="A112">
            <v>32010020</v>
          </cell>
          <cell r="B112" t="str">
            <v>Interest on Income Tax Refund</v>
          </cell>
          <cell r="C112">
            <v>0</v>
          </cell>
          <cell r="D112">
            <v>0</v>
          </cell>
          <cell r="E112">
            <v>630468</v>
          </cell>
          <cell r="F112">
            <v>-630468</v>
          </cell>
          <cell r="G112">
            <v>0</v>
          </cell>
          <cell r="H112">
            <v>-630468</v>
          </cell>
        </row>
        <row r="113">
          <cell r="A113">
            <v>32020020</v>
          </cell>
          <cell r="B113" t="str">
            <v>Misc Income - Scrap sales</v>
          </cell>
          <cell r="C113">
            <v>0</v>
          </cell>
          <cell r="D113">
            <v>0</v>
          </cell>
          <cell r="E113">
            <v>142565.67000000001</v>
          </cell>
          <cell r="F113">
            <v>-142565.67000000001</v>
          </cell>
          <cell r="G113">
            <v>0</v>
          </cell>
          <cell r="H113">
            <v>-142565.67000000001</v>
          </cell>
        </row>
        <row r="114">
          <cell r="A114">
            <v>32020030</v>
          </cell>
          <cell r="B114" t="str">
            <v>Misc Income - Testing Charges Recovered</v>
          </cell>
          <cell r="C114">
            <v>0</v>
          </cell>
          <cell r="D114">
            <v>0</v>
          </cell>
          <cell r="E114">
            <v>7900</v>
          </cell>
          <cell r="F114">
            <v>-7900</v>
          </cell>
          <cell r="G114">
            <v>0</v>
          </cell>
          <cell r="H114">
            <v>-7900</v>
          </cell>
        </row>
        <row r="115">
          <cell r="A115">
            <v>41010010</v>
          </cell>
          <cell r="B115" t="str">
            <v>Opening Stock - Cement</v>
          </cell>
          <cell r="C115">
            <v>0</v>
          </cell>
          <cell r="D115">
            <v>3464160.05</v>
          </cell>
          <cell r="E115">
            <v>0</v>
          </cell>
          <cell r="F115">
            <v>3464160.05</v>
          </cell>
          <cell r="G115">
            <v>0</v>
          </cell>
          <cell r="H115">
            <v>3464160.05</v>
          </cell>
        </row>
        <row r="116">
          <cell r="A116">
            <v>41010020</v>
          </cell>
          <cell r="B116" t="str">
            <v>Opening Stock - Sand</v>
          </cell>
          <cell r="C116">
            <v>0</v>
          </cell>
          <cell r="D116">
            <v>977402.8</v>
          </cell>
          <cell r="E116">
            <v>0</v>
          </cell>
          <cell r="F116">
            <v>977402.8</v>
          </cell>
          <cell r="G116">
            <v>0</v>
          </cell>
          <cell r="H116">
            <v>977402.8</v>
          </cell>
        </row>
        <row r="117">
          <cell r="A117">
            <v>41010030</v>
          </cell>
          <cell r="B117" t="str">
            <v>Opening Stock - CRF</v>
          </cell>
          <cell r="C117">
            <v>0</v>
          </cell>
          <cell r="D117">
            <v>326136.96999999997</v>
          </cell>
          <cell r="E117">
            <v>0</v>
          </cell>
          <cell r="F117">
            <v>326136.96999999997</v>
          </cell>
          <cell r="G117">
            <v>0</v>
          </cell>
          <cell r="H117">
            <v>326136.96999999997</v>
          </cell>
        </row>
        <row r="118">
          <cell r="A118">
            <v>41010040</v>
          </cell>
          <cell r="B118" t="str">
            <v>Opening Stock - RMC Aggregates</v>
          </cell>
          <cell r="C118">
            <v>0</v>
          </cell>
          <cell r="D118">
            <v>685709.53</v>
          </cell>
          <cell r="E118">
            <v>0</v>
          </cell>
          <cell r="F118">
            <v>685709.53</v>
          </cell>
          <cell r="G118">
            <v>0</v>
          </cell>
          <cell r="H118">
            <v>685709.53</v>
          </cell>
        </row>
        <row r="119">
          <cell r="A119">
            <v>41010050</v>
          </cell>
          <cell r="B119" t="str">
            <v>Opening Stock - Admixtures</v>
          </cell>
          <cell r="C119">
            <v>0</v>
          </cell>
          <cell r="D119">
            <v>2672917.67</v>
          </cell>
          <cell r="E119">
            <v>0</v>
          </cell>
          <cell r="F119">
            <v>2672917.67</v>
          </cell>
          <cell r="G119">
            <v>0</v>
          </cell>
          <cell r="H119">
            <v>2672917.67</v>
          </cell>
        </row>
        <row r="120">
          <cell r="A120">
            <v>41010070</v>
          </cell>
          <cell r="B120" t="str">
            <v>Opening Stock - Flyash</v>
          </cell>
          <cell r="C120">
            <v>0</v>
          </cell>
          <cell r="D120">
            <v>158431.82</v>
          </cell>
          <cell r="E120">
            <v>0</v>
          </cell>
          <cell r="F120">
            <v>158431.82</v>
          </cell>
          <cell r="G120">
            <v>0</v>
          </cell>
          <cell r="H120">
            <v>158431.82</v>
          </cell>
        </row>
        <row r="121">
          <cell r="A121">
            <v>41010080</v>
          </cell>
          <cell r="B121" t="str">
            <v>Opening Stock - Diesel</v>
          </cell>
          <cell r="C121">
            <v>0</v>
          </cell>
          <cell r="D121">
            <v>284940.73</v>
          </cell>
          <cell r="E121">
            <v>0</v>
          </cell>
          <cell r="F121">
            <v>284940.73</v>
          </cell>
          <cell r="G121">
            <v>0</v>
          </cell>
          <cell r="H121">
            <v>284940.73</v>
          </cell>
        </row>
        <row r="122">
          <cell r="A122">
            <v>41010090</v>
          </cell>
          <cell r="B122" t="str">
            <v>Opening Stock Boulders</v>
          </cell>
          <cell r="C122">
            <v>0</v>
          </cell>
          <cell r="D122">
            <v>2837710.03</v>
          </cell>
          <cell r="E122">
            <v>0</v>
          </cell>
          <cell r="F122">
            <v>2837710.03</v>
          </cell>
          <cell r="G122">
            <v>0</v>
          </cell>
          <cell r="H122">
            <v>2837710.03</v>
          </cell>
        </row>
        <row r="123">
          <cell r="A123">
            <v>41010100</v>
          </cell>
          <cell r="B123" t="str">
            <v>Opening Stock Aggregates at Crusher</v>
          </cell>
          <cell r="C123">
            <v>0</v>
          </cell>
          <cell r="D123">
            <v>8103403.2300000004</v>
          </cell>
          <cell r="E123">
            <v>0</v>
          </cell>
          <cell r="F123">
            <v>8103403.2300000004</v>
          </cell>
          <cell r="G123">
            <v>0</v>
          </cell>
          <cell r="H123">
            <v>8103403.2300000004</v>
          </cell>
        </row>
        <row r="124">
          <cell r="A124">
            <v>41010105</v>
          </cell>
          <cell r="B124" t="str">
            <v>Opening stock Crusher CRF</v>
          </cell>
          <cell r="C124">
            <v>0</v>
          </cell>
          <cell r="D124">
            <v>77224.09</v>
          </cell>
          <cell r="E124">
            <v>0</v>
          </cell>
          <cell r="F124">
            <v>77224.09</v>
          </cell>
          <cell r="G124">
            <v>0</v>
          </cell>
          <cell r="H124">
            <v>77224.09</v>
          </cell>
        </row>
        <row r="125">
          <cell r="A125">
            <v>41010110</v>
          </cell>
          <cell r="B125" t="str">
            <v>Opening Stock GGBS</v>
          </cell>
          <cell r="C125">
            <v>0</v>
          </cell>
          <cell r="D125">
            <v>29124.87</v>
          </cell>
          <cell r="E125">
            <v>0</v>
          </cell>
          <cell r="F125">
            <v>29124.87</v>
          </cell>
          <cell r="G125">
            <v>0</v>
          </cell>
          <cell r="H125">
            <v>29124.87</v>
          </cell>
        </row>
        <row r="126">
          <cell r="A126">
            <v>41010120</v>
          </cell>
          <cell r="B126" t="str">
            <v>Opening Stock Metacem / Microsilica</v>
          </cell>
          <cell r="C126">
            <v>0</v>
          </cell>
          <cell r="D126">
            <v>74465.39</v>
          </cell>
          <cell r="E126">
            <v>0</v>
          </cell>
          <cell r="F126">
            <v>74465.39</v>
          </cell>
          <cell r="G126">
            <v>0</v>
          </cell>
          <cell r="H126">
            <v>74465.39</v>
          </cell>
        </row>
        <row r="127">
          <cell r="A127">
            <v>41010125</v>
          </cell>
          <cell r="B127" t="str">
            <v>Opening Stock Explosives</v>
          </cell>
          <cell r="C127">
            <v>0</v>
          </cell>
          <cell r="D127">
            <v>100631</v>
          </cell>
          <cell r="E127">
            <v>0</v>
          </cell>
          <cell r="F127">
            <v>100631</v>
          </cell>
          <cell r="G127">
            <v>0</v>
          </cell>
          <cell r="H127">
            <v>100631</v>
          </cell>
        </row>
        <row r="128">
          <cell r="A128">
            <v>41020010</v>
          </cell>
          <cell r="B128" t="str">
            <v>Raw Material Purchase - Cement</v>
          </cell>
          <cell r="C128">
            <v>0</v>
          </cell>
          <cell r="D128">
            <v>38169691.979999997</v>
          </cell>
          <cell r="E128">
            <v>78480633.909999996</v>
          </cell>
          <cell r="F128">
            <v>-40310941.93</v>
          </cell>
          <cell r="G128">
            <v>0</v>
          </cell>
          <cell r="H128">
            <v>-40310941.93</v>
          </cell>
        </row>
        <row r="129">
          <cell r="A129">
            <v>41020015</v>
          </cell>
          <cell r="B129" t="str">
            <v>Interim account cement received</v>
          </cell>
          <cell r="C129">
            <v>0</v>
          </cell>
          <cell r="D129">
            <v>77384521.840000004</v>
          </cell>
          <cell r="E129">
            <v>36951176.740000002</v>
          </cell>
          <cell r="F129">
            <v>40433345.100000001</v>
          </cell>
          <cell r="G129">
            <v>0</v>
          </cell>
          <cell r="H129">
            <v>40433345.100000001</v>
          </cell>
        </row>
        <row r="130">
          <cell r="A130">
            <v>41020020</v>
          </cell>
          <cell r="B130" t="str">
            <v>Cement Consumption account</v>
          </cell>
          <cell r="C130">
            <v>0</v>
          </cell>
          <cell r="D130">
            <v>77195960.060000002</v>
          </cell>
          <cell r="E130">
            <v>553684.43999999994</v>
          </cell>
          <cell r="F130">
            <v>76642275.620000005</v>
          </cell>
          <cell r="G130">
            <v>0</v>
          </cell>
          <cell r="H130">
            <v>76642275.620000005</v>
          </cell>
        </row>
        <row r="131">
          <cell r="A131">
            <v>41020030</v>
          </cell>
          <cell r="B131" t="str">
            <v>Raw Material Purchase - Aggregates</v>
          </cell>
          <cell r="C131">
            <v>0</v>
          </cell>
          <cell r="D131">
            <v>12754197.210000001</v>
          </cell>
          <cell r="E131">
            <v>18825613.91</v>
          </cell>
          <cell r="F131">
            <v>-6071416.7000000002</v>
          </cell>
          <cell r="G131">
            <v>0</v>
          </cell>
          <cell r="H131">
            <v>-6071416.7000000002</v>
          </cell>
        </row>
        <row r="132">
          <cell r="A132">
            <v>41020035</v>
          </cell>
          <cell r="B132" t="str">
            <v>Interim account Aggregate received</v>
          </cell>
          <cell r="C132">
            <v>0</v>
          </cell>
          <cell r="D132">
            <v>11303529.710000001</v>
          </cell>
          <cell r="E132">
            <v>5122287.47</v>
          </cell>
          <cell r="F132">
            <v>6181242.2400000002</v>
          </cell>
          <cell r="G132">
            <v>0</v>
          </cell>
          <cell r="H132">
            <v>6181242.2400000002</v>
          </cell>
        </row>
        <row r="133">
          <cell r="A133">
            <v>41020040</v>
          </cell>
          <cell r="B133" t="str">
            <v>Aggregate Consumption account</v>
          </cell>
          <cell r="C133">
            <v>0</v>
          </cell>
          <cell r="D133">
            <v>18745511.530000001</v>
          </cell>
          <cell r="E133">
            <v>6910569.0800000001</v>
          </cell>
          <cell r="F133">
            <v>11834942.449999999</v>
          </cell>
          <cell r="G133">
            <v>0</v>
          </cell>
          <cell r="H133">
            <v>11834942.449999999</v>
          </cell>
        </row>
        <row r="134">
          <cell r="A134">
            <v>41020050</v>
          </cell>
          <cell r="B134" t="str">
            <v>Raw Material Purchase - Sand</v>
          </cell>
          <cell r="C134">
            <v>0</v>
          </cell>
          <cell r="D134">
            <v>8083076.8899999997</v>
          </cell>
          <cell r="E134">
            <v>17156466.68</v>
          </cell>
          <cell r="F134">
            <v>-9073389.7899999991</v>
          </cell>
          <cell r="G134">
            <v>0</v>
          </cell>
          <cell r="H134">
            <v>-9073389.7899999991</v>
          </cell>
        </row>
        <row r="135">
          <cell r="A135">
            <v>41020055</v>
          </cell>
          <cell r="B135" t="str">
            <v>Interim account Sand Received</v>
          </cell>
          <cell r="C135">
            <v>0</v>
          </cell>
          <cell r="D135">
            <v>16922295.879999999</v>
          </cell>
          <cell r="E135">
            <v>8010891.5099999998</v>
          </cell>
          <cell r="F135">
            <v>8911404.3699999992</v>
          </cell>
          <cell r="G135">
            <v>0</v>
          </cell>
          <cell r="H135">
            <v>8911404.3699999992</v>
          </cell>
        </row>
        <row r="136">
          <cell r="A136">
            <v>41020060</v>
          </cell>
          <cell r="B136" t="str">
            <v>Sand Consumption account</v>
          </cell>
          <cell r="C136">
            <v>0</v>
          </cell>
          <cell r="D136">
            <v>16656539.810000001</v>
          </cell>
          <cell r="E136">
            <v>42604.800000000003</v>
          </cell>
          <cell r="F136">
            <v>16613935.01</v>
          </cell>
          <cell r="G136">
            <v>0</v>
          </cell>
          <cell r="H136">
            <v>16613935.01</v>
          </cell>
        </row>
        <row r="137">
          <cell r="A137">
            <v>41020070</v>
          </cell>
          <cell r="B137" t="str">
            <v>Raw Material Purchase - Admixture</v>
          </cell>
          <cell r="C137">
            <v>0</v>
          </cell>
          <cell r="D137">
            <v>7940383.9400000004</v>
          </cell>
          <cell r="E137">
            <v>12093384.300000001</v>
          </cell>
          <cell r="F137">
            <v>-4153000.36</v>
          </cell>
          <cell r="G137">
            <v>0</v>
          </cell>
          <cell r="H137">
            <v>-4153000.36</v>
          </cell>
        </row>
        <row r="138">
          <cell r="A138">
            <v>41020075</v>
          </cell>
          <cell r="B138" t="str">
            <v>Interim account Admixture received</v>
          </cell>
          <cell r="C138">
            <v>0</v>
          </cell>
          <cell r="D138">
            <v>8562939.0600000005</v>
          </cell>
          <cell r="E138">
            <v>4379134.4000000004</v>
          </cell>
          <cell r="F138">
            <v>4183804.66</v>
          </cell>
          <cell r="G138">
            <v>0</v>
          </cell>
          <cell r="H138">
            <v>4183804.66</v>
          </cell>
        </row>
        <row r="139">
          <cell r="A139">
            <v>41020080</v>
          </cell>
          <cell r="B139" t="str">
            <v>Admixture Consumption account</v>
          </cell>
          <cell r="C139">
            <v>0</v>
          </cell>
          <cell r="D139">
            <v>7819347.7000000002</v>
          </cell>
          <cell r="E139">
            <v>294025.44</v>
          </cell>
          <cell r="F139">
            <v>7525322.2599999998</v>
          </cell>
          <cell r="G139">
            <v>0</v>
          </cell>
          <cell r="H139">
            <v>7525322.2599999998</v>
          </cell>
        </row>
        <row r="140">
          <cell r="A140">
            <v>41020090</v>
          </cell>
          <cell r="B140" t="str">
            <v>Raw Material  Purchase - Fly Ash</v>
          </cell>
          <cell r="C140">
            <v>0</v>
          </cell>
          <cell r="D140">
            <v>2607044.44</v>
          </cell>
          <cell r="E140">
            <v>5389025.6500000004</v>
          </cell>
          <cell r="F140">
            <v>-2781981.21</v>
          </cell>
          <cell r="G140">
            <v>0</v>
          </cell>
          <cell r="H140">
            <v>-2781981.21</v>
          </cell>
        </row>
        <row r="141">
          <cell r="A141">
            <v>41020095</v>
          </cell>
          <cell r="B141" t="str">
            <v>Interim account fly ash received</v>
          </cell>
          <cell r="C141">
            <v>0</v>
          </cell>
          <cell r="D141">
            <v>5357003.0999999996</v>
          </cell>
          <cell r="E141">
            <v>2498962.85</v>
          </cell>
          <cell r="F141">
            <v>2858040.25</v>
          </cell>
          <cell r="G141">
            <v>0</v>
          </cell>
          <cell r="H141">
            <v>2858040.25</v>
          </cell>
        </row>
        <row r="142">
          <cell r="A142">
            <v>41020100</v>
          </cell>
          <cell r="B142" t="str">
            <v>Fly Ash Consumption account</v>
          </cell>
          <cell r="C142">
            <v>0</v>
          </cell>
          <cell r="D142">
            <v>5005342.1399999997</v>
          </cell>
          <cell r="E142">
            <v>61421.22</v>
          </cell>
          <cell r="F142">
            <v>4943920.92</v>
          </cell>
          <cell r="G142">
            <v>0</v>
          </cell>
          <cell r="H142">
            <v>4943920.92</v>
          </cell>
        </row>
        <row r="143">
          <cell r="A143">
            <v>41020110</v>
          </cell>
          <cell r="B143" t="str">
            <v>Raw Material Purchase GGBS</v>
          </cell>
          <cell r="C143">
            <v>0</v>
          </cell>
          <cell r="D143">
            <v>315630.55</v>
          </cell>
          <cell r="E143">
            <v>379507.09</v>
          </cell>
          <cell r="F143">
            <v>-63876.54</v>
          </cell>
          <cell r="G143">
            <v>0</v>
          </cell>
          <cell r="H143">
            <v>-63876.54</v>
          </cell>
        </row>
        <row r="144">
          <cell r="A144">
            <v>41020115</v>
          </cell>
          <cell r="B144" t="str">
            <v>Interim account for GGBS received</v>
          </cell>
          <cell r="C144">
            <v>0</v>
          </cell>
          <cell r="D144">
            <v>496474.92</v>
          </cell>
          <cell r="E144">
            <v>302500.90000000002</v>
          </cell>
          <cell r="F144">
            <v>193974.02</v>
          </cell>
          <cell r="G144">
            <v>0</v>
          </cell>
          <cell r="H144">
            <v>193974.02</v>
          </cell>
        </row>
        <row r="145">
          <cell r="A145">
            <v>41020120</v>
          </cell>
          <cell r="B145" t="str">
            <v>GGBS Consumption account</v>
          </cell>
          <cell r="C145">
            <v>0</v>
          </cell>
          <cell r="D145">
            <v>276600.43</v>
          </cell>
          <cell r="E145">
            <v>1927.35</v>
          </cell>
          <cell r="F145">
            <v>274673.08</v>
          </cell>
          <cell r="G145">
            <v>0</v>
          </cell>
          <cell r="H145">
            <v>274673.08</v>
          </cell>
        </row>
        <row r="146">
          <cell r="A146">
            <v>41020130</v>
          </cell>
          <cell r="B146" t="str">
            <v>Raw Materials Purchase - CRF</v>
          </cell>
          <cell r="C146">
            <v>0</v>
          </cell>
          <cell r="D146">
            <v>6122830.5</v>
          </cell>
          <cell r="E146">
            <v>9650903.6199999992</v>
          </cell>
          <cell r="F146">
            <v>-3528073.12</v>
          </cell>
          <cell r="G146">
            <v>0</v>
          </cell>
          <cell r="H146">
            <v>-3528073.12</v>
          </cell>
        </row>
        <row r="147">
          <cell r="A147">
            <v>41020135</v>
          </cell>
          <cell r="B147" t="str">
            <v>Interim account for CRF received</v>
          </cell>
          <cell r="C147">
            <v>0</v>
          </cell>
          <cell r="D147">
            <v>7390746.46</v>
          </cell>
          <cell r="E147">
            <v>3709754.48</v>
          </cell>
          <cell r="F147">
            <v>3680991.98</v>
          </cell>
          <cell r="G147">
            <v>0</v>
          </cell>
          <cell r="H147">
            <v>3680991.98</v>
          </cell>
        </row>
        <row r="148">
          <cell r="A148">
            <v>41020140</v>
          </cell>
          <cell r="B148" t="str">
            <v>CRF Consumption account</v>
          </cell>
          <cell r="C148">
            <v>0</v>
          </cell>
          <cell r="D148">
            <v>9475551.1300000008</v>
          </cell>
          <cell r="E148">
            <v>2274133.5099999998</v>
          </cell>
          <cell r="F148">
            <v>7201417.6200000001</v>
          </cell>
          <cell r="G148">
            <v>0</v>
          </cell>
          <cell r="H148">
            <v>7201417.6200000001</v>
          </cell>
        </row>
        <row r="149">
          <cell r="A149">
            <v>41020145</v>
          </cell>
          <cell r="B149" t="str">
            <v>Raw Material Purchase - Ice</v>
          </cell>
          <cell r="C149">
            <v>0</v>
          </cell>
          <cell r="D149">
            <v>187520</v>
          </cell>
          <cell r="E149">
            <v>156005</v>
          </cell>
          <cell r="F149">
            <v>31515</v>
          </cell>
          <cell r="G149">
            <v>0</v>
          </cell>
          <cell r="H149">
            <v>31515</v>
          </cell>
        </row>
        <row r="150">
          <cell r="A150">
            <v>41020150</v>
          </cell>
          <cell r="B150" t="str">
            <v>Loss/ gain on Stock</v>
          </cell>
          <cell r="C150">
            <v>0</v>
          </cell>
          <cell r="D150">
            <v>1804603.02</v>
          </cell>
          <cell r="E150">
            <v>1233872.2</v>
          </cell>
          <cell r="F150">
            <v>570730.81999999995</v>
          </cell>
          <cell r="G150">
            <v>0</v>
          </cell>
          <cell r="H150">
            <v>570730.81999999995</v>
          </cell>
        </row>
        <row r="151">
          <cell r="A151">
            <v>41020160</v>
          </cell>
          <cell r="B151" t="str">
            <v>Raw Material Purchasae- Metacem / Microsilica</v>
          </cell>
          <cell r="C151">
            <v>0</v>
          </cell>
          <cell r="D151">
            <v>2487478.7999999998</v>
          </cell>
          <cell r="E151">
            <v>2531648.23</v>
          </cell>
          <cell r="F151">
            <v>-44169.43</v>
          </cell>
          <cell r="G151">
            <v>0</v>
          </cell>
          <cell r="H151">
            <v>-44169.43</v>
          </cell>
        </row>
        <row r="152">
          <cell r="A152">
            <v>41020170</v>
          </cell>
          <cell r="B152" t="str">
            <v>Microsilica Consumption account</v>
          </cell>
          <cell r="C152">
            <v>0</v>
          </cell>
          <cell r="D152">
            <v>2509082.17</v>
          </cell>
          <cell r="E152">
            <v>2462030.27</v>
          </cell>
          <cell r="F152">
            <v>47051.9</v>
          </cell>
          <cell r="G152">
            <v>0</v>
          </cell>
          <cell r="H152">
            <v>47051.9</v>
          </cell>
        </row>
        <row r="153">
          <cell r="A153">
            <v>41020195</v>
          </cell>
          <cell r="B153" t="str">
            <v>Purchase of Diesel</v>
          </cell>
          <cell r="C153">
            <v>0</v>
          </cell>
          <cell r="D153">
            <v>10015026.4</v>
          </cell>
          <cell r="E153">
            <v>10595100.199999999</v>
          </cell>
          <cell r="F153">
            <v>-580073.80000000005</v>
          </cell>
          <cell r="G153">
            <v>0</v>
          </cell>
          <cell r="H153">
            <v>-580073.80000000005</v>
          </cell>
        </row>
        <row r="154">
          <cell r="A154">
            <v>41020200</v>
          </cell>
          <cell r="B154" t="str">
            <v>Interim account for diesel received</v>
          </cell>
          <cell r="C154">
            <v>0</v>
          </cell>
          <cell r="D154">
            <v>10591364.310000001</v>
          </cell>
          <cell r="E154">
            <v>10000970.4</v>
          </cell>
          <cell r="F154">
            <v>590393.91</v>
          </cell>
          <cell r="G154">
            <v>0</v>
          </cell>
          <cell r="H154">
            <v>590393.91</v>
          </cell>
        </row>
        <row r="155">
          <cell r="A155">
            <v>41020205</v>
          </cell>
          <cell r="B155" t="str">
            <v>Diesel Consumption account</v>
          </cell>
          <cell r="C155">
            <v>0</v>
          </cell>
          <cell r="D155">
            <v>8360579.5</v>
          </cell>
          <cell r="E155">
            <v>8365982.21</v>
          </cell>
          <cell r="F155">
            <v>-5402.71</v>
          </cell>
          <cell r="G155">
            <v>0</v>
          </cell>
          <cell r="H155">
            <v>-5402.71</v>
          </cell>
        </row>
        <row r="156">
          <cell r="A156">
            <v>41050010</v>
          </cell>
          <cell r="B156" t="str">
            <v>Closing Stock - Cement</v>
          </cell>
          <cell r="C156">
            <v>0</v>
          </cell>
          <cell r="D156">
            <v>0</v>
          </cell>
          <cell r="E156">
            <v>3586563.22</v>
          </cell>
          <cell r="F156">
            <v>-3586563.22</v>
          </cell>
          <cell r="G156">
            <v>0</v>
          </cell>
          <cell r="H156">
            <v>-3586563.22</v>
          </cell>
        </row>
        <row r="157">
          <cell r="A157">
            <v>41050020</v>
          </cell>
          <cell r="B157" t="str">
            <v>Closing Stock - Sand</v>
          </cell>
          <cell r="C157">
            <v>0</v>
          </cell>
          <cell r="D157">
            <v>0</v>
          </cell>
          <cell r="E157">
            <v>815417.38</v>
          </cell>
          <cell r="F157">
            <v>-815417.38</v>
          </cell>
          <cell r="G157">
            <v>0</v>
          </cell>
          <cell r="H157">
            <v>-815417.38</v>
          </cell>
        </row>
        <row r="158">
          <cell r="A158">
            <v>41050030</v>
          </cell>
          <cell r="B158" t="str">
            <v>Closing Stock - CRF</v>
          </cell>
          <cell r="C158">
            <v>0</v>
          </cell>
          <cell r="D158">
            <v>0</v>
          </cell>
          <cell r="E158">
            <v>479055.83</v>
          </cell>
          <cell r="F158">
            <v>-479055.83</v>
          </cell>
          <cell r="G158">
            <v>0</v>
          </cell>
          <cell r="H158">
            <v>-479055.83</v>
          </cell>
        </row>
        <row r="159">
          <cell r="A159">
            <v>41050040</v>
          </cell>
          <cell r="B159" t="str">
            <v>Closing Stock - RMC Aggregates</v>
          </cell>
          <cell r="C159">
            <v>0</v>
          </cell>
          <cell r="D159">
            <v>0</v>
          </cell>
          <cell r="E159">
            <v>795498.52</v>
          </cell>
          <cell r="F159">
            <v>-795498.52</v>
          </cell>
          <cell r="G159">
            <v>0</v>
          </cell>
          <cell r="H159">
            <v>-795498.52</v>
          </cell>
        </row>
        <row r="160">
          <cell r="A160">
            <v>41050050</v>
          </cell>
          <cell r="B160" t="str">
            <v>Closing Stock - Admixtures</v>
          </cell>
          <cell r="C160">
            <v>0</v>
          </cell>
          <cell r="D160">
            <v>0</v>
          </cell>
          <cell r="E160">
            <v>2703721.97</v>
          </cell>
          <cell r="F160">
            <v>-2703721.97</v>
          </cell>
          <cell r="G160">
            <v>0</v>
          </cell>
          <cell r="H160">
            <v>-2703721.97</v>
          </cell>
        </row>
        <row r="161">
          <cell r="A161">
            <v>41050070</v>
          </cell>
          <cell r="B161" t="str">
            <v>Closing Stock - Flyash</v>
          </cell>
          <cell r="C161">
            <v>0</v>
          </cell>
          <cell r="D161">
            <v>0</v>
          </cell>
          <cell r="E161">
            <v>234490.86</v>
          </cell>
          <cell r="F161">
            <v>-234490.86</v>
          </cell>
          <cell r="G161">
            <v>0</v>
          </cell>
          <cell r="H161">
            <v>-234490.86</v>
          </cell>
        </row>
        <row r="162">
          <cell r="A162">
            <v>41050080</v>
          </cell>
          <cell r="B162" t="str">
            <v>Closing Stock - Diesel</v>
          </cell>
          <cell r="C162">
            <v>0</v>
          </cell>
          <cell r="D162">
            <v>0</v>
          </cell>
          <cell r="E162">
            <v>94875.92</v>
          </cell>
          <cell r="F162">
            <v>-94875.92</v>
          </cell>
          <cell r="G162">
            <v>0</v>
          </cell>
          <cell r="H162">
            <v>-94875.92</v>
          </cell>
        </row>
        <row r="163">
          <cell r="A163">
            <v>41050090</v>
          </cell>
          <cell r="B163" t="str">
            <v>Closing Stock Boulders</v>
          </cell>
          <cell r="C163">
            <v>0</v>
          </cell>
          <cell r="D163">
            <v>20534616.600000001</v>
          </cell>
          <cell r="E163">
            <v>23998938.030000001</v>
          </cell>
          <cell r="F163">
            <v>-3464321.43</v>
          </cell>
          <cell r="G163">
            <v>0</v>
          </cell>
          <cell r="H163">
            <v>-3464321.43</v>
          </cell>
        </row>
        <row r="164">
          <cell r="A164">
            <v>41050100</v>
          </cell>
          <cell r="B164" t="str">
            <v>Closing Stock Crusher Aggregates</v>
          </cell>
          <cell r="C164">
            <v>0</v>
          </cell>
          <cell r="D164">
            <v>7840985.4800000004</v>
          </cell>
          <cell r="E164">
            <v>16159055.52</v>
          </cell>
          <cell r="F164">
            <v>-8318070.04</v>
          </cell>
          <cell r="G164">
            <v>0</v>
          </cell>
          <cell r="H164">
            <v>-8318070.04</v>
          </cell>
        </row>
        <row r="165">
          <cell r="A165">
            <v>41050105</v>
          </cell>
          <cell r="B165" t="str">
            <v>Closing Stock Crusher CRF</v>
          </cell>
          <cell r="C165">
            <v>0</v>
          </cell>
          <cell r="D165">
            <v>77224.81</v>
          </cell>
          <cell r="E165">
            <v>77224.09</v>
          </cell>
          <cell r="F165">
            <v>0.72</v>
          </cell>
          <cell r="G165">
            <v>0</v>
          </cell>
          <cell r="H165">
            <v>0.72</v>
          </cell>
        </row>
        <row r="166">
          <cell r="A166">
            <v>41050110</v>
          </cell>
          <cell r="B166" t="str">
            <v>Closing Stock GGBS</v>
          </cell>
          <cell r="C166">
            <v>0</v>
          </cell>
          <cell r="D166">
            <v>0</v>
          </cell>
          <cell r="E166">
            <v>159222.35</v>
          </cell>
          <cell r="F166">
            <v>-159222.35</v>
          </cell>
          <cell r="G166">
            <v>0</v>
          </cell>
          <cell r="H166">
            <v>-159222.35</v>
          </cell>
        </row>
        <row r="167">
          <cell r="A167">
            <v>41050120</v>
          </cell>
          <cell r="B167" t="str">
            <v>Closing Stock Metacem / Microsilica</v>
          </cell>
          <cell r="C167">
            <v>0</v>
          </cell>
          <cell r="D167">
            <v>0</v>
          </cell>
          <cell r="E167">
            <v>30295.96</v>
          </cell>
          <cell r="F167">
            <v>-30295.96</v>
          </cell>
          <cell r="G167">
            <v>0</v>
          </cell>
          <cell r="H167">
            <v>-30295.96</v>
          </cell>
        </row>
        <row r="168">
          <cell r="A168">
            <v>42010010</v>
          </cell>
          <cell r="B168" t="str">
            <v>Salary - Basic</v>
          </cell>
          <cell r="C168">
            <v>0</v>
          </cell>
          <cell r="D168">
            <v>6046123</v>
          </cell>
          <cell r="E168">
            <v>0</v>
          </cell>
          <cell r="F168">
            <v>6046123</v>
          </cell>
          <cell r="G168">
            <v>0</v>
          </cell>
          <cell r="H168">
            <v>6046123</v>
          </cell>
        </row>
        <row r="169">
          <cell r="A169">
            <v>42010020</v>
          </cell>
          <cell r="B169" t="str">
            <v>House Rent Allowance</v>
          </cell>
          <cell r="C169">
            <v>0</v>
          </cell>
          <cell r="D169">
            <v>3289186</v>
          </cell>
          <cell r="E169">
            <v>0</v>
          </cell>
          <cell r="F169">
            <v>3289186</v>
          </cell>
          <cell r="G169">
            <v>0</v>
          </cell>
          <cell r="H169">
            <v>3289186</v>
          </cell>
        </row>
        <row r="170">
          <cell r="A170">
            <v>42010030</v>
          </cell>
          <cell r="B170" t="str">
            <v>Education Allowance</v>
          </cell>
          <cell r="C170">
            <v>0</v>
          </cell>
          <cell r="D170">
            <v>250777</v>
          </cell>
          <cell r="E170">
            <v>0</v>
          </cell>
          <cell r="F170">
            <v>250777</v>
          </cell>
          <cell r="G170">
            <v>0</v>
          </cell>
          <cell r="H170">
            <v>250777</v>
          </cell>
        </row>
        <row r="171">
          <cell r="A171">
            <v>42010040</v>
          </cell>
          <cell r="B171" t="str">
            <v>Special Allowance</v>
          </cell>
          <cell r="C171">
            <v>0</v>
          </cell>
          <cell r="D171">
            <v>797519</v>
          </cell>
          <cell r="E171">
            <v>0</v>
          </cell>
          <cell r="F171">
            <v>797519</v>
          </cell>
          <cell r="G171">
            <v>0</v>
          </cell>
          <cell r="H171">
            <v>797519</v>
          </cell>
        </row>
        <row r="172">
          <cell r="A172">
            <v>42010050</v>
          </cell>
          <cell r="B172" t="str">
            <v>Medical Expense Reimbursement</v>
          </cell>
          <cell r="C172">
            <v>0</v>
          </cell>
          <cell r="D172">
            <v>375040</v>
          </cell>
          <cell r="E172">
            <v>0</v>
          </cell>
          <cell r="F172">
            <v>375040</v>
          </cell>
          <cell r="G172">
            <v>0</v>
          </cell>
          <cell r="H172">
            <v>375040</v>
          </cell>
        </row>
        <row r="173">
          <cell r="A173">
            <v>42010060</v>
          </cell>
          <cell r="B173" t="str">
            <v>Leave Travel Allowance</v>
          </cell>
          <cell r="C173">
            <v>0</v>
          </cell>
          <cell r="D173">
            <v>1739031</v>
          </cell>
          <cell r="E173">
            <v>60205</v>
          </cell>
          <cell r="F173">
            <v>1678826</v>
          </cell>
          <cell r="G173">
            <v>0</v>
          </cell>
          <cell r="H173">
            <v>1678826</v>
          </cell>
        </row>
        <row r="174">
          <cell r="A174">
            <v>42010070</v>
          </cell>
          <cell r="B174" t="str">
            <v>Leave Encashment</v>
          </cell>
          <cell r="C174">
            <v>0</v>
          </cell>
          <cell r="D174">
            <v>971566</v>
          </cell>
          <cell r="E174">
            <v>0</v>
          </cell>
          <cell r="F174">
            <v>971566</v>
          </cell>
          <cell r="G174">
            <v>0</v>
          </cell>
          <cell r="H174">
            <v>971566</v>
          </cell>
        </row>
        <row r="175">
          <cell r="A175">
            <v>42010090</v>
          </cell>
          <cell r="B175" t="str">
            <v>Overtime Payment</v>
          </cell>
          <cell r="C175">
            <v>0</v>
          </cell>
          <cell r="D175">
            <v>304922</v>
          </cell>
          <cell r="E175">
            <v>0</v>
          </cell>
          <cell r="F175">
            <v>304922</v>
          </cell>
          <cell r="G175">
            <v>0</v>
          </cell>
          <cell r="H175">
            <v>304922</v>
          </cell>
        </row>
        <row r="176">
          <cell r="A176">
            <v>42010100</v>
          </cell>
          <cell r="B176" t="str">
            <v>Transport Allowance</v>
          </cell>
          <cell r="C176">
            <v>0</v>
          </cell>
          <cell r="D176">
            <v>454325</v>
          </cell>
          <cell r="E176">
            <v>0</v>
          </cell>
          <cell r="F176">
            <v>454325</v>
          </cell>
          <cell r="G176">
            <v>0</v>
          </cell>
          <cell r="H176">
            <v>454325</v>
          </cell>
        </row>
        <row r="177">
          <cell r="A177">
            <v>42010110</v>
          </cell>
          <cell r="B177" t="str">
            <v>Lunch Allowance</v>
          </cell>
          <cell r="C177">
            <v>0</v>
          </cell>
          <cell r="D177">
            <v>60500</v>
          </cell>
          <cell r="E177">
            <v>0</v>
          </cell>
          <cell r="F177">
            <v>60500</v>
          </cell>
          <cell r="G177">
            <v>0</v>
          </cell>
          <cell r="H177">
            <v>60500</v>
          </cell>
        </row>
        <row r="178">
          <cell r="A178">
            <v>42010120</v>
          </cell>
          <cell r="B178" t="str">
            <v>Deputation Allowance</v>
          </cell>
          <cell r="C178">
            <v>0</v>
          </cell>
          <cell r="D178">
            <v>16300</v>
          </cell>
          <cell r="E178">
            <v>0</v>
          </cell>
          <cell r="F178">
            <v>16300</v>
          </cell>
          <cell r="G178">
            <v>0</v>
          </cell>
          <cell r="H178">
            <v>16300</v>
          </cell>
        </row>
        <row r="179">
          <cell r="A179">
            <v>42010130</v>
          </cell>
          <cell r="B179" t="str">
            <v>Production Linked Incentive</v>
          </cell>
          <cell r="C179">
            <v>0</v>
          </cell>
          <cell r="D179">
            <v>2648427</v>
          </cell>
          <cell r="E179">
            <v>882809</v>
          </cell>
          <cell r="F179">
            <v>1765618</v>
          </cell>
          <cell r="G179">
            <v>0</v>
          </cell>
          <cell r="H179">
            <v>1765618</v>
          </cell>
        </row>
        <row r="180">
          <cell r="A180">
            <v>42010140</v>
          </cell>
          <cell r="B180" t="str">
            <v>Subsistance Allowance</v>
          </cell>
          <cell r="C180">
            <v>0</v>
          </cell>
          <cell r="D180">
            <v>6085</v>
          </cell>
          <cell r="E180">
            <v>0</v>
          </cell>
          <cell r="F180">
            <v>6085</v>
          </cell>
          <cell r="G180">
            <v>0</v>
          </cell>
          <cell r="H180">
            <v>6085</v>
          </cell>
        </row>
        <row r="181">
          <cell r="A181">
            <v>42010200</v>
          </cell>
          <cell r="B181" t="str">
            <v>Stipend</v>
          </cell>
          <cell r="C181">
            <v>0</v>
          </cell>
          <cell r="D181">
            <v>98048</v>
          </cell>
          <cell r="E181">
            <v>0</v>
          </cell>
          <cell r="F181">
            <v>98048</v>
          </cell>
          <cell r="G181">
            <v>0</v>
          </cell>
          <cell r="H181">
            <v>98048</v>
          </cell>
        </row>
        <row r="182">
          <cell r="A182">
            <v>42010210</v>
          </cell>
          <cell r="B182" t="str">
            <v>Ex-Gratia</v>
          </cell>
          <cell r="C182">
            <v>0</v>
          </cell>
          <cell r="D182">
            <v>371250</v>
          </cell>
          <cell r="E182">
            <v>123750</v>
          </cell>
          <cell r="F182">
            <v>247500</v>
          </cell>
          <cell r="G182">
            <v>0</v>
          </cell>
          <cell r="H182">
            <v>247500</v>
          </cell>
        </row>
        <row r="183">
          <cell r="A183">
            <v>42010220</v>
          </cell>
          <cell r="B183" t="str">
            <v>Adhoc Allowance</v>
          </cell>
          <cell r="C183">
            <v>0</v>
          </cell>
          <cell r="D183">
            <v>221215</v>
          </cell>
          <cell r="E183">
            <v>0</v>
          </cell>
          <cell r="F183">
            <v>221215</v>
          </cell>
          <cell r="G183">
            <v>0</v>
          </cell>
          <cell r="H183">
            <v>221215</v>
          </cell>
        </row>
        <row r="184">
          <cell r="A184">
            <v>42010230</v>
          </cell>
          <cell r="B184" t="str">
            <v>Car Allowance</v>
          </cell>
          <cell r="C184">
            <v>0</v>
          </cell>
          <cell r="D184">
            <v>422903</v>
          </cell>
          <cell r="E184">
            <v>0</v>
          </cell>
          <cell r="F184">
            <v>422903</v>
          </cell>
          <cell r="G184">
            <v>0</v>
          </cell>
          <cell r="H184">
            <v>422903</v>
          </cell>
        </row>
        <row r="185">
          <cell r="A185">
            <v>42010240</v>
          </cell>
          <cell r="B185" t="str">
            <v>Driver Allowance</v>
          </cell>
          <cell r="C185">
            <v>0</v>
          </cell>
          <cell r="D185">
            <v>202613</v>
          </cell>
          <cell r="E185">
            <v>0</v>
          </cell>
          <cell r="F185">
            <v>202613</v>
          </cell>
          <cell r="G185">
            <v>0</v>
          </cell>
          <cell r="H185">
            <v>202613</v>
          </cell>
        </row>
        <row r="186">
          <cell r="A186">
            <v>42010250</v>
          </cell>
          <cell r="B186" t="str">
            <v>Attendance Bonus</v>
          </cell>
          <cell r="C186">
            <v>0</v>
          </cell>
          <cell r="D186">
            <v>15000</v>
          </cell>
          <cell r="E186">
            <v>0</v>
          </cell>
          <cell r="F186">
            <v>15000</v>
          </cell>
          <cell r="G186">
            <v>0</v>
          </cell>
          <cell r="H186">
            <v>15000</v>
          </cell>
        </row>
        <row r="187">
          <cell r="A187">
            <v>42020010</v>
          </cell>
          <cell r="B187" t="str">
            <v>Provident Funds - Employer's Conribution</v>
          </cell>
          <cell r="C187">
            <v>0</v>
          </cell>
          <cell r="D187">
            <v>543385</v>
          </cell>
          <cell r="E187">
            <v>0</v>
          </cell>
          <cell r="F187">
            <v>543385</v>
          </cell>
          <cell r="G187">
            <v>0</v>
          </cell>
          <cell r="H187">
            <v>543385</v>
          </cell>
        </row>
        <row r="188">
          <cell r="A188">
            <v>42020020</v>
          </cell>
          <cell r="B188" t="str">
            <v>Pension Fund - Employer's Contribution</v>
          </cell>
          <cell r="C188">
            <v>0</v>
          </cell>
          <cell r="D188">
            <v>182130</v>
          </cell>
          <cell r="E188">
            <v>0</v>
          </cell>
          <cell r="F188">
            <v>182130</v>
          </cell>
          <cell r="G188">
            <v>0</v>
          </cell>
          <cell r="H188">
            <v>182130</v>
          </cell>
        </row>
        <row r="189">
          <cell r="A189">
            <v>42020030</v>
          </cell>
          <cell r="B189" t="str">
            <v>Provident Fund - Admn.Charges</v>
          </cell>
          <cell r="C189">
            <v>0</v>
          </cell>
          <cell r="D189">
            <v>241523</v>
          </cell>
          <cell r="E189">
            <v>81273</v>
          </cell>
          <cell r="F189">
            <v>160250</v>
          </cell>
          <cell r="G189">
            <v>0</v>
          </cell>
          <cell r="H189">
            <v>160250</v>
          </cell>
        </row>
        <row r="190">
          <cell r="A190">
            <v>42020040</v>
          </cell>
          <cell r="B190" t="str">
            <v>Gratuity</v>
          </cell>
          <cell r="C190">
            <v>0</v>
          </cell>
          <cell r="D190">
            <v>3833587</v>
          </cell>
          <cell r="E190">
            <v>2943075</v>
          </cell>
          <cell r="F190">
            <v>890512</v>
          </cell>
          <cell r="G190">
            <v>0</v>
          </cell>
          <cell r="H190">
            <v>890512</v>
          </cell>
        </row>
        <row r="191">
          <cell r="A191">
            <v>42020055</v>
          </cell>
          <cell r="B191" t="str">
            <v>Super Annuation Fund</v>
          </cell>
          <cell r="C191">
            <v>0</v>
          </cell>
          <cell r="D191">
            <v>400000</v>
          </cell>
          <cell r="E191">
            <v>0</v>
          </cell>
          <cell r="F191">
            <v>400000</v>
          </cell>
          <cell r="G191">
            <v>0</v>
          </cell>
          <cell r="H191">
            <v>400000</v>
          </cell>
        </row>
        <row r="192">
          <cell r="A192">
            <v>42030010</v>
          </cell>
          <cell r="B192" t="str">
            <v>Purchases of Safety &amp; Welfare Items - FBT</v>
          </cell>
          <cell r="C192">
            <v>0</v>
          </cell>
          <cell r="D192">
            <v>93548</v>
          </cell>
          <cell r="E192">
            <v>23937</v>
          </cell>
          <cell r="F192">
            <v>69611</v>
          </cell>
          <cell r="G192">
            <v>0</v>
          </cell>
          <cell r="H192">
            <v>69611</v>
          </cell>
        </row>
        <row r="193">
          <cell r="A193">
            <v>42030020</v>
          </cell>
          <cell r="B193" t="str">
            <v>Purchases of Safety &amp; Welfare Items</v>
          </cell>
          <cell r="C193">
            <v>0</v>
          </cell>
          <cell r="D193">
            <v>69491</v>
          </cell>
          <cell r="E193">
            <v>31291</v>
          </cell>
          <cell r="F193">
            <v>38200</v>
          </cell>
          <cell r="G193">
            <v>0</v>
          </cell>
          <cell r="H193">
            <v>38200</v>
          </cell>
        </row>
        <row r="194">
          <cell r="A194">
            <v>42030030</v>
          </cell>
          <cell r="B194" t="str">
            <v>Mediclaim Expenses Reimbursement - FBT</v>
          </cell>
          <cell r="C194">
            <v>0</v>
          </cell>
          <cell r="D194">
            <v>294388</v>
          </cell>
          <cell r="E194">
            <v>294388</v>
          </cell>
          <cell r="F194">
            <v>0</v>
          </cell>
          <cell r="G194">
            <v>0</v>
          </cell>
          <cell r="H194">
            <v>0</v>
          </cell>
        </row>
        <row r="195">
          <cell r="A195">
            <v>42030040</v>
          </cell>
          <cell r="B195" t="str">
            <v>Staff Welfare Expenses - FBT</v>
          </cell>
          <cell r="C195">
            <v>0</v>
          </cell>
          <cell r="D195">
            <v>806426.5</v>
          </cell>
          <cell r="E195">
            <v>210114</v>
          </cell>
          <cell r="F195">
            <v>596312.5</v>
          </cell>
          <cell r="G195">
            <v>0</v>
          </cell>
          <cell r="H195">
            <v>596312.5</v>
          </cell>
        </row>
        <row r="196">
          <cell r="A196">
            <v>42030050</v>
          </cell>
          <cell r="B196" t="str">
            <v>Staff Welfare Expenses</v>
          </cell>
          <cell r="C196">
            <v>0</v>
          </cell>
          <cell r="D196">
            <v>46061</v>
          </cell>
          <cell r="E196">
            <v>9022</v>
          </cell>
          <cell r="F196">
            <v>37039</v>
          </cell>
          <cell r="G196">
            <v>0</v>
          </cell>
          <cell r="H196">
            <v>37039</v>
          </cell>
        </row>
        <row r="197">
          <cell r="A197">
            <v>43001010</v>
          </cell>
          <cell r="B197" t="str">
            <v>Electricity Charges</v>
          </cell>
          <cell r="C197">
            <v>0</v>
          </cell>
          <cell r="D197">
            <v>3803620</v>
          </cell>
          <cell r="E197">
            <v>2489709</v>
          </cell>
          <cell r="F197">
            <v>1313911</v>
          </cell>
          <cell r="G197">
            <v>0</v>
          </cell>
          <cell r="H197">
            <v>1313911</v>
          </cell>
        </row>
        <row r="198">
          <cell r="A198">
            <v>43001020</v>
          </cell>
          <cell r="B198" t="str">
            <v>Water Charges</v>
          </cell>
          <cell r="C198">
            <v>0</v>
          </cell>
          <cell r="D198">
            <v>1332465</v>
          </cell>
          <cell r="E198">
            <v>542385</v>
          </cell>
          <cell r="F198">
            <v>790080</v>
          </cell>
          <cell r="G198">
            <v>0</v>
          </cell>
          <cell r="H198">
            <v>790080</v>
          </cell>
        </row>
        <row r="199">
          <cell r="A199">
            <v>43001030</v>
          </cell>
          <cell r="B199" t="str">
            <v>Fuel For Diesel Generator Set</v>
          </cell>
          <cell r="C199">
            <v>0</v>
          </cell>
          <cell r="D199">
            <v>517762.84</v>
          </cell>
          <cell r="E199">
            <v>91696.92</v>
          </cell>
          <cell r="F199">
            <v>426065.91999999998</v>
          </cell>
          <cell r="G199">
            <v>0</v>
          </cell>
          <cell r="H199">
            <v>426065.91999999998</v>
          </cell>
        </row>
        <row r="200">
          <cell r="A200">
            <v>43006030</v>
          </cell>
          <cell r="B200" t="str">
            <v>Drilling Charges</v>
          </cell>
          <cell r="C200">
            <v>0</v>
          </cell>
          <cell r="D200">
            <v>455291</v>
          </cell>
          <cell r="E200">
            <v>129030</v>
          </cell>
          <cell r="F200">
            <v>326261</v>
          </cell>
          <cell r="G200">
            <v>0</v>
          </cell>
          <cell r="H200">
            <v>326261</v>
          </cell>
        </row>
        <row r="201">
          <cell r="A201">
            <v>43006040</v>
          </cell>
          <cell r="B201" t="str">
            <v>Blasting Expenses</v>
          </cell>
          <cell r="C201">
            <v>0</v>
          </cell>
          <cell r="D201">
            <v>585202.99</v>
          </cell>
          <cell r="E201">
            <v>188384</v>
          </cell>
          <cell r="F201">
            <v>396818.99</v>
          </cell>
          <cell r="G201">
            <v>0</v>
          </cell>
          <cell r="H201">
            <v>396818.99</v>
          </cell>
        </row>
        <row r="202">
          <cell r="A202">
            <v>43010010</v>
          </cell>
          <cell r="B202" t="str">
            <v>Consumables</v>
          </cell>
          <cell r="C202">
            <v>0</v>
          </cell>
          <cell r="D202">
            <v>81294</v>
          </cell>
          <cell r="E202">
            <v>34550</v>
          </cell>
          <cell r="F202">
            <v>46744</v>
          </cell>
          <cell r="G202">
            <v>0</v>
          </cell>
          <cell r="H202">
            <v>46744</v>
          </cell>
        </row>
        <row r="203">
          <cell r="A203">
            <v>43012020</v>
          </cell>
          <cell r="B203" t="str">
            <v>Labour / sub contractor for - Pumping Expenses Incurred</v>
          </cell>
          <cell r="C203">
            <v>0</v>
          </cell>
          <cell r="D203">
            <v>1401445</v>
          </cell>
          <cell r="E203">
            <v>429720</v>
          </cell>
          <cell r="F203">
            <v>971725</v>
          </cell>
          <cell r="G203">
            <v>0</v>
          </cell>
          <cell r="H203">
            <v>971725</v>
          </cell>
        </row>
        <row r="204">
          <cell r="A204">
            <v>43012030</v>
          </cell>
          <cell r="B204" t="str">
            <v>Labour Charges - Quarry/Crusher</v>
          </cell>
          <cell r="C204">
            <v>0</v>
          </cell>
          <cell r="D204">
            <v>1313137.6399999999</v>
          </cell>
          <cell r="E204">
            <v>459239</v>
          </cell>
          <cell r="F204">
            <v>853898.64</v>
          </cell>
          <cell r="G204">
            <v>0</v>
          </cell>
          <cell r="H204">
            <v>853898.64</v>
          </cell>
        </row>
        <row r="205">
          <cell r="A205">
            <v>43014010</v>
          </cell>
          <cell r="B205" t="str">
            <v>Octroi Charges</v>
          </cell>
          <cell r="C205">
            <v>0</v>
          </cell>
          <cell r="D205">
            <v>256364</v>
          </cell>
          <cell r="E205">
            <v>13641</v>
          </cell>
          <cell r="F205">
            <v>242723</v>
          </cell>
          <cell r="G205">
            <v>0</v>
          </cell>
          <cell r="H205">
            <v>242723</v>
          </cell>
        </row>
        <row r="206">
          <cell r="A206">
            <v>43016010</v>
          </cell>
          <cell r="B206" t="str">
            <v>Transportation Charges</v>
          </cell>
          <cell r="C206">
            <v>0</v>
          </cell>
          <cell r="D206">
            <v>6929492.5999999996</v>
          </cell>
          <cell r="E206">
            <v>1881444.9</v>
          </cell>
          <cell r="F206">
            <v>5048047.7</v>
          </cell>
          <cell r="G206">
            <v>0</v>
          </cell>
          <cell r="H206">
            <v>5048047.7</v>
          </cell>
        </row>
        <row r="207">
          <cell r="A207">
            <v>43018010</v>
          </cell>
          <cell r="B207" t="str">
            <v>Repairs &amp; Maintenance</v>
          </cell>
          <cell r="C207">
            <v>0</v>
          </cell>
          <cell r="D207">
            <v>6730001.6200000001</v>
          </cell>
          <cell r="E207">
            <v>2227336.1</v>
          </cell>
          <cell r="F207">
            <v>4502665.5199999996</v>
          </cell>
          <cell r="G207">
            <v>0</v>
          </cell>
          <cell r="H207">
            <v>4502665.5199999996</v>
          </cell>
        </row>
        <row r="208">
          <cell r="A208">
            <v>43018020</v>
          </cell>
          <cell r="B208" t="str">
            <v>Oil &amp; Grease</v>
          </cell>
          <cell r="C208">
            <v>0</v>
          </cell>
          <cell r="D208">
            <v>826990.6</v>
          </cell>
          <cell r="E208">
            <v>309175</v>
          </cell>
          <cell r="F208">
            <v>517815.6</v>
          </cell>
          <cell r="G208">
            <v>0</v>
          </cell>
          <cell r="H208">
            <v>517815.6</v>
          </cell>
        </row>
        <row r="209">
          <cell r="A209">
            <v>43018030</v>
          </cell>
          <cell r="B209" t="str">
            <v>Explosives &amp; Other Exps-Quarry</v>
          </cell>
          <cell r="C209">
            <v>0</v>
          </cell>
          <cell r="D209">
            <v>506710.5</v>
          </cell>
          <cell r="E209">
            <v>31738</v>
          </cell>
          <cell r="F209">
            <v>474972.5</v>
          </cell>
          <cell r="G209">
            <v>0</v>
          </cell>
          <cell r="H209">
            <v>474972.5</v>
          </cell>
        </row>
        <row r="210">
          <cell r="A210">
            <v>43020030</v>
          </cell>
          <cell r="B210" t="str">
            <v>Tyres</v>
          </cell>
          <cell r="C210">
            <v>0</v>
          </cell>
          <cell r="D210">
            <v>200000</v>
          </cell>
          <cell r="E210">
            <v>0</v>
          </cell>
          <cell r="F210">
            <v>200000</v>
          </cell>
          <cell r="G210">
            <v>0</v>
          </cell>
          <cell r="H210">
            <v>200000</v>
          </cell>
        </row>
        <row r="211">
          <cell r="A211">
            <v>43020040</v>
          </cell>
          <cell r="B211" t="str">
            <v>Repairs &amp; Maintenance - Vehicles - FBT</v>
          </cell>
          <cell r="C211">
            <v>0</v>
          </cell>
          <cell r="D211">
            <v>31238</v>
          </cell>
          <cell r="E211">
            <v>0</v>
          </cell>
          <cell r="F211">
            <v>31238</v>
          </cell>
          <cell r="G211">
            <v>0</v>
          </cell>
          <cell r="H211">
            <v>31238</v>
          </cell>
        </row>
        <row r="212">
          <cell r="A212">
            <v>43022010</v>
          </cell>
          <cell r="B212" t="str">
            <v>Plant / Office Up Keep Exps</v>
          </cell>
          <cell r="C212">
            <v>0</v>
          </cell>
          <cell r="D212">
            <v>1264526</v>
          </cell>
          <cell r="E212">
            <v>357377</v>
          </cell>
          <cell r="F212">
            <v>907149</v>
          </cell>
          <cell r="G212">
            <v>0</v>
          </cell>
          <cell r="H212">
            <v>907149</v>
          </cell>
        </row>
        <row r="213">
          <cell r="A213">
            <v>43030010</v>
          </cell>
          <cell r="B213" t="str">
            <v>Transportation Exps-Labour</v>
          </cell>
          <cell r="C213">
            <v>0</v>
          </cell>
          <cell r="D213">
            <v>494170</v>
          </cell>
          <cell r="E213">
            <v>60000</v>
          </cell>
          <cell r="F213">
            <v>434170</v>
          </cell>
          <cell r="G213">
            <v>0</v>
          </cell>
          <cell r="H213">
            <v>434170</v>
          </cell>
        </row>
        <row r="214">
          <cell r="A214">
            <v>43032010</v>
          </cell>
          <cell r="B214" t="str">
            <v>Rent - Plant</v>
          </cell>
          <cell r="C214">
            <v>0</v>
          </cell>
          <cell r="D214">
            <v>3321500</v>
          </cell>
          <cell r="E214">
            <v>40000</v>
          </cell>
          <cell r="F214">
            <v>3281500</v>
          </cell>
          <cell r="G214">
            <v>0</v>
          </cell>
          <cell r="H214">
            <v>3281500</v>
          </cell>
        </row>
        <row r="215">
          <cell r="A215">
            <v>43032015</v>
          </cell>
          <cell r="B215" t="str">
            <v>Rent - Office</v>
          </cell>
          <cell r="C215">
            <v>0</v>
          </cell>
          <cell r="D215">
            <v>691800</v>
          </cell>
          <cell r="E215">
            <v>330900</v>
          </cell>
          <cell r="F215">
            <v>360900</v>
          </cell>
          <cell r="G215">
            <v>0</v>
          </cell>
          <cell r="H215">
            <v>360900</v>
          </cell>
        </row>
        <row r="216">
          <cell r="A216">
            <v>43032040</v>
          </cell>
          <cell r="B216" t="str">
            <v>Lease Rentals- Machinery</v>
          </cell>
          <cell r="C216">
            <v>0</v>
          </cell>
          <cell r="D216">
            <v>7209775.9800000004</v>
          </cell>
          <cell r="E216">
            <v>2707453</v>
          </cell>
          <cell r="F216">
            <v>4502322.9800000004</v>
          </cell>
          <cell r="G216">
            <v>0</v>
          </cell>
          <cell r="H216">
            <v>4502322.9800000004</v>
          </cell>
        </row>
        <row r="217">
          <cell r="A217">
            <v>43032045</v>
          </cell>
          <cell r="B217" t="str">
            <v>Towing Expenses</v>
          </cell>
          <cell r="C217">
            <v>0</v>
          </cell>
          <cell r="D217">
            <v>921138</v>
          </cell>
          <cell r="E217">
            <v>383933</v>
          </cell>
          <cell r="F217">
            <v>537205</v>
          </cell>
          <cell r="G217">
            <v>0</v>
          </cell>
          <cell r="H217">
            <v>537205</v>
          </cell>
        </row>
        <row r="218">
          <cell r="A218">
            <v>43036010</v>
          </cell>
          <cell r="B218" t="str">
            <v>Insurance Expenses</v>
          </cell>
          <cell r="C218">
            <v>0</v>
          </cell>
          <cell r="D218">
            <v>1391835</v>
          </cell>
          <cell r="E218">
            <v>64659</v>
          </cell>
          <cell r="F218">
            <v>1327176</v>
          </cell>
          <cell r="G218">
            <v>0</v>
          </cell>
          <cell r="H218">
            <v>1327176</v>
          </cell>
        </row>
        <row r="219">
          <cell r="A219">
            <v>43038010</v>
          </cell>
          <cell r="B219" t="str">
            <v>Postage Expenses</v>
          </cell>
          <cell r="C219">
            <v>0</v>
          </cell>
          <cell r="D219">
            <v>105</v>
          </cell>
          <cell r="E219">
            <v>0</v>
          </cell>
          <cell r="F219">
            <v>105</v>
          </cell>
          <cell r="G219">
            <v>0</v>
          </cell>
          <cell r="H219">
            <v>105</v>
          </cell>
        </row>
        <row r="220">
          <cell r="A220">
            <v>43038020</v>
          </cell>
          <cell r="B220" t="str">
            <v>Courier Expenses</v>
          </cell>
          <cell r="C220">
            <v>0</v>
          </cell>
          <cell r="D220">
            <v>165509</v>
          </cell>
          <cell r="E220">
            <v>107000</v>
          </cell>
          <cell r="F220">
            <v>58509</v>
          </cell>
          <cell r="G220">
            <v>0</v>
          </cell>
          <cell r="H220">
            <v>58509</v>
          </cell>
        </row>
        <row r="221">
          <cell r="A221">
            <v>43038030</v>
          </cell>
          <cell r="B221" t="str">
            <v>Telephone Expenses</v>
          </cell>
          <cell r="C221">
            <v>0</v>
          </cell>
          <cell r="D221">
            <v>538752</v>
          </cell>
          <cell r="E221">
            <v>373993</v>
          </cell>
          <cell r="F221">
            <v>164759</v>
          </cell>
          <cell r="G221">
            <v>0</v>
          </cell>
          <cell r="H221">
            <v>164759</v>
          </cell>
        </row>
        <row r="222">
          <cell r="A222">
            <v>43038040</v>
          </cell>
          <cell r="B222" t="str">
            <v>Fax Expenses</v>
          </cell>
          <cell r="C222">
            <v>0</v>
          </cell>
          <cell r="D222">
            <v>429</v>
          </cell>
          <cell r="E222">
            <v>0</v>
          </cell>
          <cell r="F222">
            <v>429</v>
          </cell>
          <cell r="G222">
            <v>0</v>
          </cell>
          <cell r="H222">
            <v>429</v>
          </cell>
        </row>
        <row r="223">
          <cell r="A223">
            <v>43038050</v>
          </cell>
          <cell r="B223" t="str">
            <v>Telephone Chgs - Mobile  FBT</v>
          </cell>
          <cell r="C223">
            <v>0</v>
          </cell>
          <cell r="D223">
            <v>172053.2</v>
          </cell>
          <cell r="E223">
            <v>10661.26</v>
          </cell>
          <cell r="F223">
            <v>161391.94</v>
          </cell>
          <cell r="G223">
            <v>0</v>
          </cell>
          <cell r="H223">
            <v>161391.94</v>
          </cell>
        </row>
        <row r="224">
          <cell r="A224">
            <v>43038060</v>
          </cell>
          <cell r="B224" t="str">
            <v>Telephone  Employee - Residence - FBT</v>
          </cell>
          <cell r="C224">
            <v>0</v>
          </cell>
          <cell r="D224">
            <v>19125</v>
          </cell>
          <cell r="E224">
            <v>5597</v>
          </cell>
          <cell r="F224">
            <v>13528</v>
          </cell>
          <cell r="G224">
            <v>0</v>
          </cell>
          <cell r="H224">
            <v>13528</v>
          </cell>
        </row>
        <row r="225">
          <cell r="A225">
            <v>43040010</v>
          </cell>
          <cell r="B225" t="str">
            <v>Conveyance Expenses - FBT</v>
          </cell>
          <cell r="C225">
            <v>0</v>
          </cell>
          <cell r="D225">
            <v>259862</v>
          </cell>
          <cell r="E225">
            <v>36196</v>
          </cell>
          <cell r="F225">
            <v>223666</v>
          </cell>
          <cell r="G225">
            <v>0</v>
          </cell>
          <cell r="H225">
            <v>223666</v>
          </cell>
        </row>
        <row r="226">
          <cell r="A226">
            <v>43040030</v>
          </cell>
          <cell r="B226" t="str">
            <v>Motor Car Hire Expenses - FBT</v>
          </cell>
          <cell r="C226">
            <v>0</v>
          </cell>
          <cell r="D226">
            <v>761738</v>
          </cell>
          <cell r="E226">
            <v>350758</v>
          </cell>
          <cell r="F226">
            <v>410980</v>
          </cell>
          <cell r="G226">
            <v>0</v>
          </cell>
          <cell r="H226">
            <v>410980</v>
          </cell>
        </row>
        <row r="227">
          <cell r="A227">
            <v>43040060</v>
          </cell>
          <cell r="B227" t="str">
            <v>Travelling Expenses - Foreign - FBT</v>
          </cell>
          <cell r="C227">
            <v>0</v>
          </cell>
          <cell r="D227">
            <v>100000</v>
          </cell>
          <cell r="E227">
            <v>0</v>
          </cell>
          <cell r="F227">
            <v>100000</v>
          </cell>
          <cell r="G227">
            <v>0</v>
          </cell>
          <cell r="H227">
            <v>100000</v>
          </cell>
        </row>
        <row r="228">
          <cell r="A228">
            <v>43040080</v>
          </cell>
          <cell r="B228" t="str">
            <v>Travelling Expenses - Domestic - FBT</v>
          </cell>
          <cell r="C228">
            <v>0</v>
          </cell>
          <cell r="D228">
            <v>1694375</v>
          </cell>
          <cell r="E228">
            <v>573931</v>
          </cell>
          <cell r="F228">
            <v>1120444</v>
          </cell>
          <cell r="G228">
            <v>0</v>
          </cell>
          <cell r="H228">
            <v>1120444</v>
          </cell>
        </row>
        <row r="229">
          <cell r="A229">
            <v>43040100</v>
          </cell>
          <cell r="B229" t="str">
            <v>Hotel Expenses  - FBT</v>
          </cell>
          <cell r="C229">
            <v>0</v>
          </cell>
          <cell r="D229">
            <v>303776</v>
          </cell>
          <cell r="E229">
            <v>57188</v>
          </cell>
          <cell r="F229">
            <v>246588</v>
          </cell>
          <cell r="G229">
            <v>0</v>
          </cell>
          <cell r="H229">
            <v>246588</v>
          </cell>
        </row>
        <row r="230">
          <cell r="A230">
            <v>43042010</v>
          </cell>
          <cell r="B230" t="str">
            <v>Fuel - Truck Mixers</v>
          </cell>
          <cell r="C230">
            <v>0</v>
          </cell>
          <cell r="D230">
            <v>2733261.77</v>
          </cell>
          <cell r="E230">
            <v>1560</v>
          </cell>
          <cell r="F230">
            <v>2731701.77</v>
          </cell>
          <cell r="G230">
            <v>0</v>
          </cell>
          <cell r="H230">
            <v>2731701.77</v>
          </cell>
        </row>
        <row r="231">
          <cell r="A231">
            <v>43042020</v>
          </cell>
          <cell r="B231" t="str">
            <v>Fuel - Loader</v>
          </cell>
          <cell r="C231">
            <v>0</v>
          </cell>
          <cell r="D231">
            <v>476527.1</v>
          </cell>
          <cell r="E231">
            <v>93131.3</v>
          </cell>
          <cell r="F231">
            <v>383395.8</v>
          </cell>
          <cell r="G231">
            <v>0</v>
          </cell>
          <cell r="H231">
            <v>383395.8</v>
          </cell>
        </row>
        <row r="232">
          <cell r="A232">
            <v>43042040</v>
          </cell>
          <cell r="B232" t="str">
            <v>Fuel -  Company Vehicle Expenses  FBT</v>
          </cell>
          <cell r="C232">
            <v>0</v>
          </cell>
          <cell r="D232">
            <v>358588</v>
          </cell>
          <cell r="E232">
            <v>129250</v>
          </cell>
          <cell r="F232">
            <v>229338</v>
          </cell>
          <cell r="G232">
            <v>0</v>
          </cell>
          <cell r="H232">
            <v>229338</v>
          </cell>
        </row>
        <row r="233">
          <cell r="A233">
            <v>43042050</v>
          </cell>
          <cell r="B233" t="str">
            <v>Fuel -  External Trucks/Pumps</v>
          </cell>
          <cell r="C233">
            <v>0</v>
          </cell>
          <cell r="D233">
            <v>3898222.09</v>
          </cell>
          <cell r="E233">
            <v>251415.8</v>
          </cell>
          <cell r="F233">
            <v>3646806.29</v>
          </cell>
          <cell r="G233">
            <v>0</v>
          </cell>
          <cell r="H233">
            <v>3646806.29</v>
          </cell>
        </row>
        <row r="234">
          <cell r="A234">
            <v>43042055</v>
          </cell>
          <cell r="B234" t="str">
            <v>Fuel- Compressor</v>
          </cell>
          <cell r="C234">
            <v>0</v>
          </cell>
          <cell r="D234">
            <v>476493.1</v>
          </cell>
          <cell r="E234">
            <v>0</v>
          </cell>
          <cell r="F234">
            <v>476493.1</v>
          </cell>
          <cell r="G234">
            <v>0</v>
          </cell>
          <cell r="H234">
            <v>476493.1</v>
          </cell>
        </row>
        <row r="235">
          <cell r="A235">
            <v>43042060</v>
          </cell>
          <cell r="B235" t="str">
            <v>Fuel - Concrete Pumps</v>
          </cell>
          <cell r="C235">
            <v>0</v>
          </cell>
          <cell r="D235">
            <v>448656.98</v>
          </cell>
          <cell r="E235">
            <v>0</v>
          </cell>
          <cell r="F235">
            <v>448656.98</v>
          </cell>
          <cell r="G235">
            <v>0</v>
          </cell>
          <cell r="H235">
            <v>448656.98</v>
          </cell>
        </row>
        <row r="236">
          <cell r="A236">
            <v>43044010</v>
          </cell>
          <cell r="B236" t="str">
            <v>Royalty</v>
          </cell>
          <cell r="C236">
            <v>0</v>
          </cell>
          <cell r="D236">
            <v>1062100</v>
          </cell>
          <cell r="E236">
            <v>0</v>
          </cell>
          <cell r="F236">
            <v>1062100</v>
          </cell>
          <cell r="G236">
            <v>0</v>
          </cell>
          <cell r="H236">
            <v>1062100</v>
          </cell>
        </row>
        <row r="237">
          <cell r="A237">
            <v>43046010</v>
          </cell>
          <cell r="B237" t="str">
            <v>Rates &amp; Taxes</v>
          </cell>
          <cell r="C237">
            <v>0</v>
          </cell>
          <cell r="D237">
            <v>558989</v>
          </cell>
          <cell r="E237">
            <v>76465</v>
          </cell>
          <cell r="F237">
            <v>482524</v>
          </cell>
          <cell r="G237">
            <v>0</v>
          </cell>
          <cell r="H237">
            <v>482524</v>
          </cell>
        </row>
        <row r="238">
          <cell r="A238">
            <v>43046020</v>
          </cell>
          <cell r="B238" t="str">
            <v>Toll Charges- Truck Mixer</v>
          </cell>
          <cell r="C238">
            <v>0</v>
          </cell>
          <cell r="D238">
            <v>56340</v>
          </cell>
          <cell r="E238">
            <v>1876</v>
          </cell>
          <cell r="F238">
            <v>54464</v>
          </cell>
          <cell r="G238">
            <v>0</v>
          </cell>
          <cell r="H238">
            <v>54464</v>
          </cell>
        </row>
        <row r="239">
          <cell r="A239">
            <v>43046030</v>
          </cell>
          <cell r="B239" t="str">
            <v>Fines &amp; Penalties</v>
          </cell>
          <cell r="C239">
            <v>0</v>
          </cell>
          <cell r="D239">
            <v>38800</v>
          </cell>
          <cell r="E239">
            <v>0</v>
          </cell>
          <cell r="F239">
            <v>38800</v>
          </cell>
          <cell r="G239">
            <v>0</v>
          </cell>
          <cell r="H239">
            <v>38800</v>
          </cell>
        </row>
        <row r="240">
          <cell r="A240">
            <v>43048010</v>
          </cell>
          <cell r="B240" t="str">
            <v>Wealth Tax</v>
          </cell>
          <cell r="C240">
            <v>0</v>
          </cell>
          <cell r="D240">
            <v>35000</v>
          </cell>
          <cell r="E240">
            <v>0</v>
          </cell>
          <cell r="F240">
            <v>35000</v>
          </cell>
          <cell r="G240">
            <v>0</v>
          </cell>
          <cell r="H240">
            <v>35000</v>
          </cell>
        </row>
        <row r="241">
          <cell r="A241">
            <v>43050010</v>
          </cell>
          <cell r="B241" t="str">
            <v>Staff Training Expenses</v>
          </cell>
          <cell r="C241">
            <v>0</v>
          </cell>
          <cell r="D241">
            <v>123950</v>
          </cell>
          <cell r="E241">
            <v>0</v>
          </cell>
          <cell r="F241">
            <v>123950</v>
          </cell>
          <cell r="G241">
            <v>0</v>
          </cell>
          <cell r="H241">
            <v>123950</v>
          </cell>
        </row>
        <row r="242">
          <cell r="A242">
            <v>43050020</v>
          </cell>
          <cell r="B242" t="str">
            <v>Recruitment Expenses</v>
          </cell>
          <cell r="C242">
            <v>0</v>
          </cell>
          <cell r="D242">
            <v>16545</v>
          </cell>
          <cell r="E242">
            <v>0</v>
          </cell>
          <cell r="F242">
            <v>16545</v>
          </cell>
          <cell r="G242">
            <v>0</v>
          </cell>
          <cell r="H242">
            <v>16545</v>
          </cell>
        </row>
        <row r="243">
          <cell r="A243">
            <v>43052010</v>
          </cell>
          <cell r="B243" t="str">
            <v>Security Service Charges</v>
          </cell>
          <cell r="C243">
            <v>0</v>
          </cell>
          <cell r="D243">
            <v>1152976</v>
          </cell>
          <cell r="E243">
            <v>479832</v>
          </cell>
          <cell r="F243">
            <v>673144</v>
          </cell>
          <cell r="G243">
            <v>0</v>
          </cell>
          <cell r="H243">
            <v>673144</v>
          </cell>
        </row>
        <row r="244">
          <cell r="A244">
            <v>43054010</v>
          </cell>
          <cell r="B244" t="str">
            <v>Hire Charges - Machine</v>
          </cell>
          <cell r="C244">
            <v>0</v>
          </cell>
          <cell r="D244">
            <v>132850</v>
          </cell>
          <cell r="E244">
            <v>59000</v>
          </cell>
          <cell r="F244">
            <v>73850</v>
          </cell>
          <cell r="G244">
            <v>0</v>
          </cell>
          <cell r="H244">
            <v>73850</v>
          </cell>
        </row>
        <row r="245">
          <cell r="A245">
            <v>43054020</v>
          </cell>
          <cell r="B245" t="str">
            <v>Concrete Carrying Charges - TM</v>
          </cell>
          <cell r="C245">
            <v>0</v>
          </cell>
          <cell r="D245">
            <v>3330094</v>
          </cell>
          <cell r="E245">
            <v>1405917</v>
          </cell>
          <cell r="F245">
            <v>1924177</v>
          </cell>
          <cell r="G245">
            <v>0</v>
          </cell>
          <cell r="H245">
            <v>1924177</v>
          </cell>
        </row>
        <row r="246">
          <cell r="A246">
            <v>43054040</v>
          </cell>
          <cell r="B246" t="str">
            <v>Hire Charges - Vehicle</v>
          </cell>
          <cell r="C246">
            <v>0</v>
          </cell>
          <cell r="D246">
            <v>6910</v>
          </cell>
          <cell r="E246">
            <v>0</v>
          </cell>
          <cell r="F246">
            <v>6910</v>
          </cell>
          <cell r="G246">
            <v>0</v>
          </cell>
          <cell r="H246">
            <v>6910</v>
          </cell>
        </row>
        <row r="247">
          <cell r="A247">
            <v>43056010</v>
          </cell>
          <cell r="B247" t="str">
            <v>Professional &amp; Consultancy Fees</v>
          </cell>
          <cell r="C247">
            <v>0</v>
          </cell>
          <cell r="D247">
            <v>2547940.87</v>
          </cell>
          <cell r="E247">
            <v>142381</v>
          </cell>
          <cell r="F247">
            <v>2405559.87</v>
          </cell>
          <cell r="G247">
            <v>0</v>
          </cell>
          <cell r="H247">
            <v>2405559.87</v>
          </cell>
        </row>
        <row r="248">
          <cell r="A248">
            <v>43056020</v>
          </cell>
          <cell r="B248" t="str">
            <v>Legal fees - Court fee on which TDS is not recovered</v>
          </cell>
          <cell r="C248">
            <v>0</v>
          </cell>
          <cell r="D248">
            <v>300</v>
          </cell>
          <cell r="E248">
            <v>0</v>
          </cell>
          <cell r="F248">
            <v>300</v>
          </cell>
          <cell r="G248">
            <v>0</v>
          </cell>
          <cell r="H248">
            <v>300</v>
          </cell>
        </row>
        <row r="249">
          <cell r="A249">
            <v>43058010</v>
          </cell>
          <cell r="B249" t="str">
            <v>Audit Fees</v>
          </cell>
          <cell r="C249">
            <v>0</v>
          </cell>
          <cell r="D249">
            <v>400000</v>
          </cell>
          <cell r="E249">
            <v>0</v>
          </cell>
          <cell r="F249">
            <v>400000</v>
          </cell>
          <cell r="G249">
            <v>0</v>
          </cell>
          <cell r="H249">
            <v>400000</v>
          </cell>
        </row>
        <row r="250">
          <cell r="A250">
            <v>43062010</v>
          </cell>
          <cell r="B250" t="str">
            <v>Computer Expenses</v>
          </cell>
          <cell r="C250">
            <v>0</v>
          </cell>
          <cell r="D250">
            <v>564276</v>
          </cell>
          <cell r="E250">
            <v>295911</v>
          </cell>
          <cell r="F250">
            <v>268365</v>
          </cell>
          <cell r="G250">
            <v>0</v>
          </cell>
          <cell r="H250">
            <v>268365</v>
          </cell>
        </row>
        <row r="251">
          <cell r="A251">
            <v>43064010</v>
          </cell>
          <cell r="B251" t="str">
            <v>Membership &amp; Subscription - Fees</v>
          </cell>
          <cell r="C251">
            <v>0</v>
          </cell>
          <cell r="D251">
            <v>204712</v>
          </cell>
          <cell r="E251">
            <v>28182</v>
          </cell>
          <cell r="F251">
            <v>176530</v>
          </cell>
          <cell r="G251">
            <v>0</v>
          </cell>
          <cell r="H251">
            <v>176530</v>
          </cell>
        </row>
        <row r="252">
          <cell r="A252">
            <v>43066010</v>
          </cell>
          <cell r="B252" t="str">
            <v>Books &amp; Periodicals</v>
          </cell>
          <cell r="C252">
            <v>0</v>
          </cell>
          <cell r="D252">
            <v>1776</v>
          </cell>
          <cell r="E252">
            <v>0</v>
          </cell>
          <cell r="F252">
            <v>1776</v>
          </cell>
          <cell r="G252">
            <v>0</v>
          </cell>
          <cell r="H252">
            <v>1776</v>
          </cell>
        </row>
        <row r="253">
          <cell r="A253">
            <v>43066020</v>
          </cell>
          <cell r="B253" t="str">
            <v>Printing &amp; Stationery</v>
          </cell>
          <cell r="C253">
            <v>0</v>
          </cell>
          <cell r="D253">
            <v>250692.1</v>
          </cell>
          <cell r="E253">
            <v>137246.9</v>
          </cell>
          <cell r="F253">
            <v>113445.2</v>
          </cell>
          <cell r="G253">
            <v>0</v>
          </cell>
          <cell r="H253">
            <v>113445.2</v>
          </cell>
        </row>
        <row r="254">
          <cell r="A254">
            <v>43068010</v>
          </cell>
          <cell r="B254" t="str">
            <v>Donation</v>
          </cell>
          <cell r="C254">
            <v>0</v>
          </cell>
          <cell r="D254">
            <v>6002</v>
          </cell>
          <cell r="E254">
            <v>0</v>
          </cell>
          <cell r="F254">
            <v>6002</v>
          </cell>
          <cell r="G254">
            <v>0</v>
          </cell>
          <cell r="H254">
            <v>6002</v>
          </cell>
        </row>
        <row r="255">
          <cell r="A255">
            <v>43070060</v>
          </cell>
          <cell r="B255" t="str">
            <v>Seminars &amp; Conferences - FBT</v>
          </cell>
          <cell r="C255">
            <v>0</v>
          </cell>
          <cell r="D255">
            <v>600</v>
          </cell>
          <cell r="E255">
            <v>0</v>
          </cell>
          <cell r="F255">
            <v>600</v>
          </cell>
          <cell r="G255">
            <v>0</v>
          </cell>
          <cell r="H255">
            <v>600</v>
          </cell>
        </row>
        <row r="256">
          <cell r="A256">
            <v>43070080</v>
          </cell>
          <cell r="B256" t="str">
            <v>Advertisement Expenses</v>
          </cell>
          <cell r="C256">
            <v>0</v>
          </cell>
          <cell r="D256">
            <v>11320</v>
          </cell>
          <cell r="E256">
            <v>0</v>
          </cell>
          <cell r="F256">
            <v>11320</v>
          </cell>
          <cell r="G256">
            <v>0</v>
          </cell>
          <cell r="H256">
            <v>11320</v>
          </cell>
        </row>
        <row r="257">
          <cell r="A257">
            <v>43070090</v>
          </cell>
          <cell r="B257" t="str">
            <v>Gifts &amp; Presents - FBT</v>
          </cell>
          <cell r="C257">
            <v>0</v>
          </cell>
          <cell r="D257">
            <v>16414</v>
          </cell>
          <cell r="E257">
            <v>0</v>
          </cell>
          <cell r="F257">
            <v>16414</v>
          </cell>
          <cell r="G257">
            <v>0</v>
          </cell>
          <cell r="H257">
            <v>16414</v>
          </cell>
        </row>
        <row r="258">
          <cell r="A258">
            <v>43070110</v>
          </cell>
          <cell r="B258" t="str">
            <v>Brokerage / Commission</v>
          </cell>
          <cell r="C258">
            <v>0</v>
          </cell>
          <cell r="D258">
            <v>500000</v>
          </cell>
          <cell r="E258">
            <v>0</v>
          </cell>
          <cell r="F258">
            <v>500000</v>
          </cell>
          <cell r="G258">
            <v>0</v>
          </cell>
          <cell r="H258">
            <v>500000</v>
          </cell>
        </row>
        <row r="259">
          <cell r="A259">
            <v>43074010</v>
          </cell>
          <cell r="B259" t="str">
            <v>Provision For Bad &amp; Doubtful Debts W/Off</v>
          </cell>
          <cell r="C259">
            <v>0</v>
          </cell>
          <cell r="D259">
            <v>1435712</v>
          </cell>
          <cell r="E259">
            <v>442786</v>
          </cell>
          <cell r="F259">
            <v>992926</v>
          </cell>
          <cell r="G259">
            <v>0</v>
          </cell>
          <cell r="H259">
            <v>992926</v>
          </cell>
        </row>
        <row r="260">
          <cell r="A260">
            <v>43084010</v>
          </cell>
          <cell r="B260" t="str">
            <v>Miscellaneous Expenses</v>
          </cell>
          <cell r="C260">
            <v>0</v>
          </cell>
          <cell r="D260">
            <v>2909456.19</v>
          </cell>
          <cell r="E260">
            <v>1509156.19</v>
          </cell>
          <cell r="F260">
            <v>1400300</v>
          </cell>
          <cell r="G260">
            <v>0</v>
          </cell>
          <cell r="H260">
            <v>1400300</v>
          </cell>
        </row>
        <row r="261">
          <cell r="A261">
            <v>43084020</v>
          </cell>
          <cell r="B261" t="str">
            <v>Testing Charges</v>
          </cell>
          <cell r="C261">
            <v>0</v>
          </cell>
          <cell r="D261">
            <v>23385.5</v>
          </cell>
          <cell r="E261">
            <v>0</v>
          </cell>
          <cell r="F261">
            <v>23385.5</v>
          </cell>
          <cell r="G261">
            <v>0</v>
          </cell>
          <cell r="H261">
            <v>23385.5</v>
          </cell>
        </row>
        <row r="262">
          <cell r="A262">
            <v>43084030</v>
          </cell>
          <cell r="B262" t="str">
            <v>Rounding Off</v>
          </cell>
          <cell r="C262">
            <v>0</v>
          </cell>
          <cell r="D262">
            <v>202.46</v>
          </cell>
          <cell r="E262">
            <v>191.8</v>
          </cell>
          <cell r="F262">
            <v>10.66</v>
          </cell>
          <cell r="G262">
            <v>0</v>
          </cell>
          <cell r="H262">
            <v>10.66</v>
          </cell>
        </row>
        <row r="263">
          <cell r="A263">
            <v>44010010</v>
          </cell>
          <cell r="B263" t="str">
            <v>Interest on Term Loans</v>
          </cell>
          <cell r="C263">
            <v>0</v>
          </cell>
          <cell r="D263">
            <v>20641759.5</v>
          </cell>
          <cell r="E263">
            <v>4233236.29</v>
          </cell>
          <cell r="F263">
            <v>16408523.210000001</v>
          </cell>
          <cell r="G263">
            <v>0</v>
          </cell>
          <cell r="H263">
            <v>16408523.210000001</v>
          </cell>
        </row>
        <row r="264">
          <cell r="A264">
            <v>44010020</v>
          </cell>
          <cell r="B264" t="str">
            <v>Loan Processing Fees</v>
          </cell>
          <cell r="C264">
            <v>0</v>
          </cell>
          <cell r="D264">
            <v>502596</v>
          </cell>
          <cell r="E264">
            <v>220600</v>
          </cell>
          <cell r="F264">
            <v>281996</v>
          </cell>
          <cell r="G264">
            <v>0</v>
          </cell>
          <cell r="H264">
            <v>281996</v>
          </cell>
        </row>
        <row r="265">
          <cell r="A265">
            <v>44010030</v>
          </cell>
          <cell r="B265" t="str">
            <v>Interest on Bank Overdraft</v>
          </cell>
          <cell r="C265">
            <v>0</v>
          </cell>
          <cell r="D265">
            <v>2355199.9500000002</v>
          </cell>
          <cell r="E265">
            <v>300000</v>
          </cell>
          <cell r="F265">
            <v>2055199.95</v>
          </cell>
          <cell r="G265">
            <v>0</v>
          </cell>
          <cell r="H265">
            <v>2055199.95</v>
          </cell>
        </row>
        <row r="266">
          <cell r="A266">
            <v>44010040</v>
          </cell>
          <cell r="B266" t="str">
            <v>Bank Charges</v>
          </cell>
          <cell r="C266">
            <v>0</v>
          </cell>
          <cell r="D266">
            <v>30554.720000000001</v>
          </cell>
          <cell r="E266">
            <v>1539</v>
          </cell>
          <cell r="F266">
            <v>29015.72</v>
          </cell>
          <cell r="G266">
            <v>0</v>
          </cell>
          <cell r="H266">
            <v>29015.72</v>
          </cell>
        </row>
        <row r="267">
          <cell r="A267">
            <v>44010050</v>
          </cell>
          <cell r="B267" t="str">
            <v>Interest Paid</v>
          </cell>
          <cell r="C267">
            <v>0</v>
          </cell>
          <cell r="D267">
            <v>1287639.78</v>
          </cell>
          <cell r="E267">
            <v>302248</v>
          </cell>
          <cell r="F267">
            <v>985391.78</v>
          </cell>
          <cell r="G267">
            <v>0</v>
          </cell>
          <cell r="H267">
            <v>985391.78</v>
          </cell>
        </row>
        <row r="268">
          <cell r="A268">
            <v>44010060</v>
          </cell>
          <cell r="B268" t="str">
            <v>Interest on Income Tax</v>
          </cell>
          <cell r="C268">
            <v>0</v>
          </cell>
          <cell r="D268">
            <v>455708</v>
          </cell>
          <cell r="E268">
            <v>455708</v>
          </cell>
          <cell r="F268">
            <v>0</v>
          </cell>
          <cell r="G268">
            <v>0</v>
          </cell>
          <cell r="H268">
            <v>0</v>
          </cell>
        </row>
        <row r="269">
          <cell r="A269">
            <v>45010010</v>
          </cell>
          <cell r="B269" t="str">
            <v>Depreciation</v>
          </cell>
          <cell r="C269">
            <v>0</v>
          </cell>
          <cell r="D269">
            <v>5113023</v>
          </cell>
          <cell r="E269">
            <v>0</v>
          </cell>
          <cell r="F269">
            <v>5113023</v>
          </cell>
          <cell r="G269">
            <v>0</v>
          </cell>
          <cell r="H269">
            <v>5113023</v>
          </cell>
        </row>
        <row r="270">
          <cell r="A270">
            <v>46040010</v>
          </cell>
          <cell r="B270" t="str">
            <v>Plant Shifting Expenses</v>
          </cell>
          <cell r="C270">
            <v>0</v>
          </cell>
          <cell r="D270">
            <v>2675</v>
          </cell>
          <cell r="E270">
            <v>0</v>
          </cell>
          <cell r="F270">
            <v>2675</v>
          </cell>
          <cell r="G270">
            <v>0</v>
          </cell>
          <cell r="H270">
            <v>2675</v>
          </cell>
        </row>
        <row r="271">
          <cell r="A271">
            <v>47010010</v>
          </cell>
          <cell r="B271" t="str">
            <v>Income Tax</v>
          </cell>
          <cell r="C271">
            <v>0</v>
          </cell>
          <cell r="D271">
            <v>142272</v>
          </cell>
          <cell r="E271">
            <v>142272</v>
          </cell>
          <cell r="F271">
            <v>0</v>
          </cell>
          <cell r="G271">
            <v>0</v>
          </cell>
          <cell r="H271">
            <v>0</v>
          </cell>
        </row>
        <row r="272">
          <cell r="A272">
            <v>47020010</v>
          </cell>
          <cell r="B272" t="str">
            <v>Fringe Benefit Tax</v>
          </cell>
          <cell r="C272">
            <v>0</v>
          </cell>
          <cell r="D272">
            <v>1200000</v>
          </cell>
          <cell r="E272">
            <v>0</v>
          </cell>
          <cell r="F272">
            <v>1200000</v>
          </cell>
          <cell r="G272">
            <v>0</v>
          </cell>
          <cell r="H272">
            <v>1200000</v>
          </cell>
        </row>
        <row r="273">
          <cell r="A273">
            <v>52000000</v>
          </cell>
          <cell r="B273" t="str">
            <v>Inter Branch Control Account</v>
          </cell>
          <cell r="C273">
            <v>1355892180.5899999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1355892180.5899999</v>
          </cell>
        </row>
        <row r="274">
          <cell r="A274">
            <v>52000809</v>
          </cell>
          <cell r="B274" t="str">
            <v>Inter branch control account for 08-09</v>
          </cell>
          <cell r="C274">
            <v>-21068031.02</v>
          </cell>
          <cell r="D274">
            <v>62625028.07</v>
          </cell>
          <cell r="E274">
            <v>110612159.47</v>
          </cell>
          <cell r="F274">
            <v>-47987131.399999999</v>
          </cell>
          <cell r="G274">
            <v>0</v>
          </cell>
          <cell r="H274">
            <v>-69055162.420000002</v>
          </cell>
        </row>
        <row r="275">
          <cell r="A275">
            <v>61000200</v>
          </cell>
          <cell r="B275" t="str">
            <v>Stock Transfer Control Account</v>
          </cell>
          <cell r="C275">
            <v>0</v>
          </cell>
          <cell r="D275">
            <v>12772699.949999999</v>
          </cell>
          <cell r="E275">
            <v>12772699.949999999</v>
          </cell>
          <cell r="F275">
            <v>0</v>
          </cell>
          <cell r="G275">
            <v>0</v>
          </cell>
          <cell r="H275">
            <v>0</v>
          </cell>
        </row>
        <row r="276">
          <cell r="A276">
            <v>61000400</v>
          </cell>
          <cell r="B276" t="str">
            <v>Control Account Haulage Income</v>
          </cell>
          <cell r="C276">
            <v>0</v>
          </cell>
          <cell r="D276">
            <v>17555680.82</v>
          </cell>
          <cell r="E276">
            <v>17555680.82</v>
          </cell>
          <cell r="F276">
            <v>0</v>
          </cell>
          <cell r="G276">
            <v>0</v>
          </cell>
          <cell r="H276">
            <v>0</v>
          </cell>
        </row>
        <row r="277">
          <cell r="A277">
            <v>61000500</v>
          </cell>
          <cell r="B277" t="str">
            <v>Control Account for Pumping</v>
          </cell>
          <cell r="C277">
            <v>0</v>
          </cell>
          <cell r="D277">
            <v>3960337.5</v>
          </cell>
          <cell r="E277">
            <v>3960337.5</v>
          </cell>
          <cell r="F277">
            <v>0</v>
          </cell>
          <cell r="G277">
            <v>0</v>
          </cell>
          <cell r="H277">
            <v>0</v>
          </cell>
        </row>
        <row r="278">
          <cell r="A278">
            <v>61000600</v>
          </cell>
          <cell r="B278" t="str">
            <v>Control Account for Corporate Recharge</v>
          </cell>
          <cell r="C278">
            <v>0</v>
          </cell>
          <cell r="D278">
            <v>3185296</v>
          </cell>
          <cell r="E278">
            <v>3185296</v>
          </cell>
          <cell r="F278">
            <v>0</v>
          </cell>
          <cell r="G278">
            <v>0</v>
          </cell>
          <cell r="H278">
            <v>0</v>
          </cell>
        </row>
        <row r="279">
          <cell r="A279">
            <v>61000700</v>
          </cell>
          <cell r="B279" t="str">
            <v>Control account for Land Rent MIS</v>
          </cell>
          <cell r="C279">
            <v>0</v>
          </cell>
          <cell r="D279">
            <v>1000000</v>
          </cell>
          <cell r="E279">
            <v>1000000</v>
          </cell>
          <cell r="F279">
            <v>0</v>
          </cell>
          <cell r="G279">
            <v>0</v>
          </cell>
          <cell r="H279">
            <v>0</v>
          </cell>
        </row>
        <row r="280">
          <cell r="A280">
            <v>61000800</v>
          </cell>
          <cell r="B280" t="str">
            <v>Regional Expense Share</v>
          </cell>
          <cell r="C280">
            <v>0</v>
          </cell>
          <cell r="D280">
            <v>560000</v>
          </cell>
          <cell r="E280">
            <v>560000</v>
          </cell>
          <cell r="F280">
            <v>0</v>
          </cell>
          <cell r="G280">
            <v>0</v>
          </cell>
          <cell r="H280">
            <v>0</v>
          </cell>
        </row>
        <row r="281">
          <cell r="A281">
            <v>62000000</v>
          </cell>
          <cell r="B281" t="str">
            <v>Inter branch Clearing account</v>
          </cell>
          <cell r="C281">
            <v>0</v>
          </cell>
          <cell r="D281">
            <v>45496754.090000004</v>
          </cell>
          <cell r="E281">
            <v>45496754.090000004</v>
          </cell>
          <cell r="F281">
            <v>0</v>
          </cell>
          <cell r="G281">
            <v>0</v>
          </cell>
          <cell r="H281">
            <v>0</v>
          </cell>
        </row>
        <row r="282">
          <cell r="B282" t="str">
            <v>Total</v>
          </cell>
          <cell r="D282">
            <v>0</v>
          </cell>
          <cell r="E282">
            <v>1963966055.3399999</v>
          </cell>
          <cell r="F282">
            <v>1963966055.3399999</v>
          </cell>
          <cell r="G282">
            <v>0</v>
          </cell>
          <cell r="H282">
            <v>0</v>
          </cell>
        </row>
      </sheetData>
      <sheetData sheetId="21" refreshError="1">
        <row r="1">
          <cell r="A1" t="str">
            <v>RMC Readymix (I) Pvt. Ltd.,</v>
          </cell>
          <cell r="B1" t="str">
            <v>Trial balance</v>
          </cell>
          <cell r="C1">
            <v>39970</v>
          </cell>
          <cell r="D1">
            <v>0.43501157407407409</v>
          </cell>
          <cell r="E1" t="str">
            <v>Page 1</v>
          </cell>
          <cell r="F1" t="str">
            <v>Mysore</v>
          </cell>
        </row>
        <row r="2">
          <cell r="A2" t="str">
            <v>Period</v>
          </cell>
          <cell r="B2">
            <v>39904</v>
          </cell>
          <cell r="C2">
            <v>39964</v>
          </cell>
        </row>
        <row r="3">
          <cell r="A3" t="str">
            <v>Ledger account</v>
          </cell>
          <cell r="B3" t="str">
            <v>Account name</v>
          </cell>
          <cell r="C3" t="str">
            <v>Opening balance</v>
          </cell>
          <cell r="D3" t="str">
            <v>Debit</v>
          </cell>
          <cell r="E3" t="str">
            <v>Credit</v>
          </cell>
          <cell r="F3" t="str">
            <v>Net difference</v>
          </cell>
          <cell r="G3" t="str">
            <v>Closing transactions</v>
          </cell>
          <cell r="H3" t="str">
            <v>Closing balance</v>
          </cell>
        </row>
        <row r="4">
          <cell r="A4">
            <v>11015010</v>
          </cell>
          <cell r="B4" t="str">
            <v>Buildings</v>
          </cell>
          <cell r="C4">
            <v>10276249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10276249</v>
          </cell>
        </row>
        <row r="5">
          <cell r="A5">
            <v>11025010</v>
          </cell>
          <cell r="B5" t="str">
            <v>Plant and Machinery</v>
          </cell>
          <cell r="C5">
            <v>16538126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16538126</v>
          </cell>
        </row>
        <row r="6">
          <cell r="A6">
            <v>11030010</v>
          </cell>
          <cell r="B6" t="str">
            <v>Electrical Installations</v>
          </cell>
          <cell r="C6">
            <v>3244366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3244366</v>
          </cell>
        </row>
        <row r="7">
          <cell r="A7">
            <v>11035010</v>
          </cell>
          <cell r="B7" t="str">
            <v>Furniture &amp; Fixtures</v>
          </cell>
          <cell r="C7">
            <v>1017956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1017956</v>
          </cell>
        </row>
        <row r="8">
          <cell r="A8">
            <v>11040010</v>
          </cell>
          <cell r="B8" t="str">
            <v>Office &amp; Electrical Appliances</v>
          </cell>
          <cell r="C8">
            <v>610416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610416</v>
          </cell>
        </row>
        <row r="9">
          <cell r="A9">
            <v>11045010</v>
          </cell>
          <cell r="B9" t="str">
            <v>Truck Mixers, Loaders &amp; Truck Dumpers</v>
          </cell>
          <cell r="C9">
            <v>2390353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2390353</v>
          </cell>
        </row>
        <row r="10">
          <cell r="A10">
            <v>13015010</v>
          </cell>
          <cell r="B10" t="str">
            <v>Balance Sheet Stock of Raw material - RMC</v>
          </cell>
          <cell r="C10">
            <v>1911193.52</v>
          </cell>
          <cell r="D10">
            <v>1582178.12</v>
          </cell>
          <cell r="E10">
            <v>1911193.52</v>
          </cell>
          <cell r="F10">
            <v>-329015.40000000002</v>
          </cell>
          <cell r="G10">
            <v>0</v>
          </cell>
          <cell r="H10">
            <v>1582178.12</v>
          </cell>
        </row>
        <row r="11">
          <cell r="A11">
            <v>13015030</v>
          </cell>
          <cell r="B11" t="str">
            <v>Balance sheet Aggregate Production</v>
          </cell>
          <cell r="C11">
            <v>-116562.12</v>
          </cell>
          <cell r="D11">
            <v>116562.12</v>
          </cell>
          <cell r="E11">
            <v>0</v>
          </cell>
          <cell r="F11">
            <v>116562.12</v>
          </cell>
          <cell r="G11">
            <v>0</v>
          </cell>
          <cell r="H11">
            <v>0</v>
          </cell>
        </row>
        <row r="12">
          <cell r="A12">
            <v>13015050</v>
          </cell>
          <cell r="B12" t="str">
            <v>Balance Sheet Quarry Stock Valuation</v>
          </cell>
          <cell r="C12">
            <v>116569.49</v>
          </cell>
          <cell r="D12">
            <v>7.37</v>
          </cell>
          <cell r="E12">
            <v>116569.49</v>
          </cell>
          <cell r="F12">
            <v>-116562.12</v>
          </cell>
          <cell r="G12">
            <v>0</v>
          </cell>
          <cell r="H12">
            <v>7.37</v>
          </cell>
        </row>
        <row r="13">
          <cell r="A13">
            <v>13020010</v>
          </cell>
          <cell r="B13" t="str">
            <v>Sundry Debtors Account</v>
          </cell>
          <cell r="C13">
            <v>33473873.780000001</v>
          </cell>
          <cell r="D13">
            <v>44705235</v>
          </cell>
          <cell r="E13">
            <v>34406108</v>
          </cell>
          <cell r="F13">
            <v>10299127</v>
          </cell>
          <cell r="G13">
            <v>0</v>
          </cell>
          <cell r="H13">
            <v>43773000.780000001</v>
          </cell>
        </row>
        <row r="14">
          <cell r="A14">
            <v>13025010</v>
          </cell>
          <cell r="B14" t="str">
            <v>Cash In Hand</v>
          </cell>
          <cell r="C14">
            <v>7942</v>
          </cell>
          <cell r="D14">
            <v>62150</v>
          </cell>
          <cell r="E14">
            <v>66041</v>
          </cell>
          <cell r="F14">
            <v>-3891</v>
          </cell>
          <cell r="G14">
            <v>0</v>
          </cell>
          <cell r="H14">
            <v>4051</v>
          </cell>
        </row>
        <row r="15">
          <cell r="A15">
            <v>13035010</v>
          </cell>
          <cell r="B15" t="str">
            <v>Bank Account</v>
          </cell>
          <cell r="C15">
            <v>262323.57</v>
          </cell>
          <cell r="D15">
            <v>35658010.049999997</v>
          </cell>
          <cell r="E15">
            <v>39042687.560000002</v>
          </cell>
          <cell r="F15">
            <v>-3384677.51</v>
          </cell>
          <cell r="G15">
            <v>0</v>
          </cell>
          <cell r="H15">
            <v>-3122353.94</v>
          </cell>
        </row>
        <row r="16">
          <cell r="A16">
            <v>13045020</v>
          </cell>
          <cell r="B16" t="str">
            <v>Loans and advances to employees</v>
          </cell>
          <cell r="C16">
            <v>0</v>
          </cell>
          <cell r="D16">
            <v>13245</v>
          </cell>
          <cell r="E16">
            <v>13245</v>
          </cell>
          <cell r="F16">
            <v>0</v>
          </cell>
          <cell r="G16">
            <v>0</v>
          </cell>
          <cell r="H16">
            <v>0</v>
          </cell>
        </row>
        <row r="17">
          <cell r="A17">
            <v>13050018</v>
          </cell>
          <cell r="B17" t="str">
            <v>TDS ON RECEIPTS - 06-07</v>
          </cell>
          <cell r="C17">
            <v>2935802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2935802</v>
          </cell>
        </row>
        <row r="18">
          <cell r="A18">
            <v>13050020</v>
          </cell>
          <cell r="B18" t="str">
            <v>TDS ON RECEIPTS - 08-09</v>
          </cell>
          <cell r="C18">
            <v>1446830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1446830</v>
          </cell>
        </row>
        <row r="19">
          <cell r="A19">
            <v>13050021</v>
          </cell>
          <cell r="B19" t="str">
            <v>TDS ON RECEIPTS - 09-10</v>
          </cell>
          <cell r="C19">
            <v>0</v>
          </cell>
          <cell r="D19">
            <v>132464</v>
          </cell>
          <cell r="E19">
            <v>0</v>
          </cell>
          <cell r="F19">
            <v>132464</v>
          </cell>
          <cell r="G19">
            <v>0</v>
          </cell>
          <cell r="H19">
            <v>132464</v>
          </cell>
        </row>
        <row r="20">
          <cell r="A20">
            <v>13055020</v>
          </cell>
          <cell r="B20" t="str">
            <v>Prepaid Expenses</v>
          </cell>
          <cell r="C20">
            <v>21968</v>
          </cell>
          <cell r="D20">
            <v>39127</v>
          </cell>
          <cell r="E20">
            <v>9194</v>
          </cell>
          <cell r="F20">
            <v>29933</v>
          </cell>
          <cell r="G20">
            <v>0</v>
          </cell>
          <cell r="H20">
            <v>51901</v>
          </cell>
        </row>
        <row r="21">
          <cell r="A21">
            <v>13055060</v>
          </cell>
          <cell r="B21" t="str">
            <v>VAT Credit Receivable (Inputs)</v>
          </cell>
          <cell r="C21">
            <v>1276651.74</v>
          </cell>
          <cell r="D21">
            <v>1554734</v>
          </cell>
          <cell r="E21">
            <v>2008638</v>
          </cell>
          <cell r="F21">
            <v>-453904</v>
          </cell>
          <cell r="G21">
            <v>0</v>
          </cell>
          <cell r="H21">
            <v>822747.74</v>
          </cell>
        </row>
        <row r="22">
          <cell r="A22">
            <v>13055090</v>
          </cell>
          <cell r="B22" t="str">
            <v>Sundry Deposits</v>
          </cell>
          <cell r="C22">
            <v>794560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794560</v>
          </cell>
        </row>
        <row r="23">
          <cell r="A23">
            <v>25005010</v>
          </cell>
          <cell r="B23" t="str">
            <v>Creditors Control</v>
          </cell>
          <cell r="C23">
            <v>-9467310.5099999998</v>
          </cell>
          <cell r="D23">
            <v>34831698.539999999</v>
          </cell>
          <cell r="E23">
            <v>29417817.399999999</v>
          </cell>
          <cell r="F23">
            <v>5413881.1399999997</v>
          </cell>
          <cell r="G23">
            <v>0</v>
          </cell>
          <cell r="H23">
            <v>-4053429.37</v>
          </cell>
        </row>
        <row r="24">
          <cell r="A24">
            <v>25005050</v>
          </cell>
          <cell r="B24" t="str">
            <v>Creditors liability for material received but bill not recei</v>
          </cell>
          <cell r="C24">
            <v>-5283.71</v>
          </cell>
          <cell r="D24">
            <v>24351127.850000001</v>
          </cell>
          <cell r="E24">
            <v>28766998.559999999</v>
          </cell>
          <cell r="F24">
            <v>-4415870.71</v>
          </cell>
          <cell r="G24">
            <v>0</v>
          </cell>
          <cell r="H24">
            <v>-4421154.42</v>
          </cell>
        </row>
        <row r="25">
          <cell r="A25">
            <v>25010020</v>
          </cell>
          <cell r="B25" t="str">
            <v>Outstanding Liabilities For Expenses</v>
          </cell>
          <cell r="C25">
            <v>-376382.8</v>
          </cell>
          <cell r="D25">
            <v>120942</v>
          </cell>
          <cell r="E25">
            <v>260128</v>
          </cell>
          <cell r="F25">
            <v>-139186</v>
          </cell>
          <cell r="G25">
            <v>0</v>
          </cell>
          <cell r="H25">
            <v>-515568.8</v>
          </cell>
        </row>
        <row r="26">
          <cell r="A26">
            <v>25010060</v>
          </cell>
          <cell r="B26" t="str">
            <v>T.D.S.payable account</v>
          </cell>
          <cell r="C26">
            <v>-444336</v>
          </cell>
          <cell r="D26">
            <v>564824</v>
          </cell>
          <cell r="E26">
            <v>283923</v>
          </cell>
          <cell r="F26">
            <v>280901</v>
          </cell>
          <cell r="G26">
            <v>0</v>
          </cell>
          <cell r="H26">
            <v>-163435</v>
          </cell>
        </row>
        <row r="27">
          <cell r="A27">
            <v>25010120</v>
          </cell>
          <cell r="B27" t="str">
            <v>Service Tax Payable</v>
          </cell>
          <cell r="C27">
            <v>-1869.41</v>
          </cell>
          <cell r="D27">
            <v>9484</v>
          </cell>
          <cell r="E27">
            <v>77016.42</v>
          </cell>
          <cell r="F27">
            <v>-67532.42</v>
          </cell>
          <cell r="G27">
            <v>0</v>
          </cell>
          <cell r="H27">
            <v>-69401.83</v>
          </cell>
        </row>
        <row r="28">
          <cell r="A28">
            <v>25010190</v>
          </cell>
          <cell r="B28" t="str">
            <v>VAT  Payable account</v>
          </cell>
          <cell r="C28">
            <v>-2497061.7400000002</v>
          </cell>
          <cell r="D28">
            <v>5043973</v>
          </cell>
          <cell r="E28">
            <v>4958365</v>
          </cell>
          <cell r="F28">
            <v>85608</v>
          </cell>
          <cell r="G28">
            <v>0</v>
          </cell>
          <cell r="H28">
            <v>-2411453.7400000002</v>
          </cell>
        </row>
        <row r="29">
          <cell r="A29">
            <v>25010192</v>
          </cell>
          <cell r="B29" t="str">
            <v>VAT TDS on raw material purchase payable</v>
          </cell>
          <cell r="C29">
            <v>-54974</v>
          </cell>
          <cell r="D29">
            <v>62882</v>
          </cell>
          <cell r="E29">
            <v>19712</v>
          </cell>
          <cell r="F29">
            <v>43170</v>
          </cell>
          <cell r="G29">
            <v>0</v>
          </cell>
          <cell r="H29">
            <v>-11804</v>
          </cell>
        </row>
        <row r="30">
          <cell r="A30">
            <v>25010200</v>
          </cell>
          <cell r="B30" t="str">
            <v>Provision for Expenses in MIS</v>
          </cell>
          <cell r="C30">
            <v>0</v>
          </cell>
          <cell r="D30">
            <v>2819867</v>
          </cell>
          <cell r="E30">
            <v>5968808</v>
          </cell>
          <cell r="F30">
            <v>-3148941</v>
          </cell>
          <cell r="G30">
            <v>0</v>
          </cell>
          <cell r="H30">
            <v>-3148941</v>
          </cell>
        </row>
        <row r="31">
          <cell r="A31">
            <v>26005020</v>
          </cell>
          <cell r="B31" t="str">
            <v>Provision For Bad &amp; Doubtful Debts</v>
          </cell>
          <cell r="C31">
            <v>-2748176.28</v>
          </cell>
          <cell r="D31">
            <v>1694</v>
          </cell>
          <cell r="E31">
            <v>259683</v>
          </cell>
          <cell r="F31">
            <v>-257989</v>
          </cell>
          <cell r="G31">
            <v>0</v>
          </cell>
          <cell r="H31">
            <v>-3006165.28</v>
          </cell>
        </row>
        <row r="32">
          <cell r="A32">
            <v>26015010</v>
          </cell>
          <cell r="B32" t="str">
            <v>Prov For Dep.-  Buildings</v>
          </cell>
          <cell r="C32">
            <v>-4738428.21</v>
          </cell>
          <cell r="D32">
            <v>0</v>
          </cell>
          <cell r="E32">
            <v>326831</v>
          </cell>
          <cell r="F32">
            <v>-326831</v>
          </cell>
          <cell r="G32">
            <v>0</v>
          </cell>
          <cell r="H32">
            <v>-5065259.21</v>
          </cell>
        </row>
        <row r="33">
          <cell r="A33">
            <v>26025010</v>
          </cell>
          <cell r="B33" t="str">
            <v>Provision for Depreciation Plant &amp; Machinery</v>
          </cell>
          <cell r="C33">
            <v>-4786696.33</v>
          </cell>
          <cell r="D33">
            <v>0</v>
          </cell>
          <cell r="E33">
            <v>222618</v>
          </cell>
          <cell r="F33">
            <v>-222618</v>
          </cell>
          <cell r="G33">
            <v>0</v>
          </cell>
          <cell r="H33">
            <v>-5009314.33</v>
          </cell>
        </row>
        <row r="34">
          <cell r="A34">
            <v>26030010</v>
          </cell>
          <cell r="B34" t="str">
            <v>Provision For Dep.-Electrical Installations</v>
          </cell>
          <cell r="C34">
            <v>-1657287.53</v>
          </cell>
          <cell r="D34">
            <v>0</v>
          </cell>
          <cell r="E34">
            <v>34350</v>
          </cell>
          <cell r="F34">
            <v>-34350</v>
          </cell>
          <cell r="G34">
            <v>0</v>
          </cell>
          <cell r="H34">
            <v>-1691637.53</v>
          </cell>
        </row>
        <row r="35">
          <cell r="A35">
            <v>26035010</v>
          </cell>
          <cell r="B35" t="str">
            <v>Provision For Dep.-Furniture and Fixtures</v>
          </cell>
          <cell r="C35">
            <v>-306235.37</v>
          </cell>
          <cell r="D35">
            <v>0</v>
          </cell>
          <cell r="E35">
            <v>15449</v>
          </cell>
          <cell r="F35">
            <v>-15449</v>
          </cell>
          <cell r="G35">
            <v>0</v>
          </cell>
          <cell r="H35">
            <v>-321684.37</v>
          </cell>
        </row>
        <row r="36">
          <cell r="A36">
            <v>26040010</v>
          </cell>
          <cell r="B36" t="str">
            <v>Provision for Depreciation- Office and Electrical Appliances</v>
          </cell>
          <cell r="C36">
            <v>-296889.78000000003</v>
          </cell>
          <cell r="D36">
            <v>0</v>
          </cell>
          <cell r="E36">
            <v>18562</v>
          </cell>
          <cell r="F36">
            <v>-18562</v>
          </cell>
          <cell r="G36">
            <v>0</v>
          </cell>
          <cell r="H36">
            <v>-315451.78000000003</v>
          </cell>
        </row>
        <row r="37">
          <cell r="A37">
            <v>26045010</v>
          </cell>
          <cell r="B37" t="str">
            <v>Provision for Depreciation- Truck Mixers, Loaders &amp; Dumpers</v>
          </cell>
          <cell r="C37">
            <v>-889354.25</v>
          </cell>
          <cell r="D37">
            <v>0</v>
          </cell>
          <cell r="E37">
            <v>49213</v>
          </cell>
          <cell r="F37">
            <v>-49213</v>
          </cell>
          <cell r="G37">
            <v>0</v>
          </cell>
          <cell r="H37">
            <v>-938567.25</v>
          </cell>
        </row>
        <row r="38">
          <cell r="A38">
            <v>26055020</v>
          </cell>
          <cell r="B38" t="str">
            <v>Profit &amp; Loss A/c</v>
          </cell>
          <cell r="C38">
            <v>-52587490.219999999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-52587490.219999999</v>
          </cell>
        </row>
        <row r="39">
          <cell r="A39">
            <v>26055050</v>
          </cell>
          <cell r="B39" t="str">
            <v>Provision for Production linked incentive (KRA)</v>
          </cell>
          <cell r="C39">
            <v>0</v>
          </cell>
          <cell r="D39">
            <v>0</v>
          </cell>
          <cell r="E39">
            <v>63824</v>
          </cell>
          <cell r="F39">
            <v>-63824</v>
          </cell>
          <cell r="G39">
            <v>0</v>
          </cell>
          <cell r="H39">
            <v>-63824</v>
          </cell>
        </row>
        <row r="40">
          <cell r="A40">
            <v>31010010</v>
          </cell>
          <cell r="B40" t="str">
            <v>Sales</v>
          </cell>
          <cell r="C40">
            <v>0</v>
          </cell>
          <cell r="D40">
            <v>212733.33</v>
          </cell>
          <cell r="E40">
            <v>39611792.350000001</v>
          </cell>
          <cell r="F40">
            <v>-39399059.020000003</v>
          </cell>
          <cell r="G40">
            <v>0</v>
          </cell>
          <cell r="H40">
            <v>-39399059.020000003</v>
          </cell>
        </row>
        <row r="41">
          <cell r="A41">
            <v>32020020</v>
          </cell>
          <cell r="B41" t="str">
            <v>Misc Income - Scrap sales</v>
          </cell>
          <cell r="C41">
            <v>0</v>
          </cell>
          <cell r="D41">
            <v>0</v>
          </cell>
          <cell r="E41">
            <v>53457.79</v>
          </cell>
          <cell r="F41">
            <v>-53457.79</v>
          </cell>
          <cell r="G41">
            <v>0</v>
          </cell>
          <cell r="H41">
            <v>-53457.79</v>
          </cell>
        </row>
        <row r="42">
          <cell r="A42">
            <v>41010010</v>
          </cell>
          <cell r="B42" t="str">
            <v>Opening Stock - Cement</v>
          </cell>
          <cell r="C42">
            <v>0</v>
          </cell>
          <cell r="D42">
            <v>1197409.75</v>
          </cell>
          <cell r="E42">
            <v>0</v>
          </cell>
          <cell r="F42">
            <v>1197409.75</v>
          </cell>
          <cell r="G42">
            <v>0</v>
          </cell>
          <cell r="H42">
            <v>1197409.75</v>
          </cell>
        </row>
        <row r="43">
          <cell r="A43">
            <v>41010020</v>
          </cell>
          <cell r="B43" t="str">
            <v>Opening Stock - Sand</v>
          </cell>
          <cell r="C43">
            <v>0</v>
          </cell>
          <cell r="D43">
            <v>42381.09</v>
          </cell>
          <cell r="E43">
            <v>0</v>
          </cell>
          <cell r="F43">
            <v>42381.09</v>
          </cell>
          <cell r="G43">
            <v>0</v>
          </cell>
          <cell r="H43">
            <v>42381.09</v>
          </cell>
        </row>
        <row r="44">
          <cell r="A44">
            <v>41010030</v>
          </cell>
          <cell r="B44" t="str">
            <v>Opening Stock - CRF</v>
          </cell>
          <cell r="C44">
            <v>0</v>
          </cell>
          <cell r="D44">
            <v>41149.46</v>
          </cell>
          <cell r="E44">
            <v>0</v>
          </cell>
          <cell r="F44">
            <v>41149.46</v>
          </cell>
          <cell r="G44">
            <v>0</v>
          </cell>
          <cell r="H44">
            <v>41149.46</v>
          </cell>
        </row>
        <row r="45">
          <cell r="A45">
            <v>41010040</v>
          </cell>
          <cell r="B45" t="str">
            <v>Opening Stock - RMC Aggregates</v>
          </cell>
          <cell r="C45">
            <v>0</v>
          </cell>
          <cell r="D45">
            <v>274191.23</v>
          </cell>
          <cell r="E45">
            <v>0</v>
          </cell>
          <cell r="F45">
            <v>274191.23</v>
          </cell>
          <cell r="G45">
            <v>0</v>
          </cell>
          <cell r="H45">
            <v>274191.23</v>
          </cell>
        </row>
        <row r="46">
          <cell r="A46">
            <v>41010050</v>
          </cell>
          <cell r="B46" t="str">
            <v>Opening Stock - Admixtures</v>
          </cell>
          <cell r="C46">
            <v>0</v>
          </cell>
          <cell r="D46">
            <v>207552.7</v>
          </cell>
          <cell r="E46">
            <v>0</v>
          </cell>
          <cell r="F46">
            <v>207552.7</v>
          </cell>
          <cell r="G46">
            <v>0</v>
          </cell>
          <cell r="H46">
            <v>207552.7</v>
          </cell>
        </row>
        <row r="47">
          <cell r="A47">
            <v>41010070</v>
          </cell>
          <cell r="B47" t="str">
            <v>Opening Stock - Flyash</v>
          </cell>
          <cell r="C47">
            <v>0</v>
          </cell>
          <cell r="D47">
            <v>132951.44</v>
          </cell>
          <cell r="E47">
            <v>0</v>
          </cell>
          <cell r="F47">
            <v>132951.44</v>
          </cell>
          <cell r="G47">
            <v>0</v>
          </cell>
          <cell r="H47">
            <v>132951.44</v>
          </cell>
        </row>
        <row r="48">
          <cell r="A48">
            <v>41010080</v>
          </cell>
          <cell r="B48" t="str">
            <v>Opening Stock - Diesel</v>
          </cell>
          <cell r="C48">
            <v>0</v>
          </cell>
          <cell r="D48">
            <v>15557.85</v>
          </cell>
          <cell r="E48">
            <v>0</v>
          </cell>
          <cell r="F48">
            <v>15557.85</v>
          </cell>
          <cell r="G48">
            <v>0</v>
          </cell>
          <cell r="H48">
            <v>15557.85</v>
          </cell>
        </row>
        <row r="49">
          <cell r="A49">
            <v>41010100</v>
          </cell>
          <cell r="B49" t="str">
            <v>Opening Stock Aggregates at Crusher</v>
          </cell>
          <cell r="C49">
            <v>0</v>
          </cell>
          <cell r="D49">
            <v>7.37</v>
          </cell>
          <cell r="E49">
            <v>0</v>
          </cell>
          <cell r="F49">
            <v>7.37</v>
          </cell>
          <cell r="G49">
            <v>0</v>
          </cell>
          <cell r="H49">
            <v>7.37</v>
          </cell>
        </row>
        <row r="50">
          <cell r="A50">
            <v>41020010</v>
          </cell>
          <cell r="B50" t="str">
            <v>Raw Material Purchase - Cement</v>
          </cell>
          <cell r="C50">
            <v>0</v>
          </cell>
          <cell r="D50">
            <v>11579624.039999999</v>
          </cell>
          <cell r="E50">
            <v>12213821.609999999</v>
          </cell>
          <cell r="F50">
            <v>-634197.56999999995</v>
          </cell>
          <cell r="G50">
            <v>0</v>
          </cell>
          <cell r="H50">
            <v>-634197.56999999995</v>
          </cell>
        </row>
        <row r="51">
          <cell r="A51">
            <v>41020015</v>
          </cell>
          <cell r="B51" t="str">
            <v>Interim account cement received</v>
          </cell>
          <cell r="C51">
            <v>0</v>
          </cell>
          <cell r="D51">
            <v>11533564.35</v>
          </cell>
          <cell r="E51">
            <v>11533564.32</v>
          </cell>
          <cell r="F51">
            <v>0.03</v>
          </cell>
          <cell r="G51">
            <v>0</v>
          </cell>
          <cell r="H51">
            <v>0.03</v>
          </cell>
        </row>
        <row r="52">
          <cell r="A52">
            <v>41020020</v>
          </cell>
          <cell r="B52" t="str">
            <v>Cement Consumption account</v>
          </cell>
          <cell r="C52">
            <v>0</v>
          </cell>
          <cell r="D52">
            <v>12111526.66</v>
          </cell>
          <cell r="E52">
            <v>0</v>
          </cell>
          <cell r="F52">
            <v>12111526.66</v>
          </cell>
          <cell r="G52">
            <v>0</v>
          </cell>
          <cell r="H52">
            <v>12111526.66</v>
          </cell>
        </row>
        <row r="53">
          <cell r="A53">
            <v>41020030</v>
          </cell>
          <cell r="B53" t="str">
            <v>Raw Material Purchase - Aggregates</v>
          </cell>
          <cell r="C53">
            <v>0</v>
          </cell>
          <cell r="D53">
            <v>5337661.26</v>
          </cell>
          <cell r="E53">
            <v>7768841.8300000001</v>
          </cell>
          <cell r="F53">
            <v>-2431180.5699999998</v>
          </cell>
          <cell r="G53">
            <v>0</v>
          </cell>
          <cell r="H53">
            <v>-2431180.5699999998</v>
          </cell>
        </row>
        <row r="54">
          <cell r="A54">
            <v>41020035</v>
          </cell>
          <cell r="B54" t="str">
            <v>Interim account Aggregate received</v>
          </cell>
          <cell r="C54">
            <v>0</v>
          </cell>
          <cell r="D54">
            <v>7656864.0999999996</v>
          </cell>
          <cell r="E54">
            <v>5256135.5999999996</v>
          </cell>
          <cell r="F54">
            <v>2400728.5</v>
          </cell>
          <cell r="G54">
            <v>0</v>
          </cell>
          <cell r="H54">
            <v>2400728.5</v>
          </cell>
        </row>
        <row r="55">
          <cell r="A55">
            <v>41020040</v>
          </cell>
          <cell r="B55" t="str">
            <v>Aggregate Consumption account</v>
          </cell>
          <cell r="C55">
            <v>0</v>
          </cell>
          <cell r="D55">
            <v>7715285.0800000001</v>
          </cell>
          <cell r="E55">
            <v>0</v>
          </cell>
          <cell r="F55">
            <v>7715285.0800000001</v>
          </cell>
          <cell r="G55">
            <v>0</v>
          </cell>
          <cell r="H55">
            <v>7715285.0800000001</v>
          </cell>
        </row>
        <row r="56">
          <cell r="A56">
            <v>41020050</v>
          </cell>
          <cell r="B56" t="str">
            <v>Raw Material Purchase - Sand</v>
          </cell>
          <cell r="C56">
            <v>0</v>
          </cell>
          <cell r="D56">
            <v>1983463.78</v>
          </cell>
          <cell r="E56">
            <v>2685478.2</v>
          </cell>
          <cell r="F56">
            <v>-702014.42</v>
          </cell>
          <cell r="G56">
            <v>0</v>
          </cell>
          <cell r="H56">
            <v>-702014.42</v>
          </cell>
        </row>
        <row r="57">
          <cell r="A57">
            <v>41020055</v>
          </cell>
          <cell r="B57" t="str">
            <v>Interim account Sand Received</v>
          </cell>
          <cell r="C57">
            <v>0</v>
          </cell>
          <cell r="D57">
            <v>2749825.12</v>
          </cell>
          <cell r="E57">
            <v>1875060.75</v>
          </cell>
          <cell r="F57">
            <v>874764.37</v>
          </cell>
          <cell r="G57">
            <v>0</v>
          </cell>
          <cell r="H57">
            <v>874764.37</v>
          </cell>
        </row>
        <row r="58">
          <cell r="A58">
            <v>41020060</v>
          </cell>
          <cell r="B58" t="str">
            <v>Sand Consumption account</v>
          </cell>
          <cell r="C58">
            <v>0</v>
          </cell>
          <cell r="D58">
            <v>2661012.5299999998</v>
          </cell>
          <cell r="E58">
            <v>45125.99</v>
          </cell>
          <cell r="F58">
            <v>2615886.54</v>
          </cell>
          <cell r="G58">
            <v>0</v>
          </cell>
          <cell r="H58">
            <v>2615886.54</v>
          </cell>
        </row>
        <row r="59">
          <cell r="A59">
            <v>41020070</v>
          </cell>
          <cell r="B59" t="str">
            <v>Raw Material Purchase - Admixture</v>
          </cell>
          <cell r="C59">
            <v>0</v>
          </cell>
          <cell r="D59">
            <v>965906</v>
          </cell>
          <cell r="E59">
            <v>795265.2</v>
          </cell>
          <cell r="F59">
            <v>170640.8</v>
          </cell>
          <cell r="G59">
            <v>0</v>
          </cell>
          <cell r="H59">
            <v>170640.8</v>
          </cell>
        </row>
        <row r="60">
          <cell r="A60">
            <v>41020075</v>
          </cell>
          <cell r="B60" t="str">
            <v>Interim account Admixture received</v>
          </cell>
          <cell r="C60">
            <v>0</v>
          </cell>
          <cell r="D60">
            <v>947528.96</v>
          </cell>
          <cell r="E60">
            <v>947528.96</v>
          </cell>
          <cell r="F60">
            <v>0</v>
          </cell>
          <cell r="G60">
            <v>0</v>
          </cell>
          <cell r="H60">
            <v>0</v>
          </cell>
        </row>
        <row r="61">
          <cell r="A61">
            <v>41020080</v>
          </cell>
          <cell r="B61" t="str">
            <v>Admixture Consumption account</v>
          </cell>
          <cell r="C61">
            <v>0</v>
          </cell>
          <cell r="D61">
            <v>753787.03</v>
          </cell>
          <cell r="E61">
            <v>0</v>
          </cell>
          <cell r="F61">
            <v>753787.03</v>
          </cell>
          <cell r="G61">
            <v>0</v>
          </cell>
          <cell r="H61">
            <v>753787.03</v>
          </cell>
        </row>
        <row r="62">
          <cell r="A62">
            <v>41020090</v>
          </cell>
          <cell r="B62" t="str">
            <v>Raw Material  Purchase - Fly Ash</v>
          </cell>
          <cell r="C62">
            <v>0</v>
          </cell>
          <cell r="D62">
            <v>798159.12</v>
          </cell>
          <cell r="E62">
            <v>1643447.78</v>
          </cell>
          <cell r="F62">
            <v>-845288.66</v>
          </cell>
          <cell r="G62">
            <v>0</v>
          </cell>
          <cell r="H62">
            <v>-845288.66</v>
          </cell>
        </row>
        <row r="63">
          <cell r="A63">
            <v>41020095</v>
          </cell>
          <cell r="B63" t="str">
            <v>Interim account fly ash received</v>
          </cell>
          <cell r="C63">
            <v>0</v>
          </cell>
          <cell r="D63">
            <v>1532193.25</v>
          </cell>
          <cell r="E63">
            <v>717079.56</v>
          </cell>
          <cell r="F63">
            <v>815113.69</v>
          </cell>
          <cell r="G63">
            <v>0</v>
          </cell>
          <cell r="H63">
            <v>815113.69</v>
          </cell>
        </row>
        <row r="64">
          <cell r="A64">
            <v>41020100</v>
          </cell>
          <cell r="B64" t="str">
            <v>Fly Ash Consumption account</v>
          </cell>
          <cell r="C64">
            <v>0</v>
          </cell>
          <cell r="D64">
            <v>1592314.95</v>
          </cell>
          <cell r="E64">
            <v>0</v>
          </cell>
          <cell r="F64">
            <v>1592314.95</v>
          </cell>
          <cell r="G64">
            <v>0</v>
          </cell>
          <cell r="H64">
            <v>1592314.95</v>
          </cell>
        </row>
        <row r="65">
          <cell r="A65">
            <v>41020130</v>
          </cell>
          <cell r="B65" t="str">
            <v>Raw Materials Purchase - CRF</v>
          </cell>
          <cell r="C65">
            <v>0</v>
          </cell>
          <cell r="D65">
            <v>571728.24</v>
          </cell>
          <cell r="E65">
            <v>875842.92</v>
          </cell>
          <cell r="F65">
            <v>-304114.68</v>
          </cell>
          <cell r="G65">
            <v>0</v>
          </cell>
          <cell r="H65">
            <v>-304114.68</v>
          </cell>
        </row>
        <row r="66">
          <cell r="A66">
            <v>41020135</v>
          </cell>
          <cell r="B66" t="str">
            <v>Interim account for CRF received</v>
          </cell>
          <cell r="C66">
            <v>0</v>
          </cell>
          <cell r="D66">
            <v>847307.91</v>
          </cell>
          <cell r="E66">
            <v>554454.6</v>
          </cell>
          <cell r="F66">
            <v>292853.31</v>
          </cell>
          <cell r="G66">
            <v>0</v>
          </cell>
          <cell r="H66">
            <v>292853.31</v>
          </cell>
        </row>
        <row r="67">
          <cell r="A67">
            <v>41020140</v>
          </cell>
          <cell r="B67" t="str">
            <v>CRF Consumption account</v>
          </cell>
          <cell r="C67">
            <v>0</v>
          </cell>
          <cell r="D67">
            <v>841294.73</v>
          </cell>
          <cell r="E67">
            <v>0</v>
          </cell>
          <cell r="F67">
            <v>841294.73</v>
          </cell>
          <cell r="G67">
            <v>0</v>
          </cell>
          <cell r="H67">
            <v>841294.73</v>
          </cell>
        </row>
        <row r="68">
          <cell r="A68">
            <v>41020150</v>
          </cell>
          <cell r="B68" t="str">
            <v>Loss/ gain on Stock</v>
          </cell>
          <cell r="C68">
            <v>0</v>
          </cell>
          <cell r="D68">
            <v>292581.77</v>
          </cell>
          <cell r="E68">
            <v>307592.65999999997</v>
          </cell>
          <cell r="F68">
            <v>-15010.89</v>
          </cell>
          <cell r="G68">
            <v>0</v>
          </cell>
          <cell r="H68">
            <v>-15010.89</v>
          </cell>
        </row>
        <row r="69">
          <cell r="A69">
            <v>41020195</v>
          </cell>
          <cell r="B69" t="str">
            <v>Purchase of Diesel</v>
          </cell>
          <cell r="C69">
            <v>0</v>
          </cell>
          <cell r="D69">
            <v>1559250</v>
          </cell>
          <cell r="E69">
            <v>1525570.2</v>
          </cell>
          <cell r="F69">
            <v>33679.800000000003</v>
          </cell>
          <cell r="G69">
            <v>0</v>
          </cell>
          <cell r="H69">
            <v>33679.800000000003</v>
          </cell>
        </row>
        <row r="70">
          <cell r="A70">
            <v>41020200</v>
          </cell>
          <cell r="B70" t="str">
            <v>Interim account for diesel received</v>
          </cell>
          <cell r="C70">
            <v>0</v>
          </cell>
          <cell r="D70">
            <v>1559250</v>
          </cell>
          <cell r="E70">
            <v>1559250</v>
          </cell>
          <cell r="F70">
            <v>0</v>
          </cell>
          <cell r="G70">
            <v>0</v>
          </cell>
          <cell r="H70">
            <v>0</v>
          </cell>
        </row>
        <row r="71">
          <cell r="A71">
            <v>41050010</v>
          </cell>
          <cell r="B71" t="str">
            <v>Closing Stock - Cement</v>
          </cell>
          <cell r="C71">
            <v>0</v>
          </cell>
          <cell r="D71">
            <v>0</v>
          </cell>
          <cell r="E71">
            <v>563212.21</v>
          </cell>
          <cell r="F71">
            <v>-563212.21</v>
          </cell>
          <cell r="G71">
            <v>0</v>
          </cell>
          <cell r="H71">
            <v>-563212.21</v>
          </cell>
        </row>
        <row r="72">
          <cell r="A72">
            <v>41050020</v>
          </cell>
          <cell r="B72" t="str">
            <v>Closing Stock - Sand</v>
          </cell>
          <cell r="C72">
            <v>0</v>
          </cell>
          <cell r="D72">
            <v>0</v>
          </cell>
          <cell r="E72">
            <v>215131.04</v>
          </cell>
          <cell r="F72">
            <v>-215131.04</v>
          </cell>
          <cell r="G72">
            <v>0</v>
          </cell>
          <cell r="H72">
            <v>-215131.04</v>
          </cell>
        </row>
        <row r="73">
          <cell r="A73">
            <v>41050030</v>
          </cell>
          <cell r="B73" t="str">
            <v>Closing Stock - CRF</v>
          </cell>
          <cell r="C73">
            <v>0</v>
          </cell>
          <cell r="D73">
            <v>0</v>
          </cell>
          <cell r="E73">
            <v>29888.09</v>
          </cell>
          <cell r="F73">
            <v>-29888.09</v>
          </cell>
          <cell r="G73">
            <v>0</v>
          </cell>
          <cell r="H73">
            <v>-29888.09</v>
          </cell>
        </row>
        <row r="74">
          <cell r="A74">
            <v>41050040</v>
          </cell>
          <cell r="B74" t="str">
            <v>Closing Stock - RMC Aggregates</v>
          </cell>
          <cell r="C74">
            <v>0</v>
          </cell>
          <cell r="D74">
            <v>0</v>
          </cell>
          <cell r="E74">
            <v>243739.16</v>
          </cell>
          <cell r="F74">
            <v>-243739.16</v>
          </cell>
          <cell r="G74">
            <v>0</v>
          </cell>
          <cell r="H74">
            <v>-243739.16</v>
          </cell>
        </row>
        <row r="75">
          <cell r="A75">
            <v>41050050</v>
          </cell>
          <cell r="B75" t="str">
            <v>Closing Stock - Admixtures</v>
          </cell>
          <cell r="C75">
            <v>0</v>
          </cell>
          <cell r="D75">
            <v>0</v>
          </cell>
          <cell r="E75">
            <v>378193.5</v>
          </cell>
          <cell r="F75">
            <v>-378193.5</v>
          </cell>
          <cell r="G75">
            <v>0</v>
          </cell>
          <cell r="H75">
            <v>-378193.5</v>
          </cell>
        </row>
        <row r="76">
          <cell r="A76">
            <v>41050070</v>
          </cell>
          <cell r="B76" t="str">
            <v>Closing Stock - Flyash</v>
          </cell>
          <cell r="C76">
            <v>0</v>
          </cell>
          <cell r="D76">
            <v>0</v>
          </cell>
          <cell r="E76">
            <v>102776.47</v>
          </cell>
          <cell r="F76">
            <v>-102776.47</v>
          </cell>
          <cell r="G76">
            <v>0</v>
          </cell>
          <cell r="H76">
            <v>-102776.47</v>
          </cell>
        </row>
        <row r="77">
          <cell r="A77">
            <v>41050080</v>
          </cell>
          <cell r="B77" t="str">
            <v>Closing Stock - Diesel</v>
          </cell>
          <cell r="C77">
            <v>0</v>
          </cell>
          <cell r="D77">
            <v>0</v>
          </cell>
          <cell r="E77">
            <v>49237.65</v>
          </cell>
          <cell r="F77">
            <v>-49237.65</v>
          </cell>
          <cell r="G77">
            <v>0</v>
          </cell>
          <cell r="H77">
            <v>-49237.65</v>
          </cell>
        </row>
        <row r="78">
          <cell r="A78">
            <v>41050100</v>
          </cell>
          <cell r="B78" t="str">
            <v>Closing Stock Crusher Aggregates</v>
          </cell>
          <cell r="C78">
            <v>0</v>
          </cell>
          <cell r="D78">
            <v>0</v>
          </cell>
          <cell r="E78">
            <v>7.37</v>
          </cell>
          <cell r="F78">
            <v>-7.37</v>
          </cell>
          <cell r="G78">
            <v>0</v>
          </cell>
          <cell r="H78">
            <v>-7.37</v>
          </cell>
        </row>
        <row r="79">
          <cell r="A79">
            <v>42010010</v>
          </cell>
          <cell r="B79" t="str">
            <v>Salary - Basic</v>
          </cell>
          <cell r="C79">
            <v>0</v>
          </cell>
          <cell r="D79">
            <v>295800</v>
          </cell>
          <cell r="E79">
            <v>1754</v>
          </cell>
          <cell r="F79">
            <v>294046</v>
          </cell>
          <cell r="G79">
            <v>0</v>
          </cell>
          <cell r="H79">
            <v>294046</v>
          </cell>
        </row>
        <row r="80">
          <cell r="A80">
            <v>42010020</v>
          </cell>
          <cell r="B80" t="str">
            <v>House Rent Allowance</v>
          </cell>
          <cell r="C80">
            <v>0</v>
          </cell>
          <cell r="D80">
            <v>145890</v>
          </cell>
          <cell r="E80">
            <v>0</v>
          </cell>
          <cell r="F80">
            <v>145890</v>
          </cell>
          <cell r="G80">
            <v>0</v>
          </cell>
          <cell r="H80">
            <v>145890</v>
          </cell>
        </row>
        <row r="81">
          <cell r="A81">
            <v>42010030</v>
          </cell>
          <cell r="B81" t="str">
            <v>Education Allowance</v>
          </cell>
          <cell r="C81">
            <v>0</v>
          </cell>
          <cell r="D81">
            <v>30800</v>
          </cell>
          <cell r="E81">
            <v>0</v>
          </cell>
          <cell r="F81">
            <v>30800</v>
          </cell>
          <cell r="G81">
            <v>0</v>
          </cell>
          <cell r="H81">
            <v>30800</v>
          </cell>
        </row>
        <row r="82">
          <cell r="A82">
            <v>42010040</v>
          </cell>
          <cell r="B82" t="str">
            <v>Special Allowance</v>
          </cell>
          <cell r="C82">
            <v>0</v>
          </cell>
          <cell r="D82">
            <v>42980</v>
          </cell>
          <cell r="E82">
            <v>0</v>
          </cell>
          <cell r="F82">
            <v>42980</v>
          </cell>
          <cell r="G82">
            <v>0</v>
          </cell>
          <cell r="H82">
            <v>42980</v>
          </cell>
        </row>
        <row r="83">
          <cell r="A83">
            <v>42010050</v>
          </cell>
          <cell r="B83" t="str">
            <v>Medical Expense Reimbursement</v>
          </cell>
          <cell r="C83">
            <v>0</v>
          </cell>
          <cell r="D83">
            <v>166620</v>
          </cell>
          <cell r="E83">
            <v>0</v>
          </cell>
          <cell r="F83">
            <v>166620</v>
          </cell>
          <cell r="G83">
            <v>0</v>
          </cell>
          <cell r="H83">
            <v>166620</v>
          </cell>
        </row>
        <row r="84">
          <cell r="A84">
            <v>42010060</v>
          </cell>
          <cell r="B84" t="str">
            <v>Leave Travel Allowance</v>
          </cell>
          <cell r="C84">
            <v>0</v>
          </cell>
          <cell r="D84">
            <v>143901</v>
          </cell>
          <cell r="E84">
            <v>0</v>
          </cell>
          <cell r="F84">
            <v>143901</v>
          </cell>
          <cell r="G84">
            <v>0</v>
          </cell>
          <cell r="H84">
            <v>143901</v>
          </cell>
        </row>
        <row r="85">
          <cell r="A85">
            <v>42010070</v>
          </cell>
          <cell r="B85" t="str">
            <v>Leave Encashment</v>
          </cell>
          <cell r="C85">
            <v>0</v>
          </cell>
          <cell r="D85">
            <v>1587</v>
          </cell>
          <cell r="E85">
            <v>0</v>
          </cell>
          <cell r="F85">
            <v>1587</v>
          </cell>
          <cell r="G85">
            <v>0</v>
          </cell>
          <cell r="H85">
            <v>1587</v>
          </cell>
        </row>
        <row r="86">
          <cell r="A86">
            <v>42010090</v>
          </cell>
          <cell r="B86" t="str">
            <v>Overtime Payment</v>
          </cell>
          <cell r="C86">
            <v>0</v>
          </cell>
          <cell r="D86">
            <v>25902</v>
          </cell>
          <cell r="E86">
            <v>0</v>
          </cell>
          <cell r="F86">
            <v>25902</v>
          </cell>
          <cell r="G86">
            <v>0</v>
          </cell>
          <cell r="H86">
            <v>25902</v>
          </cell>
        </row>
        <row r="87">
          <cell r="A87">
            <v>42010100</v>
          </cell>
          <cell r="B87" t="str">
            <v>Transport Allowance</v>
          </cell>
          <cell r="C87">
            <v>0</v>
          </cell>
          <cell r="D87">
            <v>51200</v>
          </cell>
          <cell r="E87">
            <v>0</v>
          </cell>
          <cell r="F87">
            <v>51200</v>
          </cell>
          <cell r="G87">
            <v>0</v>
          </cell>
          <cell r="H87">
            <v>51200</v>
          </cell>
        </row>
        <row r="88">
          <cell r="A88">
            <v>42010110</v>
          </cell>
          <cell r="B88" t="str">
            <v>Lunch Allowance</v>
          </cell>
          <cell r="C88">
            <v>0</v>
          </cell>
          <cell r="D88">
            <v>875</v>
          </cell>
          <cell r="E88">
            <v>0</v>
          </cell>
          <cell r="F88">
            <v>875</v>
          </cell>
          <cell r="G88">
            <v>0</v>
          </cell>
          <cell r="H88">
            <v>875</v>
          </cell>
        </row>
        <row r="89">
          <cell r="A89">
            <v>42010130</v>
          </cell>
          <cell r="B89" t="str">
            <v>Production Linked Incentive</v>
          </cell>
          <cell r="C89">
            <v>0</v>
          </cell>
          <cell r="D89">
            <v>63824</v>
          </cell>
          <cell r="E89">
            <v>0</v>
          </cell>
          <cell r="F89">
            <v>63824</v>
          </cell>
          <cell r="G89">
            <v>0</v>
          </cell>
          <cell r="H89">
            <v>63824</v>
          </cell>
        </row>
        <row r="90">
          <cell r="A90">
            <v>42010220</v>
          </cell>
          <cell r="B90" t="str">
            <v>Adhoc Allowance</v>
          </cell>
          <cell r="C90">
            <v>0</v>
          </cell>
          <cell r="D90">
            <v>7280</v>
          </cell>
          <cell r="E90">
            <v>0</v>
          </cell>
          <cell r="F90">
            <v>7280</v>
          </cell>
          <cell r="G90">
            <v>0</v>
          </cell>
          <cell r="H90">
            <v>7280</v>
          </cell>
        </row>
        <row r="91">
          <cell r="A91">
            <v>42010230</v>
          </cell>
          <cell r="B91" t="str">
            <v>Car Allowance</v>
          </cell>
          <cell r="C91">
            <v>0</v>
          </cell>
          <cell r="D91">
            <v>18000</v>
          </cell>
          <cell r="E91">
            <v>0</v>
          </cell>
          <cell r="F91">
            <v>18000</v>
          </cell>
          <cell r="G91">
            <v>0</v>
          </cell>
          <cell r="H91">
            <v>18000</v>
          </cell>
        </row>
        <row r="92">
          <cell r="A92">
            <v>42010240</v>
          </cell>
          <cell r="B92" t="str">
            <v>Driver Allowance</v>
          </cell>
          <cell r="C92">
            <v>0</v>
          </cell>
          <cell r="D92">
            <v>10000</v>
          </cell>
          <cell r="E92">
            <v>0</v>
          </cell>
          <cell r="F92">
            <v>10000</v>
          </cell>
          <cell r="G92">
            <v>0</v>
          </cell>
          <cell r="H92">
            <v>10000</v>
          </cell>
        </row>
        <row r="93">
          <cell r="A93">
            <v>42020010</v>
          </cell>
          <cell r="B93" t="str">
            <v>Provident Funds - Employer's Conribution</v>
          </cell>
          <cell r="C93">
            <v>0</v>
          </cell>
          <cell r="D93">
            <v>35496</v>
          </cell>
          <cell r="E93">
            <v>0</v>
          </cell>
          <cell r="F93">
            <v>35496</v>
          </cell>
          <cell r="G93">
            <v>0</v>
          </cell>
          <cell r="H93">
            <v>35496</v>
          </cell>
        </row>
        <row r="94">
          <cell r="A94">
            <v>42020070</v>
          </cell>
          <cell r="B94" t="str">
            <v>E.S.I.S. - Employer's Contribution</v>
          </cell>
          <cell r="C94">
            <v>0</v>
          </cell>
          <cell r="D94">
            <v>11779</v>
          </cell>
          <cell r="E94">
            <v>0</v>
          </cell>
          <cell r="F94">
            <v>11779</v>
          </cell>
          <cell r="G94">
            <v>0</v>
          </cell>
          <cell r="H94">
            <v>11779</v>
          </cell>
        </row>
        <row r="95">
          <cell r="A95">
            <v>42030020</v>
          </cell>
          <cell r="B95" t="str">
            <v>Purchases of Safety &amp; Welfare Items</v>
          </cell>
          <cell r="C95">
            <v>0</v>
          </cell>
          <cell r="D95">
            <v>1711</v>
          </cell>
          <cell r="E95">
            <v>0</v>
          </cell>
          <cell r="F95">
            <v>1711</v>
          </cell>
          <cell r="G95">
            <v>0</v>
          </cell>
          <cell r="H95">
            <v>1711</v>
          </cell>
        </row>
        <row r="96">
          <cell r="A96">
            <v>42030040</v>
          </cell>
          <cell r="B96" t="str">
            <v>Staff Welfare Expenses - FBT</v>
          </cell>
          <cell r="C96">
            <v>0</v>
          </cell>
          <cell r="D96">
            <v>185</v>
          </cell>
          <cell r="E96">
            <v>0</v>
          </cell>
          <cell r="F96">
            <v>185</v>
          </cell>
          <cell r="G96">
            <v>0</v>
          </cell>
          <cell r="H96">
            <v>185</v>
          </cell>
        </row>
        <row r="97">
          <cell r="A97">
            <v>42030050</v>
          </cell>
          <cell r="B97" t="str">
            <v>Staff Welfare Expenses</v>
          </cell>
          <cell r="C97">
            <v>0</v>
          </cell>
          <cell r="D97">
            <v>23225</v>
          </cell>
          <cell r="E97">
            <v>8125</v>
          </cell>
          <cell r="F97">
            <v>15100</v>
          </cell>
          <cell r="G97">
            <v>0</v>
          </cell>
          <cell r="H97">
            <v>15100</v>
          </cell>
        </row>
        <row r="98">
          <cell r="A98">
            <v>42030060</v>
          </cell>
          <cell r="B98" t="str">
            <v>Food &amp; Beverage Exps - FBT</v>
          </cell>
          <cell r="C98">
            <v>0</v>
          </cell>
          <cell r="D98">
            <v>7591</v>
          </cell>
          <cell r="E98">
            <v>0</v>
          </cell>
          <cell r="F98">
            <v>7591</v>
          </cell>
          <cell r="G98">
            <v>0</v>
          </cell>
          <cell r="H98">
            <v>7591</v>
          </cell>
        </row>
        <row r="99">
          <cell r="A99">
            <v>42030070</v>
          </cell>
          <cell r="B99" t="str">
            <v>Food &amp; Beverage Exps</v>
          </cell>
          <cell r="C99">
            <v>0</v>
          </cell>
          <cell r="D99">
            <v>7629</v>
          </cell>
          <cell r="E99">
            <v>2000</v>
          </cell>
          <cell r="F99">
            <v>5629</v>
          </cell>
          <cell r="G99">
            <v>0</v>
          </cell>
          <cell r="H99">
            <v>5629</v>
          </cell>
        </row>
        <row r="100">
          <cell r="A100">
            <v>42030080</v>
          </cell>
          <cell r="B100" t="str">
            <v>Washing Allowance</v>
          </cell>
          <cell r="C100">
            <v>0</v>
          </cell>
          <cell r="D100">
            <v>600</v>
          </cell>
          <cell r="E100">
            <v>0</v>
          </cell>
          <cell r="F100">
            <v>600</v>
          </cell>
          <cell r="G100">
            <v>0</v>
          </cell>
          <cell r="H100">
            <v>600</v>
          </cell>
        </row>
        <row r="101">
          <cell r="A101">
            <v>42030090</v>
          </cell>
          <cell r="B101" t="str">
            <v>Pooja &amp; Festival Celebration Expenses - FBT</v>
          </cell>
          <cell r="C101">
            <v>0</v>
          </cell>
          <cell r="D101">
            <v>2715</v>
          </cell>
          <cell r="E101">
            <v>0</v>
          </cell>
          <cell r="F101">
            <v>2715</v>
          </cell>
          <cell r="G101">
            <v>0</v>
          </cell>
          <cell r="H101">
            <v>2715</v>
          </cell>
        </row>
        <row r="102">
          <cell r="A102">
            <v>43001010</v>
          </cell>
          <cell r="B102" t="str">
            <v>Electricity Charges</v>
          </cell>
          <cell r="C102">
            <v>0</v>
          </cell>
          <cell r="D102">
            <v>307262</v>
          </cell>
          <cell r="E102">
            <v>154725</v>
          </cell>
          <cell r="F102">
            <v>152537</v>
          </cell>
          <cell r="G102">
            <v>0</v>
          </cell>
          <cell r="H102">
            <v>152537</v>
          </cell>
        </row>
        <row r="103">
          <cell r="A103">
            <v>43001020</v>
          </cell>
          <cell r="B103" t="str">
            <v>Water Charges</v>
          </cell>
          <cell r="C103">
            <v>0</v>
          </cell>
          <cell r="D103">
            <v>285196</v>
          </cell>
          <cell r="E103">
            <v>79400</v>
          </cell>
          <cell r="F103">
            <v>205796</v>
          </cell>
          <cell r="G103">
            <v>0</v>
          </cell>
          <cell r="H103">
            <v>205796</v>
          </cell>
        </row>
        <row r="104">
          <cell r="A104">
            <v>43001030</v>
          </cell>
          <cell r="B104" t="str">
            <v>Fuel For Diesel Generator Set</v>
          </cell>
          <cell r="C104">
            <v>0</v>
          </cell>
          <cell r="D104">
            <v>23042.25</v>
          </cell>
          <cell r="E104">
            <v>0</v>
          </cell>
          <cell r="F104">
            <v>23042.25</v>
          </cell>
          <cell r="G104">
            <v>0</v>
          </cell>
          <cell r="H104">
            <v>23042.25</v>
          </cell>
        </row>
        <row r="105">
          <cell r="A105">
            <v>43010010</v>
          </cell>
          <cell r="B105" t="str">
            <v>Consumables</v>
          </cell>
          <cell r="C105">
            <v>0</v>
          </cell>
          <cell r="D105">
            <v>23204</v>
          </cell>
          <cell r="E105">
            <v>0</v>
          </cell>
          <cell r="F105">
            <v>23204</v>
          </cell>
          <cell r="G105">
            <v>0</v>
          </cell>
          <cell r="H105">
            <v>23204</v>
          </cell>
        </row>
        <row r="106">
          <cell r="A106">
            <v>43016010</v>
          </cell>
          <cell r="B106" t="str">
            <v>Transportation Charges</v>
          </cell>
          <cell r="C106">
            <v>0</v>
          </cell>
          <cell r="D106">
            <v>515</v>
          </cell>
          <cell r="E106">
            <v>0</v>
          </cell>
          <cell r="F106">
            <v>515</v>
          </cell>
          <cell r="G106">
            <v>0</v>
          </cell>
          <cell r="H106">
            <v>515</v>
          </cell>
        </row>
        <row r="107">
          <cell r="A107">
            <v>43018010</v>
          </cell>
          <cell r="B107" t="str">
            <v>Repairs &amp; Maintenance</v>
          </cell>
          <cell r="C107">
            <v>0</v>
          </cell>
          <cell r="D107">
            <v>417576</v>
          </cell>
          <cell r="E107">
            <v>86524</v>
          </cell>
          <cell r="F107">
            <v>331052</v>
          </cell>
          <cell r="G107">
            <v>0</v>
          </cell>
          <cell r="H107">
            <v>331052</v>
          </cell>
        </row>
        <row r="108">
          <cell r="A108">
            <v>43022010</v>
          </cell>
          <cell r="B108" t="str">
            <v>Plant / Office Up Keep Exps</v>
          </cell>
          <cell r="C108">
            <v>0</v>
          </cell>
          <cell r="D108">
            <v>320337</v>
          </cell>
          <cell r="E108">
            <v>111650</v>
          </cell>
          <cell r="F108">
            <v>208687</v>
          </cell>
          <cell r="G108">
            <v>0</v>
          </cell>
          <cell r="H108">
            <v>208687</v>
          </cell>
        </row>
        <row r="109">
          <cell r="A109">
            <v>43032010</v>
          </cell>
          <cell r="B109" t="str">
            <v>Rent - Plant</v>
          </cell>
          <cell r="C109">
            <v>0</v>
          </cell>
          <cell r="D109">
            <v>120000</v>
          </cell>
          <cell r="E109">
            <v>0</v>
          </cell>
          <cell r="F109">
            <v>120000</v>
          </cell>
          <cell r="G109">
            <v>0</v>
          </cell>
          <cell r="H109">
            <v>120000</v>
          </cell>
        </row>
        <row r="110">
          <cell r="A110">
            <v>43036010</v>
          </cell>
          <cell r="B110" t="str">
            <v>Insurance Expenses</v>
          </cell>
          <cell r="C110">
            <v>0</v>
          </cell>
          <cell r="D110">
            <v>3188</v>
          </cell>
          <cell r="E110">
            <v>0</v>
          </cell>
          <cell r="F110">
            <v>3188</v>
          </cell>
          <cell r="G110">
            <v>0</v>
          </cell>
          <cell r="H110">
            <v>3188</v>
          </cell>
        </row>
        <row r="111">
          <cell r="A111">
            <v>43038020</v>
          </cell>
          <cell r="B111" t="str">
            <v>Courier Expenses</v>
          </cell>
          <cell r="C111">
            <v>0</v>
          </cell>
          <cell r="D111">
            <v>8065</v>
          </cell>
          <cell r="E111">
            <v>3000</v>
          </cell>
          <cell r="F111">
            <v>5065</v>
          </cell>
          <cell r="G111">
            <v>0</v>
          </cell>
          <cell r="H111">
            <v>5065</v>
          </cell>
        </row>
        <row r="112">
          <cell r="A112">
            <v>43038030</v>
          </cell>
          <cell r="B112" t="str">
            <v>Telephone Expenses</v>
          </cell>
          <cell r="C112">
            <v>0</v>
          </cell>
          <cell r="D112">
            <v>14896</v>
          </cell>
          <cell r="E112">
            <v>8000</v>
          </cell>
          <cell r="F112">
            <v>6896</v>
          </cell>
          <cell r="G112">
            <v>0</v>
          </cell>
          <cell r="H112">
            <v>6896</v>
          </cell>
        </row>
        <row r="113">
          <cell r="A113">
            <v>43038050</v>
          </cell>
          <cell r="B113" t="str">
            <v>Telephone Chgs - Mobile  FBT</v>
          </cell>
          <cell r="C113">
            <v>0</v>
          </cell>
          <cell r="D113">
            <v>59749</v>
          </cell>
          <cell r="E113">
            <v>27217</v>
          </cell>
          <cell r="F113">
            <v>32532</v>
          </cell>
          <cell r="G113">
            <v>0</v>
          </cell>
          <cell r="H113">
            <v>32532</v>
          </cell>
        </row>
        <row r="114">
          <cell r="A114">
            <v>43040010</v>
          </cell>
          <cell r="B114" t="str">
            <v>Conveyance Expenses - FBT</v>
          </cell>
          <cell r="C114">
            <v>0</v>
          </cell>
          <cell r="D114">
            <v>120995</v>
          </cell>
          <cell r="E114">
            <v>79852</v>
          </cell>
          <cell r="F114">
            <v>41143</v>
          </cell>
          <cell r="G114">
            <v>0</v>
          </cell>
          <cell r="H114">
            <v>41143</v>
          </cell>
        </row>
        <row r="115">
          <cell r="A115">
            <v>43040040</v>
          </cell>
          <cell r="B115" t="str">
            <v>Motor Car Hire Expenses</v>
          </cell>
          <cell r="C115">
            <v>0</v>
          </cell>
          <cell r="D115">
            <v>58679</v>
          </cell>
          <cell r="E115">
            <v>20654</v>
          </cell>
          <cell r="F115">
            <v>38025</v>
          </cell>
          <cell r="G115">
            <v>0</v>
          </cell>
          <cell r="H115">
            <v>38025</v>
          </cell>
        </row>
        <row r="116">
          <cell r="A116">
            <v>43040080</v>
          </cell>
          <cell r="B116" t="str">
            <v>Travelling Expenses - Domestic - FBT</v>
          </cell>
          <cell r="C116">
            <v>0</v>
          </cell>
          <cell r="D116">
            <v>2238</v>
          </cell>
          <cell r="E116">
            <v>0</v>
          </cell>
          <cell r="F116">
            <v>2238</v>
          </cell>
          <cell r="G116">
            <v>0</v>
          </cell>
          <cell r="H116">
            <v>2238</v>
          </cell>
        </row>
        <row r="117">
          <cell r="A117">
            <v>43040100</v>
          </cell>
          <cell r="B117" t="str">
            <v>Hotel Expenses  - FBT</v>
          </cell>
          <cell r="C117">
            <v>0</v>
          </cell>
          <cell r="D117">
            <v>598</v>
          </cell>
          <cell r="E117">
            <v>0</v>
          </cell>
          <cell r="F117">
            <v>598</v>
          </cell>
          <cell r="G117">
            <v>0</v>
          </cell>
          <cell r="H117">
            <v>598</v>
          </cell>
        </row>
        <row r="118">
          <cell r="A118">
            <v>43042020</v>
          </cell>
          <cell r="B118" t="str">
            <v>Fuel - Loader</v>
          </cell>
          <cell r="C118">
            <v>0</v>
          </cell>
          <cell r="D118">
            <v>114864.75</v>
          </cell>
          <cell r="E118">
            <v>1386</v>
          </cell>
          <cell r="F118">
            <v>113478.75</v>
          </cell>
          <cell r="G118">
            <v>0</v>
          </cell>
          <cell r="H118">
            <v>113478.75</v>
          </cell>
        </row>
        <row r="119">
          <cell r="A119">
            <v>43042030</v>
          </cell>
          <cell r="B119" t="str">
            <v>Fuel - Others</v>
          </cell>
          <cell r="C119">
            <v>0</v>
          </cell>
          <cell r="D119">
            <v>41510.699999999997</v>
          </cell>
          <cell r="E119">
            <v>13860</v>
          </cell>
          <cell r="F119">
            <v>27650.7</v>
          </cell>
          <cell r="G119">
            <v>0</v>
          </cell>
          <cell r="H119">
            <v>27650.7</v>
          </cell>
        </row>
        <row r="120">
          <cell r="A120">
            <v>43042050</v>
          </cell>
          <cell r="B120" t="str">
            <v>Fuel -  External Trucks/Pumps</v>
          </cell>
          <cell r="C120">
            <v>0</v>
          </cell>
          <cell r="D120">
            <v>2983481.05</v>
          </cell>
          <cell r="E120">
            <v>2789757.35</v>
          </cell>
          <cell r="F120">
            <v>193723.7</v>
          </cell>
          <cell r="G120">
            <v>0</v>
          </cell>
          <cell r="H120">
            <v>193723.7</v>
          </cell>
        </row>
        <row r="121">
          <cell r="A121">
            <v>43046010</v>
          </cell>
          <cell r="B121" t="str">
            <v>Rates &amp; Taxes</v>
          </cell>
          <cell r="C121">
            <v>0</v>
          </cell>
          <cell r="D121">
            <v>42804</v>
          </cell>
          <cell r="E121">
            <v>2700</v>
          </cell>
          <cell r="F121">
            <v>40104</v>
          </cell>
          <cell r="G121">
            <v>0</v>
          </cell>
          <cell r="H121">
            <v>40104</v>
          </cell>
        </row>
        <row r="122">
          <cell r="A122">
            <v>43052010</v>
          </cell>
          <cell r="B122" t="str">
            <v>Security Service Charges</v>
          </cell>
          <cell r="C122">
            <v>0</v>
          </cell>
          <cell r="D122">
            <v>88293</v>
          </cell>
          <cell r="E122">
            <v>29491</v>
          </cell>
          <cell r="F122">
            <v>58802</v>
          </cell>
          <cell r="G122">
            <v>0</v>
          </cell>
          <cell r="H122">
            <v>58802</v>
          </cell>
        </row>
        <row r="123">
          <cell r="A123">
            <v>43054010</v>
          </cell>
          <cell r="B123" t="str">
            <v>Hire Charges - Machine</v>
          </cell>
          <cell r="C123">
            <v>0</v>
          </cell>
          <cell r="D123">
            <v>62576</v>
          </cell>
          <cell r="E123">
            <v>10000</v>
          </cell>
          <cell r="F123">
            <v>52576</v>
          </cell>
          <cell r="G123">
            <v>0</v>
          </cell>
          <cell r="H123">
            <v>52576</v>
          </cell>
        </row>
        <row r="124">
          <cell r="A124">
            <v>43054020</v>
          </cell>
          <cell r="B124" t="str">
            <v>Concrete Carrying Charges - TM</v>
          </cell>
          <cell r="C124">
            <v>0</v>
          </cell>
          <cell r="D124">
            <v>5708440</v>
          </cell>
          <cell r="E124">
            <v>2257991</v>
          </cell>
          <cell r="F124">
            <v>3450449</v>
          </cell>
          <cell r="G124">
            <v>0</v>
          </cell>
          <cell r="H124">
            <v>3450449</v>
          </cell>
        </row>
        <row r="125">
          <cell r="A125">
            <v>43054030</v>
          </cell>
          <cell r="B125" t="str">
            <v>Concrete Placing Charges Pump</v>
          </cell>
          <cell r="C125">
            <v>0</v>
          </cell>
          <cell r="D125">
            <v>2097618</v>
          </cell>
          <cell r="E125">
            <v>720784</v>
          </cell>
          <cell r="F125">
            <v>1376834</v>
          </cell>
          <cell r="G125">
            <v>0</v>
          </cell>
          <cell r="H125">
            <v>1376834</v>
          </cell>
        </row>
        <row r="126">
          <cell r="A126">
            <v>43062010</v>
          </cell>
          <cell r="B126" t="str">
            <v>Computer Expenses</v>
          </cell>
          <cell r="C126">
            <v>0</v>
          </cell>
          <cell r="D126">
            <v>480</v>
          </cell>
          <cell r="E126">
            <v>0</v>
          </cell>
          <cell r="F126">
            <v>480</v>
          </cell>
          <cell r="G126">
            <v>0</v>
          </cell>
          <cell r="H126">
            <v>480</v>
          </cell>
        </row>
        <row r="127">
          <cell r="A127">
            <v>43066010</v>
          </cell>
          <cell r="B127" t="str">
            <v>Books &amp; Periodicals</v>
          </cell>
          <cell r="C127">
            <v>0</v>
          </cell>
          <cell r="D127">
            <v>290</v>
          </cell>
          <cell r="E127">
            <v>0</v>
          </cell>
          <cell r="F127">
            <v>290</v>
          </cell>
          <cell r="G127">
            <v>0</v>
          </cell>
          <cell r="H127">
            <v>290</v>
          </cell>
        </row>
        <row r="128">
          <cell r="A128">
            <v>43066020</v>
          </cell>
          <cell r="B128" t="str">
            <v>Printing &amp; Stationery</v>
          </cell>
          <cell r="C128">
            <v>0</v>
          </cell>
          <cell r="D128">
            <v>15445</v>
          </cell>
          <cell r="E128">
            <v>500</v>
          </cell>
          <cell r="F128">
            <v>14945</v>
          </cell>
          <cell r="G128">
            <v>0</v>
          </cell>
          <cell r="H128">
            <v>14945</v>
          </cell>
        </row>
        <row r="129">
          <cell r="A129">
            <v>43070090</v>
          </cell>
          <cell r="B129" t="str">
            <v>Gifts &amp; Presents - FBT</v>
          </cell>
          <cell r="C129">
            <v>0</v>
          </cell>
          <cell r="D129">
            <v>2294</v>
          </cell>
          <cell r="E129">
            <v>0</v>
          </cell>
          <cell r="F129">
            <v>2294</v>
          </cell>
          <cell r="G129">
            <v>0</v>
          </cell>
          <cell r="H129">
            <v>2294</v>
          </cell>
        </row>
        <row r="130">
          <cell r="A130">
            <v>43074010</v>
          </cell>
          <cell r="B130" t="str">
            <v>Provision For Bad &amp; Doubtful Debts W/Off</v>
          </cell>
          <cell r="C130">
            <v>0</v>
          </cell>
          <cell r="D130">
            <v>259683</v>
          </cell>
          <cell r="E130">
            <v>1694</v>
          </cell>
          <cell r="F130">
            <v>257989</v>
          </cell>
          <cell r="G130">
            <v>0</v>
          </cell>
          <cell r="H130">
            <v>257989</v>
          </cell>
        </row>
        <row r="131">
          <cell r="A131">
            <v>43084010</v>
          </cell>
          <cell r="B131" t="str">
            <v>Miscellaneous Expenses</v>
          </cell>
          <cell r="C131">
            <v>0</v>
          </cell>
          <cell r="D131">
            <v>655</v>
          </cell>
          <cell r="E131">
            <v>0</v>
          </cell>
          <cell r="F131">
            <v>655</v>
          </cell>
          <cell r="G131">
            <v>0</v>
          </cell>
          <cell r="H131">
            <v>655</v>
          </cell>
        </row>
        <row r="132">
          <cell r="A132">
            <v>43084020</v>
          </cell>
          <cell r="B132" t="str">
            <v>Testing Charges</v>
          </cell>
          <cell r="C132">
            <v>0</v>
          </cell>
          <cell r="D132">
            <v>42550</v>
          </cell>
          <cell r="E132">
            <v>300</v>
          </cell>
          <cell r="F132">
            <v>42250</v>
          </cell>
          <cell r="G132">
            <v>0</v>
          </cell>
          <cell r="H132">
            <v>42250</v>
          </cell>
        </row>
        <row r="133">
          <cell r="A133">
            <v>43084030</v>
          </cell>
          <cell r="B133" t="str">
            <v>Rounding Off</v>
          </cell>
          <cell r="C133">
            <v>0</v>
          </cell>
          <cell r="D133">
            <v>74.569999999999993</v>
          </cell>
          <cell r="E133">
            <v>70.92</v>
          </cell>
          <cell r="F133">
            <v>3.65</v>
          </cell>
          <cell r="G133">
            <v>0</v>
          </cell>
          <cell r="H133">
            <v>3.65</v>
          </cell>
        </row>
        <row r="134">
          <cell r="A134">
            <v>44010040</v>
          </cell>
          <cell r="B134" t="str">
            <v>Bank Charges</v>
          </cell>
          <cell r="C134">
            <v>0</v>
          </cell>
          <cell r="D134">
            <v>1134.56</v>
          </cell>
          <cell r="E134">
            <v>0</v>
          </cell>
          <cell r="F134">
            <v>1134.56</v>
          </cell>
          <cell r="G134">
            <v>0</v>
          </cell>
          <cell r="H134">
            <v>1134.56</v>
          </cell>
        </row>
        <row r="135">
          <cell r="A135">
            <v>45010010</v>
          </cell>
          <cell r="B135" t="str">
            <v>Depreciation</v>
          </cell>
          <cell r="C135">
            <v>0</v>
          </cell>
          <cell r="D135">
            <v>667023</v>
          </cell>
          <cell r="E135">
            <v>0</v>
          </cell>
          <cell r="F135">
            <v>667023</v>
          </cell>
          <cell r="G135">
            <v>0</v>
          </cell>
          <cell r="H135">
            <v>667023</v>
          </cell>
        </row>
        <row r="136">
          <cell r="A136">
            <v>46040010</v>
          </cell>
          <cell r="B136" t="str">
            <v>Plant Shifting Expenses</v>
          </cell>
          <cell r="C136">
            <v>0</v>
          </cell>
          <cell r="D136">
            <v>250000</v>
          </cell>
          <cell r="E136">
            <v>250000</v>
          </cell>
          <cell r="F136">
            <v>0</v>
          </cell>
          <cell r="G136">
            <v>0</v>
          </cell>
          <cell r="H136">
            <v>0</v>
          </cell>
        </row>
        <row r="137">
          <cell r="A137">
            <v>52000000</v>
          </cell>
          <cell r="B137" t="str">
            <v>Inter Branch Control Account</v>
          </cell>
          <cell r="C137">
            <v>-6428409.04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-6428409.04</v>
          </cell>
        </row>
        <row r="138">
          <cell r="A138">
            <v>52000809</v>
          </cell>
          <cell r="B138" t="str">
            <v>Inter branch control account for 08-09</v>
          </cell>
          <cell r="C138">
            <v>11077567.199999999</v>
          </cell>
          <cell r="D138">
            <v>3741762</v>
          </cell>
          <cell r="E138">
            <v>1836471</v>
          </cell>
          <cell r="F138">
            <v>1905291</v>
          </cell>
          <cell r="G138">
            <v>0</v>
          </cell>
          <cell r="H138">
            <v>12982858.199999999</v>
          </cell>
        </row>
        <row r="139">
          <cell r="A139">
            <v>61000400</v>
          </cell>
          <cell r="B139" t="str">
            <v>Control Account Haulage Income</v>
          </cell>
          <cell r="C139">
            <v>0</v>
          </cell>
          <cell r="D139">
            <v>3696013</v>
          </cell>
          <cell r="E139">
            <v>3696013</v>
          </cell>
          <cell r="F139">
            <v>0</v>
          </cell>
          <cell r="G139">
            <v>0</v>
          </cell>
          <cell r="H139">
            <v>0</v>
          </cell>
        </row>
        <row r="140">
          <cell r="A140">
            <v>61000500</v>
          </cell>
          <cell r="B140" t="str">
            <v>Control Account for Pumping</v>
          </cell>
          <cell r="C140">
            <v>0</v>
          </cell>
          <cell r="D140">
            <v>1648225</v>
          </cell>
          <cell r="E140">
            <v>1648225</v>
          </cell>
          <cell r="F140">
            <v>0</v>
          </cell>
          <cell r="G140">
            <v>0</v>
          </cell>
          <cell r="H140">
            <v>0</v>
          </cell>
        </row>
        <row r="141">
          <cell r="A141">
            <v>62000000</v>
          </cell>
          <cell r="B141" t="str">
            <v>Inter branch Clearing account</v>
          </cell>
          <cell r="C141">
            <v>0</v>
          </cell>
          <cell r="D141">
            <v>2144517</v>
          </cell>
          <cell r="E141">
            <v>2144517</v>
          </cell>
          <cell r="F141">
            <v>0</v>
          </cell>
          <cell r="G141">
            <v>0</v>
          </cell>
          <cell r="H141">
            <v>0</v>
          </cell>
        </row>
        <row r="142">
          <cell r="B142" t="str">
            <v>Total</v>
          </cell>
          <cell r="D142">
            <v>0</v>
          </cell>
          <cell r="E142">
            <v>255855132.03</v>
          </cell>
          <cell r="F142">
            <v>255855132.03</v>
          </cell>
          <cell r="G142">
            <v>0</v>
          </cell>
          <cell r="H142">
            <v>0</v>
          </cell>
        </row>
      </sheetData>
      <sheetData sheetId="22" refreshError="1">
        <row r="1">
          <cell r="A1" t="str">
            <v>RMC Readymix (I) Pvt. Ltd.,</v>
          </cell>
          <cell r="B1" t="str">
            <v>Trial balance</v>
          </cell>
          <cell r="C1">
            <v>39970</v>
          </cell>
          <cell r="D1">
            <v>0.44192129629629634</v>
          </cell>
          <cell r="E1" t="str">
            <v>Page 1</v>
          </cell>
          <cell r="F1" t="str">
            <v>Nagpur</v>
          </cell>
        </row>
        <row r="2">
          <cell r="A2" t="str">
            <v>Period</v>
          </cell>
          <cell r="B2">
            <v>39904</v>
          </cell>
          <cell r="C2">
            <v>39964</v>
          </cell>
        </row>
        <row r="3">
          <cell r="A3" t="str">
            <v>Ledger account</v>
          </cell>
          <cell r="B3" t="str">
            <v>Account name</v>
          </cell>
          <cell r="C3" t="str">
            <v>Opening balance</v>
          </cell>
          <cell r="D3" t="str">
            <v>Debit</v>
          </cell>
          <cell r="E3" t="str">
            <v>Credit</v>
          </cell>
          <cell r="F3" t="str">
            <v>Net difference</v>
          </cell>
          <cell r="G3" t="str">
            <v>Closing transactions</v>
          </cell>
          <cell r="H3" t="str">
            <v>Closing balance</v>
          </cell>
        </row>
        <row r="4">
          <cell r="A4">
            <v>11015010</v>
          </cell>
          <cell r="B4" t="str">
            <v>Buildings</v>
          </cell>
          <cell r="C4">
            <v>6446618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6446618</v>
          </cell>
        </row>
        <row r="5">
          <cell r="A5">
            <v>11025010</v>
          </cell>
          <cell r="B5" t="str">
            <v>Plant and Machinery</v>
          </cell>
          <cell r="C5">
            <v>16440266.98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16440266.98</v>
          </cell>
        </row>
        <row r="6">
          <cell r="A6">
            <v>11030010</v>
          </cell>
          <cell r="B6" t="str">
            <v>Electrical Installations</v>
          </cell>
          <cell r="C6">
            <v>2724327.92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2724327.92</v>
          </cell>
        </row>
        <row r="7">
          <cell r="A7">
            <v>11035010</v>
          </cell>
          <cell r="B7" t="str">
            <v>Furniture &amp; Fixtures</v>
          </cell>
          <cell r="C7">
            <v>1317663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1317663</v>
          </cell>
        </row>
        <row r="8">
          <cell r="A8">
            <v>11040010</v>
          </cell>
          <cell r="B8" t="str">
            <v>Office &amp; Electrical Appliances</v>
          </cell>
          <cell r="C8">
            <v>487542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487542</v>
          </cell>
        </row>
        <row r="9">
          <cell r="A9">
            <v>11045010</v>
          </cell>
          <cell r="B9" t="str">
            <v>Truck Mixers, Loaders &amp; Truck Dumpers</v>
          </cell>
          <cell r="C9">
            <v>2549462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2549462</v>
          </cell>
        </row>
        <row r="10">
          <cell r="A10">
            <v>13015010</v>
          </cell>
          <cell r="B10" t="str">
            <v>Balance Sheet Stock of Raw material - RMC</v>
          </cell>
          <cell r="C10">
            <v>1002944.96</v>
          </cell>
          <cell r="D10">
            <v>1000828.32</v>
          </cell>
          <cell r="E10">
            <v>1002944.96</v>
          </cell>
          <cell r="F10">
            <v>-2116.64</v>
          </cell>
          <cell r="G10">
            <v>0</v>
          </cell>
          <cell r="H10">
            <v>1000828.32</v>
          </cell>
        </row>
        <row r="11">
          <cell r="A11">
            <v>13020010</v>
          </cell>
          <cell r="B11" t="str">
            <v>Sundry Debtors Account</v>
          </cell>
          <cell r="C11">
            <v>7626789</v>
          </cell>
          <cell r="D11">
            <v>20037461</v>
          </cell>
          <cell r="E11">
            <v>20719346</v>
          </cell>
          <cell r="F11">
            <v>-681885</v>
          </cell>
          <cell r="G11">
            <v>0</v>
          </cell>
          <cell r="H11">
            <v>6944904</v>
          </cell>
        </row>
        <row r="12">
          <cell r="A12">
            <v>13025010</v>
          </cell>
          <cell r="B12" t="str">
            <v>Cash In Hand</v>
          </cell>
          <cell r="C12">
            <v>68528.5</v>
          </cell>
          <cell r="D12">
            <v>127622</v>
          </cell>
          <cell r="E12">
            <v>130752</v>
          </cell>
          <cell r="F12">
            <v>-3130</v>
          </cell>
          <cell r="G12">
            <v>0</v>
          </cell>
          <cell r="H12">
            <v>65398.5</v>
          </cell>
        </row>
        <row r="13">
          <cell r="A13">
            <v>13035010</v>
          </cell>
          <cell r="B13" t="str">
            <v>Bank Account</v>
          </cell>
          <cell r="C13">
            <v>17809.46</v>
          </cell>
          <cell r="D13">
            <v>20632111</v>
          </cell>
          <cell r="E13">
            <v>19830168</v>
          </cell>
          <cell r="F13">
            <v>801943</v>
          </cell>
          <cell r="G13">
            <v>0</v>
          </cell>
          <cell r="H13">
            <v>819752.46</v>
          </cell>
        </row>
        <row r="14">
          <cell r="A14">
            <v>13045020</v>
          </cell>
          <cell r="B14" t="str">
            <v>Loans and advances to employees</v>
          </cell>
          <cell r="C14">
            <v>0</v>
          </cell>
          <cell r="D14">
            <v>73682</v>
          </cell>
          <cell r="E14">
            <v>82077</v>
          </cell>
          <cell r="F14">
            <v>-8395</v>
          </cell>
          <cell r="G14">
            <v>0</v>
          </cell>
          <cell r="H14">
            <v>-8395</v>
          </cell>
        </row>
        <row r="15">
          <cell r="A15">
            <v>13055020</v>
          </cell>
          <cell r="B15" t="str">
            <v>Prepaid Expenses</v>
          </cell>
          <cell r="C15">
            <v>122552</v>
          </cell>
          <cell r="D15">
            <v>26146</v>
          </cell>
          <cell r="E15">
            <v>31618</v>
          </cell>
          <cell r="F15">
            <v>-5472</v>
          </cell>
          <cell r="G15">
            <v>0</v>
          </cell>
          <cell r="H15">
            <v>117080</v>
          </cell>
        </row>
        <row r="16">
          <cell r="A16">
            <v>13055060</v>
          </cell>
          <cell r="B16" t="str">
            <v>VAT Credit Receivable (Inputs)</v>
          </cell>
          <cell r="C16">
            <v>841149</v>
          </cell>
          <cell r="D16">
            <v>1984926</v>
          </cell>
          <cell r="E16">
            <v>2563310</v>
          </cell>
          <cell r="F16">
            <v>-578384</v>
          </cell>
          <cell r="G16">
            <v>0</v>
          </cell>
          <cell r="H16">
            <v>262765</v>
          </cell>
        </row>
        <row r="17">
          <cell r="A17">
            <v>13055070</v>
          </cell>
          <cell r="B17" t="str">
            <v>Vat Credit Receivable (Capital Goods)</v>
          </cell>
          <cell r="C17">
            <v>166235</v>
          </cell>
          <cell r="D17">
            <v>166236</v>
          </cell>
          <cell r="E17">
            <v>332472</v>
          </cell>
          <cell r="F17">
            <v>-166236</v>
          </cell>
          <cell r="G17">
            <v>0</v>
          </cell>
          <cell r="H17">
            <v>-1</v>
          </cell>
        </row>
        <row r="18">
          <cell r="A18">
            <v>13055090</v>
          </cell>
          <cell r="B18" t="str">
            <v>Sundry Deposits</v>
          </cell>
          <cell r="C18">
            <v>636150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636150</v>
          </cell>
        </row>
        <row r="19">
          <cell r="A19">
            <v>25005010</v>
          </cell>
          <cell r="B19" t="str">
            <v>Creditors Control</v>
          </cell>
          <cell r="C19">
            <v>-5515595</v>
          </cell>
          <cell r="D19">
            <v>19111886</v>
          </cell>
          <cell r="E19">
            <v>14655111</v>
          </cell>
          <cell r="F19">
            <v>4456775</v>
          </cell>
          <cell r="G19">
            <v>0</v>
          </cell>
          <cell r="H19">
            <v>-1058820</v>
          </cell>
        </row>
        <row r="20">
          <cell r="A20">
            <v>25005050</v>
          </cell>
          <cell r="B20" t="str">
            <v>Creditors liability for material received but bill not recei</v>
          </cell>
          <cell r="C20">
            <v>-76250.080000000002</v>
          </cell>
          <cell r="D20">
            <v>10552671.449999999</v>
          </cell>
          <cell r="E20">
            <v>12821784.859999999</v>
          </cell>
          <cell r="F20">
            <v>-2269113.41</v>
          </cell>
          <cell r="G20">
            <v>0</v>
          </cell>
          <cell r="H20">
            <v>-2345363.4900000002</v>
          </cell>
        </row>
        <row r="21">
          <cell r="A21">
            <v>25010020</v>
          </cell>
          <cell r="B21" t="str">
            <v>Outstanding Liabilities For Expenses</v>
          </cell>
          <cell r="C21">
            <v>-77743</v>
          </cell>
          <cell r="D21">
            <v>129888</v>
          </cell>
          <cell r="E21">
            <v>53602</v>
          </cell>
          <cell r="F21">
            <v>76286</v>
          </cell>
          <cell r="G21">
            <v>0</v>
          </cell>
          <cell r="H21">
            <v>-1457</v>
          </cell>
        </row>
        <row r="22">
          <cell r="A22">
            <v>25010060</v>
          </cell>
          <cell r="B22" t="str">
            <v>T.D.S.payable account</v>
          </cell>
          <cell r="C22">
            <v>-60450</v>
          </cell>
          <cell r="D22">
            <v>73748</v>
          </cell>
          <cell r="E22">
            <v>69907</v>
          </cell>
          <cell r="F22">
            <v>3841</v>
          </cell>
          <cell r="G22">
            <v>0</v>
          </cell>
          <cell r="H22">
            <v>-56609</v>
          </cell>
        </row>
        <row r="23">
          <cell r="A23">
            <v>25010190</v>
          </cell>
          <cell r="B23" t="str">
            <v>VAT  Payable account</v>
          </cell>
          <cell r="C23">
            <v>-1253043</v>
          </cell>
          <cell r="D23">
            <v>5373592</v>
          </cell>
          <cell r="E23">
            <v>4964906</v>
          </cell>
          <cell r="F23">
            <v>408686</v>
          </cell>
          <cell r="G23">
            <v>0</v>
          </cell>
          <cell r="H23">
            <v>-844357</v>
          </cell>
        </row>
        <row r="24">
          <cell r="A24">
            <v>25010200</v>
          </cell>
          <cell r="B24" t="str">
            <v>Provision for Expenses in MIS</v>
          </cell>
          <cell r="C24">
            <v>0</v>
          </cell>
          <cell r="D24">
            <v>1023534</v>
          </cell>
          <cell r="E24">
            <v>1910726</v>
          </cell>
          <cell r="F24">
            <v>-887192</v>
          </cell>
          <cell r="G24">
            <v>0</v>
          </cell>
          <cell r="H24">
            <v>-887192</v>
          </cell>
        </row>
        <row r="25">
          <cell r="A25">
            <v>25020040</v>
          </cell>
          <cell r="B25" t="str">
            <v>Profession Tax payable</v>
          </cell>
          <cell r="C25">
            <v>300</v>
          </cell>
          <cell r="D25">
            <v>0</v>
          </cell>
          <cell r="E25">
            <v>300</v>
          </cell>
          <cell r="F25">
            <v>-300</v>
          </cell>
          <cell r="G25">
            <v>0</v>
          </cell>
          <cell r="H25">
            <v>0</v>
          </cell>
        </row>
        <row r="26">
          <cell r="A26">
            <v>26015010</v>
          </cell>
          <cell r="B26" t="str">
            <v>Prov For Dep.-  Buildings</v>
          </cell>
          <cell r="C26">
            <v>-993963.82</v>
          </cell>
          <cell r="D26">
            <v>0</v>
          </cell>
          <cell r="E26">
            <v>144012</v>
          </cell>
          <cell r="F26">
            <v>-144012</v>
          </cell>
          <cell r="G26">
            <v>0</v>
          </cell>
          <cell r="H26">
            <v>-1137975.82</v>
          </cell>
        </row>
        <row r="27">
          <cell r="A27">
            <v>26025010</v>
          </cell>
          <cell r="B27" t="str">
            <v>Provision for Depreciation Plant &amp; Machinery</v>
          </cell>
          <cell r="C27">
            <v>-1481722.27</v>
          </cell>
          <cell r="D27">
            <v>0</v>
          </cell>
          <cell r="E27">
            <v>233484</v>
          </cell>
          <cell r="F27">
            <v>-233484</v>
          </cell>
          <cell r="G27">
            <v>0</v>
          </cell>
          <cell r="H27">
            <v>-1715206.27</v>
          </cell>
        </row>
        <row r="28">
          <cell r="A28">
            <v>26030010</v>
          </cell>
          <cell r="B28" t="str">
            <v>Provision For Dep.-Electrical Installations</v>
          </cell>
          <cell r="C28">
            <v>-270550.24</v>
          </cell>
          <cell r="D28">
            <v>0</v>
          </cell>
          <cell r="E28">
            <v>45302</v>
          </cell>
          <cell r="F28">
            <v>-45302</v>
          </cell>
          <cell r="G28">
            <v>0</v>
          </cell>
          <cell r="H28">
            <v>-315852.24</v>
          </cell>
        </row>
        <row r="29">
          <cell r="A29">
            <v>26035010</v>
          </cell>
          <cell r="B29" t="str">
            <v>Provision For Dep.-Furniture and Fixtures</v>
          </cell>
          <cell r="C29">
            <v>-188296.57</v>
          </cell>
          <cell r="D29">
            <v>0</v>
          </cell>
          <cell r="E29">
            <v>20730</v>
          </cell>
          <cell r="F29">
            <v>-20730</v>
          </cell>
          <cell r="G29">
            <v>0</v>
          </cell>
          <cell r="H29">
            <v>-209026.57</v>
          </cell>
        </row>
        <row r="30">
          <cell r="A30">
            <v>26040010</v>
          </cell>
          <cell r="B30" t="str">
            <v>Provision for Depreciation- Office and Electrical Appliances</v>
          </cell>
          <cell r="C30">
            <v>-118541.8</v>
          </cell>
          <cell r="D30">
            <v>0</v>
          </cell>
          <cell r="E30">
            <v>12107</v>
          </cell>
          <cell r="F30">
            <v>-12107</v>
          </cell>
          <cell r="G30">
            <v>0</v>
          </cell>
          <cell r="H30">
            <v>-130648.8</v>
          </cell>
        </row>
        <row r="31">
          <cell r="A31">
            <v>26045010</v>
          </cell>
          <cell r="B31" t="str">
            <v>Provision for Depreciation- Truck Mixers, Loaders &amp; Dumpers</v>
          </cell>
          <cell r="C31">
            <v>-371797.78</v>
          </cell>
          <cell r="D31">
            <v>0</v>
          </cell>
          <cell r="E31">
            <v>53114</v>
          </cell>
          <cell r="F31">
            <v>-53114</v>
          </cell>
          <cell r="G31">
            <v>0</v>
          </cell>
          <cell r="H31">
            <v>-424911.78</v>
          </cell>
        </row>
        <row r="32">
          <cell r="A32">
            <v>26055020</v>
          </cell>
          <cell r="B32" t="str">
            <v>Profit &amp; Loss A/c</v>
          </cell>
          <cell r="C32">
            <v>-896517.5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-896517.5</v>
          </cell>
        </row>
        <row r="33">
          <cell r="A33">
            <v>26055050</v>
          </cell>
          <cell r="B33" t="str">
            <v>Provision for Production linked incentive (KRA)</v>
          </cell>
          <cell r="C33">
            <v>0</v>
          </cell>
          <cell r="D33">
            <v>260000</v>
          </cell>
          <cell r="E33">
            <v>303332</v>
          </cell>
          <cell r="F33">
            <v>-43332</v>
          </cell>
          <cell r="G33">
            <v>0</v>
          </cell>
          <cell r="H33">
            <v>-43332</v>
          </cell>
        </row>
        <row r="34">
          <cell r="A34">
            <v>31010010</v>
          </cell>
          <cell r="B34" t="str">
            <v>Sales</v>
          </cell>
          <cell r="C34">
            <v>0</v>
          </cell>
          <cell r="D34">
            <v>8.5</v>
          </cell>
          <cell r="E34">
            <v>16193111.09</v>
          </cell>
          <cell r="F34">
            <v>-16193102.59</v>
          </cell>
          <cell r="G34">
            <v>0</v>
          </cell>
          <cell r="H34">
            <v>-16193102.59</v>
          </cell>
        </row>
        <row r="35">
          <cell r="A35">
            <v>32020020</v>
          </cell>
          <cell r="B35" t="str">
            <v>Misc Income - Scrap sales</v>
          </cell>
          <cell r="C35">
            <v>0</v>
          </cell>
          <cell r="D35">
            <v>0</v>
          </cell>
          <cell r="E35">
            <v>19200</v>
          </cell>
          <cell r="F35">
            <v>-19200</v>
          </cell>
          <cell r="G35">
            <v>0</v>
          </cell>
          <cell r="H35">
            <v>-19200</v>
          </cell>
        </row>
        <row r="36">
          <cell r="A36">
            <v>41010010</v>
          </cell>
          <cell r="B36" t="str">
            <v>Opening Stock - Cement</v>
          </cell>
          <cell r="C36">
            <v>0</v>
          </cell>
          <cell r="D36">
            <v>565341.52</v>
          </cell>
          <cell r="E36">
            <v>0</v>
          </cell>
          <cell r="F36">
            <v>565341.52</v>
          </cell>
          <cell r="G36">
            <v>0</v>
          </cell>
          <cell r="H36">
            <v>565341.52</v>
          </cell>
        </row>
        <row r="37">
          <cell r="A37">
            <v>41010020</v>
          </cell>
          <cell r="B37" t="str">
            <v>Opening Stock - Sand</v>
          </cell>
          <cell r="C37">
            <v>0</v>
          </cell>
          <cell r="D37">
            <v>137941.32999999999</v>
          </cell>
          <cell r="E37">
            <v>0</v>
          </cell>
          <cell r="F37">
            <v>137941.32999999999</v>
          </cell>
          <cell r="G37">
            <v>0</v>
          </cell>
          <cell r="H37">
            <v>137941.32999999999</v>
          </cell>
        </row>
        <row r="38">
          <cell r="A38">
            <v>41010040</v>
          </cell>
          <cell r="B38" t="str">
            <v>Opening Stock - RMC Aggregates</v>
          </cell>
          <cell r="C38">
            <v>0</v>
          </cell>
          <cell r="D38">
            <v>170445.59</v>
          </cell>
          <cell r="E38">
            <v>0</v>
          </cell>
          <cell r="F38">
            <v>170445.59</v>
          </cell>
          <cell r="G38">
            <v>0</v>
          </cell>
          <cell r="H38">
            <v>170445.59</v>
          </cell>
        </row>
        <row r="39">
          <cell r="A39">
            <v>41010050</v>
          </cell>
          <cell r="B39" t="str">
            <v>Opening Stock - Admixtures</v>
          </cell>
          <cell r="C39">
            <v>0</v>
          </cell>
          <cell r="D39">
            <v>59724.77</v>
          </cell>
          <cell r="E39">
            <v>0</v>
          </cell>
          <cell r="F39">
            <v>59724.77</v>
          </cell>
          <cell r="G39">
            <v>0</v>
          </cell>
          <cell r="H39">
            <v>59724.77</v>
          </cell>
        </row>
        <row r="40">
          <cell r="A40">
            <v>41010070</v>
          </cell>
          <cell r="B40" t="str">
            <v>Opening Stock - Flyash</v>
          </cell>
          <cell r="C40">
            <v>0</v>
          </cell>
          <cell r="D40">
            <v>12555.85</v>
          </cell>
          <cell r="E40">
            <v>0</v>
          </cell>
          <cell r="F40">
            <v>12555.85</v>
          </cell>
          <cell r="G40">
            <v>0</v>
          </cell>
          <cell r="H40">
            <v>12555.85</v>
          </cell>
        </row>
        <row r="41">
          <cell r="A41">
            <v>41010080</v>
          </cell>
          <cell r="B41" t="str">
            <v>Opening Stock - Diesel</v>
          </cell>
          <cell r="C41">
            <v>0</v>
          </cell>
          <cell r="D41">
            <v>56935.9</v>
          </cell>
          <cell r="E41">
            <v>0</v>
          </cell>
          <cell r="F41">
            <v>56935.9</v>
          </cell>
          <cell r="G41">
            <v>0</v>
          </cell>
          <cell r="H41">
            <v>56935.9</v>
          </cell>
        </row>
        <row r="42">
          <cell r="A42">
            <v>41020010</v>
          </cell>
          <cell r="B42" t="str">
            <v>Raw Material Purchase - Cement</v>
          </cell>
          <cell r="C42">
            <v>0</v>
          </cell>
          <cell r="D42">
            <v>6765511.5599999996</v>
          </cell>
          <cell r="E42">
            <v>8259820.8399999999</v>
          </cell>
          <cell r="F42">
            <v>-1494309.28</v>
          </cell>
          <cell r="G42">
            <v>0</v>
          </cell>
          <cell r="H42">
            <v>-1494309.28</v>
          </cell>
        </row>
        <row r="43">
          <cell r="A43">
            <v>41020015</v>
          </cell>
          <cell r="B43" t="str">
            <v>Interim account cement received</v>
          </cell>
          <cell r="C43">
            <v>0</v>
          </cell>
          <cell r="D43">
            <v>7541635.4500000002</v>
          </cell>
          <cell r="E43">
            <v>6073213.25</v>
          </cell>
          <cell r="F43">
            <v>1468422.2</v>
          </cell>
          <cell r="G43">
            <v>0</v>
          </cell>
          <cell r="H43">
            <v>1468422.2</v>
          </cell>
        </row>
        <row r="44">
          <cell r="A44">
            <v>41020020</v>
          </cell>
          <cell r="B44" t="str">
            <v>Cement Consumption account</v>
          </cell>
          <cell r="C44">
            <v>0</v>
          </cell>
          <cell r="D44">
            <v>7307529.0199999996</v>
          </cell>
          <cell r="E44">
            <v>692298.31</v>
          </cell>
          <cell r="F44">
            <v>6615230.71</v>
          </cell>
          <cell r="G44">
            <v>0</v>
          </cell>
          <cell r="H44">
            <v>6615230.71</v>
          </cell>
        </row>
        <row r="45">
          <cell r="A45">
            <v>41020030</v>
          </cell>
          <cell r="B45" t="str">
            <v>Raw Material Purchase - Aggregates</v>
          </cell>
          <cell r="C45">
            <v>0</v>
          </cell>
          <cell r="D45">
            <v>2606109.5099999998</v>
          </cell>
          <cell r="E45">
            <v>2944435.57</v>
          </cell>
          <cell r="F45">
            <v>-338326.06</v>
          </cell>
          <cell r="G45">
            <v>0</v>
          </cell>
          <cell r="H45">
            <v>-338326.06</v>
          </cell>
        </row>
        <row r="46">
          <cell r="A46">
            <v>41020035</v>
          </cell>
          <cell r="B46" t="str">
            <v>Interim account Aggregate received</v>
          </cell>
          <cell r="C46">
            <v>0</v>
          </cell>
          <cell r="D46">
            <v>2665073.14</v>
          </cell>
          <cell r="E46">
            <v>2342990.5699999998</v>
          </cell>
          <cell r="F46">
            <v>322082.57</v>
          </cell>
          <cell r="G46">
            <v>0</v>
          </cell>
          <cell r="H46">
            <v>322082.57</v>
          </cell>
        </row>
        <row r="47">
          <cell r="A47">
            <v>41020040</v>
          </cell>
          <cell r="B47" t="str">
            <v>Aggregate Consumption account</v>
          </cell>
          <cell r="C47">
            <v>0</v>
          </cell>
          <cell r="D47">
            <v>2786523.25</v>
          </cell>
          <cell r="E47">
            <v>254886.35</v>
          </cell>
          <cell r="F47">
            <v>2531636.9</v>
          </cell>
          <cell r="G47">
            <v>0</v>
          </cell>
          <cell r="H47">
            <v>2531636.9</v>
          </cell>
        </row>
        <row r="48">
          <cell r="A48">
            <v>41020050</v>
          </cell>
          <cell r="B48" t="str">
            <v>Raw Material Purchase - Sand</v>
          </cell>
          <cell r="C48">
            <v>0</v>
          </cell>
          <cell r="D48">
            <v>1206986.78</v>
          </cell>
          <cell r="E48">
            <v>1562052.76</v>
          </cell>
          <cell r="F48">
            <v>-355065.98</v>
          </cell>
          <cell r="G48">
            <v>0</v>
          </cell>
          <cell r="H48">
            <v>-355065.98</v>
          </cell>
        </row>
        <row r="49">
          <cell r="A49">
            <v>41020055</v>
          </cell>
          <cell r="B49" t="str">
            <v>Interim account Sand Received</v>
          </cell>
          <cell r="C49">
            <v>0</v>
          </cell>
          <cell r="D49">
            <v>1368977.48</v>
          </cell>
          <cell r="E49">
            <v>1069401.99</v>
          </cell>
          <cell r="F49">
            <v>299575.49</v>
          </cell>
          <cell r="G49">
            <v>0</v>
          </cell>
          <cell r="H49">
            <v>299575.49</v>
          </cell>
        </row>
        <row r="50">
          <cell r="A50">
            <v>41020060</v>
          </cell>
          <cell r="B50" t="str">
            <v>Sand Consumption account</v>
          </cell>
          <cell r="C50">
            <v>0</v>
          </cell>
          <cell r="D50">
            <v>1550332.35</v>
          </cell>
          <cell r="E50">
            <v>137584.79</v>
          </cell>
          <cell r="F50">
            <v>1412747.56</v>
          </cell>
          <cell r="G50">
            <v>0</v>
          </cell>
          <cell r="H50">
            <v>1412747.56</v>
          </cell>
        </row>
        <row r="51">
          <cell r="A51">
            <v>41020070</v>
          </cell>
          <cell r="B51" t="str">
            <v>Raw Material Purchase - Admixture</v>
          </cell>
          <cell r="C51">
            <v>0</v>
          </cell>
          <cell r="D51">
            <v>531705.9</v>
          </cell>
          <cell r="E51">
            <v>430683.57</v>
          </cell>
          <cell r="F51">
            <v>101022.33</v>
          </cell>
          <cell r="G51">
            <v>0</v>
          </cell>
          <cell r="H51">
            <v>101022.33</v>
          </cell>
        </row>
        <row r="52">
          <cell r="A52">
            <v>41020075</v>
          </cell>
          <cell r="B52" t="str">
            <v>Interim account Admixture received</v>
          </cell>
          <cell r="C52">
            <v>0</v>
          </cell>
          <cell r="D52">
            <v>486137.2</v>
          </cell>
          <cell r="E52">
            <v>486137.2</v>
          </cell>
          <cell r="F52">
            <v>0</v>
          </cell>
          <cell r="G52">
            <v>0</v>
          </cell>
          <cell r="H52">
            <v>0</v>
          </cell>
        </row>
        <row r="53">
          <cell r="A53">
            <v>41020080</v>
          </cell>
          <cell r="B53" t="str">
            <v>Admixture Consumption account</v>
          </cell>
          <cell r="C53">
            <v>0</v>
          </cell>
          <cell r="D53">
            <v>429636.28</v>
          </cell>
          <cell r="E53">
            <v>41319.699999999997</v>
          </cell>
          <cell r="F53">
            <v>388316.58</v>
          </cell>
          <cell r="G53">
            <v>0</v>
          </cell>
          <cell r="H53">
            <v>388316.58</v>
          </cell>
        </row>
        <row r="54">
          <cell r="A54">
            <v>41020090</v>
          </cell>
          <cell r="B54" t="str">
            <v>Raw Material  Purchase - Fly Ash</v>
          </cell>
          <cell r="C54">
            <v>0</v>
          </cell>
          <cell r="D54">
            <v>113529.2</v>
          </cell>
          <cell r="E54">
            <v>166621.17000000001</v>
          </cell>
          <cell r="F54">
            <v>-53091.97</v>
          </cell>
          <cell r="G54">
            <v>0</v>
          </cell>
          <cell r="H54">
            <v>-53091.97</v>
          </cell>
        </row>
        <row r="55">
          <cell r="A55">
            <v>41020095</v>
          </cell>
          <cell r="B55" t="str">
            <v>Interim account fly ash received</v>
          </cell>
          <cell r="C55">
            <v>0</v>
          </cell>
          <cell r="D55">
            <v>149419.6</v>
          </cell>
          <cell r="E55">
            <v>100007.4</v>
          </cell>
          <cell r="F55">
            <v>49412.2</v>
          </cell>
          <cell r="G55">
            <v>0</v>
          </cell>
          <cell r="H55">
            <v>49412.2</v>
          </cell>
        </row>
        <row r="56">
          <cell r="A56">
            <v>41020100</v>
          </cell>
          <cell r="B56" t="str">
            <v>Fly Ash Consumption account</v>
          </cell>
          <cell r="C56">
            <v>0</v>
          </cell>
          <cell r="D56">
            <v>164762.38</v>
          </cell>
          <cell r="E56">
            <v>13491.2</v>
          </cell>
          <cell r="F56">
            <v>151271.18</v>
          </cell>
          <cell r="G56">
            <v>0</v>
          </cell>
          <cell r="H56">
            <v>151271.18</v>
          </cell>
        </row>
        <row r="57">
          <cell r="A57">
            <v>41020150</v>
          </cell>
          <cell r="B57" t="str">
            <v>Loss/ gain on Stock</v>
          </cell>
          <cell r="C57">
            <v>0</v>
          </cell>
          <cell r="D57">
            <v>90080.4</v>
          </cell>
          <cell r="E57">
            <v>12512.19</v>
          </cell>
          <cell r="F57">
            <v>77568.210000000006</v>
          </cell>
          <cell r="G57">
            <v>0</v>
          </cell>
          <cell r="H57">
            <v>77568.210000000006</v>
          </cell>
        </row>
        <row r="58">
          <cell r="A58">
            <v>41020195</v>
          </cell>
          <cell r="B58" t="str">
            <v>Purchase of Diesel</v>
          </cell>
          <cell r="C58">
            <v>0</v>
          </cell>
          <cell r="D58">
            <v>480597.04</v>
          </cell>
          <cell r="E58">
            <v>611957.13</v>
          </cell>
          <cell r="F58">
            <v>-131360.09</v>
          </cell>
          <cell r="G58">
            <v>0</v>
          </cell>
          <cell r="H58">
            <v>-131360.09</v>
          </cell>
        </row>
        <row r="59">
          <cell r="A59">
            <v>41020200</v>
          </cell>
          <cell r="B59" t="str">
            <v>Interim account for diesel received</v>
          </cell>
          <cell r="C59">
            <v>0</v>
          </cell>
          <cell r="D59">
            <v>610118.99</v>
          </cell>
          <cell r="E59">
            <v>480597.04</v>
          </cell>
          <cell r="F59">
            <v>129521.95</v>
          </cell>
          <cell r="G59">
            <v>0</v>
          </cell>
          <cell r="H59">
            <v>129521.95</v>
          </cell>
        </row>
        <row r="60">
          <cell r="A60">
            <v>41020205</v>
          </cell>
          <cell r="B60" t="str">
            <v>Diesel Consumption account</v>
          </cell>
          <cell r="C60">
            <v>0</v>
          </cell>
          <cell r="D60">
            <v>611957.13</v>
          </cell>
          <cell r="E60">
            <v>611957</v>
          </cell>
          <cell r="F60">
            <v>0.13</v>
          </cell>
          <cell r="G60">
            <v>0</v>
          </cell>
          <cell r="H60">
            <v>0.13</v>
          </cell>
        </row>
        <row r="61">
          <cell r="A61">
            <v>41050010</v>
          </cell>
          <cell r="B61" t="str">
            <v>Closing Stock - Cement</v>
          </cell>
          <cell r="C61">
            <v>0</v>
          </cell>
          <cell r="D61">
            <v>0</v>
          </cell>
          <cell r="E61">
            <v>539454.43999999994</v>
          </cell>
          <cell r="F61">
            <v>-539454.43999999994</v>
          </cell>
          <cell r="G61">
            <v>0</v>
          </cell>
          <cell r="H61">
            <v>-539454.43999999994</v>
          </cell>
        </row>
        <row r="62">
          <cell r="A62">
            <v>41050020</v>
          </cell>
          <cell r="B62" t="str">
            <v>Closing Stock - Sand</v>
          </cell>
          <cell r="C62">
            <v>0</v>
          </cell>
          <cell r="D62">
            <v>0</v>
          </cell>
          <cell r="E62">
            <v>82450.84</v>
          </cell>
          <cell r="F62">
            <v>-82450.84</v>
          </cell>
          <cell r="G62">
            <v>0</v>
          </cell>
          <cell r="H62">
            <v>-82450.84</v>
          </cell>
        </row>
        <row r="63">
          <cell r="A63">
            <v>41050040</v>
          </cell>
          <cell r="B63" t="str">
            <v>Closing Stock - RMC Aggregates</v>
          </cell>
          <cell r="C63">
            <v>0</v>
          </cell>
          <cell r="D63">
            <v>0</v>
          </cell>
          <cell r="E63">
            <v>154202.1</v>
          </cell>
          <cell r="F63">
            <v>-154202.1</v>
          </cell>
          <cell r="G63">
            <v>0</v>
          </cell>
          <cell r="H63">
            <v>-154202.1</v>
          </cell>
        </row>
        <row r="64">
          <cell r="A64">
            <v>41050050</v>
          </cell>
          <cell r="B64" t="str">
            <v>Closing Stock - Admixtures</v>
          </cell>
          <cell r="C64">
            <v>0</v>
          </cell>
          <cell r="D64">
            <v>0</v>
          </cell>
          <cell r="E64">
            <v>160747.1</v>
          </cell>
          <cell r="F64">
            <v>-160747.1</v>
          </cell>
          <cell r="G64">
            <v>0</v>
          </cell>
          <cell r="H64">
            <v>-160747.1</v>
          </cell>
        </row>
        <row r="65">
          <cell r="A65">
            <v>41050070</v>
          </cell>
          <cell r="B65" t="str">
            <v>Closing Stock - Flyash</v>
          </cell>
          <cell r="C65">
            <v>0</v>
          </cell>
          <cell r="D65">
            <v>0</v>
          </cell>
          <cell r="E65">
            <v>8876.08</v>
          </cell>
          <cell r="F65">
            <v>-8876.08</v>
          </cell>
          <cell r="G65">
            <v>0</v>
          </cell>
          <cell r="H65">
            <v>-8876.08</v>
          </cell>
        </row>
        <row r="66">
          <cell r="A66">
            <v>41050080</v>
          </cell>
          <cell r="B66" t="str">
            <v>Closing Stock - Diesel</v>
          </cell>
          <cell r="C66">
            <v>0</v>
          </cell>
          <cell r="D66">
            <v>0</v>
          </cell>
          <cell r="E66">
            <v>55097.760000000002</v>
          </cell>
          <cell r="F66">
            <v>-55097.760000000002</v>
          </cell>
          <cell r="G66">
            <v>0</v>
          </cell>
          <cell r="H66">
            <v>-55097.760000000002</v>
          </cell>
        </row>
        <row r="67">
          <cell r="A67">
            <v>42010010</v>
          </cell>
          <cell r="B67" t="str">
            <v>Salary - Basic</v>
          </cell>
          <cell r="C67">
            <v>0</v>
          </cell>
          <cell r="D67">
            <v>395800</v>
          </cell>
          <cell r="E67">
            <v>197900</v>
          </cell>
          <cell r="F67">
            <v>197900</v>
          </cell>
          <cell r="G67">
            <v>0</v>
          </cell>
          <cell r="H67">
            <v>197900</v>
          </cell>
        </row>
        <row r="68">
          <cell r="A68">
            <v>42010020</v>
          </cell>
          <cell r="B68" t="str">
            <v>House Rent Allowance</v>
          </cell>
          <cell r="C68">
            <v>0</v>
          </cell>
          <cell r="D68">
            <v>195260</v>
          </cell>
          <cell r="E68">
            <v>97630</v>
          </cell>
          <cell r="F68">
            <v>97630</v>
          </cell>
          <cell r="G68">
            <v>0</v>
          </cell>
          <cell r="H68">
            <v>97630</v>
          </cell>
        </row>
        <row r="69">
          <cell r="A69">
            <v>42010030</v>
          </cell>
          <cell r="B69" t="str">
            <v>Education Allowance</v>
          </cell>
          <cell r="C69">
            <v>0</v>
          </cell>
          <cell r="D69">
            <v>36000</v>
          </cell>
          <cell r="E69">
            <v>18000</v>
          </cell>
          <cell r="F69">
            <v>18000</v>
          </cell>
          <cell r="G69">
            <v>0</v>
          </cell>
          <cell r="H69">
            <v>18000</v>
          </cell>
        </row>
        <row r="70">
          <cell r="A70">
            <v>42010040</v>
          </cell>
          <cell r="B70" t="str">
            <v>Special Allowance</v>
          </cell>
          <cell r="C70">
            <v>0</v>
          </cell>
          <cell r="D70">
            <v>63232</v>
          </cell>
          <cell r="E70">
            <v>34180</v>
          </cell>
          <cell r="F70">
            <v>29052</v>
          </cell>
          <cell r="G70">
            <v>0</v>
          </cell>
          <cell r="H70">
            <v>29052</v>
          </cell>
        </row>
        <row r="71">
          <cell r="A71">
            <v>42010050</v>
          </cell>
          <cell r="B71" t="str">
            <v>Medical Expense Reimbursement</v>
          </cell>
          <cell r="C71">
            <v>0</v>
          </cell>
          <cell r="D71">
            <v>45180</v>
          </cell>
          <cell r="E71">
            <v>22590</v>
          </cell>
          <cell r="F71">
            <v>22590</v>
          </cell>
          <cell r="G71">
            <v>0</v>
          </cell>
          <cell r="H71">
            <v>22590</v>
          </cell>
        </row>
        <row r="72">
          <cell r="A72">
            <v>42010070</v>
          </cell>
          <cell r="B72" t="str">
            <v>Leave Encashment</v>
          </cell>
          <cell r="C72">
            <v>0</v>
          </cell>
          <cell r="D72">
            <v>20000</v>
          </cell>
          <cell r="E72">
            <v>0</v>
          </cell>
          <cell r="F72">
            <v>20000</v>
          </cell>
          <cell r="G72">
            <v>0</v>
          </cell>
          <cell r="H72">
            <v>20000</v>
          </cell>
        </row>
        <row r="73">
          <cell r="A73">
            <v>42010100</v>
          </cell>
          <cell r="B73" t="str">
            <v>Transport Allowance</v>
          </cell>
          <cell r="C73">
            <v>0</v>
          </cell>
          <cell r="D73">
            <v>69600</v>
          </cell>
          <cell r="E73">
            <v>34800</v>
          </cell>
          <cell r="F73">
            <v>34800</v>
          </cell>
          <cell r="G73">
            <v>0</v>
          </cell>
          <cell r="H73">
            <v>34800</v>
          </cell>
        </row>
        <row r="74">
          <cell r="A74">
            <v>42010130</v>
          </cell>
          <cell r="B74" t="str">
            <v>Production Linked Incentive</v>
          </cell>
          <cell r="C74">
            <v>0</v>
          </cell>
          <cell r="D74">
            <v>303332</v>
          </cell>
          <cell r="E74">
            <v>260000</v>
          </cell>
          <cell r="F74">
            <v>43332</v>
          </cell>
          <cell r="G74">
            <v>0</v>
          </cell>
          <cell r="H74">
            <v>43332</v>
          </cell>
        </row>
        <row r="75">
          <cell r="A75">
            <v>42010220</v>
          </cell>
          <cell r="B75" t="str">
            <v>Adhoc Allowance</v>
          </cell>
          <cell r="C75">
            <v>0</v>
          </cell>
          <cell r="D75">
            <v>7300</v>
          </cell>
          <cell r="E75">
            <v>3650</v>
          </cell>
          <cell r="F75">
            <v>3650</v>
          </cell>
          <cell r="G75">
            <v>0</v>
          </cell>
          <cell r="H75">
            <v>3650</v>
          </cell>
        </row>
        <row r="76">
          <cell r="A76">
            <v>42020010</v>
          </cell>
          <cell r="B76" t="str">
            <v>Provident Funds - Employer's Conribution</v>
          </cell>
          <cell r="C76">
            <v>0</v>
          </cell>
          <cell r="D76">
            <v>23828</v>
          </cell>
          <cell r="E76">
            <v>11914</v>
          </cell>
          <cell r="F76">
            <v>11914</v>
          </cell>
          <cell r="G76">
            <v>0</v>
          </cell>
          <cell r="H76">
            <v>11914</v>
          </cell>
        </row>
        <row r="77">
          <cell r="A77">
            <v>42020020</v>
          </cell>
          <cell r="B77" t="str">
            <v>Pension Fund - Employer's Contribution</v>
          </cell>
          <cell r="C77">
            <v>0</v>
          </cell>
          <cell r="D77">
            <v>23668</v>
          </cell>
          <cell r="E77">
            <v>11834</v>
          </cell>
          <cell r="F77">
            <v>11834</v>
          </cell>
          <cell r="G77">
            <v>0</v>
          </cell>
          <cell r="H77">
            <v>11834</v>
          </cell>
        </row>
        <row r="78">
          <cell r="A78">
            <v>42020070</v>
          </cell>
          <cell r="B78" t="str">
            <v>E.S.I.S. - Employer's Contribution</v>
          </cell>
          <cell r="C78">
            <v>0</v>
          </cell>
          <cell r="D78">
            <v>4629</v>
          </cell>
          <cell r="E78">
            <v>0</v>
          </cell>
          <cell r="F78">
            <v>4629</v>
          </cell>
          <cell r="G78">
            <v>0</v>
          </cell>
          <cell r="H78">
            <v>4629</v>
          </cell>
        </row>
        <row r="79">
          <cell r="A79">
            <v>42030010</v>
          </cell>
          <cell r="B79" t="str">
            <v>Purchases of Safety &amp; Welfare Items - FBT</v>
          </cell>
          <cell r="C79">
            <v>0</v>
          </cell>
          <cell r="D79">
            <v>4000</v>
          </cell>
          <cell r="E79">
            <v>2000</v>
          </cell>
          <cell r="F79">
            <v>2000</v>
          </cell>
          <cell r="G79">
            <v>0</v>
          </cell>
          <cell r="H79">
            <v>2000</v>
          </cell>
        </row>
        <row r="80">
          <cell r="A80">
            <v>42030020</v>
          </cell>
          <cell r="B80" t="str">
            <v>Purchases of Safety &amp; Welfare Items</v>
          </cell>
          <cell r="C80">
            <v>0</v>
          </cell>
          <cell r="D80">
            <v>19071</v>
          </cell>
          <cell r="E80">
            <v>2000</v>
          </cell>
          <cell r="F80">
            <v>17071</v>
          </cell>
          <cell r="G80">
            <v>0</v>
          </cell>
          <cell r="H80">
            <v>17071</v>
          </cell>
        </row>
        <row r="81">
          <cell r="A81">
            <v>42030040</v>
          </cell>
          <cell r="B81" t="str">
            <v>Staff Welfare Expenses - FBT</v>
          </cell>
          <cell r="C81">
            <v>0</v>
          </cell>
          <cell r="D81">
            <v>25430</v>
          </cell>
          <cell r="E81">
            <v>7160</v>
          </cell>
          <cell r="F81">
            <v>18270</v>
          </cell>
          <cell r="G81">
            <v>0</v>
          </cell>
          <cell r="H81">
            <v>18270</v>
          </cell>
        </row>
        <row r="82">
          <cell r="A82">
            <v>42030060</v>
          </cell>
          <cell r="B82" t="str">
            <v>Food &amp; Beverage Exps - FBT</v>
          </cell>
          <cell r="C82">
            <v>0</v>
          </cell>
          <cell r="D82">
            <v>2272</v>
          </cell>
          <cell r="E82">
            <v>0</v>
          </cell>
          <cell r="F82">
            <v>2272</v>
          </cell>
          <cell r="G82">
            <v>0</v>
          </cell>
          <cell r="H82">
            <v>2272</v>
          </cell>
        </row>
        <row r="83">
          <cell r="A83">
            <v>43001010</v>
          </cell>
          <cell r="B83" t="str">
            <v>Electricity Charges</v>
          </cell>
          <cell r="C83">
            <v>0</v>
          </cell>
          <cell r="D83">
            <v>199520</v>
          </cell>
          <cell r="E83">
            <v>82060</v>
          </cell>
          <cell r="F83">
            <v>117460</v>
          </cell>
          <cell r="G83">
            <v>0</v>
          </cell>
          <cell r="H83">
            <v>117460</v>
          </cell>
        </row>
        <row r="84">
          <cell r="A84">
            <v>43001020</v>
          </cell>
          <cell r="B84" t="str">
            <v>Water Charges</v>
          </cell>
          <cell r="C84">
            <v>0</v>
          </cell>
          <cell r="D84">
            <v>153188</v>
          </cell>
          <cell r="E84">
            <v>71980</v>
          </cell>
          <cell r="F84">
            <v>81208</v>
          </cell>
          <cell r="G84">
            <v>0</v>
          </cell>
          <cell r="H84">
            <v>81208</v>
          </cell>
        </row>
        <row r="85">
          <cell r="A85">
            <v>43001030</v>
          </cell>
          <cell r="B85" t="str">
            <v>Fuel For Diesel Generator Set</v>
          </cell>
          <cell r="C85">
            <v>0</v>
          </cell>
          <cell r="D85">
            <v>28414</v>
          </cell>
          <cell r="E85">
            <v>0</v>
          </cell>
          <cell r="F85">
            <v>28414</v>
          </cell>
          <cell r="G85">
            <v>0</v>
          </cell>
          <cell r="H85">
            <v>28414</v>
          </cell>
        </row>
        <row r="86">
          <cell r="A86">
            <v>43012020</v>
          </cell>
          <cell r="B86" t="str">
            <v>Labour / sub contractor for - Pumping Expenses Incurred</v>
          </cell>
          <cell r="C86">
            <v>0</v>
          </cell>
          <cell r="D86">
            <v>338850</v>
          </cell>
          <cell r="E86">
            <v>105200</v>
          </cell>
          <cell r="F86">
            <v>233650</v>
          </cell>
          <cell r="G86">
            <v>0</v>
          </cell>
          <cell r="H86">
            <v>233650</v>
          </cell>
        </row>
        <row r="87">
          <cell r="A87">
            <v>43014010</v>
          </cell>
          <cell r="B87" t="str">
            <v>Octroi Charges</v>
          </cell>
          <cell r="C87">
            <v>0</v>
          </cell>
          <cell r="D87">
            <v>269600</v>
          </cell>
          <cell r="E87">
            <v>60000</v>
          </cell>
          <cell r="F87">
            <v>209600</v>
          </cell>
          <cell r="G87">
            <v>0</v>
          </cell>
          <cell r="H87">
            <v>209600</v>
          </cell>
        </row>
        <row r="88">
          <cell r="A88">
            <v>43018010</v>
          </cell>
          <cell r="B88" t="str">
            <v>Repairs &amp; Maintenance</v>
          </cell>
          <cell r="C88">
            <v>0</v>
          </cell>
          <cell r="D88">
            <v>321759.39</v>
          </cell>
          <cell r="E88">
            <v>14378.01</v>
          </cell>
          <cell r="F88">
            <v>307381.38</v>
          </cell>
          <cell r="G88">
            <v>0</v>
          </cell>
          <cell r="H88">
            <v>307381.38</v>
          </cell>
        </row>
        <row r="89">
          <cell r="A89">
            <v>43018020</v>
          </cell>
          <cell r="B89" t="str">
            <v>Oil &amp; Grease</v>
          </cell>
          <cell r="C89">
            <v>0</v>
          </cell>
          <cell r="D89">
            <v>83197</v>
          </cell>
          <cell r="E89">
            <v>29216</v>
          </cell>
          <cell r="F89">
            <v>53981</v>
          </cell>
          <cell r="G89">
            <v>0</v>
          </cell>
          <cell r="H89">
            <v>53981</v>
          </cell>
        </row>
        <row r="90">
          <cell r="A90">
            <v>43020030</v>
          </cell>
          <cell r="B90" t="str">
            <v>Tyres</v>
          </cell>
          <cell r="C90">
            <v>0</v>
          </cell>
          <cell r="D90">
            <v>106576.96000000001</v>
          </cell>
          <cell r="E90">
            <v>24795</v>
          </cell>
          <cell r="F90">
            <v>81781.960000000006</v>
          </cell>
          <cell r="G90">
            <v>0</v>
          </cell>
          <cell r="H90">
            <v>81781.960000000006</v>
          </cell>
        </row>
        <row r="91">
          <cell r="A91">
            <v>43022010</v>
          </cell>
          <cell r="B91" t="str">
            <v>Plant / Office Up Keep Exps</v>
          </cell>
          <cell r="C91">
            <v>0</v>
          </cell>
          <cell r="D91">
            <v>365071</v>
          </cell>
          <cell r="E91">
            <v>183000</v>
          </cell>
          <cell r="F91">
            <v>182071</v>
          </cell>
          <cell r="G91">
            <v>0</v>
          </cell>
          <cell r="H91">
            <v>182071</v>
          </cell>
        </row>
        <row r="92">
          <cell r="A92">
            <v>43030010</v>
          </cell>
          <cell r="B92" t="str">
            <v>Transportation Exps-Labour</v>
          </cell>
          <cell r="C92">
            <v>0</v>
          </cell>
          <cell r="D92">
            <v>130735</v>
          </cell>
          <cell r="E92">
            <v>0</v>
          </cell>
          <cell r="F92">
            <v>130735</v>
          </cell>
          <cell r="G92">
            <v>0</v>
          </cell>
          <cell r="H92">
            <v>130735</v>
          </cell>
        </row>
        <row r="93">
          <cell r="A93">
            <v>43032010</v>
          </cell>
          <cell r="B93" t="str">
            <v>Rent - Plant</v>
          </cell>
          <cell r="C93">
            <v>0</v>
          </cell>
          <cell r="D93">
            <v>312702</v>
          </cell>
          <cell r="E93">
            <v>104234</v>
          </cell>
          <cell r="F93">
            <v>208468</v>
          </cell>
          <cell r="G93">
            <v>0</v>
          </cell>
          <cell r="H93">
            <v>208468</v>
          </cell>
        </row>
        <row r="94">
          <cell r="A94">
            <v>43032040</v>
          </cell>
          <cell r="B94" t="str">
            <v>Lease Rentals- Machinery</v>
          </cell>
          <cell r="C94">
            <v>0</v>
          </cell>
          <cell r="D94">
            <v>551271.5</v>
          </cell>
          <cell r="E94">
            <v>0</v>
          </cell>
          <cell r="F94">
            <v>551271.5</v>
          </cell>
          <cell r="G94">
            <v>0</v>
          </cell>
          <cell r="H94">
            <v>551271.5</v>
          </cell>
        </row>
        <row r="95">
          <cell r="A95">
            <v>43032045</v>
          </cell>
          <cell r="B95" t="str">
            <v>Towing Expenses</v>
          </cell>
          <cell r="C95">
            <v>0</v>
          </cell>
          <cell r="D95">
            <v>99901</v>
          </cell>
          <cell r="E95">
            <v>34000</v>
          </cell>
          <cell r="F95">
            <v>65901</v>
          </cell>
          <cell r="G95">
            <v>0</v>
          </cell>
          <cell r="H95">
            <v>65901</v>
          </cell>
        </row>
        <row r="96">
          <cell r="A96">
            <v>43036010</v>
          </cell>
          <cell r="B96" t="str">
            <v>Insurance Expenses</v>
          </cell>
          <cell r="C96">
            <v>0</v>
          </cell>
          <cell r="D96">
            <v>15222</v>
          </cell>
          <cell r="E96">
            <v>104</v>
          </cell>
          <cell r="F96">
            <v>15118</v>
          </cell>
          <cell r="G96">
            <v>0</v>
          </cell>
          <cell r="H96">
            <v>15118</v>
          </cell>
        </row>
        <row r="97">
          <cell r="A97">
            <v>43038010</v>
          </cell>
          <cell r="B97" t="str">
            <v>Postage Expenses</v>
          </cell>
          <cell r="C97">
            <v>0</v>
          </cell>
          <cell r="D97">
            <v>36</v>
          </cell>
          <cell r="E97">
            <v>0</v>
          </cell>
          <cell r="F97">
            <v>36</v>
          </cell>
          <cell r="G97">
            <v>0</v>
          </cell>
          <cell r="H97">
            <v>36</v>
          </cell>
        </row>
        <row r="98">
          <cell r="A98">
            <v>43038020</v>
          </cell>
          <cell r="B98" t="str">
            <v>Courier Expenses</v>
          </cell>
          <cell r="C98">
            <v>0</v>
          </cell>
          <cell r="D98">
            <v>9438</v>
          </cell>
          <cell r="E98">
            <v>3260</v>
          </cell>
          <cell r="F98">
            <v>6178</v>
          </cell>
          <cell r="G98">
            <v>0</v>
          </cell>
          <cell r="H98">
            <v>6178</v>
          </cell>
        </row>
        <row r="99">
          <cell r="A99">
            <v>43038050</v>
          </cell>
          <cell r="B99" t="str">
            <v>Telephone Chgs - Mobile  FBT</v>
          </cell>
          <cell r="C99">
            <v>0</v>
          </cell>
          <cell r="D99">
            <v>92739</v>
          </cell>
          <cell r="E99">
            <v>62399</v>
          </cell>
          <cell r="F99">
            <v>30340</v>
          </cell>
          <cell r="G99">
            <v>0</v>
          </cell>
          <cell r="H99">
            <v>30340</v>
          </cell>
        </row>
        <row r="100">
          <cell r="A100">
            <v>43040010</v>
          </cell>
          <cell r="B100" t="str">
            <v>Conveyance Expenses - FBT</v>
          </cell>
          <cell r="C100">
            <v>0</v>
          </cell>
          <cell r="D100">
            <v>90399</v>
          </cell>
          <cell r="E100">
            <v>32012</v>
          </cell>
          <cell r="F100">
            <v>58387</v>
          </cell>
          <cell r="G100">
            <v>0</v>
          </cell>
          <cell r="H100">
            <v>58387</v>
          </cell>
        </row>
        <row r="101">
          <cell r="A101">
            <v>43040040</v>
          </cell>
          <cell r="B101" t="str">
            <v>Motor Car Hire Expenses</v>
          </cell>
          <cell r="C101">
            <v>0</v>
          </cell>
          <cell r="D101">
            <v>72894</v>
          </cell>
          <cell r="E101">
            <v>48</v>
          </cell>
          <cell r="F101">
            <v>72846</v>
          </cell>
          <cell r="G101">
            <v>0</v>
          </cell>
          <cell r="H101">
            <v>72846</v>
          </cell>
        </row>
        <row r="102">
          <cell r="A102">
            <v>43040080</v>
          </cell>
          <cell r="B102" t="str">
            <v>Travelling Expenses - Domestic - FBT</v>
          </cell>
          <cell r="C102">
            <v>0</v>
          </cell>
          <cell r="D102">
            <v>3330</v>
          </cell>
          <cell r="E102">
            <v>0</v>
          </cell>
          <cell r="F102">
            <v>3330</v>
          </cell>
          <cell r="G102">
            <v>0</v>
          </cell>
          <cell r="H102">
            <v>3330</v>
          </cell>
        </row>
        <row r="103">
          <cell r="A103">
            <v>43040100</v>
          </cell>
          <cell r="B103" t="str">
            <v>Hotel Expenses  - FBT</v>
          </cell>
          <cell r="C103">
            <v>0</v>
          </cell>
          <cell r="D103">
            <v>3233</v>
          </cell>
          <cell r="E103">
            <v>0</v>
          </cell>
          <cell r="F103">
            <v>3233</v>
          </cell>
          <cell r="G103">
            <v>0</v>
          </cell>
          <cell r="H103">
            <v>3233</v>
          </cell>
        </row>
        <row r="104">
          <cell r="A104">
            <v>43042010</v>
          </cell>
          <cell r="B104" t="str">
            <v>Fuel - Truck Mixers</v>
          </cell>
          <cell r="C104">
            <v>0</v>
          </cell>
          <cell r="D104">
            <v>238189</v>
          </cell>
          <cell r="E104">
            <v>0</v>
          </cell>
          <cell r="F104">
            <v>238189</v>
          </cell>
          <cell r="G104">
            <v>0</v>
          </cell>
          <cell r="H104">
            <v>238189</v>
          </cell>
        </row>
        <row r="105">
          <cell r="A105">
            <v>43042020</v>
          </cell>
          <cell r="B105" t="str">
            <v>Fuel - Loader</v>
          </cell>
          <cell r="C105">
            <v>0</v>
          </cell>
          <cell r="D105">
            <v>30127</v>
          </cell>
          <cell r="E105">
            <v>0</v>
          </cell>
          <cell r="F105">
            <v>30127</v>
          </cell>
          <cell r="G105">
            <v>0</v>
          </cell>
          <cell r="H105">
            <v>30127</v>
          </cell>
        </row>
        <row r="106">
          <cell r="A106">
            <v>43042050</v>
          </cell>
          <cell r="B106" t="str">
            <v>Fuel -  External Trucks/Pumps</v>
          </cell>
          <cell r="C106">
            <v>0</v>
          </cell>
          <cell r="D106">
            <v>226547</v>
          </cell>
          <cell r="E106">
            <v>0</v>
          </cell>
          <cell r="F106">
            <v>226547</v>
          </cell>
          <cell r="G106">
            <v>0</v>
          </cell>
          <cell r="H106">
            <v>226547</v>
          </cell>
        </row>
        <row r="107">
          <cell r="A107">
            <v>43042060</v>
          </cell>
          <cell r="B107" t="str">
            <v>Fuel - Concrete Pumps</v>
          </cell>
          <cell r="C107">
            <v>0</v>
          </cell>
          <cell r="D107">
            <v>88680</v>
          </cell>
          <cell r="E107">
            <v>0</v>
          </cell>
          <cell r="F107">
            <v>88680</v>
          </cell>
          <cell r="G107">
            <v>0</v>
          </cell>
          <cell r="H107">
            <v>88680</v>
          </cell>
        </row>
        <row r="108">
          <cell r="A108">
            <v>43046010</v>
          </cell>
          <cell r="B108" t="str">
            <v>Rates &amp; Taxes</v>
          </cell>
          <cell r="C108">
            <v>0</v>
          </cell>
          <cell r="D108">
            <v>16500</v>
          </cell>
          <cell r="E108">
            <v>0</v>
          </cell>
          <cell r="F108">
            <v>16500</v>
          </cell>
          <cell r="G108">
            <v>0</v>
          </cell>
          <cell r="H108">
            <v>16500</v>
          </cell>
        </row>
        <row r="109">
          <cell r="A109">
            <v>43046020</v>
          </cell>
          <cell r="B109" t="str">
            <v>Toll Charges- Truck Mixer</v>
          </cell>
          <cell r="C109">
            <v>0</v>
          </cell>
          <cell r="D109">
            <v>25070</v>
          </cell>
          <cell r="E109">
            <v>4205</v>
          </cell>
          <cell r="F109">
            <v>20865</v>
          </cell>
          <cell r="G109">
            <v>0</v>
          </cell>
          <cell r="H109">
            <v>20865</v>
          </cell>
        </row>
        <row r="110">
          <cell r="A110">
            <v>43052010</v>
          </cell>
          <cell r="B110" t="str">
            <v>Security Service Charges</v>
          </cell>
          <cell r="C110">
            <v>0</v>
          </cell>
          <cell r="D110">
            <v>73458</v>
          </cell>
          <cell r="E110">
            <v>0</v>
          </cell>
          <cell r="F110">
            <v>73458</v>
          </cell>
          <cell r="G110">
            <v>0</v>
          </cell>
          <cell r="H110">
            <v>73458</v>
          </cell>
        </row>
        <row r="111">
          <cell r="A111">
            <v>43054020</v>
          </cell>
          <cell r="B111" t="str">
            <v>Concrete Carrying Charges - TM</v>
          </cell>
          <cell r="C111">
            <v>0</v>
          </cell>
          <cell r="D111">
            <v>861400</v>
          </cell>
          <cell r="E111">
            <v>310500</v>
          </cell>
          <cell r="F111">
            <v>550900</v>
          </cell>
          <cell r="G111">
            <v>0</v>
          </cell>
          <cell r="H111">
            <v>550900</v>
          </cell>
        </row>
        <row r="112">
          <cell r="A112">
            <v>43054040</v>
          </cell>
          <cell r="B112" t="str">
            <v>Hire Charges - Vehicle</v>
          </cell>
          <cell r="C112">
            <v>0</v>
          </cell>
          <cell r="D112">
            <v>81600</v>
          </cell>
          <cell r="E112">
            <v>81600</v>
          </cell>
          <cell r="F112">
            <v>0</v>
          </cell>
          <cell r="G112">
            <v>0</v>
          </cell>
          <cell r="H112">
            <v>0</v>
          </cell>
        </row>
        <row r="113">
          <cell r="A113">
            <v>43056010</v>
          </cell>
          <cell r="B113" t="str">
            <v>Professional &amp; Consultancy Fees</v>
          </cell>
          <cell r="C113">
            <v>0</v>
          </cell>
          <cell r="D113">
            <v>78420</v>
          </cell>
          <cell r="E113">
            <v>32710</v>
          </cell>
          <cell r="F113">
            <v>45710</v>
          </cell>
          <cell r="G113">
            <v>0</v>
          </cell>
          <cell r="H113">
            <v>45710</v>
          </cell>
        </row>
        <row r="114">
          <cell r="A114">
            <v>43062010</v>
          </cell>
          <cell r="B114" t="str">
            <v>Computer Expenses</v>
          </cell>
          <cell r="C114">
            <v>0</v>
          </cell>
          <cell r="D114">
            <v>6050</v>
          </cell>
          <cell r="E114">
            <v>2700</v>
          </cell>
          <cell r="F114">
            <v>3350</v>
          </cell>
          <cell r="G114">
            <v>0</v>
          </cell>
          <cell r="H114">
            <v>3350</v>
          </cell>
        </row>
        <row r="115">
          <cell r="A115">
            <v>43066010</v>
          </cell>
          <cell r="B115" t="str">
            <v>Books &amp; Periodicals</v>
          </cell>
          <cell r="C115">
            <v>0</v>
          </cell>
          <cell r="D115">
            <v>474</v>
          </cell>
          <cell r="E115">
            <v>0</v>
          </cell>
          <cell r="F115">
            <v>474</v>
          </cell>
          <cell r="G115">
            <v>0</v>
          </cell>
          <cell r="H115">
            <v>474</v>
          </cell>
        </row>
        <row r="116">
          <cell r="A116">
            <v>43066020</v>
          </cell>
          <cell r="B116" t="str">
            <v>Printing &amp; Stationery</v>
          </cell>
          <cell r="C116">
            <v>0</v>
          </cell>
          <cell r="D116">
            <v>26894</v>
          </cell>
          <cell r="E116">
            <v>9909</v>
          </cell>
          <cell r="F116">
            <v>16985</v>
          </cell>
          <cell r="G116">
            <v>0</v>
          </cell>
          <cell r="H116">
            <v>16985</v>
          </cell>
        </row>
        <row r="117">
          <cell r="A117">
            <v>43070110</v>
          </cell>
          <cell r="B117" t="str">
            <v>Brokerage / Commission</v>
          </cell>
          <cell r="C117">
            <v>0</v>
          </cell>
          <cell r="D117">
            <v>25140</v>
          </cell>
          <cell r="E117">
            <v>6600</v>
          </cell>
          <cell r="F117">
            <v>18540</v>
          </cell>
          <cell r="G117">
            <v>0</v>
          </cell>
          <cell r="H117">
            <v>18540</v>
          </cell>
        </row>
        <row r="118">
          <cell r="A118">
            <v>43074010</v>
          </cell>
          <cell r="B118" t="str">
            <v>Provision For Bad &amp; Doubtful Debts W/Off</v>
          </cell>
          <cell r="C118">
            <v>0</v>
          </cell>
          <cell r="D118">
            <v>158000</v>
          </cell>
          <cell r="E118">
            <v>79000</v>
          </cell>
          <cell r="F118">
            <v>79000</v>
          </cell>
          <cell r="G118">
            <v>0</v>
          </cell>
          <cell r="H118">
            <v>79000</v>
          </cell>
        </row>
        <row r="119">
          <cell r="A119">
            <v>43084020</v>
          </cell>
          <cell r="B119" t="str">
            <v>Testing Charges</v>
          </cell>
          <cell r="C119">
            <v>0</v>
          </cell>
          <cell r="D119">
            <v>662</v>
          </cell>
          <cell r="E119">
            <v>0</v>
          </cell>
          <cell r="F119">
            <v>662</v>
          </cell>
          <cell r="G119">
            <v>0</v>
          </cell>
          <cell r="H119">
            <v>662</v>
          </cell>
        </row>
        <row r="120">
          <cell r="A120">
            <v>43084030</v>
          </cell>
          <cell r="B120" t="str">
            <v>Rounding Off</v>
          </cell>
          <cell r="C120">
            <v>0</v>
          </cell>
          <cell r="D120">
            <v>97.54</v>
          </cell>
          <cell r="E120">
            <v>31.51</v>
          </cell>
          <cell r="F120">
            <v>66.03</v>
          </cell>
          <cell r="G120">
            <v>0</v>
          </cell>
          <cell r="H120">
            <v>66.03</v>
          </cell>
        </row>
        <row r="121">
          <cell r="A121">
            <v>44010040</v>
          </cell>
          <cell r="B121" t="str">
            <v>Bank Charges</v>
          </cell>
          <cell r="C121">
            <v>0</v>
          </cell>
          <cell r="D121">
            <v>1443</v>
          </cell>
          <cell r="E121">
            <v>0</v>
          </cell>
          <cell r="F121">
            <v>1443</v>
          </cell>
          <cell r="G121">
            <v>0</v>
          </cell>
          <cell r="H121">
            <v>1443</v>
          </cell>
        </row>
        <row r="122">
          <cell r="A122">
            <v>44010050</v>
          </cell>
          <cell r="B122" t="str">
            <v>Interest Paid</v>
          </cell>
          <cell r="C122">
            <v>0</v>
          </cell>
          <cell r="D122">
            <v>1</v>
          </cell>
          <cell r="E122">
            <v>0</v>
          </cell>
          <cell r="F122">
            <v>1</v>
          </cell>
          <cell r="G122">
            <v>0</v>
          </cell>
          <cell r="H122">
            <v>1</v>
          </cell>
        </row>
        <row r="123">
          <cell r="A123">
            <v>45010010</v>
          </cell>
          <cell r="B123" t="str">
            <v>Depreciation</v>
          </cell>
          <cell r="C123">
            <v>0</v>
          </cell>
          <cell r="D123">
            <v>508749</v>
          </cell>
          <cell r="E123">
            <v>0</v>
          </cell>
          <cell r="F123">
            <v>508749</v>
          </cell>
          <cell r="G123">
            <v>0</v>
          </cell>
          <cell r="H123">
            <v>508749</v>
          </cell>
        </row>
        <row r="124">
          <cell r="A124">
            <v>52000000</v>
          </cell>
          <cell r="B124" t="str">
            <v>Inter Branch Control Account</v>
          </cell>
          <cell r="C124">
            <v>-28751817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-28751817</v>
          </cell>
        </row>
        <row r="125">
          <cell r="A125">
            <v>52000809</v>
          </cell>
          <cell r="B125" t="str">
            <v>Inter branch control account for 08-09</v>
          </cell>
          <cell r="C125">
            <v>-392049.76</v>
          </cell>
          <cell r="D125">
            <v>5510135.5</v>
          </cell>
          <cell r="E125">
            <v>5964411</v>
          </cell>
          <cell r="F125">
            <v>-454275.5</v>
          </cell>
          <cell r="G125">
            <v>0</v>
          </cell>
          <cell r="H125">
            <v>-846325.26</v>
          </cell>
        </row>
        <row r="126">
          <cell r="A126">
            <v>62000000</v>
          </cell>
          <cell r="B126" t="str">
            <v>Inter branch Clearing account</v>
          </cell>
          <cell r="C126">
            <v>0</v>
          </cell>
          <cell r="D126">
            <v>13894291</v>
          </cell>
          <cell r="E126">
            <v>13894291</v>
          </cell>
          <cell r="F126">
            <v>0</v>
          </cell>
          <cell r="G126">
            <v>0</v>
          </cell>
          <cell r="H126">
            <v>0</v>
          </cell>
        </row>
        <row r="127">
          <cell r="B127" t="str">
            <v>Total</v>
          </cell>
          <cell r="D127">
            <v>0</v>
          </cell>
          <cell r="E127">
            <v>145382514.78</v>
          </cell>
          <cell r="F127">
            <v>145382514.78</v>
          </cell>
          <cell r="G127">
            <v>0</v>
          </cell>
          <cell r="H127">
            <v>0</v>
          </cell>
        </row>
      </sheetData>
      <sheetData sheetId="23" refreshError="1">
        <row r="1">
          <cell r="A1" t="str">
            <v>RMC Readymix (I) Pvt. Ltd.,</v>
          </cell>
          <cell r="B1" t="str">
            <v>Trial balance</v>
          </cell>
          <cell r="C1">
            <v>39970</v>
          </cell>
          <cell r="D1">
            <v>0.44224537037037037</v>
          </cell>
          <cell r="E1" t="str">
            <v>Page 1</v>
          </cell>
          <cell r="F1" t="str">
            <v>Nashik</v>
          </cell>
        </row>
        <row r="2">
          <cell r="A2" t="str">
            <v>Period</v>
          </cell>
          <cell r="B2">
            <v>39904</v>
          </cell>
          <cell r="C2">
            <v>39964</v>
          </cell>
        </row>
        <row r="3">
          <cell r="A3" t="str">
            <v>Ledger account</v>
          </cell>
          <cell r="B3" t="str">
            <v>Account name</v>
          </cell>
          <cell r="C3" t="str">
            <v>Opening balance</v>
          </cell>
          <cell r="D3" t="str">
            <v>Debit</v>
          </cell>
          <cell r="E3" t="str">
            <v>Credit</v>
          </cell>
          <cell r="F3" t="str">
            <v>Net difference</v>
          </cell>
          <cell r="G3" t="str">
            <v>Closing transactions</v>
          </cell>
          <cell r="H3" t="str">
            <v>Closing balance</v>
          </cell>
        </row>
        <row r="4">
          <cell r="A4">
            <v>11010020</v>
          </cell>
          <cell r="B4" t="str">
            <v>Leasehold Land</v>
          </cell>
          <cell r="C4">
            <v>3997780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3997780</v>
          </cell>
        </row>
        <row r="5">
          <cell r="A5">
            <v>11015010</v>
          </cell>
          <cell r="B5" t="str">
            <v>Buildings</v>
          </cell>
          <cell r="C5">
            <v>8811091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8811091</v>
          </cell>
        </row>
        <row r="6">
          <cell r="A6">
            <v>11025010</v>
          </cell>
          <cell r="B6" t="str">
            <v>Plant and Machinery</v>
          </cell>
          <cell r="C6">
            <v>20078926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20078926</v>
          </cell>
        </row>
        <row r="7">
          <cell r="A7">
            <v>11030010</v>
          </cell>
          <cell r="B7" t="str">
            <v>Electrical Installations</v>
          </cell>
          <cell r="C7">
            <v>2880185.5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2880185.5</v>
          </cell>
        </row>
        <row r="8">
          <cell r="A8">
            <v>11035010</v>
          </cell>
          <cell r="B8" t="str">
            <v>Furniture &amp; Fixtures</v>
          </cell>
          <cell r="C8">
            <v>982884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982884</v>
          </cell>
        </row>
        <row r="9">
          <cell r="A9">
            <v>11040010</v>
          </cell>
          <cell r="B9" t="str">
            <v>Office &amp; Electrical Appliances</v>
          </cell>
          <cell r="C9">
            <v>682246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682246</v>
          </cell>
        </row>
        <row r="10">
          <cell r="A10">
            <v>11045010</v>
          </cell>
          <cell r="B10" t="str">
            <v>Truck Mixers, Loaders &amp; Truck Dumpers</v>
          </cell>
          <cell r="C10">
            <v>13239343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13239343</v>
          </cell>
        </row>
        <row r="11">
          <cell r="A11">
            <v>13015010</v>
          </cell>
          <cell r="B11" t="str">
            <v>Balance Sheet Stock of Raw material - RMC</v>
          </cell>
          <cell r="C11">
            <v>565090.67000000004</v>
          </cell>
          <cell r="D11">
            <v>2810560.26</v>
          </cell>
          <cell r="E11">
            <v>565090.67000000004</v>
          </cell>
          <cell r="F11">
            <v>2245469.59</v>
          </cell>
          <cell r="G11">
            <v>0</v>
          </cell>
          <cell r="H11">
            <v>2810560.26</v>
          </cell>
        </row>
        <row r="12">
          <cell r="A12">
            <v>13020010</v>
          </cell>
          <cell r="B12" t="str">
            <v>Sundry Debtors Account</v>
          </cell>
          <cell r="C12">
            <v>8571631.6600000001</v>
          </cell>
          <cell r="D12">
            <v>12207519.27</v>
          </cell>
          <cell r="E12">
            <v>15001916.619999999</v>
          </cell>
          <cell r="F12">
            <v>-2794397.35</v>
          </cell>
          <cell r="G12">
            <v>0</v>
          </cell>
          <cell r="H12">
            <v>5777234.3099999996</v>
          </cell>
        </row>
        <row r="13">
          <cell r="A13">
            <v>13025010</v>
          </cell>
          <cell r="B13" t="str">
            <v>Cash In Hand</v>
          </cell>
          <cell r="C13">
            <v>6044</v>
          </cell>
          <cell r="D13">
            <v>58100</v>
          </cell>
          <cell r="E13">
            <v>42717</v>
          </cell>
          <cell r="F13">
            <v>15383</v>
          </cell>
          <cell r="G13">
            <v>0</v>
          </cell>
          <cell r="H13">
            <v>21427</v>
          </cell>
        </row>
        <row r="14">
          <cell r="A14">
            <v>13035010</v>
          </cell>
          <cell r="B14" t="str">
            <v>Bank Account</v>
          </cell>
          <cell r="C14">
            <v>65014.59</v>
          </cell>
          <cell r="D14">
            <v>16601994.66</v>
          </cell>
          <cell r="E14">
            <v>17346082</v>
          </cell>
          <cell r="F14">
            <v>-744087.34</v>
          </cell>
          <cell r="G14">
            <v>0</v>
          </cell>
          <cell r="H14">
            <v>-679072.75</v>
          </cell>
        </row>
        <row r="15">
          <cell r="A15">
            <v>13040030</v>
          </cell>
          <cell r="B15" t="str">
            <v>Cheques in Hand collected from parties as on 31.03</v>
          </cell>
          <cell r="C15">
            <v>468283</v>
          </cell>
          <cell r="D15">
            <v>0</v>
          </cell>
          <cell r="E15">
            <v>468283</v>
          </cell>
          <cell r="F15">
            <v>-468283</v>
          </cell>
          <cell r="G15">
            <v>0</v>
          </cell>
          <cell r="H15">
            <v>0</v>
          </cell>
        </row>
        <row r="16">
          <cell r="A16">
            <v>13045020</v>
          </cell>
          <cell r="B16" t="str">
            <v>Loans and advances to employees</v>
          </cell>
          <cell r="C16">
            <v>-18544</v>
          </cell>
          <cell r="D16">
            <v>21544</v>
          </cell>
          <cell r="E16">
            <v>2390</v>
          </cell>
          <cell r="F16">
            <v>19154</v>
          </cell>
          <cell r="G16">
            <v>0</v>
          </cell>
          <cell r="H16">
            <v>610</v>
          </cell>
        </row>
        <row r="17">
          <cell r="A17">
            <v>13055020</v>
          </cell>
          <cell r="B17" t="str">
            <v>Prepaid Expenses</v>
          </cell>
          <cell r="C17">
            <v>1115122</v>
          </cell>
          <cell r="D17">
            <v>48720</v>
          </cell>
          <cell r="E17">
            <v>93248</v>
          </cell>
          <cell r="F17">
            <v>-44528</v>
          </cell>
          <cell r="G17">
            <v>0</v>
          </cell>
          <cell r="H17">
            <v>1070594</v>
          </cell>
        </row>
        <row r="18">
          <cell r="A18">
            <v>13055060</v>
          </cell>
          <cell r="B18" t="str">
            <v>VAT Credit Receivable (Inputs)</v>
          </cell>
          <cell r="C18">
            <v>1077832</v>
          </cell>
          <cell r="D18">
            <v>962493</v>
          </cell>
          <cell r="E18">
            <v>1501219</v>
          </cell>
          <cell r="F18">
            <v>-538726</v>
          </cell>
          <cell r="G18">
            <v>0</v>
          </cell>
          <cell r="H18">
            <v>539106</v>
          </cell>
        </row>
        <row r="19">
          <cell r="A19">
            <v>13055090</v>
          </cell>
          <cell r="B19" t="str">
            <v>Sundry Deposits</v>
          </cell>
          <cell r="C19">
            <v>226120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226120</v>
          </cell>
        </row>
        <row r="20">
          <cell r="A20">
            <v>25005010</v>
          </cell>
          <cell r="B20" t="str">
            <v>Creditors Control</v>
          </cell>
          <cell r="C20">
            <v>-6957510</v>
          </cell>
          <cell r="D20">
            <v>17373394</v>
          </cell>
          <cell r="E20">
            <v>12998607</v>
          </cell>
          <cell r="F20">
            <v>4374787</v>
          </cell>
          <cell r="G20">
            <v>0</v>
          </cell>
          <cell r="H20">
            <v>-2582723</v>
          </cell>
        </row>
        <row r="21">
          <cell r="A21">
            <v>25005050</v>
          </cell>
          <cell r="B21" t="str">
            <v>Creditors liability for material received but bill not recei</v>
          </cell>
          <cell r="C21">
            <v>-773292.9</v>
          </cell>
          <cell r="D21">
            <v>9571387</v>
          </cell>
          <cell r="E21">
            <v>10915567.25</v>
          </cell>
          <cell r="F21">
            <v>-1344180.25</v>
          </cell>
          <cell r="G21">
            <v>0</v>
          </cell>
          <cell r="H21">
            <v>-2117473.15</v>
          </cell>
        </row>
        <row r="22">
          <cell r="A22">
            <v>25010020</v>
          </cell>
          <cell r="B22" t="str">
            <v>Outstanding Liabilities For Expenses</v>
          </cell>
          <cell r="C22">
            <v>-30000</v>
          </cell>
          <cell r="D22">
            <v>30000</v>
          </cell>
          <cell r="E22">
            <v>0</v>
          </cell>
          <cell r="F22">
            <v>30000</v>
          </cell>
          <cell r="G22">
            <v>0</v>
          </cell>
          <cell r="H22">
            <v>0</v>
          </cell>
        </row>
        <row r="23">
          <cell r="A23">
            <v>25010060</v>
          </cell>
          <cell r="B23" t="str">
            <v>T.D.S.payable account</v>
          </cell>
          <cell r="C23">
            <v>-49408</v>
          </cell>
          <cell r="D23">
            <v>75571</v>
          </cell>
          <cell r="E23">
            <v>40231</v>
          </cell>
          <cell r="F23">
            <v>35340</v>
          </cell>
          <cell r="G23">
            <v>0</v>
          </cell>
          <cell r="H23">
            <v>-14068</v>
          </cell>
        </row>
        <row r="24">
          <cell r="A24">
            <v>25010190</v>
          </cell>
          <cell r="B24" t="str">
            <v>VAT  Payable account</v>
          </cell>
          <cell r="C24">
            <v>-1810840</v>
          </cell>
          <cell r="D24">
            <v>2492197</v>
          </cell>
          <cell r="E24">
            <v>1349632</v>
          </cell>
          <cell r="F24">
            <v>1142565</v>
          </cell>
          <cell r="G24">
            <v>0</v>
          </cell>
          <cell r="H24">
            <v>-668275</v>
          </cell>
        </row>
        <row r="25">
          <cell r="A25">
            <v>25010200</v>
          </cell>
          <cell r="B25" t="str">
            <v>Provision for Expenses in MIS</v>
          </cell>
          <cell r="C25">
            <v>0</v>
          </cell>
          <cell r="D25">
            <v>327895</v>
          </cell>
          <cell r="E25">
            <v>858089</v>
          </cell>
          <cell r="F25">
            <v>-530194</v>
          </cell>
          <cell r="G25">
            <v>0</v>
          </cell>
          <cell r="H25">
            <v>-530194</v>
          </cell>
        </row>
        <row r="26">
          <cell r="A26">
            <v>26005020</v>
          </cell>
          <cell r="B26" t="str">
            <v>Provision For Bad &amp; Doubtful Debts</v>
          </cell>
          <cell r="C26">
            <v>-37625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-37625</v>
          </cell>
        </row>
        <row r="27">
          <cell r="A27">
            <v>26015010</v>
          </cell>
          <cell r="B27" t="str">
            <v>Prov For Dep.-  Buildings</v>
          </cell>
          <cell r="C27">
            <v>-765396</v>
          </cell>
          <cell r="D27">
            <v>0</v>
          </cell>
          <cell r="E27">
            <v>127710</v>
          </cell>
          <cell r="F27">
            <v>-127710</v>
          </cell>
          <cell r="G27">
            <v>0</v>
          </cell>
          <cell r="H27">
            <v>-893106</v>
          </cell>
        </row>
        <row r="28">
          <cell r="A28">
            <v>26025010</v>
          </cell>
          <cell r="B28" t="str">
            <v>Provision for Depreciation Plant &amp; Machinery</v>
          </cell>
          <cell r="C28">
            <v>-3612209.63</v>
          </cell>
          <cell r="D28">
            <v>0</v>
          </cell>
          <cell r="E28">
            <v>307073</v>
          </cell>
          <cell r="F28">
            <v>-307073</v>
          </cell>
          <cell r="G28">
            <v>0</v>
          </cell>
          <cell r="H28">
            <v>-3919282.63</v>
          </cell>
        </row>
        <row r="29">
          <cell r="A29">
            <v>26030010</v>
          </cell>
          <cell r="B29" t="str">
            <v>Provision For Dep.-Electrical Installations</v>
          </cell>
          <cell r="C29">
            <v>-339721.25</v>
          </cell>
          <cell r="D29">
            <v>0</v>
          </cell>
          <cell r="E29">
            <v>48033</v>
          </cell>
          <cell r="F29">
            <v>-48033</v>
          </cell>
          <cell r="G29">
            <v>0</v>
          </cell>
          <cell r="H29">
            <v>-387754.25</v>
          </cell>
        </row>
        <row r="30">
          <cell r="A30">
            <v>26035010</v>
          </cell>
          <cell r="B30" t="str">
            <v>Provision For Dep.-Furniture and Fixtures</v>
          </cell>
          <cell r="C30">
            <v>-167335.99</v>
          </cell>
          <cell r="D30">
            <v>0</v>
          </cell>
          <cell r="E30">
            <v>15272.1</v>
          </cell>
          <cell r="F30">
            <v>-15272.1</v>
          </cell>
          <cell r="G30">
            <v>0</v>
          </cell>
          <cell r="H30">
            <v>-182608.09</v>
          </cell>
        </row>
        <row r="31">
          <cell r="A31">
            <v>26040010</v>
          </cell>
          <cell r="B31" t="str">
            <v>Provision for Depreciation- Office and Electrical Appliances</v>
          </cell>
          <cell r="C31">
            <v>-150994.82</v>
          </cell>
          <cell r="D31">
            <v>0</v>
          </cell>
          <cell r="E31">
            <v>16170</v>
          </cell>
          <cell r="F31">
            <v>-16170</v>
          </cell>
          <cell r="G31">
            <v>0</v>
          </cell>
          <cell r="H31">
            <v>-167164.82</v>
          </cell>
        </row>
        <row r="32">
          <cell r="A32">
            <v>26045010</v>
          </cell>
          <cell r="B32" t="str">
            <v>Provision for Depreciation- Truck Mixers, Loaders &amp; Dumpers</v>
          </cell>
          <cell r="C32">
            <v>-2068596</v>
          </cell>
          <cell r="D32">
            <v>0</v>
          </cell>
          <cell r="E32">
            <v>275820</v>
          </cell>
          <cell r="F32">
            <v>-275820</v>
          </cell>
          <cell r="G32">
            <v>0</v>
          </cell>
          <cell r="H32">
            <v>-2344416</v>
          </cell>
        </row>
        <row r="33">
          <cell r="A33">
            <v>26055020</v>
          </cell>
          <cell r="B33" t="str">
            <v>Profit &amp; Loss A/c</v>
          </cell>
          <cell r="C33">
            <v>-2297331.83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-2297331.83</v>
          </cell>
        </row>
        <row r="34">
          <cell r="A34">
            <v>26055050</v>
          </cell>
          <cell r="B34" t="str">
            <v>Provision for Production linked incentive (KRA)</v>
          </cell>
          <cell r="C34">
            <v>0</v>
          </cell>
          <cell r="D34">
            <v>0</v>
          </cell>
          <cell r="E34">
            <v>48280</v>
          </cell>
          <cell r="F34">
            <v>-48280</v>
          </cell>
          <cell r="G34">
            <v>0</v>
          </cell>
          <cell r="H34">
            <v>-48280</v>
          </cell>
        </row>
        <row r="35">
          <cell r="A35">
            <v>31010010</v>
          </cell>
          <cell r="B35" t="str">
            <v>Sales</v>
          </cell>
          <cell r="C35">
            <v>0</v>
          </cell>
          <cell r="D35">
            <v>0</v>
          </cell>
          <cell r="E35">
            <v>10708837.310000001</v>
          </cell>
          <cell r="F35">
            <v>-10708837.310000001</v>
          </cell>
          <cell r="G35">
            <v>0</v>
          </cell>
          <cell r="H35">
            <v>-10708837.310000001</v>
          </cell>
        </row>
        <row r="36">
          <cell r="A36">
            <v>31040010</v>
          </cell>
          <cell r="B36" t="str">
            <v>Mobilisation Charges</v>
          </cell>
          <cell r="C36">
            <v>0</v>
          </cell>
          <cell r="D36">
            <v>0</v>
          </cell>
          <cell r="E36">
            <v>69033.27</v>
          </cell>
          <cell r="F36">
            <v>-69033.27</v>
          </cell>
          <cell r="G36">
            <v>0</v>
          </cell>
          <cell r="H36">
            <v>-69033.27</v>
          </cell>
        </row>
        <row r="37">
          <cell r="A37">
            <v>32010010</v>
          </cell>
          <cell r="B37" t="str">
            <v>Interest Income - Other Deposits</v>
          </cell>
          <cell r="C37">
            <v>0</v>
          </cell>
          <cell r="D37">
            <v>0</v>
          </cell>
          <cell r="E37">
            <v>5563</v>
          </cell>
          <cell r="F37">
            <v>-5563</v>
          </cell>
          <cell r="G37">
            <v>0</v>
          </cell>
          <cell r="H37">
            <v>-5563</v>
          </cell>
        </row>
        <row r="38">
          <cell r="A38">
            <v>32020020</v>
          </cell>
          <cell r="B38" t="str">
            <v>Misc Income - Scrap sales</v>
          </cell>
          <cell r="C38">
            <v>0</v>
          </cell>
          <cell r="D38">
            <v>0</v>
          </cell>
          <cell r="E38">
            <v>18360</v>
          </cell>
          <cell r="F38">
            <v>-18360</v>
          </cell>
          <cell r="G38">
            <v>0</v>
          </cell>
          <cell r="H38">
            <v>-18360</v>
          </cell>
        </row>
        <row r="39">
          <cell r="A39">
            <v>41010010</v>
          </cell>
          <cell r="B39" t="str">
            <v>Opening Stock - Cement</v>
          </cell>
          <cell r="C39">
            <v>0</v>
          </cell>
          <cell r="D39">
            <v>153949.6</v>
          </cell>
          <cell r="E39">
            <v>0</v>
          </cell>
          <cell r="F39">
            <v>153949.6</v>
          </cell>
          <cell r="G39">
            <v>0</v>
          </cell>
          <cell r="H39">
            <v>153949.6</v>
          </cell>
        </row>
        <row r="40">
          <cell r="A40">
            <v>41010020</v>
          </cell>
          <cell r="B40" t="str">
            <v>Opening Stock - Sand</v>
          </cell>
          <cell r="C40">
            <v>0</v>
          </cell>
          <cell r="D40">
            <v>134680</v>
          </cell>
          <cell r="E40">
            <v>0</v>
          </cell>
          <cell r="F40">
            <v>134680</v>
          </cell>
          <cell r="G40">
            <v>0</v>
          </cell>
          <cell r="H40">
            <v>134680</v>
          </cell>
        </row>
        <row r="41">
          <cell r="A41">
            <v>41010030</v>
          </cell>
          <cell r="B41" t="str">
            <v>Opening Stock - CRF</v>
          </cell>
          <cell r="C41">
            <v>0</v>
          </cell>
          <cell r="D41">
            <v>45417.04</v>
          </cell>
          <cell r="E41">
            <v>0</v>
          </cell>
          <cell r="F41">
            <v>45417.04</v>
          </cell>
          <cell r="G41">
            <v>0</v>
          </cell>
          <cell r="H41">
            <v>45417.04</v>
          </cell>
        </row>
        <row r="42">
          <cell r="A42">
            <v>41010040</v>
          </cell>
          <cell r="B42" t="str">
            <v>Opening Stock - RMC Aggregates</v>
          </cell>
          <cell r="C42">
            <v>0</v>
          </cell>
          <cell r="D42">
            <v>50810.31</v>
          </cell>
          <cell r="E42">
            <v>0</v>
          </cell>
          <cell r="F42">
            <v>50810.31</v>
          </cell>
          <cell r="G42">
            <v>0</v>
          </cell>
          <cell r="H42">
            <v>50810.31</v>
          </cell>
        </row>
        <row r="43">
          <cell r="A43">
            <v>41010050</v>
          </cell>
          <cell r="B43" t="str">
            <v>Opening Stock - Admixtures</v>
          </cell>
          <cell r="C43">
            <v>0</v>
          </cell>
          <cell r="D43">
            <v>106119.51</v>
          </cell>
          <cell r="E43">
            <v>0</v>
          </cell>
          <cell r="F43">
            <v>106119.51</v>
          </cell>
          <cell r="G43">
            <v>0</v>
          </cell>
          <cell r="H43">
            <v>106119.51</v>
          </cell>
        </row>
        <row r="44">
          <cell r="A44">
            <v>41010070</v>
          </cell>
          <cell r="B44" t="str">
            <v>Opening Stock - Flyash</v>
          </cell>
          <cell r="C44">
            <v>0</v>
          </cell>
          <cell r="D44">
            <v>21340</v>
          </cell>
          <cell r="E44">
            <v>0</v>
          </cell>
          <cell r="F44">
            <v>21340</v>
          </cell>
          <cell r="G44">
            <v>0</v>
          </cell>
          <cell r="H44">
            <v>21340</v>
          </cell>
        </row>
        <row r="45">
          <cell r="A45">
            <v>41010080</v>
          </cell>
          <cell r="B45" t="str">
            <v>Opening Stock - Diesel</v>
          </cell>
          <cell r="C45">
            <v>0</v>
          </cell>
          <cell r="D45">
            <v>52774.21</v>
          </cell>
          <cell r="E45">
            <v>0</v>
          </cell>
          <cell r="F45">
            <v>52774.21</v>
          </cell>
          <cell r="G45">
            <v>0</v>
          </cell>
          <cell r="H45">
            <v>52774.21</v>
          </cell>
        </row>
        <row r="46">
          <cell r="A46">
            <v>41020010</v>
          </cell>
          <cell r="B46" t="str">
            <v>Raw Material Purchase - Cement</v>
          </cell>
          <cell r="C46">
            <v>0</v>
          </cell>
          <cell r="D46">
            <v>6497043.5300000003</v>
          </cell>
          <cell r="E46">
            <v>5013872.58</v>
          </cell>
          <cell r="F46">
            <v>1483170.95</v>
          </cell>
          <cell r="G46">
            <v>0</v>
          </cell>
          <cell r="H46">
            <v>1483170.95</v>
          </cell>
        </row>
        <row r="47">
          <cell r="A47">
            <v>41020015</v>
          </cell>
          <cell r="B47" t="str">
            <v>Interim account cement received</v>
          </cell>
          <cell r="C47">
            <v>0</v>
          </cell>
          <cell r="D47">
            <v>6683993.2300000004</v>
          </cell>
          <cell r="E47">
            <v>6489815.0300000003</v>
          </cell>
          <cell r="F47">
            <v>194178.2</v>
          </cell>
          <cell r="G47">
            <v>0</v>
          </cell>
          <cell r="H47">
            <v>194178.2</v>
          </cell>
        </row>
        <row r="48">
          <cell r="A48">
            <v>41020020</v>
          </cell>
          <cell r="B48" t="str">
            <v>Cement Consumption account</v>
          </cell>
          <cell r="C48">
            <v>0</v>
          </cell>
          <cell r="D48">
            <v>5003622.96</v>
          </cell>
          <cell r="E48">
            <v>0</v>
          </cell>
          <cell r="F48">
            <v>5003622.96</v>
          </cell>
          <cell r="G48">
            <v>0</v>
          </cell>
          <cell r="H48">
            <v>5003622.96</v>
          </cell>
        </row>
        <row r="49">
          <cell r="A49">
            <v>41020030</v>
          </cell>
          <cell r="B49" t="str">
            <v>Raw Material Purchase - Aggregates</v>
          </cell>
          <cell r="C49">
            <v>0</v>
          </cell>
          <cell r="D49">
            <v>1241921.81</v>
          </cell>
          <cell r="E49">
            <v>1034997.52</v>
          </cell>
          <cell r="F49">
            <v>206924.29</v>
          </cell>
          <cell r="G49">
            <v>0</v>
          </cell>
          <cell r="H49">
            <v>206924.29</v>
          </cell>
        </row>
        <row r="50">
          <cell r="A50">
            <v>41020035</v>
          </cell>
          <cell r="B50" t="str">
            <v>Interim account Aggregate received</v>
          </cell>
          <cell r="C50">
            <v>0</v>
          </cell>
          <cell r="D50">
            <v>962930.55</v>
          </cell>
          <cell r="E50">
            <v>1187536.95</v>
          </cell>
          <cell r="F50">
            <v>-224606.4</v>
          </cell>
          <cell r="G50">
            <v>0</v>
          </cell>
          <cell r="H50">
            <v>-224606.4</v>
          </cell>
        </row>
        <row r="51">
          <cell r="A51">
            <v>41020040</v>
          </cell>
          <cell r="B51" t="str">
            <v>Aggregate Consumption account</v>
          </cell>
          <cell r="C51">
            <v>0</v>
          </cell>
          <cell r="D51">
            <v>1029087.52</v>
          </cell>
          <cell r="E51">
            <v>34757.910000000003</v>
          </cell>
          <cell r="F51">
            <v>994329.61</v>
          </cell>
          <cell r="G51">
            <v>0</v>
          </cell>
          <cell r="H51">
            <v>994329.61</v>
          </cell>
        </row>
        <row r="52">
          <cell r="A52">
            <v>41020050</v>
          </cell>
          <cell r="B52" t="str">
            <v>Raw Material Purchase - Sand</v>
          </cell>
          <cell r="C52">
            <v>0</v>
          </cell>
          <cell r="D52">
            <v>376098.6</v>
          </cell>
          <cell r="E52">
            <v>903502.78</v>
          </cell>
          <cell r="F52">
            <v>-527404.18000000005</v>
          </cell>
          <cell r="G52">
            <v>0</v>
          </cell>
          <cell r="H52">
            <v>-527404.18000000005</v>
          </cell>
        </row>
        <row r="53">
          <cell r="A53">
            <v>41020055</v>
          </cell>
          <cell r="B53" t="str">
            <v>Interim account Sand Received</v>
          </cell>
          <cell r="C53">
            <v>0</v>
          </cell>
          <cell r="D53">
            <v>1371133.25</v>
          </cell>
          <cell r="E53">
            <v>376098.6</v>
          </cell>
          <cell r="F53">
            <v>995034.65</v>
          </cell>
          <cell r="G53">
            <v>0</v>
          </cell>
          <cell r="H53">
            <v>995034.65</v>
          </cell>
        </row>
        <row r="54">
          <cell r="A54">
            <v>41020060</v>
          </cell>
          <cell r="B54" t="str">
            <v>Sand Consumption account</v>
          </cell>
          <cell r="C54">
            <v>0</v>
          </cell>
          <cell r="D54">
            <v>860425.36</v>
          </cell>
          <cell r="E54">
            <v>0</v>
          </cell>
          <cell r="F54">
            <v>860425.36</v>
          </cell>
          <cell r="G54">
            <v>0</v>
          </cell>
          <cell r="H54">
            <v>860425.36</v>
          </cell>
        </row>
        <row r="55">
          <cell r="A55">
            <v>41020070</v>
          </cell>
          <cell r="B55" t="str">
            <v>Raw Material Purchase - Admixture</v>
          </cell>
          <cell r="C55">
            <v>0</v>
          </cell>
          <cell r="D55">
            <v>491821.6</v>
          </cell>
          <cell r="E55">
            <v>393499.67</v>
          </cell>
          <cell r="F55">
            <v>98321.93</v>
          </cell>
          <cell r="G55">
            <v>0</v>
          </cell>
          <cell r="H55">
            <v>98321.93</v>
          </cell>
        </row>
        <row r="56">
          <cell r="A56">
            <v>41020075</v>
          </cell>
          <cell r="B56" t="str">
            <v>Interim account Admixture received</v>
          </cell>
          <cell r="C56">
            <v>0</v>
          </cell>
          <cell r="D56">
            <v>485600</v>
          </cell>
          <cell r="E56">
            <v>485600</v>
          </cell>
          <cell r="F56">
            <v>0</v>
          </cell>
          <cell r="G56">
            <v>0</v>
          </cell>
          <cell r="H56">
            <v>0</v>
          </cell>
        </row>
        <row r="57">
          <cell r="A57">
            <v>41020080</v>
          </cell>
          <cell r="B57" t="str">
            <v>Admixture Consumption account</v>
          </cell>
          <cell r="C57">
            <v>0</v>
          </cell>
          <cell r="D57">
            <v>388549.67</v>
          </cell>
          <cell r="E57">
            <v>652.04999999999995</v>
          </cell>
          <cell r="F57">
            <v>387897.62</v>
          </cell>
          <cell r="G57">
            <v>0</v>
          </cell>
          <cell r="H57">
            <v>387897.62</v>
          </cell>
        </row>
        <row r="58">
          <cell r="A58">
            <v>41020090</v>
          </cell>
          <cell r="B58" t="str">
            <v>Raw Material  Purchase - Fly Ash</v>
          </cell>
          <cell r="C58">
            <v>0</v>
          </cell>
          <cell r="D58">
            <v>132475</v>
          </cell>
          <cell r="E58">
            <v>269664.2</v>
          </cell>
          <cell r="F58">
            <v>-137189.20000000001</v>
          </cell>
          <cell r="G58">
            <v>0</v>
          </cell>
          <cell r="H58">
            <v>-137189.20000000001</v>
          </cell>
        </row>
        <row r="59">
          <cell r="A59">
            <v>41020095</v>
          </cell>
          <cell r="B59" t="str">
            <v>Interim account fly ash received</v>
          </cell>
          <cell r="C59">
            <v>0</v>
          </cell>
          <cell r="D59">
            <v>304345.5</v>
          </cell>
          <cell r="E59">
            <v>132475</v>
          </cell>
          <cell r="F59">
            <v>171870.5</v>
          </cell>
          <cell r="G59">
            <v>0</v>
          </cell>
          <cell r="H59">
            <v>171870.5</v>
          </cell>
        </row>
        <row r="60">
          <cell r="A60">
            <v>41020100</v>
          </cell>
          <cell r="B60" t="str">
            <v>Fly Ash Consumption account</v>
          </cell>
          <cell r="C60">
            <v>0</v>
          </cell>
          <cell r="D60">
            <v>251864.31</v>
          </cell>
          <cell r="E60">
            <v>0</v>
          </cell>
          <cell r="F60">
            <v>251864.31</v>
          </cell>
          <cell r="G60">
            <v>0</v>
          </cell>
          <cell r="H60">
            <v>251864.31</v>
          </cell>
        </row>
        <row r="61">
          <cell r="A61">
            <v>41020130</v>
          </cell>
          <cell r="B61" t="str">
            <v>Raw Materials Purchase - CRF</v>
          </cell>
          <cell r="C61">
            <v>0</v>
          </cell>
          <cell r="D61">
            <v>398421.24</v>
          </cell>
          <cell r="E61">
            <v>587535.73</v>
          </cell>
          <cell r="F61">
            <v>-189114.49</v>
          </cell>
          <cell r="G61">
            <v>0</v>
          </cell>
          <cell r="H61">
            <v>-189114.49</v>
          </cell>
        </row>
        <row r="62">
          <cell r="A62">
            <v>41020135</v>
          </cell>
          <cell r="B62" t="str">
            <v>Interim account for CRF received</v>
          </cell>
          <cell r="C62">
            <v>0</v>
          </cell>
          <cell r="D62">
            <v>604324.54</v>
          </cell>
          <cell r="E62">
            <v>398421.24</v>
          </cell>
          <cell r="F62">
            <v>205903.3</v>
          </cell>
          <cell r="G62">
            <v>0</v>
          </cell>
          <cell r="H62">
            <v>205903.3</v>
          </cell>
        </row>
        <row r="63">
          <cell r="A63">
            <v>41020140</v>
          </cell>
          <cell r="B63" t="str">
            <v>CRF Consumption account</v>
          </cell>
          <cell r="C63">
            <v>0</v>
          </cell>
          <cell r="D63">
            <v>560198</v>
          </cell>
          <cell r="E63">
            <v>0</v>
          </cell>
          <cell r="F63">
            <v>560198</v>
          </cell>
          <cell r="G63">
            <v>0</v>
          </cell>
          <cell r="H63">
            <v>560198</v>
          </cell>
        </row>
        <row r="64">
          <cell r="A64">
            <v>41020150</v>
          </cell>
          <cell r="B64" t="str">
            <v>Loss/ gain on Stock</v>
          </cell>
          <cell r="C64">
            <v>0</v>
          </cell>
          <cell r="D64">
            <v>84276.66</v>
          </cell>
          <cell r="E64">
            <v>32425</v>
          </cell>
          <cell r="F64">
            <v>51851.66</v>
          </cell>
          <cell r="G64">
            <v>0</v>
          </cell>
          <cell r="H64">
            <v>51851.66</v>
          </cell>
        </row>
        <row r="65">
          <cell r="A65">
            <v>41020195</v>
          </cell>
          <cell r="B65" t="str">
            <v>Purchase of Diesel</v>
          </cell>
          <cell r="C65">
            <v>0</v>
          </cell>
          <cell r="D65">
            <v>402421.18</v>
          </cell>
          <cell r="E65">
            <v>434041.14</v>
          </cell>
          <cell r="F65">
            <v>-31619.96</v>
          </cell>
          <cell r="G65">
            <v>0</v>
          </cell>
          <cell r="H65">
            <v>-31619.96</v>
          </cell>
        </row>
        <row r="66">
          <cell r="A66">
            <v>41020200</v>
          </cell>
          <cell r="B66" t="str">
            <v>Interim account for diesel received</v>
          </cell>
          <cell r="C66">
            <v>0</v>
          </cell>
          <cell r="D66">
            <v>402421.18</v>
          </cell>
          <cell r="E66">
            <v>402421.18</v>
          </cell>
          <cell r="F66">
            <v>0</v>
          </cell>
          <cell r="G66">
            <v>0</v>
          </cell>
          <cell r="H66">
            <v>0</v>
          </cell>
        </row>
        <row r="67">
          <cell r="A67">
            <v>41020205</v>
          </cell>
          <cell r="B67" t="str">
            <v>Diesel Consumption account</v>
          </cell>
          <cell r="C67">
            <v>0</v>
          </cell>
          <cell r="D67">
            <v>656411.94999999995</v>
          </cell>
          <cell r="E67">
            <v>656411.94999999995</v>
          </cell>
          <cell r="F67">
            <v>0</v>
          </cell>
          <cell r="G67">
            <v>0</v>
          </cell>
          <cell r="H67">
            <v>0</v>
          </cell>
        </row>
        <row r="68">
          <cell r="A68">
            <v>41050010</v>
          </cell>
          <cell r="B68" t="str">
            <v>Closing Stock - Cement</v>
          </cell>
          <cell r="C68">
            <v>0</v>
          </cell>
          <cell r="D68">
            <v>0</v>
          </cell>
          <cell r="E68">
            <v>1831298.75</v>
          </cell>
          <cell r="F68">
            <v>-1831298.75</v>
          </cell>
          <cell r="G68">
            <v>0</v>
          </cell>
          <cell r="H68">
            <v>-1831298.75</v>
          </cell>
        </row>
        <row r="69">
          <cell r="A69">
            <v>41050020</v>
          </cell>
          <cell r="B69" t="str">
            <v>Closing Stock - Sand</v>
          </cell>
          <cell r="C69">
            <v>0</v>
          </cell>
          <cell r="D69">
            <v>0</v>
          </cell>
          <cell r="E69">
            <v>602310.47</v>
          </cell>
          <cell r="F69">
            <v>-602310.47</v>
          </cell>
          <cell r="G69">
            <v>0</v>
          </cell>
          <cell r="H69">
            <v>-602310.47</v>
          </cell>
        </row>
        <row r="70">
          <cell r="A70">
            <v>41050030</v>
          </cell>
          <cell r="B70" t="str">
            <v>Closing Stock - CRF</v>
          </cell>
          <cell r="C70">
            <v>0</v>
          </cell>
          <cell r="D70">
            <v>0</v>
          </cell>
          <cell r="E70">
            <v>62205.85</v>
          </cell>
          <cell r="F70">
            <v>-62205.85</v>
          </cell>
          <cell r="G70">
            <v>0</v>
          </cell>
          <cell r="H70">
            <v>-62205.85</v>
          </cell>
        </row>
        <row r="71">
          <cell r="A71">
            <v>41050040</v>
          </cell>
          <cell r="B71" t="str">
            <v>Closing Stock - RMC Aggregates</v>
          </cell>
          <cell r="C71">
            <v>0</v>
          </cell>
          <cell r="D71">
            <v>0</v>
          </cell>
          <cell r="E71">
            <v>33128.199999999997</v>
          </cell>
          <cell r="F71">
            <v>-33128.199999999997</v>
          </cell>
          <cell r="G71">
            <v>0</v>
          </cell>
          <cell r="H71">
            <v>-33128.199999999997</v>
          </cell>
        </row>
        <row r="72">
          <cell r="A72">
            <v>41050050</v>
          </cell>
          <cell r="B72" t="str">
            <v>Closing Stock - Admixtures</v>
          </cell>
          <cell r="C72">
            <v>0</v>
          </cell>
          <cell r="D72">
            <v>0</v>
          </cell>
          <cell r="E72">
            <v>204441.44</v>
          </cell>
          <cell r="F72">
            <v>-204441.44</v>
          </cell>
          <cell r="G72">
            <v>0</v>
          </cell>
          <cell r="H72">
            <v>-204441.44</v>
          </cell>
        </row>
        <row r="73">
          <cell r="A73">
            <v>41050070</v>
          </cell>
          <cell r="B73" t="str">
            <v>Closing Stock - Flyash</v>
          </cell>
          <cell r="C73">
            <v>0</v>
          </cell>
          <cell r="D73">
            <v>0</v>
          </cell>
          <cell r="E73">
            <v>56021.3</v>
          </cell>
          <cell r="F73">
            <v>-56021.3</v>
          </cell>
          <cell r="G73">
            <v>0</v>
          </cell>
          <cell r="H73">
            <v>-56021.3</v>
          </cell>
        </row>
        <row r="74">
          <cell r="A74">
            <v>41050080</v>
          </cell>
          <cell r="B74" t="str">
            <v>Closing Stock - Diesel</v>
          </cell>
          <cell r="C74">
            <v>0</v>
          </cell>
          <cell r="D74">
            <v>0</v>
          </cell>
          <cell r="E74">
            <v>21154.25</v>
          </cell>
          <cell r="F74">
            <v>-21154.25</v>
          </cell>
          <cell r="G74">
            <v>0</v>
          </cell>
          <cell r="H74">
            <v>-21154.25</v>
          </cell>
        </row>
        <row r="75">
          <cell r="A75">
            <v>42010010</v>
          </cell>
          <cell r="B75" t="str">
            <v>Salary - Basic</v>
          </cell>
          <cell r="C75">
            <v>0</v>
          </cell>
          <cell r="D75">
            <v>367800</v>
          </cell>
          <cell r="E75">
            <v>183900</v>
          </cell>
          <cell r="F75">
            <v>183900</v>
          </cell>
          <cell r="G75">
            <v>0</v>
          </cell>
          <cell r="H75">
            <v>183900</v>
          </cell>
        </row>
        <row r="76">
          <cell r="A76">
            <v>42010020</v>
          </cell>
          <cell r="B76" t="str">
            <v>House Rent Allowance</v>
          </cell>
          <cell r="C76">
            <v>0</v>
          </cell>
          <cell r="D76">
            <v>181460</v>
          </cell>
          <cell r="E76">
            <v>90730</v>
          </cell>
          <cell r="F76">
            <v>90730</v>
          </cell>
          <cell r="G76">
            <v>0</v>
          </cell>
          <cell r="H76">
            <v>90730</v>
          </cell>
        </row>
        <row r="77">
          <cell r="A77">
            <v>42010030</v>
          </cell>
          <cell r="B77" t="str">
            <v>Education Allowance</v>
          </cell>
          <cell r="C77">
            <v>0</v>
          </cell>
          <cell r="D77">
            <v>31974</v>
          </cell>
          <cell r="E77">
            <v>15987</v>
          </cell>
          <cell r="F77">
            <v>15987</v>
          </cell>
          <cell r="G77">
            <v>0</v>
          </cell>
          <cell r="H77">
            <v>15987</v>
          </cell>
        </row>
        <row r="78">
          <cell r="A78">
            <v>42010040</v>
          </cell>
          <cell r="B78" t="str">
            <v>Special Allowance</v>
          </cell>
          <cell r="C78">
            <v>0</v>
          </cell>
          <cell r="D78">
            <v>55412</v>
          </cell>
          <cell r="E78">
            <v>27706</v>
          </cell>
          <cell r="F78">
            <v>27706</v>
          </cell>
          <cell r="G78">
            <v>0</v>
          </cell>
          <cell r="H78">
            <v>27706</v>
          </cell>
        </row>
        <row r="79">
          <cell r="A79">
            <v>42010050</v>
          </cell>
          <cell r="B79" t="str">
            <v>Medical Expense Reimbursement</v>
          </cell>
          <cell r="C79">
            <v>0</v>
          </cell>
          <cell r="D79">
            <v>43488</v>
          </cell>
          <cell r="E79">
            <v>21744</v>
          </cell>
          <cell r="F79">
            <v>21744</v>
          </cell>
          <cell r="G79">
            <v>0</v>
          </cell>
          <cell r="H79">
            <v>21744</v>
          </cell>
        </row>
        <row r="80">
          <cell r="A80">
            <v>42010070</v>
          </cell>
          <cell r="B80" t="str">
            <v>Leave Encashment</v>
          </cell>
          <cell r="C80">
            <v>0</v>
          </cell>
          <cell r="D80">
            <v>20000</v>
          </cell>
          <cell r="E80">
            <v>0</v>
          </cell>
          <cell r="F80">
            <v>20000</v>
          </cell>
          <cell r="G80">
            <v>0</v>
          </cell>
          <cell r="H80">
            <v>20000</v>
          </cell>
        </row>
        <row r="81">
          <cell r="A81">
            <v>42010090</v>
          </cell>
          <cell r="B81" t="str">
            <v>Overtime Payment</v>
          </cell>
          <cell r="C81">
            <v>0</v>
          </cell>
          <cell r="D81">
            <v>7148</v>
          </cell>
          <cell r="E81">
            <v>3574</v>
          </cell>
          <cell r="F81">
            <v>3574</v>
          </cell>
          <cell r="G81">
            <v>0</v>
          </cell>
          <cell r="H81">
            <v>3574</v>
          </cell>
        </row>
        <row r="82">
          <cell r="A82">
            <v>42010100</v>
          </cell>
          <cell r="B82" t="str">
            <v>Transport Allowance</v>
          </cell>
          <cell r="C82">
            <v>0</v>
          </cell>
          <cell r="D82">
            <v>49032</v>
          </cell>
          <cell r="E82">
            <v>24516</v>
          </cell>
          <cell r="F82">
            <v>24516</v>
          </cell>
          <cell r="G82">
            <v>0</v>
          </cell>
          <cell r="H82">
            <v>24516</v>
          </cell>
        </row>
        <row r="83">
          <cell r="A83">
            <v>42010110</v>
          </cell>
          <cell r="B83" t="str">
            <v>Lunch Allowance</v>
          </cell>
          <cell r="C83">
            <v>0</v>
          </cell>
          <cell r="D83">
            <v>1900</v>
          </cell>
          <cell r="E83">
            <v>950</v>
          </cell>
          <cell r="F83">
            <v>950</v>
          </cell>
          <cell r="G83">
            <v>0</v>
          </cell>
          <cell r="H83">
            <v>950</v>
          </cell>
        </row>
        <row r="84">
          <cell r="A84">
            <v>42010130</v>
          </cell>
          <cell r="B84" t="str">
            <v>Production Linked Incentive</v>
          </cell>
          <cell r="C84">
            <v>0</v>
          </cell>
          <cell r="D84">
            <v>48280</v>
          </cell>
          <cell r="E84">
            <v>0</v>
          </cell>
          <cell r="F84">
            <v>48280</v>
          </cell>
          <cell r="G84">
            <v>0</v>
          </cell>
          <cell r="H84">
            <v>48280</v>
          </cell>
        </row>
        <row r="85">
          <cell r="A85">
            <v>42010220</v>
          </cell>
          <cell r="B85" t="str">
            <v>Adhoc Allowance</v>
          </cell>
          <cell r="C85">
            <v>0</v>
          </cell>
          <cell r="D85">
            <v>13800</v>
          </cell>
          <cell r="E85">
            <v>6900</v>
          </cell>
          <cell r="F85">
            <v>6900</v>
          </cell>
          <cell r="G85">
            <v>0</v>
          </cell>
          <cell r="H85">
            <v>6900</v>
          </cell>
        </row>
        <row r="86">
          <cell r="A86">
            <v>42010230</v>
          </cell>
          <cell r="B86" t="str">
            <v>Car Allowance</v>
          </cell>
          <cell r="C86">
            <v>0</v>
          </cell>
          <cell r="D86">
            <v>36000</v>
          </cell>
          <cell r="E86">
            <v>18000</v>
          </cell>
          <cell r="F86">
            <v>18000</v>
          </cell>
          <cell r="G86">
            <v>0</v>
          </cell>
          <cell r="H86">
            <v>18000</v>
          </cell>
        </row>
        <row r="87">
          <cell r="A87">
            <v>42010240</v>
          </cell>
          <cell r="B87" t="str">
            <v>Driver Allowance</v>
          </cell>
          <cell r="C87">
            <v>0</v>
          </cell>
          <cell r="D87">
            <v>24000</v>
          </cell>
          <cell r="E87">
            <v>12000</v>
          </cell>
          <cell r="F87">
            <v>12000</v>
          </cell>
          <cell r="G87">
            <v>0</v>
          </cell>
          <cell r="H87">
            <v>12000</v>
          </cell>
        </row>
        <row r="88">
          <cell r="A88">
            <v>42020010</v>
          </cell>
          <cell r="B88" t="str">
            <v>Provident Funds - Employer's Conribution</v>
          </cell>
          <cell r="C88">
            <v>0</v>
          </cell>
          <cell r="D88">
            <v>22786</v>
          </cell>
          <cell r="E88">
            <v>11393</v>
          </cell>
          <cell r="F88">
            <v>11393</v>
          </cell>
          <cell r="G88">
            <v>0</v>
          </cell>
          <cell r="H88">
            <v>11393</v>
          </cell>
        </row>
        <row r="89">
          <cell r="A89">
            <v>42020020</v>
          </cell>
          <cell r="B89" t="str">
            <v>Pension Fund - Employer's Contribution</v>
          </cell>
          <cell r="C89">
            <v>0</v>
          </cell>
          <cell r="D89">
            <v>21350</v>
          </cell>
          <cell r="E89">
            <v>10675</v>
          </cell>
          <cell r="F89">
            <v>10675</v>
          </cell>
          <cell r="G89">
            <v>0</v>
          </cell>
          <cell r="H89">
            <v>10675</v>
          </cell>
        </row>
        <row r="90">
          <cell r="A90">
            <v>42030040</v>
          </cell>
          <cell r="B90" t="str">
            <v>Staff Welfare Expenses - FBT</v>
          </cell>
          <cell r="C90">
            <v>0</v>
          </cell>
          <cell r="D90">
            <v>21982</v>
          </cell>
          <cell r="E90">
            <v>0</v>
          </cell>
          <cell r="F90">
            <v>21982</v>
          </cell>
          <cell r="G90">
            <v>0</v>
          </cell>
          <cell r="H90">
            <v>21982</v>
          </cell>
        </row>
        <row r="91">
          <cell r="A91">
            <v>42030050</v>
          </cell>
          <cell r="B91" t="str">
            <v>Staff Welfare Expenses</v>
          </cell>
          <cell r="C91">
            <v>0</v>
          </cell>
          <cell r="D91">
            <v>20264</v>
          </cell>
          <cell r="E91">
            <v>6000</v>
          </cell>
          <cell r="F91">
            <v>14264</v>
          </cell>
          <cell r="G91">
            <v>0</v>
          </cell>
          <cell r="H91">
            <v>14264</v>
          </cell>
        </row>
        <row r="92">
          <cell r="A92">
            <v>43001010</v>
          </cell>
          <cell r="B92" t="str">
            <v>Electricity Charges</v>
          </cell>
          <cell r="C92">
            <v>0</v>
          </cell>
          <cell r="D92">
            <v>99583</v>
          </cell>
          <cell r="E92">
            <v>30000</v>
          </cell>
          <cell r="F92">
            <v>69583</v>
          </cell>
          <cell r="G92">
            <v>0</v>
          </cell>
          <cell r="H92">
            <v>69583</v>
          </cell>
        </row>
        <row r="93">
          <cell r="A93">
            <v>43001020</v>
          </cell>
          <cell r="B93" t="str">
            <v>Water Charges</v>
          </cell>
          <cell r="C93">
            <v>0</v>
          </cell>
          <cell r="D93">
            <v>54359</v>
          </cell>
          <cell r="E93">
            <v>0</v>
          </cell>
          <cell r="F93">
            <v>54359</v>
          </cell>
          <cell r="G93">
            <v>0</v>
          </cell>
          <cell r="H93">
            <v>54359</v>
          </cell>
        </row>
        <row r="94">
          <cell r="A94">
            <v>43001030</v>
          </cell>
          <cell r="B94" t="str">
            <v>Fuel For Diesel Generator Set</v>
          </cell>
          <cell r="C94">
            <v>0</v>
          </cell>
          <cell r="D94">
            <v>63361.33</v>
          </cell>
          <cell r="E94">
            <v>18868</v>
          </cell>
          <cell r="F94">
            <v>44493.33</v>
          </cell>
          <cell r="G94">
            <v>0</v>
          </cell>
          <cell r="H94">
            <v>44493.33</v>
          </cell>
        </row>
        <row r="95">
          <cell r="A95">
            <v>43012010</v>
          </cell>
          <cell r="B95" t="str">
            <v>Lab Consumables</v>
          </cell>
          <cell r="C95">
            <v>0</v>
          </cell>
          <cell r="D95">
            <v>2342</v>
          </cell>
          <cell r="E95">
            <v>0</v>
          </cell>
          <cell r="F95">
            <v>2342</v>
          </cell>
          <cell r="G95">
            <v>0</v>
          </cell>
          <cell r="H95">
            <v>2342</v>
          </cell>
        </row>
        <row r="96">
          <cell r="A96">
            <v>43012020</v>
          </cell>
          <cell r="B96" t="str">
            <v>Labour / sub contractor for - Pumping Expenses Incurred</v>
          </cell>
          <cell r="C96">
            <v>0</v>
          </cell>
          <cell r="D96">
            <v>266770</v>
          </cell>
          <cell r="E96">
            <v>84500</v>
          </cell>
          <cell r="F96">
            <v>182270</v>
          </cell>
          <cell r="G96">
            <v>0</v>
          </cell>
          <cell r="H96">
            <v>182270</v>
          </cell>
        </row>
        <row r="97">
          <cell r="A97">
            <v>43014010</v>
          </cell>
          <cell r="B97" t="str">
            <v>Octroi Charges</v>
          </cell>
          <cell r="C97">
            <v>0</v>
          </cell>
          <cell r="D97">
            <v>900</v>
          </cell>
          <cell r="E97">
            <v>0</v>
          </cell>
          <cell r="F97">
            <v>900</v>
          </cell>
          <cell r="G97">
            <v>0</v>
          </cell>
          <cell r="H97">
            <v>900</v>
          </cell>
        </row>
        <row r="98">
          <cell r="A98">
            <v>43016010</v>
          </cell>
          <cell r="B98" t="str">
            <v>Transportation Charges</v>
          </cell>
          <cell r="C98">
            <v>0</v>
          </cell>
          <cell r="D98">
            <v>1115</v>
          </cell>
          <cell r="E98">
            <v>0</v>
          </cell>
          <cell r="F98">
            <v>1115</v>
          </cell>
          <cell r="G98">
            <v>0</v>
          </cell>
          <cell r="H98">
            <v>1115</v>
          </cell>
        </row>
        <row r="99">
          <cell r="A99">
            <v>43018010</v>
          </cell>
          <cell r="B99" t="str">
            <v>Repairs &amp; Maintenance</v>
          </cell>
          <cell r="C99">
            <v>0</v>
          </cell>
          <cell r="D99">
            <v>137123.42000000001</v>
          </cell>
          <cell r="E99">
            <v>0</v>
          </cell>
          <cell r="F99">
            <v>137123.42000000001</v>
          </cell>
          <cell r="G99">
            <v>0</v>
          </cell>
          <cell r="H99">
            <v>137123.42000000001</v>
          </cell>
        </row>
        <row r="100">
          <cell r="A100">
            <v>43018020</v>
          </cell>
          <cell r="B100" t="str">
            <v>Oil &amp; Grease</v>
          </cell>
          <cell r="C100">
            <v>0</v>
          </cell>
          <cell r="D100">
            <v>64614</v>
          </cell>
          <cell r="E100">
            <v>0</v>
          </cell>
          <cell r="F100">
            <v>64614</v>
          </cell>
          <cell r="G100">
            <v>0</v>
          </cell>
          <cell r="H100">
            <v>64614</v>
          </cell>
        </row>
        <row r="101">
          <cell r="A101">
            <v>43020030</v>
          </cell>
          <cell r="B101" t="str">
            <v>Tyres</v>
          </cell>
          <cell r="C101">
            <v>0</v>
          </cell>
          <cell r="D101">
            <v>27532.49</v>
          </cell>
          <cell r="E101">
            <v>0</v>
          </cell>
          <cell r="F101">
            <v>27532.49</v>
          </cell>
          <cell r="G101">
            <v>0</v>
          </cell>
          <cell r="H101">
            <v>27532.49</v>
          </cell>
        </row>
        <row r="102">
          <cell r="A102">
            <v>43022010</v>
          </cell>
          <cell r="B102" t="str">
            <v>Plant / Office Up Keep Exps</v>
          </cell>
          <cell r="C102">
            <v>0</v>
          </cell>
          <cell r="D102">
            <v>184834</v>
          </cell>
          <cell r="E102">
            <v>61000</v>
          </cell>
          <cell r="F102">
            <v>123834</v>
          </cell>
          <cell r="G102">
            <v>0</v>
          </cell>
          <cell r="H102">
            <v>123834</v>
          </cell>
        </row>
        <row r="103">
          <cell r="A103">
            <v>43030010</v>
          </cell>
          <cell r="B103" t="str">
            <v>Transportation Exps-Labour</v>
          </cell>
          <cell r="C103">
            <v>0</v>
          </cell>
          <cell r="D103">
            <v>76925</v>
          </cell>
          <cell r="E103">
            <v>5735</v>
          </cell>
          <cell r="F103">
            <v>71190</v>
          </cell>
          <cell r="G103">
            <v>0</v>
          </cell>
          <cell r="H103">
            <v>71190</v>
          </cell>
        </row>
        <row r="104">
          <cell r="A104">
            <v>43032010</v>
          </cell>
          <cell r="B104" t="str">
            <v>Rent - Plant</v>
          </cell>
          <cell r="C104">
            <v>0</v>
          </cell>
          <cell r="D104">
            <v>197338</v>
          </cell>
          <cell r="E104">
            <v>0</v>
          </cell>
          <cell r="F104">
            <v>197338</v>
          </cell>
          <cell r="G104">
            <v>0</v>
          </cell>
          <cell r="H104">
            <v>197338</v>
          </cell>
        </row>
        <row r="105">
          <cell r="A105">
            <v>43032040</v>
          </cell>
          <cell r="B105" t="str">
            <v>Lease Rentals- Machinery</v>
          </cell>
          <cell r="C105">
            <v>0</v>
          </cell>
          <cell r="D105">
            <v>181144.5</v>
          </cell>
          <cell r="E105">
            <v>21351</v>
          </cell>
          <cell r="F105">
            <v>159793.5</v>
          </cell>
          <cell r="G105">
            <v>0</v>
          </cell>
          <cell r="H105">
            <v>159793.5</v>
          </cell>
        </row>
        <row r="106">
          <cell r="A106">
            <v>43032045</v>
          </cell>
          <cell r="B106" t="str">
            <v>Towing Expenses</v>
          </cell>
          <cell r="C106">
            <v>0</v>
          </cell>
          <cell r="D106">
            <v>80035</v>
          </cell>
          <cell r="E106">
            <v>27000</v>
          </cell>
          <cell r="F106">
            <v>53035</v>
          </cell>
          <cell r="G106">
            <v>0</v>
          </cell>
          <cell r="H106">
            <v>53035</v>
          </cell>
        </row>
        <row r="107">
          <cell r="A107">
            <v>43036010</v>
          </cell>
          <cell r="B107" t="str">
            <v>Insurance Expenses</v>
          </cell>
          <cell r="C107">
            <v>0</v>
          </cell>
          <cell r="D107">
            <v>26158</v>
          </cell>
          <cell r="E107">
            <v>0</v>
          </cell>
          <cell r="F107">
            <v>26158</v>
          </cell>
          <cell r="G107">
            <v>0</v>
          </cell>
          <cell r="H107">
            <v>26158</v>
          </cell>
        </row>
        <row r="108">
          <cell r="A108">
            <v>43038020</v>
          </cell>
          <cell r="B108" t="str">
            <v>Courier Expenses</v>
          </cell>
          <cell r="C108">
            <v>0</v>
          </cell>
          <cell r="D108">
            <v>1536</v>
          </cell>
          <cell r="E108">
            <v>0</v>
          </cell>
          <cell r="F108">
            <v>1536</v>
          </cell>
          <cell r="G108">
            <v>0</v>
          </cell>
          <cell r="H108">
            <v>1536</v>
          </cell>
        </row>
        <row r="109">
          <cell r="A109">
            <v>43038050</v>
          </cell>
          <cell r="B109" t="str">
            <v>Telephone Chgs - Mobile  FBT</v>
          </cell>
          <cell r="C109">
            <v>0</v>
          </cell>
          <cell r="D109">
            <v>38245</v>
          </cell>
          <cell r="E109">
            <v>831</v>
          </cell>
          <cell r="F109">
            <v>37414</v>
          </cell>
          <cell r="G109">
            <v>0</v>
          </cell>
          <cell r="H109">
            <v>37414</v>
          </cell>
        </row>
        <row r="110">
          <cell r="A110">
            <v>43040010</v>
          </cell>
          <cell r="B110" t="str">
            <v>Conveyance Expenses - FBT</v>
          </cell>
          <cell r="C110">
            <v>0</v>
          </cell>
          <cell r="D110">
            <v>14500</v>
          </cell>
          <cell r="E110">
            <v>0</v>
          </cell>
          <cell r="F110">
            <v>14500</v>
          </cell>
          <cell r="G110">
            <v>0</v>
          </cell>
          <cell r="H110">
            <v>14500</v>
          </cell>
        </row>
        <row r="111">
          <cell r="A111">
            <v>43040040</v>
          </cell>
          <cell r="B111" t="str">
            <v>Motor Car Hire Expenses</v>
          </cell>
          <cell r="C111">
            <v>0</v>
          </cell>
          <cell r="D111">
            <v>76142</v>
          </cell>
          <cell r="E111">
            <v>26000</v>
          </cell>
          <cell r="F111">
            <v>50142</v>
          </cell>
          <cell r="G111">
            <v>0</v>
          </cell>
          <cell r="H111">
            <v>50142</v>
          </cell>
        </row>
        <row r="112">
          <cell r="A112">
            <v>43040100</v>
          </cell>
          <cell r="B112" t="str">
            <v>Hotel Expenses  - FBT</v>
          </cell>
          <cell r="C112">
            <v>0</v>
          </cell>
          <cell r="D112">
            <v>4500</v>
          </cell>
          <cell r="E112">
            <v>0</v>
          </cell>
          <cell r="F112">
            <v>4500</v>
          </cell>
          <cell r="G112">
            <v>0</v>
          </cell>
          <cell r="H112">
            <v>4500</v>
          </cell>
        </row>
        <row r="113">
          <cell r="A113">
            <v>43042010</v>
          </cell>
          <cell r="B113" t="str">
            <v>Fuel - Truck Mixers</v>
          </cell>
          <cell r="C113">
            <v>0</v>
          </cell>
          <cell r="D113">
            <v>468645.62</v>
          </cell>
          <cell r="E113">
            <v>160053.81</v>
          </cell>
          <cell r="F113">
            <v>308591.81</v>
          </cell>
          <cell r="G113">
            <v>0</v>
          </cell>
          <cell r="H113">
            <v>308591.81</v>
          </cell>
        </row>
        <row r="114">
          <cell r="A114">
            <v>43042020</v>
          </cell>
          <cell r="B114" t="str">
            <v>Fuel - Loader</v>
          </cell>
          <cell r="C114">
            <v>0</v>
          </cell>
          <cell r="D114">
            <v>52753</v>
          </cell>
          <cell r="E114">
            <v>18349</v>
          </cell>
          <cell r="F114">
            <v>34404</v>
          </cell>
          <cell r="G114">
            <v>0</v>
          </cell>
          <cell r="H114">
            <v>34404</v>
          </cell>
        </row>
        <row r="115">
          <cell r="A115">
            <v>43042060</v>
          </cell>
          <cell r="B115" t="str">
            <v>Fuel - Concrete Pumps</v>
          </cell>
          <cell r="C115">
            <v>0</v>
          </cell>
          <cell r="D115">
            <v>71652</v>
          </cell>
          <cell r="E115">
            <v>25100</v>
          </cell>
          <cell r="F115">
            <v>46552</v>
          </cell>
          <cell r="G115">
            <v>0</v>
          </cell>
          <cell r="H115">
            <v>46552</v>
          </cell>
        </row>
        <row r="116">
          <cell r="A116">
            <v>43046010</v>
          </cell>
          <cell r="B116" t="str">
            <v>Rates &amp; Taxes</v>
          </cell>
          <cell r="C116">
            <v>0</v>
          </cell>
          <cell r="D116">
            <v>66908</v>
          </cell>
          <cell r="E116">
            <v>0</v>
          </cell>
          <cell r="F116">
            <v>66908</v>
          </cell>
          <cell r="G116">
            <v>0</v>
          </cell>
          <cell r="H116">
            <v>66908</v>
          </cell>
        </row>
        <row r="117">
          <cell r="A117">
            <v>43052010</v>
          </cell>
          <cell r="B117" t="str">
            <v>Security Service Charges</v>
          </cell>
          <cell r="C117">
            <v>0</v>
          </cell>
          <cell r="D117">
            <v>94245</v>
          </cell>
          <cell r="E117">
            <v>14895</v>
          </cell>
          <cell r="F117">
            <v>79350</v>
          </cell>
          <cell r="G117">
            <v>0</v>
          </cell>
          <cell r="H117">
            <v>79350</v>
          </cell>
        </row>
        <row r="118">
          <cell r="A118">
            <v>43054020</v>
          </cell>
          <cell r="B118" t="str">
            <v>Concrete Carrying Charges - TM</v>
          </cell>
          <cell r="C118">
            <v>0</v>
          </cell>
          <cell r="D118">
            <v>156000</v>
          </cell>
          <cell r="E118">
            <v>81000</v>
          </cell>
          <cell r="F118">
            <v>75000</v>
          </cell>
          <cell r="G118">
            <v>0</v>
          </cell>
          <cell r="H118">
            <v>75000</v>
          </cell>
        </row>
        <row r="119">
          <cell r="A119">
            <v>43056010</v>
          </cell>
          <cell r="B119" t="str">
            <v>Professional &amp; Consultancy Fees</v>
          </cell>
          <cell r="C119">
            <v>0</v>
          </cell>
          <cell r="D119">
            <v>88511</v>
          </cell>
          <cell r="E119">
            <v>27500</v>
          </cell>
          <cell r="F119">
            <v>61011</v>
          </cell>
          <cell r="G119">
            <v>0</v>
          </cell>
          <cell r="H119">
            <v>61011</v>
          </cell>
        </row>
        <row r="120">
          <cell r="A120">
            <v>43056020</v>
          </cell>
          <cell r="B120" t="str">
            <v>Legal fees - Court fee on which TDS is not recovered</v>
          </cell>
          <cell r="C120">
            <v>0</v>
          </cell>
          <cell r="D120">
            <v>200</v>
          </cell>
          <cell r="E120">
            <v>0</v>
          </cell>
          <cell r="F120">
            <v>200</v>
          </cell>
          <cell r="G120">
            <v>0</v>
          </cell>
          <cell r="H120">
            <v>200</v>
          </cell>
        </row>
        <row r="121">
          <cell r="A121">
            <v>43062010</v>
          </cell>
          <cell r="B121" t="str">
            <v>Computer Expenses</v>
          </cell>
          <cell r="C121">
            <v>0</v>
          </cell>
          <cell r="D121">
            <v>4446.1499999999996</v>
          </cell>
          <cell r="E121">
            <v>0</v>
          </cell>
          <cell r="F121">
            <v>4446.1499999999996</v>
          </cell>
          <cell r="G121">
            <v>0</v>
          </cell>
          <cell r="H121">
            <v>4446.1499999999996</v>
          </cell>
        </row>
        <row r="122">
          <cell r="A122">
            <v>43066010</v>
          </cell>
          <cell r="B122" t="str">
            <v>Books &amp; Periodicals</v>
          </cell>
          <cell r="C122">
            <v>0</v>
          </cell>
          <cell r="D122">
            <v>497</v>
          </cell>
          <cell r="E122">
            <v>0</v>
          </cell>
          <cell r="F122">
            <v>497</v>
          </cell>
          <cell r="G122">
            <v>0</v>
          </cell>
          <cell r="H122">
            <v>497</v>
          </cell>
        </row>
        <row r="123">
          <cell r="A123">
            <v>43066020</v>
          </cell>
          <cell r="B123" t="str">
            <v>Printing &amp; Stationery</v>
          </cell>
          <cell r="C123">
            <v>0</v>
          </cell>
          <cell r="D123">
            <v>742</v>
          </cell>
          <cell r="E123">
            <v>0</v>
          </cell>
          <cell r="F123">
            <v>742</v>
          </cell>
          <cell r="G123">
            <v>0</v>
          </cell>
          <cell r="H123">
            <v>742</v>
          </cell>
        </row>
        <row r="124">
          <cell r="A124">
            <v>43074010</v>
          </cell>
          <cell r="B124" t="str">
            <v>Provision For Bad &amp; Doubtful Debts W/Off</v>
          </cell>
          <cell r="C124">
            <v>0</v>
          </cell>
          <cell r="D124">
            <v>60630</v>
          </cell>
          <cell r="E124">
            <v>0</v>
          </cell>
          <cell r="F124">
            <v>60630</v>
          </cell>
          <cell r="G124">
            <v>0</v>
          </cell>
          <cell r="H124">
            <v>60630</v>
          </cell>
        </row>
        <row r="125">
          <cell r="A125">
            <v>43084020</v>
          </cell>
          <cell r="B125" t="str">
            <v>Testing Charges</v>
          </cell>
          <cell r="C125">
            <v>0</v>
          </cell>
          <cell r="D125">
            <v>993</v>
          </cell>
          <cell r="E125">
            <v>0</v>
          </cell>
          <cell r="F125">
            <v>993</v>
          </cell>
          <cell r="G125">
            <v>0</v>
          </cell>
          <cell r="H125">
            <v>993</v>
          </cell>
        </row>
        <row r="126">
          <cell r="A126">
            <v>43084030</v>
          </cell>
          <cell r="B126" t="str">
            <v>Rounding Off</v>
          </cell>
          <cell r="C126">
            <v>0</v>
          </cell>
          <cell r="D126">
            <v>40.42</v>
          </cell>
          <cell r="E126">
            <v>83.11</v>
          </cell>
          <cell r="F126">
            <v>-42.69</v>
          </cell>
          <cell r="G126">
            <v>0</v>
          </cell>
          <cell r="H126">
            <v>-42.69</v>
          </cell>
        </row>
        <row r="127">
          <cell r="A127">
            <v>44010040</v>
          </cell>
          <cell r="B127" t="str">
            <v>Bank Charges</v>
          </cell>
          <cell r="C127">
            <v>0</v>
          </cell>
          <cell r="D127">
            <v>470</v>
          </cell>
          <cell r="E127">
            <v>0</v>
          </cell>
          <cell r="F127">
            <v>470</v>
          </cell>
          <cell r="G127">
            <v>0</v>
          </cell>
          <cell r="H127">
            <v>470</v>
          </cell>
        </row>
        <row r="128">
          <cell r="A128">
            <v>45010010</v>
          </cell>
          <cell r="B128" t="str">
            <v>Depreciation</v>
          </cell>
          <cell r="C128">
            <v>0</v>
          </cell>
          <cell r="D128">
            <v>790078</v>
          </cell>
          <cell r="E128">
            <v>0</v>
          </cell>
          <cell r="F128">
            <v>790078</v>
          </cell>
          <cell r="G128">
            <v>0</v>
          </cell>
          <cell r="H128">
            <v>790078</v>
          </cell>
        </row>
        <row r="129">
          <cell r="A129">
            <v>52000000</v>
          </cell>
          <cell r="B129" t="str">
            <v>Inter Branch Control Account</v>
          </cell>
          <cell r="C129">
            <v>-45006717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-45006717</v>
          </cell>
        </row>
        <row r="130">
          <cell r="A130">
            <v>52000809</v>
          </cell>
          <cell r="B130" t="str">
            <v>Inter branch control account for 08-09</v>
          </cell>
          <cell r="C130">
            <v>1317929</v>
          </cell>
          <cell r="D130">
            <v>3972333</v>
          </cell>
          <cell r="E130">
            <v>5226877.5</v>
          </cell>
          <cell r="F130">
            <v>-1254544.5</v>
          </cell>
          <cell r="G130">
            <v>0</v>
          </cell>
          <cell r="H130">
            <v>63384.5</v>
          </cell>
        </row>
        <row r="131">
          <cell r="A131">
            <v>62000000</v>
          </cell>
          <cell r="B131" t="str">
            <v>Inter branch Clearing account</v>
          </cell>
          <cell r="C131">
            <v>0</v>
          </cell>
          <cell r="D131">
            <v>8771135.5</v>
          </cell>
          <cell r="E131">
            <v>8771135.5</v>
          </cell>
          <cell r="F131">
            <v>0</v>
          </cell>
          <cell r="G131">
            <v>0</v>
          </cell>
          <cell r="H131">
            <v>0</v>
          </cell>
        </row>
        <row r="132">
          <cell r="B132" t="str">
            <v>Total</v>
          </cell>
          <cell r="D132">
            <v>0</v>
          </cell>
          <cell r="E132">
            <v>109501866.93000001</v>
          </cell>
          <cell r="F132">
            <v>109501866.93000001</v>
          </cell>
          <cell r="G132">
            <v>0</v>
          </cell>
          <cell r="H132">
            <v>0</v>
          </cell>
        </row>
      </sheetData>
      <sheetData sheetId="24" refreshError="1">
        <row r="1">
          <cell r="A1" t="str">
            <v>RMC Readymix (I) Pvt. Ltd.,</v>
          </cell>
          <cell r="B1" t="str">
            <v>Trial balance</v>
          </cell>
          <cell r="C1">
            <v>39970</v>
          </cell>
          <cell r="D1">
            <v>0.44332175925925926</v>
          </cell>
          <cell r="E1" t="str">
            <v>Page 1</v>
          </cell>
          <cell r="F1" t="str">
            <v>Pune</v>
          </cell>
        </row>
        <row r="2">
          <cell r="A2" t="str">
            <v>Period</v>
          </cell>
          <cell r="B2">
            <v>39904</v>
          </cell>
          <cell r="C2">
            <v>39964</v>
          </cell>
        </row>
        <row r="3">
          <cell r="A3" t="str">
            <v>Ledger account</v>
          </cell>
          <cell r="B3" t="str">
            <v>Account name</v>
          </cell>
          <cell r="C3" t="str">
            <v>Opening balance</v>
          </cell>
          <cell r="D3" t="str">
            <v>Debit</v>
          </cell>
          <cell r="E3" t="str">
            <v>Credit</v>
          </cell>
          <cell r="F3" t="str">
            <v>Net difference</v>
          </cell>
          <cell r="G3" t="str">
            <v>Closing transactions</v>
          </cell>
          <cell r="H3" t="str">
            <v>Closing balance</v>
          </cell>
        </row>
        <row r="4">
          <cell r="A4">
            <v>11010010</v>
          </cell>
          <cell r="B4" t="str">
            <v>Freehold Land</v>
          </cell>
          <cell r="C4">
            <v>3038960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3038960</v>
          </cell>
        </row>
        <row r="5">
          <cell r="A5">
            <v>11015010</v>
          </cell>
          <cell r="B5" t="str">
            <v>Buildings</v>
          </cell>
          <cell r="C5">
            <v>27574640.109999999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27574640.109999999</v>
          </cell>
        </row>
        <row r="6">
          <cell r="A6">
            <v>11025010</v>
          </cell>
          <cell r="B6" t="str">
            <v>Plant and Machinery</v>
          </cell>
          <cell r="C6">
            <v>59417772.109999999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59417772.109999999</v>
          </cell>
        </row>
        <row r="7">
          <cell r="A7">
            <v>11030010</v>
          </cell>
          <cell r="B7" t="str">
            <v>Electrical Installations</v>
          </cell>
          <cell r="C7">
            <v>5745863.6399999997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5745863.6399999997</v>
          </cell>
        </row>
        <row r="8">
          <cell r="A8">
            <v>11035010</v>
          </cell>
          <cell r="B8" t="str">
            <v>Furniture &amp; Fixtures</v>
          </cell>
          <cell r="C8">
            <v>3986086</v>
          </cell>
          <cell r="D8">
            <v>64007</v>
          </cell>
          <cell r="E8">
            <v>0</v>
          </cell>
          <cell r="F8">
            <v>64007</v>
          </cell>
          <cell r="G8">
            <v>0</v>
          </cell>
          <cell r="H8">
            <v>4050093</v>
          </cell>
        </row>
        <row r="9">
          <cell r="A9">
            <v>11040010</v>
          </cell>
          <cell r="B9" t="str">
            <v>Office &amp; Electrical Appliances</v>
          </cell>
          <cell r="C9">
            <v>1195499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1195499</v>
          </cell>
        </row>
        <row r="10">
          <cell r="A10">
            <v>11045010</v>
          </cell>
          <cell r="B10" t="str">
            <v>Truck Mixers, Loaders &amp; Truck Dumpers</v>
          </cell>
          <cell r="C10">
            <v>30764967.710000001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30764967.710000001</v>
          </cell>
        </row>
        <row r="11">
          <cell r="A11">
            <v>11050010</v>
          </cell>
          <cell r="B11" t="str">
            <v>Motor Vehicles &amp; Technical Vans</v>
          </cell>
          <cell r="C11">
            <v>343494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343494</v>
          </cell>
        </row>
        <row r="12">
          <cell r="A12">
            <v>11060010</v>
          </cell>
          <cell r="B12" t="str">
            <v>Capital W.I.P</v>
          </cell>
          <cell r="C12">
            <v>37000.1</v>
          </cell>
          <cell r="D12">
            <v>64007</v>
          </cell>
          <cell r="E12">
            <v>64007</v>
          </cell>
          <cell r="F12">
            <v>0</v>
          </cell>
          <cell r="G12">
            <v>0</v>
          </cell>
          <cell r="H12">
            <v>37000.1</v>
          </cell>
        </row>
        <row r="13">
          <cell r="A13">
            <v>13015010</v>
          </cell>
          <cell r="B13" t="str">
            <v>Balance Sheet Stock of Raw material - RMC</v>
          </cell>
          <cell r="C13">
            <v>3162917.34</v>
          </cell>
          <cell r="D13">
            <v>4161310.8</v>
          </cell>
          <cell r="E13">
            <v>3162972.42</v>
          </cell>
          <cell r="F13">
            <v>998338.38</v>
          </cell>
          <cell r="G13">
            <v>0</v>
          </cell>
          <cell r="H13">
            <v>4161255.72</v>
          </cell>
        </row>
        <row r="14">
          <cell r="A14">
            <v>13020010</v>
          </cell>
          <cell r="B14" t="str">
            <v>Sundry Debtors Account</v>
          </cell>
          <cell r="C14">
            <v>60411862.270000003</v>
          </cell>
          <cell r="D14">
            <v>80664417.159999996</v>
          </cell>
          <cell r="E14">
            <v>76953197.659999996</v>
          </cell>
          <cell r="F14">
            <v>3711219.5</v>
          </cell>
          <cell r="G14">
            <v>0</v>
          </cell>
          <cell r="H14">
            <v>64123081.770000003</v>
          </cell>
        </row>
        <row r="15">
          <cell r="A15">
            <v>13025010</v>
          </cell>
          <cell r="B15" t="str">
            <v>Cash In Hand</v>
          </cell>
          <cell r="C15">
            <v>69087</v>
          </cell>
          <cell r="D15">
            <v>571267</v>
          </cell>
          <cell r="E15">
            <v>455497</v>
          </cell>
          <cell r="F15">
            <v>115770</v>
          </cell>
          <cell r="G15">
            <v>0</v>
          </cell>
          <cell r="H15">
            <v>184857</v>
          </cell>
        </row>
        <row r="16">
          <cell r="A16">
            <v>13035010</v>
          </cell>
          <cell r="B16" t="str">
            <v>Bank Account</v>
          </cell>
          <cell r="C16">
            <v>390721.08</v>
          </cell>
          <cell r="D16">
            <v>70867020.890000001</v>
          </cell>
          <cell r="E16">
            <v>82098526.829999998</v>
          </cell>
          <cell r="F16">
            <v>-11231505.939999999</v>
          </cell>
          <cell r="G16">
            <v>0</v>
          </cell>
          <cell r="H16">
            <v>-10840784.859999999</v>
          </cell>
        </row>
        <row r="17">
          <cell r="A17">
            <v>13045020</v>
          </cell>
          <cell r="B17" t="str">
            <v>Loans and advances to employees</v>
          </cell>
          <cell r="C17">
            <v>0</v>
          </cell>
          <cell r="D17">
            <v>47000</v>
          </cell>
          <cell r="E17">
            <v>0</v>
          </cell>
          <cell r="F17">
            <v>47000</v>
          </cell>
          <cell r="G17">
            <v>0</v>
          </cell>
          <cell r="H17">
            <v>47000</v>
          </cell>
        </row>
        <row r="18">
          <cell r="A18">
            <v>13050020</v>
          </cell>
          <cell r="B18" t="str">
            <v>TDS ON RECEIPTS - 08-09</v>
          </cell>
          <cell r="C18">
            <v>1294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1294</v>
          </cell>
        </row>
        <row r="19">
          <cell r="A19">
            <v>13055020</v>
          </cell>
          <cell r="B19" t="str">
            <v>Prepaid Expenses</v>
          </cell>
          <cell r="C19">
            <v>197310</v>
          </cell>
          <cell r="D19">
            <v>465269</v>
          </cell>
          <cell r="E19">
            <v>42297</v>
          </cell>
          <cell r="F19">
            <v>422972</v>
          </cell>
          <cell r="G19">
            <v>0</v>
          </cell>
          <cell r="H19">
            <v>620282</v>
          </cell>
        </row>
        <row r="20">
          <cell r="A20">
            <v>13055060</v>
          </cell>
          <cell r="B20" t="str">
            <v>VAT Credit Receivable (Inputs)</v>
          </cell>
          <cell r="C20">
            <v>1551882.99</v>
          </cell>
          <cell r="D20">
            <v>2275546</v>
          </cell>
          <cell r="E20">
            <v>2602456</v>
          </cell>
          <cell r="F20">
            <v>-326910</v>
          </cell>
          <cell r="G20">
            <v>0</v>
          </cell>
          <cell r="H20">
            <v>1224972.99</v>
          </cell>
        </row>
        <row r="21">
          <cell r="A21">
            <v>13055070</v>
          </cell>
          <cell r="B21" t="str">
            <v>Vat Credit Receivable (Capital Goods)</v>
          </cell>
          <cell r="C21">
            <v>0</v>
          </cell>
          <cell r="D21">
            <v>323924</v>
          </cell>
          <cell r="E21">
            <v>323924</v>
          </cell>
          <cell r="F21">
            <v>0</v>
          </cell>
          <cell r="G21">
            <v>0</v>
          </cell>
          <cell r="H21">
            <v>0</v>
          </cell>
        </row>
        <row r="22">
          <cell r="A22">
            <v>13055090</v>
          </cell>
          <cell r="B22" t="str">
            <v>Sundry Deposits</v>
          </cell>
          <cell r="C22">
            <v>1984139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1984139</v>
          </cell>
        </row>
        <row r="23">
          <cell r="A23">
            <v>25005010</v>
          </cell>
          <cell r="B23" t="str">
            <v>Creditors Control</v>
          </cell>
          <cell r="C23">
            <v>-28753328.379999999</v>
          </cell>
          <cell r="D23">
            <v>67706878.640000001</v>
          </cell>
          <cell r="E23">
            <v>43022745.979999997</v>
          </cell>
          <cell r="F23">
            <v>24684132.66</v>
          </cell>
          <cell r="G23">
            <v>0</v>
          </cell>
          <cell r="H23">
            <v>-4069195.72</v>
          </cell>
        </row>
        <row r="24">
          <cell r="A24">
            <v>25005050</v>
          </cell>
          <cell r="B24" t="str">
            <v>Creditors liability for material received but bill not recei</v>
          </cell>
          <cell r="C24">
            <v>-2652403.38</v>
          </cell>
          <cell r="D24">
            <v>38215826.509999998</v>
          </cell>
          <cell r="E24">
            <v>51213303.200000003</v>
          </cell>
          <cell r="F24">
            <v>-12997476.689999999</v>
          </cell>
          <cell r="G24">
            <v>0</v>
          </cell>
          <cell r="H24">
            <v>-15649880.07</v>
          </cell>
        </row>
        <row r="25">
          <cell r="A25">
            <v>25010010</v>
          </cell>
          <cell r="B25" t="str">
            <v>Retention Money</v>
          </cell>
          <cell r="C25">
            <v>-10000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-10000</v>
          </cell>
        </row>
        <row r="26">
          <cell r="A26">
            <v>25010020</v>
          </cell>
          <cell r="B26" t="str">
            <v>Outstanding Liabilities For Expenses</v>
          </cell>
          <cell r="C26">
            <v>-6723981</v>
          </cell>
          <cell r="D26">
            <v>3610833.64</v>
          </cell>
          <cell r="E26">
            <v>0</v>
          </cell>
          <cell r="F26">
            <v>3610833.64</v>
          </cell>
          <cell r="G26">
            <v>0</v>
          </cell>
          <cell r="H26">
            <v>-3113147.36</v>
          </cell>
        </row>
        <row r="27">
          <cell r="A27">
            <v>25010050</v>
          </cell>
          <cell r="B27" t="str">
            <v>Salary Payable</v>
          </cell>
          <cell r="C27">
            <v>-41799</v>
          </cell>
          <cell r="D27">
            <v>1723372</v>
          </cell>
          <cell r="E27">
            <v>1712036</v>
          </cell>
          <cell r="F27">
            <v>11336</v>
          </cell>
          <cell r="G27">
            <v>0</v>
          </cell>
          <cell r="H27">
            <v>-30463</v>
          </cell>
        </row>
        <row r="28">
          <cell r="A28">
            <v>25010060</v>
          </cell>
          <cell r="B28" t="str">
            <v>T.D.S.payable account</v>
          </cell>
          <cell r="C28">
            <v>-487985</v>
          </cell>
          <cell r="D28">
            <v>697369</v>
          </cell>
          <cell r="E28">
            <v>351099</v>
          </cell>
          <cell r="F28">
            <v>346270</v>
          </cell>
          <cell r="G28">
            <v>0</v>
          </cell>
          <cell r="H28">
            <v>-141715</v>
          </cell>
        </row>
        <row r="29">
          <cell r="A29">
            <v>25010120</v>
          </cell>
          <cell r="B29" t="str">
            <v>Service Tax Payable</v>
          </cell>
          <cell r="C29">
            <v>7141.95</v>
          </cell>
          <cell r="D29">
            <v>473462</v>
          </cell>
          <cell r="E29">
            <v>473462</v>
          </cell>
          <cell r="F29">
            <v>0</v>
          </cell>
          <cell r="G29">
            <v>0</v>
          </cell>
          <cell r="H29">
            <v>7141.95</v>
          </cell>
        </row>
        <row r="30">
          <cell r="A30">
            <v>25010122</v>
          </cell>
          <cell r="B30" t="str">
            <v>Job Order Service tax Payable</v>
          </cell>
          <cell r="C30">
            <v>-899930</v>
          </cell>
          <cell r="D30">
            <v>637776</v>
          </cell>
          <cell r="E30">
            <v>221618</v>
          </cell>
          <cell r="F30">
            <v>416158</v>
          </cell>
          <cell r="G30">
            <v>0</v>
          </cell>
          <cell r="H30">
            <v>-483772</v>
          </cell>
        </row>
        <row r="31">
          <cell r="A31">
            <v>25010190</v>
          </cell>
          <cell r="B31" t="str">
            <v>VAT  Payable account</v>
          </cell>
          <cell r="C31">
            <v>-3236601.99</v>
          </cell>
          <cell r="D31">
            <v>7176038</v>
          </cell>
          <cell r="E31">
            <v>8322706</v>
          </cell>
          <cell r="F31">
            <v>-1146668</v>
          </cell>
          <cell r="G31">
            <v>0</v>
          </cell>
          <cell r="H31">
            <v>-4383269.99</v>
          </cell>
        </row>
        <row r="32">
          <cell r="A32">
            <v>25010200</v>
          </cell>
          <cell r="B32" t="str">
            <v>Provision for Expenses in MIS</v>
          </cell>
          <cell r="C32">
            <v>0</v>
          </cell>
          <cell r="D32">
            <v>4012551</v>
          </cell>
          <cell r="E32">
            <v>9368185</v>
          </cell>
          <cell r="F32">
            <v>-5355634</v>
          </cell>
          <cell r="G32">
            <v>0</v>
          </cell>
          <cell r="H32">
            <v>-5355634</v>
          </cell>
        </row>
        <row r="33">
          <cell r="A33">
            <v>25015010</v>
          </cell>
          <cell r="B33" t="str">
            <v>PF Payable account</v>
          </cell>
          <cell r="C33">
            <v>-112199</v>
          </cell>
          <cell r="D33">
            <v>106173</v>
          </cell>
          <cell r="E33">
            <v>103865</v>
          </cell>
          <cell r="F33">
            <v>2308</v>
          </cell>
          <cell r="G33">
            <v>0</v>
          </cell>
          <cell r="H33">
            <v>-109891</v>
          </cell>
        </row>
        <row r="34">
          <cell r="A34">
            <v>25020010</v>
          </cell>
          <cell r="B34" t="str">
            <v>E.S.I.C. Payable account</v>
          </cell>
          <cell r="C34">
            <v>-16419</v>
          </cell>
          <cell r="D34">
            <v>31231</v>
          </cell>
          <cell r="E34">
            <v>29228</v>
          </cell>
          <cell r="F34">
            <v>2003</v>
          </cell>
          <cell r="G34">
            <v>0</v>
          </cell>
          <cell r="H34">
            <v>-14416</v>
          </cell>
        </row>
        <row r="35">
          <cell r="A35">
            <v>25020040</v>
          </cell>
          <cell r="B35" t="str">
            <v>Profession Tax payable</v>
          </cell>
          <cell r="C35">
            <v>-12465</v>
          </cell>
          <cell r="D35">
            <v>23940</v>
          </cell>
          <cell r="E35">
            <v>23040</v>
          </cell>
          <cell r="F35">
            <v>900</v>
          </cell>
          <cell r="G35">
            <v>0</v>
          </cell>
          <cell r="H35">
            <v>-11565</v>
          </cell>
        </row>
        <row r="36">
          <cell r="A36">
            <v>26005020</v>
          </cell>
          <cell r="B36" t="str">
            <v>Provision For Bad &amp; Doubtful Debts</v>
          </cell>
          <cell r="C36">
            <v>-4218828</v>
          </cell>
          <cell r="D36">
            <v>0</v>
          </cell>
          <cell r="E36">
            <v>314240</v>
          </cell>
          <cell r="F36">
            <v>-314240</v>
          </cell>
          <cell r="G36">
            <v>0</v>
          </cell>
          <cell r="H36">
            <v>-4533068</v>
          </cell>
        </row>
        <row r="37">
          <cell r="A37">
            <v>26015010</v>
          </cell>
          <cell r="B37" t="str">
            <v>Prov For Dep.-  Buildings</v>
          </cell>
          <cell r="C37">
            <v>-4507996.2699999996</v>
          </cell>
          <cell r="D37">
            <v>0</v>
          </cell>
          <cell r="E37">
            <v>272961</v>
          </cell>
          <cell r="F37">
            <v>-272961</v>
          </cell>
          <cell r="G37">
            <v>0</v>
          </cell>
          <cell r="H37">
            <v>-4780957.2699999996</v>
          </cell>
        </row>
        <row r="38">
          <cell r="A38">
            <v>26025010</v>
          </cell>
          <cell r="B38" t="str">
            <v>Provision for Depreciation Plant &amp; Machinery</v>
          </cell>
          <cell r="C38">
            <v>-11962993.24</v>
          </cell>
          <cell r="D38">
            <v>0</v>
          </cell>
          <cell r="E38">
            <v>839706</v>
          </cell>
          <cell r="F38">
            <v>-839706</v>
          </cell>
          <cell r="G38">
            <v>0</v>
          </cell>
          <cell r="H38">
            <v>-12802699.24</v>
          </cell>
        </row>
        <row r="39">
          <cell r="A39">
            <v>26030010</v>
          </cell>
          <cell r="B39" t="str">
            <v>Provision For Dep.-Electrical Installations</v>
          </cell>
          <cell r="C39">
            <v>-1216907.44</v>
          </cell>
          <cell r="D39">
            <v>0</v>
          </cell>
          <cell r="E39">
            <v>95739</v>
          </cell>
          <cell r="F39">
            <v>-95739</v>
          </cell>
          <cell r="G39">
            <v>0</v>
          </cell>
          <cell r="H39">
            <v>-1312646.44</v>
          </cell>
        </row>
        <row r="40">
          <cell r="A40">
            <v>26035010</v>
          </cell>
          <cell r="B40" t="str">
            <v>Provision For Dep.-Furniture and Fixtures</v>
          </cell>
          <cell r="C40">
            <v>-882738.44</v>
          </cell>
          <cell r="D40">
            <v>0</v>
          </cell>
          <cell r="E40">
            <v>70731</v>
          </cell>
          <cell r="F40">
            <v>-70731</v>
          </cell>
          <cell r="G40">
            <v>0</v>
          </cell>
          <cell r="H40">
            <v>-953469.43999999994</v>
          </cell>
        </row>
        <row r="41">
          <cell r="A41">
            <v>26040010</v>
          </cell>
          <cell r="B41" t="str">
            <v>Provision for Depreciation- Office and Electrical Appliances</v>
          </cell>
          <cell r="C41">
            <v>-557178.31000000006</v>
          </cell>
          <cell r="D41">
            <v>0</v>
          </cell>
          <cell r="E41">
            <v>36525</v>
          </cell>
          <cell r="F41">
            <v>-36525</v>
          </cell>
          <cell r="G41">
            <v>0</v>
          </cell>
          <cell r="H41">
            <v>-593703.31000000006</v>
          </cell>
        </row>
        <row r="42">
          <cell r="A42">
            <v>26045010</v>
          </cell>
          <cell r="B42" t="str">
            <v>Provision for Depreciation- Truck Mixers, Loaders &amp; Dumpers</v>
          </cell>
          <cell r="C42">
            <v>-11297540.16</v>
          </cell>
          <cell r="D42">
            <v>0</v>
          </cell>
          <cell r="E42">
            <v>640766</v>
          </cell>
          <cell r="F42">
            <v>-640766</v>
          </cell>
          <cell r="G42">
            <v>0</v>
          </cell>
          <cell r="H42">
            <v>-11938306.16</v>
          </cell>
        </row>
        <row r="43">
          <cell r="A43">
            <v>26050010</v>
          </cell>
          <cell r="B43" t="str">
            <v>Provision for Depreciation Motor Vehicles &amp; Technical Vans</v>
          </cell>
          <cell r="C43">
            <v>-276286</v>
          </cell>
          <cell r="D43">
            <v>0</v>
          </cell>
          <cell r="E43">
            <v>14935</v>
          </cell>
          <cell r="F43">
            <v>-14935</v>
          </cell>
          <cell r="G43">
            <v>0</v>
          </cell>
          <cell r="H43">
            <v>-291221</v>
          </cell>
        </row>
        <row r="44">
          <cell r="A44">
            <v>26055020</v>
          </cell>
          <cell r="B44" t="str">
            <v>Profit &amp; Loss A/c</v>
          </cell>
          <cell r="C44">
            <v>-144125130.62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-144125130.62</v>
          </cell>
        </row>
        <row r="45">
          <cell r="A45">
            <v>26055030</v>
          </cell>
          <cell r="B45" t="str">
            <v>Provision for Leave encashment</v>
          </cell>
          <cell r="C45">
            <v>0</v>
          </cell>
          <cell r="D45">
            <v>0</v>
          </cell>
          <cell r="E45">
            <v>74946</v>
          </cell>
          <cell r="F45">
            <v>-74946</v>
          </cell>
          <cell r="G45">
            <v>0</v>
          </cell>
          <cell r="H45">
            <v>-74946</v>
          </cell>
        </row>
        <row r="46">
          <cell r="A46">
            <v>26055050</v>
          </cell>
          <cell r="B46" t="str">
            <v>Provision for Production linked incentive (KRA)</v>
          </cell>
          <cell r="C46">
            <v>0</v>
          </cell>
          <cell r="D46">
            <v>0</v>
          </cell>
          <cell r="E46">
            <v>186334</v>
          </cell>
          <cell r="F46">
            <v>-186334</v>
          </cell>
          <cell r="G46">
            <v>0</v>
          </cell>
          <cell r="H46">
            <v>-186334</v>
          </cell>
        </row>
        <row r="47">
          <cell r="A47">
            <v>31010010</v>
          </cell>
          <cell r="B47" t="str">
            <v>Sales</v>
          </cell>
          <cell r="C47">
            <v>0</v>
          </cell>
          <cell r="D47">
            <v>3324949.98</v>
          </cell>
          <cell r="E47">
            <v>66473894.920000002</v>
          </cell>
          <cell r="F47">
            <v>-63148944.939999998</v>
          </cell>
          <cell r="G47">
            <v>0</v>
          </cell>
          <cell r="H47">
            <v>-63148944.939999998</v>
          </cell>
        </row>
        <row r="48">
          <cell r="A48">
            <v>31010060</v>
          </cell>
          <cell r="B48" t="str">
            <v>Income from Processing, transportation &amp; Laying of concrete</v>
          </cell>
          <cell r="C48">
            <v>0</v>
          </cell>
          <cell r="D48">
            <v>0</v>
          </cell>
          <cell r="E48">
            <v>2151600</v>
          </cell>
          <cell r="F48">
            <v>-2151600</v>
          </cell>
          <cell r="G48">
            <v>0</v>
          </cell>
          <cell r="H48">
            <v>-2151600</v>
          </cell>
        </row>
        <row r="49">
          <cell r="A49">
            <v>31030020</v>
          </cell>
          <cell r="B49" t="str">
            <v>Waiting / Partload Charges</v>
          </cell>
          <cell r="C49">
            <v>0</v>
          </cell>
          <cell r="D49">
            <v>0</v>
          </cell>
          <cell r="E49">
            <v>2622</v>
          </cell>
          <cell r="F49">
            <v>-2622</v>
          </cell>
          <cell r="G49">
            <v>0</v>
          </cell>
          <cell r="H49">
            <v>-2622</v>
          </cell>
        </row>
        <row r="50">
          <cell r="A50">
            <v>31040010</v>
          </cell>
          <cell r="B50" t="str">
            <v>Mobilisation Charges</v>
          </cell>
          <cell r="C50">
            <v>0</v>
          </cell>
          <cell r="D50">
            <v>0</v>
          </cell>
          <cell r="E50">
            <v>62954.66</v>
          </cell>
          <cell r="F50">
            <v>-62954.66</v>
          </cell>
          <cell r="G50">
            <v>0</v>
          </cell>
          <cell r="H50">
            <v>-62954.66</v>
          </cell>
        </row>
        <row r="51">
          <cell r="A51">
            <v>32020020</v>
          </cell>
          <cell r="B51" t="str">
            <v>Misc Income - Scrap sales</v>
          </cell>
          <cell r="C51">
            <v>0</v>
          </cell>
          <cell r="D51">
            <v>0</v>
          </cell>
          <cell r="E51">
            <v>40611.879999999997</v>
          </cell>
          <cell r="F51">
            <v>-40611.879999999997</v>
          </cell>
          <cell r="G51">
            <v>0</v>
          </cell>
          <cell r="H51">
            <v>-40611.879999999997</v>
          </cell>
        </row>
        <row r="52">
          <cell r="A52">
            <v>41010010</v>
          </cell>
          <cell r="B52" t="str">
            <v>Opening Stock - Cement</v>
          </cell>
          <cell r="C52">
            <v>0</v>
          </cell>
          <cell r="D52">
            <v>1025973.06</v>
          </cell>
          <cell r="E52">
            <v>0</v>
          </cell>
          <cell r="F52">
            <v>1025973.06</v>
          </cell>
          <cell r="G52">
            <v>0</v>
          </cell>
          <cell r="H52">
            <v>1025973.06</v>
          </cell>
        </row>
        <row r="53">
          <cell r="A53">
            <v>41010020</v>
          </cell>
          <cell r="B53" t="str">
            <v>Opening Stock - Sand</v>
          </cell>
          <cell r="C53">
            <v>0</v>
          </cell>
          <cell r="D53">
            <v>305473.71999999997</v>
          </cell>
          <cell r="E53">
            <v>5.28</v>
          </cell>
          <cell r="F53">
            <v>305468.44</v>
          </cell>
          <cell r="G53">
            <v>0</v>
          </cell>
          <cell r="H53">
            <v>305468.44</v>
          </cell>
        </row>
        <row r="54">
          <cell r="A54">
            <v>41010030</v>
          </cell>
          <cell r="B54" t="str">
            <v>Opening Stock - CRF</v>
          </cell>
          <cell r="C54">
            <v>0</v>
          </cell>
          <cell r="D54">
            <v>174876.18</v>
          </cell>
          <cell r="E54">
            <v>8.69</v>
          </cell>
          <cell r="F54">
            <v>174867.49</v>
          </cell>
          <cell r="G54">
            <v>0</v>
          </cell>
          <cell r="H54">
            <v>174867.49</v>
          </cell>
        </row>
        <row r="55">
          <cell r="A55">
            <v>41010040</v>
          </cell>
          <cell r="B55" t="str">
            <v>Opening Stock - RMC Aggregates</v>
          </cell>
          <cell r="C55">
            <v>0</v>
          </cell>
          <cell r="D55">
            <v>173362.66</v>
          </cell>
          <cell r="E55">
            <v>0</v>
          </cell>
          <cell r="F55">
            <v>173362.66</v>
          </cell>
          <cell r="G55">
            <v>0</v>
          </cell>
          <cell r="H55">
            <v>173362.66</v>
          </cell>
        </row>
        <row r="56">
          <cell r="A56">
            <v>41010050</v>
          </cell>
          <cell r="B56" t="str">
            <v>Opening Stock - Admixtures</v>
          </cell>
          <cell r="C56">
            <v>0</v>
          </cell>
          <cell r="D56">
            <v>1112777.48</v>
          </cell>
          <cell r="E56">
            <v>41.11</v>
          </cell>
          <cell r="F56">
            <v>1112736.3700000001</v>
          </cell>
          <cell r="G56">
            <v>0</v>
          </cell>
          <cell r="H56">
            <v>1112736.3700000001</v>
          </cell>
        </row>
        <row r="57">
          <cell r="A57">
            <v>41010070</v>
          </cell>
          <cell r="B57" t="str">
            <v>Opening Stock - Flyash</v>
          </cell>
          <cell r="C57">
            <v>0</v>
          </cell>
          <cell r="D57">
            <v>267822.86</v>
          </cell>
          <cell r="E57">
            <v>0</v>
          </cell>
          <cell r="F57">
            <v>267822.86</v>
          </cell>
          <cell r="G57">
            <v>0</v>
          </cell>
          <cell r="H57">
            <v>267822.86</v>
          </cell>
        </row>
        <row r="58">
          <cell r="A58">
            <v>41010080</v>
          </cell>
          <cell r="B58" t="str">
            <v>Opening Stock - Diesel</v>
          </cell>
          <cell r="C58">
            <v>0</v>
          </cell>
          <cell r="D58">
            <v>102686.46</v>
          </cell>
          <cell r="E58">
            <v>0</v>
          </cell>
          <cell r="F58">
            <v>102686.46</v>
          </cell>
          <cell r="G58">
            <v>0</v>
          </cell>
          <cell r="H58">
            <v>102686.46</v>
          </cell>
        </row>
        <row r="59">
          <cell r="A59">
            <v>41020010</v>
          </cell>
          <cell r="B59" t="str">
            <v>Raw Material Purchase - Cement</v>
          </cell>
          <cell r="C59">
            <v>0</v>
          </cell>
          <cell r="D59">
            <v>22996537.07</v>
          </cell>
          <cell r="E59">
            <v>24571292.640000001</v>
          </cell>
          <cell r="F59">
            <v>-1574755.57</v>
          </cell>
          <cell r="G59">
            <v>0</v>
          </cell>
          <cell r="H59">
            <v>-1574755.57</v>
          </cell>
        </row>
        <row r="60">
          <cell r="A60">
            <v>41020015</v>
          </cell>
          <cell r="B60" t="str">
            <v>Interim account cement received</v>
          </cell>
          <cell r="C60">
            <v>0</v>
          </cell>
          <cell r="D60">
            <v>24975960.239999998</v>
          </cell>
          <cell r="E60">
            <v>22443086.079999998</v>
          </cell>
          <cell r="F60">
            <v>2532874.16</v>
          </cell>
          <cell r="G60">
            <v>0</v>
          </cell>
          <cell r="H60">
            <v>2532874.16</v>
          </cell>
        </row>
        <row r="61">
          <cell r="A61">
            <v>41020020</v>
          </cell>
          <cell r="B61" t="str">
            <v>Cement Consumption account</v>
          </cell>
          <cell r="C61">
            <v>0</v>
          </cell>
          <cell r="D61">
            <v>24006862.949999999</v>
          </cell>
          <cell r="E61">
            <v>0</v>
          </cell>
          <cell r="F61">
            <v>24006862.949999999</v>
          </cell>
          <cell r="G61">
            <v>0</v>
          </cell>
          <cell r="H61">
            <v>24006862.949999999</v>
          </cell>
        </row>
        <row r="62">
          <cell r="A62">
            <v>41020030</v>
          </cell>
          <cell r="B62" t="str">
            <v>Raw Material Purchase - Aggregates</v>
          </cell>
          <cell r="C62">
            <v>0</v>
          </cell>
          <cell r="D62">
            <v>2977558.47</v>
          </cell>
          <cell r="E62">
            <v>6382461.3799999999</v>
          </cell>
          <cell r="F62">
            <v>-3404902.91</v>
          </cell>
          <cell r="G62">
            <v>0</v>
          </cell>
          <cell r="H62">
            <v>-3404902.91</v>
          </cell>
        </row>
        <row r="63">
          <cell r="A63">
            <v>41020035</v>
          </cell>
          <cell r="B63" t="str">
            <v>Interim account Aggregate received</v>
          </cell>
          <cell r="C63">
            <v>0</v>
          </cell>
          <cell r="D63">
            <v>6309659.25</v>
          </cell>
          <cell r="E63">
            <v>2859235.37</v>
          </cell>
          <cell r="F63">
            <v>3450423.88</v>
          </cell>
          <cell r="G63">
            <v>0</v>
          </cell>
          <cell r="H63">
            <v>3450423.88</v>
          </cell>
        </row>
        <row r="64">
          <cell r="A64">
            <v>41020040</v>
          </cell>
          <cell r="B64" t="str">
            <v>Aggregate Consumption account</v>
          </cell>
          <cell r="C64">
            <v>0</v>
          </cell>
          <cell r="D64">
            <v>6004264.1100000003</v>
          </cell>
          <cell r="E64">
            <v>0</v>
          </cell>
          <cell r="F64">
            <v>6004264.1100000003</v>
          </cell>
          <cell r="G64">
            <v>0</v>
          </cell>
          <cell r="H64">
            <v>6004264.1100000003</v>
          </cell>
        </row>
        <row r="65">
          <cell r="A65">
            <v>41020050</v>
          </cell>
          <cell r="B65" t="str">
            <v>Raw Material Purchase - Sand</v>
          </cell>
          <cell r="C65">
            <v>0</v>
          </cell>
          <cell r="D65">
            <v>1643717.59</v>
          </cell>
          <cell r="E65">
            <v>4156498.57</v>
          </cell>
          <cell r="F65">
            <v>-2512780.98</v>
          </cell>
          <cell r="G65">
            <v>0</v>
          </cell>
          <cell r="H65">
            <v>-2512780.98</v>
          </cell>
        </row>
        <row r="66">
          <cell r="A66">
            <v>41020055</v>
          </cell>
          <cell r="B66" t="str">
            <v>Interim account Sand Received</v>
          </cell>
          <cell r="C66">
            <v>0</v>
          </cell>
          <cell r="D66">
            <v>3993859.69</v>
          </cell>
          <cell r="E66">
            <v>1593244.43</v>
          </cell>
          <cell r="F66">
            <v>2400615.2599999998</v>
          </cell>
          <cell r="G66">
            <v>0</v>
          </cell>
          <cell r="H66">
            <v>2400615.2599999998</v>
          </cell>
        </row>
        <row r="67">
          <cell r="A67">
            <v>41020060</v>
          </cell>
          <cell r="B67" t="str">
            <v>Sand Consumption account</v>
          </cell>
          <cell r="C67">
            <v>0</v>
          </cell>
          <cell r="D67">
            <v>4083379.91</v>
          </cell>
          <cell r="E67">
            <v>0</v>
          </cell>
          <cell r="F67">
            <v>4083379.91</v>
          </cell>
          <cell r="G67">
            <v>0</v>
          </cell>
          <cell r="H67">
            <v>4083379.91</v>
          </cell>
        </row>
        <row r="68">
          <cell r="A68">
            <v>41020070</v>
          </cell>
          <cell r="B68" t="str">
            <v>Raw Material Purchase - Admixture</v>
          </cell>
          <cell r="C68">
            <v>0</v>
          </cell>
          <cell r="D68">
            <v>924985.98</v>
          </cell>
          <cell r="E68">
            <v>1419534.65</v>
          </cell>
          <cell r="F68">
            <v>-494548.67</v>
          </cell>
          <cell r="G68">
            <v>0</v>
          </cell>
          <cell r="H68">
            <v>-494548.67</v>
          </cell>
        </row>
        <row r="69">
          <cell r="A69">
            <v>41020075</v>
          </cell>
          <cell r="B69" t="str">
            <v>Interim account Admixture received</v>
          </cell>
          <cell r="C69">
            <v>0</v>
          </cell>
          <cell r="D69">
            <v>1383611.8</v>
          </cell>
          <cell r="E69">
            <v>918581.4</v>
          </cell>
          <cell r="F69">
            <v>465030.40000000002</v>
          </cell>
          <cell r="G69">
            <v>0</v>
          </cell>
          <cell r="H69">
            <v>465030.40000000002</v>
          </cell>
        </row>
        <row r="70">
          <cell r="A70">
            <v>41020080</v>
          </cell>
          <cell r="B70" t="str">
            <v>Admixture Consumption account</v>
          </cell>
          <cell r="C70">
            <v>0</v>
          </cell>
          <cell r="D70">
            <v>1356388.33</v>
          </cell>
          <cell r="E70">
            <v>0</v>
          </cell>
          <cell r="F70">
            <v>1356388.33</v>
          </cell>
          <cell r="G70">
            <v>0</v>
          </cell>
          <cell r="H70">
            <v>1356388.33</v>
          </cell>
        </row>
        <row r="71">
          <cell r="A71">
            <v>41020090</v>
          </cell>
          <cell r="B71" t="str">
            <v>Raw Material  Purchase - Fly Ash</v>
          </cell>
          <cell r="C71">
            <v>0</v>
          </cell>
          <cell r="D71">
            <v>1905438.96</v>
          </cell>
          <cell r="E71">
            <v>2268190.9500000002</v>
          </cell>
          <cell r="F71">
            <v>-362751.99</v>
          </cell>
          <cell r="G71">
            <v>0</v>
          </cell>
          <cell r="H71">
            <v>-362751.99</v>
          </cell>
        </row>
        <row r="72">
          <cell r="A72">
            <v>41020095</v>
          </cell>
          <cell r="B72" t="str">
            <v>Interim account fly ash received</v>
          </cell>
          <cell r="C72">
            <v>0</v>
          </cell>
          <cell r="D72">
            <v>2223213.5</v>
          </cell>
          <cell r="E72">
            <v>1836723.25</v>
          </cell>
          <cell r="F72">
            <v>386490.25</v>
          </cell>
          <cell r="G72">
            <v>0</v>
          </cell>
          <cell r="H72">
            <v>386490.25</v>
          </cell>
        </row>
        <row r="73">
          <cell r="A73">
            <v>41020100</v>
          </cell>
          <cell r="B73" t="str">
            <v>Fly Ash Consumption account</v>
          </cell>
          <cell r="C73">
            <v>0</v>
          </cell>
          <cell r="D73">
            <v>2245175.38</v>
          </cell>
          <cell r="E73">
            <v>0</v>
          </cell>
          <cell r="F73">
            <v>2245175.38</v>
          </cell>
          <cell r="G73">
            <v>0</v>
          </cell>
          <cell r="H73">
            <v>2245175.38</v>
          </cell>
        </row>
        <row r="74">
          <cell r="A74">
            <v>41020130</v>
          </cell>
          <cell r="B74" t="str">
            <v>Raw Materials Purchase - CRF</v>
          </cell>
          <cell r="C74">
            <v>0</v>
          </cell>
          <cell r="D74">
            <v>2138682.15</v>
          </cell>
          <cell r="E74">
            <v>4892237.28</v>
          </cell>
          <cell r="F74">
            <v>-2753555.13</v>
          </cell>
          <cell r="G74">
            <v>0</v>
          </cell>
          <cell r="H74">
            <v>-2753555.13</v>
          </cell>
        </row>
        <row r="75">
          <cell r="A75">
            <v>41020135</v>
          </cell>
          <cell r="B75" t="str">
            <v>Interim account for CRF received</v>
          </cell>
          <cell r="C75">
            <v>0</v>
          </cell>
          <cell r="D75">
            <v>4975565.47</v>
          </cell>
          <cell r="E75">
            <v>2132615.09</v>
          </cell>
          <cell r="F75">
            <v>2842950.38</v>
          </cell>
          <cell r="G75">
            <v>0</v>
          </cell>
          <cell r="H75">
            <v>2842950.38</v>
          </cell>
        </row>
        <row r="76">
          <cell r="A76">
            <v>41020140</v>
          </cell>
          <cell r="B76" t="str">
            <v>CRF Consumption account</v>
          </cell>
          <cell r="C76">
            <v>0</v>
          </cell>
          <cell r="D76">
            <v>4688917.63</v>
          </cell>
          <cell r="E76">
            <v>0</v>
          </cell>
          <cell r="F76">
            <v>4688917.63</v>
          </cell>
          <cell r="G76">
            <v>0</v>
          </cell>
          <cell r="H76">
            <v>4688917.63</v>
          </cell>
        </row>
        <row r="77">
          <cell r="A77">
            <v>41020150</v>
          </cell>
          <cell r="B77" t="str">
            <v>Loss/ gain on Stock</v>
          </cell>
          <cell r="C77">
            <v>0</v>
          </cell>
          <cell r="D77">
            <v>543491.31999999995</v>
          </cell>
          <cell r="E77">
            <v>679410.26</v>
          </cell>
          <cell r="F77">
            <v>-135918.94</v>
          </cell>
          <cell r="G77">
            <v>0</v>
          </cell>
          <cell r="H77">
            <v>-135918.94</v>
          </cell>
        </row>
        <row r="78">
          <cell r="A78">
            <v>41020195</v>
          </cell>
          <cell r="B78" t="str">
            <v>Purchase of Diesel</v>
          </cell>
          <cell r="C78">
            <v>0</v>
          </cell>
          <cell r="D78">
            <v>3267873.19</v>
          </cell>
          <cell r="E78">
            <v>3607028.56</v>
          </cell>
          <cell r="F78">
            <v>-339155.37</v>
          </cell>
          <cell r="G78">
            <v>0</v>
          </cell>
          <cell r="H78">
            <v>-339155.37</v>
          </cell>
        </row>
        <row r="79">
          <cell r="A79">
            <v>41020200</v>
          </cell>
          <cell r="B79" t="str">
            <v>Interim account for diesel received</v>
          </cell>
          <cell r="C79">
            <v>0</v>
          </cell>
          <cell r="D79">
            <v>3630277.86</v>
          </cell>
          <cell r="E79">
            <v>3267873.19</v>
          </cell>
          <cell r="F79">
            <v>362404.67</v>
          </cell>
          <cell r="G79">
            <v>0</v>
          </cell>
          <cell r="H79">
            <v>362404.67</v>
          </cell>
        </row>
        <row r="80">
          <cell r="A80">
            <v>41050010</v>
          </cell>
          <cell r="B80" t="str">
            <v>Closing Stock - Cement</v>
          </cell>
          <cell r="C80">
            <v>0</v>
          </cell>
          <cell r="D80">
            <v>0</v>
          </cell>
          <cell r="E80">
            <v>1984091.65</v>
          </cell>
          <cell r="F80">
            <v>-1984091.65</v>
          </cell>
          <cell r="G80">
            <v>0</v>
          </cell>
          <cell r="H80">
            <v>-1984091.65</v>
          </cell>
        </row>
        <row r="81">
          <cell r="A81">
            <v>41050020</v>
          </cell>
          <cell r="B81" t="str">
            <v>Closing Stock - Sand</v>
          </cell>
          <cell r="C81">
            <v>0</v>
          </cell>
          <cell r="D81">
            <v>0</v>
          </cell>
          <cell r="E81">
            <v>193302.72</v>
          </cell>
          <cell r="F81">
            <v>-193302.72</v>
          </cell>
          <cell r="G81">
            <v>0</v>
          </cell>
          <cell r="H81">
            <v>-193302.72</v>
          </cell>
        </row>
        <row r="82">
          <cell r="A82">
            <v>41050030</v>
          </cell>
          <cell r="B82" t="str">
            <v>Closing Stock - CRF</v>
          </cell>
          <cell r="C82">
            <v>0</v>
          </cell>
          <cell r="D82">
            <v>0</v>
          </cell>
          <cell r="E82">
            <v>264262.74</v>
          </cell>
          <cell r="F82">
            <v>-264262.74</v>
          </cell>
          <cell r="G82">
            <v>0</v>
          </cell>
          <cell r="H82">
            <v>-264262.74</v>
          </cell>
        </row>
        <row r="83">
          <cell r="A83">
            <v>41050040</v>
          </cell>
          <cell r="B83" t="str">
            <v>Closing Stock - RMC Aggregates</v>
          </cell>
          <cell r="C83">
            <v>0</v>
          </cell>
          <cell r="D83">
            <v>0</v>
          </cell>
          <cell r="E83">
            <v>218883.63</v>
          </cell>
          <cell r="F83">
            <v>-218883.63</v>
          </cell>
          <cell r="G83">
            <v>0</v>
          </cell>
          <cell r="H83">
            <v>-218883.63</v>
          </cell>
        </row>
        <row r="84">
          <cell r="A84">
            <v>41050050</v>
          </cell>
          <cell r="B84" t="str">
            <v>Closing Stock - Admixtures</v>
          </cell>
          <cell r="C84">
            <v>0</v>
          </cell>
          <cell r="D84">
            <v>0</v>
          </cell>
          <cell r="E84">
            <v>1083218.1000000001</v>
          </cell>
          <cell r="F84">
            <v>-1083218.1000000001</v>
          </cell>
          <cell r="G84">
            <v>0</v>
          </cell>
          <cell r="H84">
            <v>-1083218.1000000001</v>
          </cell>
        </row>
        <row r="85">
          <cell r="A85">
            <v>41050070</v>
          </cell>
          <cell r="B85" t="str">
            <v>Closing Stock - Flyash</v>
          </cell>
          <cell r="C85">
            <v>0</v>
          </cell>
          <cell r="D85">
            <v>0</v>
          </cell>
          <cell r="E85">
            <v>291561.12</v>
          </cell>
          <cell r="F85">
            <v>-291561.12</v>
          </cell>
          <cell r="G85">
            <v>0</v>
          </cell>
          <cell r="H85">
            <v>-291561.12</v>
          </cell>
        </row>
        <row r="86">
          <cell r="A86">
            <v>41050080</v>
          </cell>
          <cell r="B86" t="str">
            <v>Closing Stock - Diesel</v>
          </cell>
          <cell r="C86">
            <v>0</v>
          </cell>
          <cell r="D86">
            <v>0</v>
          </cell>
          <cell r="E86">
            <v>125935.76</v>
          </cell>
          <cell r="F86">
            <v>-125935.76</v>
          </cell>
          <cell r="G86">
            <v>0</v>
          </cell>
          <cell r="H86">
            <v>-125935.76</v>
          </cell>
        </row>
        <row r="87">
          <cell r="A87">
            <v>42010010</v>
          </cell>
          <cell r="B87" t="str">
            <v>Salary - Basic</v>
          </cell>
          <cell r="C87">
            <v>0</v>
          </cell>
          <cell r="D87">
            <v>865542</v>
          </cell>
          <cell r="E87">
            <v>0</v>
          </cell>
          <cell r="F87">
            <v>865542</v>
          </cell>
          <cell r="G87">
            <v>0</v>
          </cell>
          <cell r="H87">
            <v>865542</v>
          </cell>
        </row>
        <row r="88">
          <cell r="A88">
            <v>42010020</v>
          </cell>
          <cell r="B88" t="str">
            <v>House Rent Allowance</v>
          </cell>
          <cell r="C88">
            <v>0</v>
          </cell>
          <cell r="D88">
            <v>427531</v>
          </cell>
          <cell r="E88">
            <v>0</v>
          </cell>
          <cell r="F88">
            <v>427531</v>
          </cell>
          <cell r="G88">
            <v>0</v>
          </cell>
          <cell r="H88">
            <v>427531</v>
          </cell>
        </row>
        <row r="89">
          <cell r="A89">
            <v>42010030</v>
          </cell>
          <cell r="B89" t="str">
            <v>Education Allowance</v>
          </cell>
          <cell r="C89">
            <v>0</v>
          </cell>
          <cell r="D89">
            <v>71261</v>
          </cell>
          <cell r="E89">
            <v>0</v>
          </cell>
          <cell r="F89">
            <v>71261</v>
          </cell>
          <cell r="G89">
            <v>0</v>
          </cell>
          <cell r="H89">
            <v>71261</v>
          </cell>
        </row>
        <row r="90">
          <cell r="A90">
            <v>42010040</v>
          </cell>
          <cell r="B90" t="str">
            <v>Special Allowance</v>
          </cell>
          <cell r="C90">
            <v>0</v>
          </cell>
          <cell r="D90">
            <v>132761</v>
          </cell>
          <cell r="E90">
            <v>0</v>
          </cell>
          <cell r="F90">
            <v>132761</v>
          </cell>
          <cell r="G90">
            <v>0</v>
          </cell>
          <cell r="H90">
            <v>132761</v>
          </cell>
        </row>
        <row r="91">
          <cell r="A91">
            <v>42010050</v>
          </cell>
          <cell r="B91" t="str">
            <v>Medical Expense Reimbursement</v>
          </cell>
          <cell r="C91">
            <v>0</v>
          </cell>
          <cell r="D91">
            <v>134119</v>
          </cell>
          <cell r="E91">
            <v>0</v>
          </cell>
          <cell r="F91">
            <v>134119</v>
          </cell>
          <cell r="G91">
            <v>0</v>
          </cell>
          <cell r="H91">
            <v>134119</v>
          </cell>
        </row>
        <row r="92">
          <cell r="A92">
            <v>42010060</v>
          </cell>
          <cell r="B92" t="str">
            <v>Leave Travel Allowance</v>
          </cell>
          <cell r="C92">
            <v>0</v>
          </cell>
          <cell r="D92">
            <v>234288</v>
          </cell>
          <cell r="E92">
            <v>159463</v>
          </cell>
          <cell r="F92">
            <v>74825</v>
          </cell>
          <cell r="G92">
            <v>0</v>
          </cell>
          <cell r="H92">
            <v>74825</v>
          </cell>
        </row>
        <row r="93">
          <cell r="A93">
            <v>42010070</v>
          </cell>
          <cell r="B93" t="str">
            <v>Leave Encashment</v>
          </cell>
          <cell r="C93">
            <v>0</v>
          </cell>
          <cell r="D93">
            <v>74946</v>
          </cell>
          <cell r="E93">
            <v>0</v>
          </cell>
          <cell r="F93">
            <v>74946</v>
          </cell>
          <cell r="G93">
            <v>0</v>
          </cell>
          <cell r="H93">
            <v>74946</v>
          </cell>
        </row>
        <row r="94">
          <cell r="A94">
            <v>42010090</v>
          </cell>
          <cell r="B94" t="str">
            <v>Overtime Payment</v>
          </cell>
          <cell r="C94">
            <v>0</v>
          </cell>
          <cell r="D94">
            <v>52388</v>
          </cell>
          <cell r="E94">
            <v>0</v>
          </cell>
          <cell r="F94">
            <v>52388</v>
          </cell>
          <cell r="G94">
            <v>0</v>
          </cell>
          <cell r="H94">
            <v>52388</v>
          </cell>
        </row>
        <row r="95">
          <cell r="A95">
            <v>42010100</v>
          </cell>
          <cell r="B95" t="str">
            <v>Transport Allowance</v>
          </cell>
          <cell r="C95">
            <v>0</v>
          </cell>
          <cell r="D95">
            <v>146348</v>
          </cell>
          <cell r="E95">
            <v>0</v>
          </cell>
          <cell r="F95">
            <v>146348</v>
          </cell>
          <cell r="G95">
            <v>0</v>
          </cell>
          <cell r="H95">
            <v>146348</v>
          </cell>
        </row>
        <row r="96">
          <cell r="A96">
            <v>42010110</v>
          </cell>
          <cell r="B96" t="str">
            <v>Lunch Allowance</v>
          </cell>
          <cell r="C96">
            <v>0</v>
          </cell>
          <cell r="D96">
            <v>6710</v>
          </cell>
          <cell r="E96">
            <v>0</v>
          </cell>
          <cell r="F96">
            <v>6710</v>
          </cell>
          <cell r="G96">
            <v>0</v>
          </cell>
          <cell r="H96">
            <v>6710</v>
          </cell>
        </row>
        <row r="97">
          <cell r="A97">
            <v>42010130</v>
          </cell>
          <cell r="B97" t="str">
            <v>Production Linked Incentive</v>
          </cell>
          <cell r="C97">
            <v>0</v>
          </cell>
          <cell r="D97">
            <v>186334</v>
          </cell>
          <cell r="E97">
            <v>0</v>
          </cell>
          <cell r="F97">
            <v>186334</v>
          </cell>
          <cell r="G97">
            <v>0</v>
          </cell>
          <cell r="H97">
            <v>186334</v>
          </cell>
        </row>
        <row r="98">
          <cell r="A98">
            <v>42010200</v>
          </cell>
          <cell r="B98" t="str">
            <v>Stipend</v>
          </cell>
          <cell r="C98">
            <v>0</v>
          </cell>
          <cell r="D98">
            <v>21433</v>
          </cell>
          <cell r="E98">
            <v>0</v>
          </cell>
          <cell r="F98">
            <v>21433</v>
          </cell>
          <cell r="G98">
            <v>0</v>
          </cell>
          <cell r="H98">
            <v>21433</v>
          </cell>
        </row>
        <row r="99">
          <cell r="A99">
            <v>42010220</v>
          </cell>
          <cell r="B99" t="str">
            <v>Adhoc Allowance</v>
          </cell>
          <cell r="C99">
            <v>0</v>
          </cell>
          <cell r="D99">
            <v>29300</v>
          </cell>
          <cell r="E99">
            <v>0</v>
          </cell>
          <cell r="F99">
            <v>29300</v>
          </cell>
          <cell r="G99">
            <v>0</v>
          </cell>
          <cell r="H99">
            <v>29300</v>
          </cell>
        </row>
        <row r="100">
          <cell r="A100">
            <v>42010240</v>
          </cell>
          <cell r="B100" t="str">
            <v>Driver Allowance</v>
          </cell>
          <cell r="C100">
            <v>0</v>
          </cell>
          <cell r="D100">
            <v>12000</v>
          </cell>
          <cell r="E100">
            <v>0</v>
          </cell>
          <cell r="F100">
            <v>12000</v>
          </cell>
          <cell r="G100">
            <v>0</v>
          </cell>
          <cell r="H100">
            <v>12000</v>
          </cell>
        </row>
        <row r="101">
          <cell r="A101">
            <v>42020010</v>
          </cell>
          <cell r="B101" t="str">
            <v>Provident Funds - Employer's Conribution</v>
          </cell>
          <cell r="C101">
            <v>0</v>
          </cell>
          <cell r="D101">
            <v>106173</v>
          </cell>
          <cell r="E101">
            <v>0</v>
          </cell>
          <cell r="F101">
            <v>106173</v>
          </cell>
          <cell r="G101">
            <v>0</v>
          </cell>
          <cell r="H101">
            <v>106173</v>
          </cell>
        </row>
        <row r="102">
          <cell r="A102">
            <v>42020070</v>
          </cell>
          <cell r="B102" t="str">
            <v>E.S.I.S. - Employer's Contribution</v>
          </cell>
          <cell r="C102">
            <v>0</v>
          </cell>
          <cell r="D102">
            <v>21349</v>
          </cell>
          <cell r="E102">
            <v>0</v>
          </cell>
          <cell r="F102">
            <v>21349</v>
          </cell>
          <cell r="G102">
            <v>0</v>
          </cell>
          <cell r="H102">
            <v>21349</v>
          </cell>
        </row>
        <row r="103">
          <cell r="A103">
            <v>42030010</v>
          </cell>
          <cell r="B103" t="str">
            <v>Purchases of Safety &amp; Welfare Items - FBT</v>
          </cell>
          <cell r="C103">
            <v>0</v>
          </cell>
          <cell r="D103">
            <v>65000</v>
          </cell>
          <cell r="E103">
            <v>25000</v>
          </cell>
          <cell r="F103">
            <v>40000</v>
          </cell>
          <cell r="G103">
            <v>0</v>
          </cell>
          <cell r="H103">
            <v>40000</v>
          </cell>
        </row>
        <row r="104">
          <cell r="A104">
            <v>42030040</v>
          </cell>
          <cell r="B104" t="str">
            <v>Staff Welfare Expenses - FBT</v>
          </cell>
          <cell r="C104">
            <v>0</v>
          </cell>
          <cell r="D104">
            <v>72681.64</v>
          </cell>
          <cell r="E104">
            <v>12000</v>
          </cell>
          <cell r="F104">
            <v>60681.64</v>
          </cell>
          <cell r="G104">
            <v>0</v>
          </cell>
          <cell r="H104">
            <v>60681.64</v>
          </cell>
        </row>
        <row r="105">
          <cell r="A105">
            <v>42030050</v>
          </cell>
          <cell r="B105" t="str">
            <v>Staff Welfare Expenses</v>
          </cell>
          <cell r="C105">
            <v>0</v>
          </cell>
          <cell r="D105">
            <v>103430</v>
          </cell>
          <cell r="E105">
            <v>45730</v>
          </cell>
          <cell r="F105">
            <v>57700</v>
          </cell>
          <cell r="G105">
            <v>0</v>
          </cell>
          <cell r="H105">
            <v>57700</v>
          </cell>
        </row>
        <row r="106">
          <cell r="A106">
            <v>42030090</v>
          </cell>
          <cell r="B106" t="str">
            <v>Pooja &amp; Festival Celebration Expenses - FBT</v>
          </cell>
          <cell r="C106">
            <v>0</v>
          </cell>
          <cell r="D106">
            <v>1276</v>
          </cell>
          <cell r="E106">
            <v>0</v>
          </cell>
          <cell r="F106">
            <v>1276</v>
          </cell>
          <cell r="G106">
            <v>0</v>
          </cell>
          <cell r="H106">
            <v>1276</v>
          </cell>
        </row>
        <row r="107">
          <cell r="A107">
            <v>43001010</v>
          </cell>
          <cell r="B107" t="str">
            <v>Electricity Charges</v>
          </cell>
          <cell r="C107">
            <v>0</v>
          </cell>
          <cell r="D107">
            <v>372482</v>
          </cell>
          <cell r="E107">
            <v>102820</v>
          </cell>
          <cell r="F107">
            <v>269662</v>
          </cell>
          <cell r="G107">
            <v>0</v>
          </cell>
          <cell r="H107">
            <v>269662</v>
          </cell>
        </row>
        <row r="108">
          <cell r="A108">
            <v>43001020</v>
          </cell>
          <cell r="B108" t="str">
            <v>Water Charges</v>
          </cell>
          <cell r="C108">
            <v>0</v>
          </cell>
          <cell r="D108">
            <v>409858</v>
          </cell>
          <cell r="E108">
            <v>127600</v>
          </cell>
          <cell r="F108">
            <v>282258</v>
          </cell>
          <cell r="G108">
            <v>0</v>
          </cell>
          <cell r="H108">
            <v>282258</v>
          </cell>
        </row>
        <row r="109">
          <cell r="A109">
            <v>43001030</v>
          </cell>
          <cell r="B109" t="str">
            <v>Fuel For Diesel Generator Set</v>
          </cell>
          <cell r="C109">
            <v>0</v>
          </cell>
          <cell r="D109">
            <v>271979</v>
          </cell>
          <cell r="E109">
            <v>0</v>
          </cell>
          <cell r="F109">
            <v>271979</v>
          </cell>
          <cell r="G109">
            <v>0</v>
          </cell>
          <cell r="H109">
            <v>271979</v>
          </cell>
        </row>
        <row r="110">
          <cell r="A110">
            <v>43010010</v>
          </cell>
          <cell r="B110" t="str">
            <v>Consumables</v>
          </cell>
          <cell r="C110">
            <v>0</v>
          </cell>
          <cell r="D110">
            <v>8060</v>
          </cell>
          <cell r="E110">
            <v>0</v>
          </cell>
          <cell r="F110">
            <v>8060</v>
          </cell>
          <cell r="G110">
            <v>0</v>
          </cell>
          <cell r="H110">
            <v>8060</v>
          </cell>
        </row>
        <row r="111">
          <cell r="A111">
            <v>43012010</v>
          </cell>
          <cell r="B111" t="str">
            <v>Lab Consumables</v>
          </cell>
          <cell r="C111">
            <v>0</v>
          </cell>
          <cell r="D111">
            <v>12172</v>
          </cell>
          <cell r="E111">
            <v>0</v>
          </cell>
          <cell r="F111">
            <v>12172</v>
          </cell>
          <cell r="G111">
            <v>0</v>
          </cell>
          <cell r="H111">
            <v>12172</v>
          </cell>
        </row>
        <row r="112">
          <cell r="A112">
            <v>43012020</v>
          </cell>
          <cell r="B112" t="str">
            <v>Labour / sub contractor for - Pumping Expenses Incurred</v>
          </cell>
          <cell r="C112">
            <v>0</v>
          </cell>
          <cell r="D112">
            <v>700419</v>
          </cell>
          <cell r="E112">
            <v>200593</v>
          </cell>
          <cell r="F112">
            <v>499826</v>
          </cell>
          <cell r="G112">
            <v>0</v>
          </cell>
          <cell r="H112">
            <v>499826</v>
          </cell>
        </row>
        <row r="113">
          <cell r="A113">
            <v>43014010</v>
          </cell>
          <cell r="B113" t="str">
            <v>Octroi Charges</v>
          </cell>
          <cell r="C113">
            <v>0</v>
          </cell>
          <cell r="D113">
            <v>278265</v>
          </cell>
          <cell r="E113">
            <v>89645</v>
          </cell>
          <cell r="F113">
            <v>188620</v>
          </cell>
          <cell r="G113">
            <v>0</v>
          </cell>
          <cell r="H113">
            <v>188620</v>
          </cell>
        </row>
        <row r="114">
          <cell r="A114">
            <v>43016010</v>
          </cell>
          <cell r="B114" t="str">
            <v>Transportation Charges</v>
          </cell>
          <cell r="C114">
            <v>0</v>
          </cell>
          <cell r="D114">
            <v>17200</v>
          </cell>
          <cell r="E114">
            <v>0</v>
          </cell>
          <cell r="F114">
            <v>17200</v>
          </cell>
          <cell r="G114">
            <v>0</v>
          </cell>
          <cell r="H114">
            <v>17200</v>
          </cell>
        </row>
        <row r="115">
          <cell r="A115">
            <v>43018010</v>
          </cell>
          <cell r="B115" t="str">
            <v>Repairs &amp; Maintenance</v>
          </cell>
          <cell r="C115">
            <v>0</v>
          </cell>
          <cell r="D115">
            <v>630815</v>
          </cell>
          <cell r="E115">
            <v>200401</v>
          </cell>
          <cell r="F115">
            <v>430414</v>
          </cell>
          <cell r="G115">
            <v>0</v>
          </cell>
          <cell r="H115">
            <v>430414</v>
          </cell>
        </row>
        <row r="116">
          <cell r="A116">
            <v>43018020</v>
          </cell>
          <cell r="B116" t="str">
            <v>Oil &amp; Grease</v>
          </cell>
          <cell r="C116">
            <v>0</v>
          </cell>
          <cell r="D116">
            <v>60049.599999999999</v>
          </cell>
          <cell r="E116">
            <v>0</v>
          </cell>
          <cell r="F116">
            <v>60049.599999999999</v>
          </cell>
          <cell r="G116">
            <v>0</v>
          </cell>
          <cell r="H116">
            <v>60049.599999999999</v>
          </cell>
        </row>
        <row r="117">
          <cell r="A117">
            <v>43020030</v>
          </cell>
          <cell r="B117" t="str">
            <v>Tyres</v>
          </cell>
          <cell r="C117">
            <v>0</v>
          </cell>
          <cell r="D117">
            <v>225242.26</v>
          </cell>
          <cell r="E117">
            <v>153000</v>
          </cell>
          <cell r="F117">
            <v>72242.259999999995</v>
          </cell>
          <cell r="G117">
            <v>0</v>
          </cell>
          <cell r="H117">
            <v>72242.259999999995</v>
          </cell>
        </row>
        <row r="118">
          <cell r="A118">
            <v>43022010</v>
          </cell>
          <cell r="B118" t="str">
            <v>Plant / Office Up Keep Exps</v>
          </cell>
          <cell r="C118">
            <v>0</v>
          </cell>
          <cell r="D118">
            <v>563978</v>
          </cell>
          <cell r="E118">
            <v>165769</v>
          </cell>
          <cell r="F118">
            <v>398209</v>
          </cell>
          <cell r="G118">
            <v>0</v>
          </cell>
          <cell r="H118">
            <v>398209</v>
          </cell>
        </row>
        <row r="119">
          <cell r="A119">
            <v>43030010</v>
          </cell>
          <cell r="B119" t="str">
            <v>Transportation Exps-Labour</v>
          </cell>
          <cell r="C119">
            <v>0</v>
          </cell>
          <cell r="D119">
            <v>646755</v>
          </cell>
          <cell r="E119">
            <v>253263</v>
          </cell>
          <cell r="F119">
            <v>393492</v>
          </cell>
          <cell r="G119">
            <v>0</v>
          </cell>
          <cell r="H119">
            <v>393492</v>
          </cell>
        </row>
        <row r="120">
          <cell r="A120">
            <v>43032010</v>
          </cell>
          <cell r="B120" t="str">
            <v>Rent - Plant</v>
          </cell>
          <cell r="C120">
            <v>0</v>
          </cell>
          <cell r="D120">
            <v>215560</v>
          </cell>
          <cell r="E120">
            <v>0</v>
          </cell>
          <cell r="F120">
            <v>215560</v>
          </cell>
          <cell r="G120">
            <v>0</v>
          </cell>
          <cell r="H120">
            <v>215560</v>
          </cell>
        </row>
        <row r="121">
          <cell r="A121">
            <v>43032015</v>
          </cell>
          <cell r="B121" t="str">
            <v>Rent - Office</v>
          </cell>
          <cell r="C121">
            <v>0</v>
          </cell>
          <cell r="D121">
            <v>176070</v>
          </cell>
          <cell r="E121">
            <v>0</v>
          </cell>
          <cell r="F121">
            <v>176070</v>
          </cell>
          <cell r="G121">
            <v>0</v>
          </cell>
          <cell r="H121">
            <v>176070</v>
          </cell>
        </row>
        <row r="122">
          <cell r="A122">
            <v>43032020</v>
          </cell>
          <cell r="B122" t="str">
            <v>Guest house Lease Rental - FBT</v>
          </cell>
          <cell r="C122">
            <v>0</v>
          </cell>
          <cell r="D122">
            <v>700</v>
          </cell>
          <cell r="E122">
            <v>0</v>
          </cell>
          <cell r="F122">
            <v>700</v>
          </cell>
          <cell r="G122">
            <v>0</v>
          </cell>
          <cell r="H122">
            <v>700</v>
          </cell>
        </row>
        <row r="123">
          <cell r="A123">
            <v>43032040</v>
          </cell>
          <cell r="B123" t="str">
            <v>Lease Rentals- Machinery</v>
          </cell>
          <cell r="C123">
            <v>0</v>
          </cell>
          <cell r="D123">
            <v>2392580</v>
          </cell>
          <cell r="E123">
            <v>1349580</v>
          </cell>
          <cell r="F123">
            <v>1043000</v>
          </cell>
          <cell r="G123">
            <v>0</v>
          </cell>
          <cell r="H123">
            <v>1043000</v>
          </cell>
        </row>
        <row r="124">
          <cell r="A124">
            <v>43032045</v>
          </cell>
          <cell r="B124" t="str">
            <v>Towing Expenses</v>
          </cell>
          <cell r="C124">
            <v>0</v>
          </cell>
          <cell r="D124">
            <v>218260</v>
          </cell>
          <cell r="E124">
            <v>71000</v>
          </cell>
          <cell r="F124">
            <v>147260</v>
          </cell>
          <cell r="G124">
            <v>0</v>
          </cell>
          <cell r="H124">
            <v>147260</v>
          </cell>
        </row>
        <row r="125">
          <cell r="A125">
            <v>43036010</v>
          </cell>
          <cell r="B125" t="str">
            <v>Insurance Expenses</v>
          </cell>
          <cell r="C125">
            <v>0</v>
          </cell>
          <cell r="D125">
            <v>31019</v>
          </cell>
          <cell r="E125">
            <v>0</v>
          </cell>
          <cell r="F125">
            <v>31019</v>
          </cell>
          <cell r="G125">
            <v>0</v>
          </cell>
          <cell r="H125">
            <v>31019</v>
          </cell>
        </row>
        <row r="126">
          <cell r="A126">
            <v>43038020</v>
          </cell>
          <cell r="B126" t="str">
            <v>Courier Expenses</v>
          </cell>
          <cell r="C126">
            <v>0</v>
          </cell>
          <cell r="D126">
            <v>260</v>
          </cell>
          <cell r="E126">
            <v>0</v>
          </cell>
          <cell r="F126">
            <v>260</v>
          </cell>
          <cell r="G126">
            <v>0</v>
          </cell>
          <cell r="H126">
            <v>260</v>
          </cell>
        </row>
        <row r="127">
          <cell r="A127">
            <v>43038030</v>
          </cell>
          <cell r="B127" t="str">
            <v>Telephone Expenses</v>
          </cell>
          <cell r="C127">
            <v>0</v>
          </cell>
          <cell r="D127">
            <v>5133</v>
          </cell>
          <cell r="E127">
            <v>0</v>
          </cell>
          <cell r="F127">
            <v>5133</v>
          </cell>
          <cell r="G127">
            <v>0</v>
          </cell>
          <cell r="H127">
            <v>5133</v>
          </cell>
        </row>
        <row r="128">
          <cell r="A128">
            <v>43038040</v>
          </cell>
          <cell r="B128" t="str">
            <v>Fax Expenses</v>
          </cell>
          <cell r="C128">
            <v>0</v>
          </cell>
          <cell r="D128">
            <v>732</v>
          </cell>
          <cell r="E128">
            <v>0</v>
          </cell>
          <cell r="F128">
            <v>732</v>
          </cell>
          <cell r="G128">
            <v>0</v>
          </cell>
          <cell r="H128">
            <v>732</v>
          </cell>
        </row>
        <row r="129">
          <cell r="A129">
            <v>43038050</v>
          </cell>
          <cell r="B129" t="str">
            <v>Telephone Chgs - Mobile  FBT</v>
          </cell>
          <cell r="C129">
            <v>0</v>
          </cell>
          <cell r="D129">
            <v>145173</v>
          </cell>
          <cell r="E129">
            <v>39916</v>
          </cell>
          <cell r="F129">
            <v>105257</v>
          </cell>
          <cell r="G129">
            <v>0</v>
          </cell>
          <cell r="H129">
            <v>105257</v>
          </cell>
        </row>
        <row r="130">
          <cell r="A130">
            <v>43040010</v>
          </cell>
          <cell r="B130" t="str">
            <v>Conveyance Expenses - FBT</v>
          </cell>
          <cell r="C130">
            <v>0</v>
          </cell>
          <cell r="D130">
            <v>267581</v>
          </cell>
          <cell r="E130">
            <v>83810</v>
          </cell>
          <cell r="F130">
            <v>183771</v>
          </cell>
          <cell r="G130">
            <v>0</v>
          </cell>
          <cell r="H130">
            <v>183771</v>
          </cell>
        </row>
        <row r="131">
          <cell r="A131">
            <v>43040030</v>
          </cell>
          <cell r="B131" t="str">
            <v>Motor Car Hire Expenses - FBT</v>
          </cell>
          <cell r="C131">
            <v>0</v>
          </cell>
          <cell r="D131">
            <v>126666</v>
          </cell>
          <cell r="E131">
            <v>0</v>
          </cell>
          <cell r="F131">
            <v>126666</v>
          </cell>
          <cell r="G131">
            <v>0</v>
          </cell>
          <cell r="H131">
            <v>126666</v>
          </cell>
        </row>
        <row r="132">
          <cell r="A132">
            <v>43040040</v>
          </cell>
          <cell r="B132" t="str">
            <v>Motor Car Hire Expenses</v>
          </cell>
          <cell r="C132">
            <v>0</v>
          </cell>
          <cell r="D132">
            <v>260797</v>
          </cell>
          <cell r="E132">
            <v>127289</v>
          </cell>
          <cell r="F132">
            <v>133508</v>
          </cell>
          <cell r="G132">
            <v>0</v>
          </cell>
          <cell r="H132">
            <v>133508</v>
          </cell>
        </row>
        <row r="133">
          <cell r="A133">
            <v>43040080</v>
          </cell>
          <cell r="B133" t="str">
            <v>Travelling Expenses - Domestic - FBT</v>
          </cell>
          <cell r="C133">
            <v>0</v>
          </cell>
          <cell r="D133">
            <v>9064</v>
          </cell>
          <cell r="E133">
            <v>900</v>
          </cell>
          <cell r="F133">
            <v>8164</v>
          </cell>
          <cell r="G133">
            <v>0</v>
          </cell>
          <cell r="H133">
            <v>8164</v>
          </cell>
        </row>
        <row r="134">
          <cell r="A134">
            <v>43042010</v>
          </cell>
          <cell r="B134" t="str">
            <v>Fuel - Truck Mixers</v>
          </cell>
          <cell r="C134">
            <v>0</v>
          </cell>
          <cell r="D134">
            <v>1902248.91</v>
          </cell>
          <cell r="E134">
            <v>951123.91</v>
          </cell>
          <cell r="F134">
            <v>951125</v>
          </cell>
          <cell r="G134">
            <v>0</v>
          </cell>
          <cell r="H134">
            <v>951125</v>
          </cell>
        </row>
        <row r="135">
          <cell r="A135">
            <v>43042020</v>
          </cell>
          <cell r="B135" t="str">
            <v>Fuel - Loader</v>
          </cell>
          <cell r="C135">
            <v>0</v>
          </cell>
          <cell r="D135">
            <v>181468.32</v>
          </cell>
          <cell r="E135">
            <v>0</v>
          </cell>
          <cell r="F135">
            <v>181468.32</v>
          </cell>
          <cell r="G135">
            <v>0</v>
          </cell>
          <cell r="H135">
            <v>181468.32</v>
          </cell>
        </row>
        <row r="136">
          <cell r="A136">
            <v>43042030</v>
          </cell>
          <cell r="B136" t="str">
            <v>Fuel - Others</v>
          </cell>
          <cell r="C136">
            <v>0</v>
          </cell>
          <cell r="D136">
            <v>187227.73</v>
          </cell>
          <cell r="E136">
            <v>90632.2</v>
          </cell>
          <cell r="F136">
            <v>96595.53</v>
          </cell>
          <cell r="G136">
            <v>0</v>
          </cell>
          <cell r="H136">
            <v>96595.53</v>
          </cell>
        </row>
        <row r="137">
          <cell r="A137">
            <v>43042040</v>
          </cell>
          <cell r="B137" t="str">
            <v>Fuel -  Company Vehicle Expenses  FBT</v>
          </cell>
          <cell r="C137">
            <v>0</v>
          </cell>
          <cell r="D137">
            <v>4906</v>
          </cell>
          <cell r="E137">
            <v>0</v>
          </cell>
          <cell r="F137">
            <v>4906</v>
          </cell>
          <cell r="G137">
            <v>0</v>
          </cell>
          <cell r="H137">
            <v>4906</v>
          </cell>
        </row>
        <row r="138">
          <cell r="A138">
            <v>43042050</v>
          </cell>
          <cell r="B138" t="str">
            <v>Fuel -  External Trucks/Pumps</v>
          </cell>
          <cell r="C138">
            <v>0</v>
          </cell>
          <cell r="D138">
            <v>3971260.12</v>
          </cell>
          <cell r="E138">
            <v>1985629.98</v>
          </cell>
          <cell r="F138">
            <v>1985630.14</v>
          </cell>
          <cell r="G138">
            <v>0</v>
          </cell>
          <cell r="H138">
            <v>1985630.14</v>
          </cell>
        </row>
        <row r="139">
          <cell r="A139">
            <v>43042060</v>
          </cell>
          <cell r="B139" t="str">
            <v>Fuel - Concrete Pumps</v>
          </cell>
          <cell r="C139">
            <v>0</v>
          </cell>
          <cell r="D139">
            <v>240461.09</v>
          </cell>
          <cell r="E139">
            <v>120230.52</v>
          </cell>
          <cell r="F139">
            <v>120230.57</v>
          </cell>
          <cell r="G139">
            <v>0</v>
          </cell>
          <cell r="H139">
            <v>120230.57</v>
          </cell>
        </row>
        <row r="140">
          <cell r="A140">
            <v>43046010</v>
          </cell>
          <cell r="B140" t="str">
            <v>Rates &amp; Taxes</v>
          </cell>
          <cell r="C140">
            <v>0</v>
          </cell>
          <cell r="D140">
            <v>338619</v>
          </cell>
          <cell r="E140">
            <v>121916</v>
          </cell>
          <cell r="F140">
            <v>216703</v>
          </cell>
          <cell r="G140">
            <v>0</v>
          </cell>
          <cell r="H140">
            <v>216703</v>
          </cell>
        </row>
        <row r="141">
          <cell r="A141">
            <v>43046020</v>
          </cell>
          <cell r="B141" t="str">
            <v>Toll Charges- Truck Mixer</v>
          </cell>
          <cell r="C141">
            <v>0</v>
          </cell>
          <cell r="D141">
            <v>88028</v>
          </cell>
          <cell r="E141">
            <v>8352</v>
          </cell>
          <cell r="F141">
            <v>79676</v>
          </cell>
          <cell r="G141">
            <v>0</v>
          </cell>
          <cell r="H141">
            <v>79676</v>
          </cell>
        </row>
        <row r="142">
          <cell r="A142">
            <v>43052010</v>
          </cell>
          <cell r="B142" t="str">
            <v>Security Service Charges</v>
          </cell>
          <cell r="C142">
            <v>0</v>
          </cell>
          <cell r="D142">
            <v>603928</v>
          </cell>
          <cell r="E142">
            <v>220715</v>
          </cell>
          <cell r="F142">
            <v>383213</v>
          </cell>
          <cell r="G142">
            <v>0</v>
          </cell>
          <cell r="H142">
            <v>383213</v>
          </cell>
        </row>
        <row r="143">
          <cell r="A143">
            <v>43054010</v>
          </cell>
          <cell r="B143" t="str">
            <v>Hire Charges - Machine</v>
          </cell>
          <cell r="C143">
            <v>0</v>
          </cell>
          <cell r="D143">
            <v>42482</v>
          </cell>
          <cell r="E143">
            <v>0</v>
          </cell>
          <cell r="F143">
            <v>42482</v>
          </cell>
          <cell r="G143">
            <v>0</v>
          </cell>
          <cell r="H143">
            <v>42482</v>
          </cell>
        </row>
        <row r="144">
          <cell r="A144">
            <v>43054020</v>
          </cell>
          <cell r="B144" t="str">
            <v>Concrete Carrying Charges - TM</v>
          </cell>
          <cell r="C144">
            <v>0</v>
          </cell>
          <cell r="D144">
            <v>3594750</v>
          </cell>
          <cell r="E144">
            <v>1489750</v>
          </cell>
          <cell r="F144">
            <v>2105000</v>
          </cell>
          <cell r="G144">
            <v>0</v>
          </cell>
          <cell r="H144">
            <v>2105000</v>
          </cell>
        </row>
        <row r="145">
          <cell r="A145">
            <v>43054030</v>
          </cell>
          <cell r="B145" t="str">
            <v>Concrete Placing Charges Pump</v>
          </cell>
          <cell r="C145">
            <v>0</v>
          </cell>
          <cell r="D145">
            <v>804955</v>
          </cell>
          <cell r="E145">
            <v>273000</v>
          </cell>
          <cell r="F145">
            <v>531955</v>
          </cell>
          <cell r="G145">
            <v>0</v>
          </cell>
          <cell r="H145">
            <v>531955</v>
          </cell>
        </row>
        <row r="146">
          <cell r="A146">
            <v>43056010</v>
          </cell>
          <cell r="B146" t="str">
            <v>Professional &amp; Consultancy Fees</v>
          </cell>
          <cell r="C146">
            <v>0</v>
          </cell>
          <cell r="D146">
            <v>271839</v>
          </cell>
          <cell r="E146">
            <v>65000</v>
          </cell>
          <cell r="F146">
            <v>206839</v>
          </cell>
          <cell r="G146">
            <v>0</v>
          </cell>
          <cell r="H146">
            <v>206839</v>
          </cell>
        </row>
        <row r="147">
          <cell r="A147">
            <v>43062010</v>
          </cell>
          <cell r="B147" t="str">
            <v>Computer Expenses</v>
          </cell>
          <cell r="C147">
            <v>0</v>
          </cell>
          <cell r="D147">
            <v>7500</v>
          </cell>
          <cell r="E147">
            <v>0</v>
          </cell>
          <cell r="F147">
            <v>7500</v>
          </cell>
          <cell r="G147">
            <v>0</v>
          </cell>
          <cell r="H147">
            <v>7500</v>
          </cell>
        </row>
        <row r="148">
          <cell r="A148">
            <v>43066020</v>
          </cell>
          <cell r="B148" t="str">
            <v>Printing &amp; Stationery</v>
          </cell>
          <cell r="C148">
            <v>0</v>
          </cell>
          <cell r="D148">
            <v>103699</v>
          </cell>
          <cell r="E148">
            <v>28500</v>
          </cell>
          <cell r="F148">
            <v>75199</v>
          </cell>
          <cell r="G148">
            <v>0</v>
          </cell>
          <cell r="H148">
            <v>75199</v>
          </cell>
        </row>
        <row r="149">
          <cell r="A149">
            <v>43068010</v>
          </cell>
          <cell r="B149" t="str">
            <v>Donation</v>
          </cell>
          <cell r="C149">
            <v>0</v>
          </cell>
          <cell r="D149">
            <v>5100</v>
          </cell>
          <cell r="E149">
            <v>0</v>
          </cell>
          <cell r="F149">
            <v>5100</v>
          </cell>
          <cell r="G149">
            <v>0</v>
          </cell>
          <cell r="H149">
            <v>5100</v>
          </cell>
        </row>
        <row r="150">
          <cell r="A150">
            <v>43074010</v>
          </cell>
          <cell r="B150" t="str">
            <v>Provision For Bad &amp; Doubtful Debts W/Off</v>
          </cell>
          <cell r="C150">
            <v>0</v>
          </cell>
          <cell r="D150">
            <v>314240</v>
          </cell>
          <cell r="E150">
            <v>0</v>
          </cell>
          <cell r="F150">
            <v>314240</v>
          </cell>
          <cell r="G150">
            <v>0</v>
          </cell>
          <cell r="H150">
            <v>314240</v>
          </cell>
        </row>
        <row r="151">
          <cell r="A151">
            <v>43084010</v>
          </cell>
          <cell r="B151" t="str">
            <v>Miscellaneous Expenses</v>
          </cell>
          <cell r="C151">
            <v>0</v>
          </cell>
          <cell r="D151">
            <v>5750</v>
          </cell>
          <cell r="E151">
            <v>273</v>
          </cell>
          <cell r="F151">
            <v>5477</v>
          </cell>
          <cell r="G151">
            <v>0</v>
          </cell>
          <cell r="H151">
            <v>5477</v>
          </cell>
        </row>
        <row r="152">
          <cell r="A152">
            <v>43084020</v>
          </cell>
          <cell r="B152" t="str">
            <v>Testing Charges</v>
          </cell>
          <cell r="C152">
            <v>0</v>
          </cell>
          <cell r="D152">
            <v>89210</v>
          </cell>
          <cell r="E152">
            <v>0</v>
          </cell>
          <cell r="F152">
            <v>89210</v>
          </cell>
          <cell r="G152">
            <v>0</v>
          </cell>
          <cell r="H152">
            <v>89210</v>
          </cell>
        </row>
        <row r="153">
          <cell r="A153">
            <v>43084030</v>
          </cell>
          <cell r="B153" t="str">
            <v>Rounding Off</v>
          </cell>
          <cell r="C153">
            <v>0</v>
          </cell>
          <cell r="D153">
            <v>200.76</v>
          </cell>
          <cell r="E153">
            <v>116.52</v>
          </cell>
          <cell r="F153">
            <v>84.24</v>
          </cell>
          <cell r="G153">
            <v>0</v>
          </cell>
          <cell r="H153">
            <v>84.24</v>
          </cell>
        </row>
        <row r="154">
          <cell r="A154">
            <v>44010040</v>
          </cell>
          <cell r="B154" t="str">
            <v>Bank Charges</v>
          </cell>
          <cell r="C154">
            <v>0</v>
          </cell>
          <cell r="D154">
            <v>2475.88</v>
          </cell>
          <cell r="E154">
            <v>0</v>
          </cell>
          <cell r="F154">
            <v>2475.88</v>
          </cell>
          <cell r="G154">
            <v>0</v>
          </cell>
          <cell r="H154">
            <v>2475.88</v>
          </cell>
        </row>
        <row r="155">
          <cell r="A155">
            <v>45010010</v>
          </cell>
          <cell r="B155" t="str">
            <v>Depreciation</v>
          </cell>
          <cell r="C155">
            <v>0</v>
          </cell>
          <cell r="D155">
            <v>1971363</v>
          </cell>
          <cell r="E155">
            <v>0</v>
          </cell>
          <cell r="F155">
            <v>1971363</v>
          </cell>
          <cell r="G155">
            <v>0</v>
          </cell>
          <cell r="H155">
            <v>1971363</v>
          </cell>
        </row>
        <row r="156">
          <cell r="A156">
            <v>52000000</v>
          </cell>
          <cell r="B156" t="str">
            <v>Inter Branch Control Account</v>
          </cell>
          <cell r="C156">
            <v>1557358.6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1557358.6</v>
          </cell>
        </row>
        <row r="157">
          <cell r="A157">
            <v>52000809</v>
          </cell>
          <cell r="B157" t="str">
            <v>Inter branch control account for 08-09</v>
          </cell>
          <cell r="C157">
            <v>20554713.329999998</v>
          </cell>
          <cell r="D157">
            <v>13141196.619999999</v>
          </cell>
          <cell r="E157">
            <v>7792137.3099999996</v>
          </cell>
          <cell r="F157">
            <v>5349059.3099999996</v>
          </cell>
          <cell r="G157">
            <v>0</v>
          </cell>
          <cell r="H157">
            <v>25903772.640000001</v>
          </cell>
        </row>
        <row r="158">
          <cell r="A158">
            <v>61000200</v>
          </cell>
          <cell r="B158" t="str">
            <v>Stock Transfer Control Account</v>
          </cell>
          <cell r="C158">
            <v>0</v>
          </cell>
          <cell r="D158">
            <v>124024.41</v>
          </cell>
          <cell r="E158">
            <v>124024.34</v>
          </cell>
          <cell r="F158">
            <v>7.0000000000000007E-2</v>
          </cell>
          <cell r="G158">
            <v>0</v>
          </cell>
          <cell r="H158">
            <v>7.0000000000000007E-2</v>
          </cell>
        </row>
        <row r="159">
          <cell r="A159">
            <v>62000000</v>
          </cell>
          <cell r="B159" t="str">
            <v>Inter branch Clearing account</v>
          </cell>
          <cell r="C159">
            <v>0</v>
          </cell>
          <cell r="D159">
            <v>20933004.620000001</v>
          </cell>
          <cell r="E159">
            <v>20933004.620000001</v>
          </cell>
          <cell r="F159">
            <v>0</v>
          </cell>
          <cell r="G159">
            <v>0</v>
          </cell>
          <cell r="H159">
            <v>0</v>
          </cell>
        </row>
        <row r="160">
          <cell r="B160" t="str">
            <v>Total</v>
          </cell>
          <cell r="D160">
            <v>0</v>
          </cell>
          <cell r="E160">
            <v>476424240.85000002</v>
          </cell>
          <cell r="F160">
            <v>476424240.85000002</v>
          </cell>
          <cell r="G160">
            <v>0</v>
          </cell>
          <cell r="H160">
            <v>0</v>
          </cell>
        </row>
      </sheetData>
      <sheetData sheetId="25" refreshError="1">
        <row r="1">
          <cell r="A1" t="str">
            <v>RMC Readymix (I) Pvt. Ltd.,</v>
          </cell>
          <cell r="B1" t="str">
            <v>Trial balance</v>
          </cell>
          <cell r="C1">
            <v>39970</v>
          </cell>
          <cell r="D1">
            <v>0.67888888888888888</v>
          </cell>
          <cell r="E1" t="str">
            <v>Page 1</v>
          </cell>
          <cell r="F1" t="str">
            <v>Raipur</v>
          </cell>
        </row>
        <row r="2">
          <cell r="A2" t="str">
            <v>Period</v>
          </cell>
          <cell r="B2">
            <v>39904</v>
          </cell>
          <cell r="C2">
            <v>39964</v>
          </cell>
        </row>
        <row r="3">
          <cell r="A3" t="str">
            <v>Ledger account</v>
          </cell>
          <cell r="B3" t="str">
            <v>Account name</v>
          </cell>
          <cell r="C3" t="str">
            <v>Opening balance</v>
          </cell>
          <cell r="D3" t="str">
            <v>Debit</v>
          </cell>
          <cell r="E3" t="str">
            <v>Credit</v>
          </cell>
          <cell r="F3" t="str">
            <v>Net difference</v>
          </cell>
          <cell r="G3" t="str">
            <v>Closing transactions</v>
          </cell>
          <cell r="H3" t="str">
            <v>Closing balance</v>
          </cell>
        </row>
        <row r="4">
          <cell r="A4">
            <v>11015010</v>
          </cell>
          <cell r="B4" t="str">
            <v>Buildings</v>
          </cell>
          <cell r="C4">
            <v>3021491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3021491</v>
          </cell>
        </row>
        <row r="5">
          <cell r="A5">
            <v>11025010</v>
          </cell>
          <cell r="B5" t="str">
            <v>Plant and Machinery</v>
          </cell>
          <cell r="C5">
            <v>12493598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12493598</v>
          </cell>
        </row>
        <row r="6">
          <cell r="A6">
            <v>11030010</v>
          </cell>
          <cell r="B6" t="str">
            <v>Electrical Installations</v>
          </cell>
          <cell r="C6">
            <v>40500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40500</v>
          </cell>
        </row>
        <row r="7">
          <cell r="A7">
            <v>11040010</v>
          </cell>
          <cell r="B7" t="str">
            <v>Office &amp; Electrical Appliances</v>
          </cell>
          <cell r="C7">
            <v>26450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26450</v>
          </cell>
        </row>
        <row r="8">
          <cell r="A8">
            <v>11060010</v>
          </cell>
          <cell r="B8" t="str">
            <v>Capital W.I.P</v>
          </cell>
          <cell r="C8">
            <v>0</v>
          </cell>
          <cell r="D8">
            <v>54150.58</v>
          </cell>
          <cell r="E8">
            <v>17969</v>
          </cell>
          <cell r="F8">
            <v>36181.58</v>
          </cell>
          <cell r="G8">
            <v>0</v>
          </cell>
          <cell r="H8">
            <v>36181.58</v>
          </cell>
        </row>
        <row r="9">
          <cell r="A9">
            <v>13015010</v>
          </cell>
          <cell r="B9" t="str">
            <v>Balance Sheet Stock of Raw material - RMC</v>
          </cell>
          <cell r="C9">
            <v>768641.9</v>
          </cell>
          <cell r="D9">
            <v>823683.15</v>
          </cell>
          <cell r="E9">
            <v>768641.9</v>
          </cell>
          <cell r="F9">
            <v>55041.25</v>
          </cell>
          <cell r="G9">
            <v>0</v>
          </cell>
          <cell r="H9">
            <v>823683.15</v>
          </cell>
        </row>
        <row r="10">
          <cell r="A10">
            <v>13020010</v>
          </cell>
          <cell r="B10" t="str">
            <v>Sundry Debtors Account</v>
          </cell>
          <cell r="C10">
            <v>2805527.22</v>
          </cell>
          <cell r="D10">
            <v>12796077.1</v>
          </cell>
          <cell r="E10">
            <v>12874528.32</v>
          </cell>
          <cell r="F10">
            <v>-78451.22</v>
          </cell>
          <cell r="G10">
            <v>0</v>
          </cell>
          <cell r="H10">
            <v>2727076</v>
          </cell>
        </row>
        <row r="11">
          <cell r="A11">
            <v>13025010</v>
          </cell>
          <cell r="B11" t="str">
            <v>Cash In Hand</v>
          </cell>
          <cell r="C11">
            <v>0</v>
          </cell>
          <cell r="D11">
            <v>91736</v>
          </cell>
          <cell r="E11">
            <v>84056</v>
          </cell>
          <cell r="F11">
            <v>7680</v>
          </cell>
          <cell r="G11">
            <v>0</v>
          </cell>
          <cell r="H11">
            <v>7680</v>
          </cell>
        </row>
        <row r="12">
          <cell r="A12">
            <v>13035010</v>
          </cell>
          <cell r="B12" t="str">
            <v>Bank Account</v>
          </cell>
          <cell r="C12">
            <v>91565.79</v>
          </cell>
          <cell r="D12">
            <v>13509425.1</v>
          </cell>
          <cell r="E12">
            <v>13098180.800000001</v>
          </cell>
          <cell r="F12">
            <v>411244.3</v>
          </cell>
          <cell r="G12">
            <v>0</v>
          </cell>
          <cell r="H12">
            <v>502810.09</v>
          </cell>
        </row>
        <row r="13">
          <cell r="A13">
            <v>13045020</v>
          </cell>
          <cell r="B13" t="str">
            <v>Loans and advances to employees</v>
          </cell>
          <cell r="C13">
            <v>-600.5</v>
          </cell>
          <cell r="D13">
            <v>82271.5</v>
          </cell>
          <cell r="E13">
            <v>80671</v>
          </cell>
          <cell r="F13">
            <v>1600.5</v>
          </cell>
          <cell r="G13">
            <v>0</v>
          </cell>
          <cell r="H13">
            <v>1000</v>
          </cell>
        </row>
        <row r="14">
          <cell r="A14">
            <v>13055060</v>
          </cell>
          <cell r="B14" t="str">
            <v>VAT Credit Receivable (Inputs)</v>
          </cell>
          <cell r="C14">
            <v>438380</v>
          </cell>
          <cell r="D14">
            <v>477740</v>
          </cell>
          <cell r="E14">
            <v>0</v>
          </cell>
          <cell r="F14">
            <v>477740</v>
          </cell>
          <cell r="G14">
            <v>0</v>
          </cell>
          <cell r="H14">
            <v>916120</v>
          </cell>
        </row>
        <row r="15">
          <cell r="A15">
            <v>13055070</v>
          </cell>
          <cell r="B15" t="str">
            <v>Vat Credit Receivable (Capital Goods)</v>
          </cell>
          <cell r="C15">
            <v>687445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687445</v>
          </cell>
        </row>
        <row r="16">
          <cell r="A16">
            <v>25005010</v>
          </cell>
          <cell r="B16" t="str">
            <v>Creditors Control</v>
          </cell>
          <cell r="C16">
            <v>-3264159.58</v>
          </cell>
          <cell r="D16">
            <v>15014552.16</v>
          </cell>
          <cell r="E16">
            <v>13791495.32</v>
          </cell>
          <cell r="F16">
            <v>1223056.8400000001</v>
          </cell>
          <cell r="G16">
            <v>0</v>
          </cell>
          <cell r="H16">
            <v>-2041102.74</v>
          </cell>
        </row>
        <row r="17">
          <cell r="A17">
            <v>25005050</v>
          </cell>
          <cell r="B17" t="str">
            <v>Creditors liability for material received but bill not recei</v>
          </cell>
          <cell r="C17">
            <v>-0.19</v>
          </cell>
          <cell r="D17">
            <v>7326347.4100000001</v>
          </cell>
          <cell r="E17">
            <v>7326347.8499999996</v>
          </cell>
          <cell r="F17">
            <v>-0.44</v>
          </cell>
          <cell r="G17">
            <v>0</v>
          </cell>
          <cell r="H17">
            <v>-0.63</v>
          </cell>
        </row>
        <row r="18">
          <cell r="A18">
            <v>25010020</v>
          </cell>
          <cell r="B18" t="str">
            <v>Outstanding Liabilities For Expenses</v>
          </cell>
          <cell r="C18">
            <v>-25000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-25000</v>
          </cell>
        </row>
        <row r="19">
          <cell r="A19">
            <v>25010060</v>
          </cell>
          <cell r="B19" t="str">
            <v>T.D.S.payable account</v>
          </cell>
          <cell r="C19">
            <v>-167225</v>
          </cell>
          <cell r="D19">
            <v>400591</v>
          </cell>
          <cell r="E19">
            <v>320198</v>
          </cell>
          <cell r="F19">
            <v>80393</v>
          </cell>
          <cell r="G19">
            <v>0</v>
          </cell>
          <cell r="H19">
            <v>-86832</v>
          </cell>
        </row>
        <row r="20">
          <cell r="A20">
            <v>25010190</v>
          </cell>
          <cell r="B20" t="str">
            <v>VAT  Payable account</v>
          </cell>
          <cell r="C20">
            <v>-626419</v>
          </cell>
          <cell r="D20">
            <v>648037</v>
          </cell>
          <cell r="E20">
            <v>1373344</v>
          </cell>
          <cell r="F20">
            <v>-725307</v>
          </cell>
          <cell r="G20">
            <v>0</v>
          </cell>
          <cell r="H20">
            <v>-1351726</v>
          </cell>
        </row>
        <row r="21">
          <cell r="A21">
            <v>25010200</v>
          </cell>
          <cell r="B21" t="str">
            <v>Provision for Expenses in MIS</v>
          </cell>
          <cell r="C21">
            <v>0</v>
          </cell>
          <cell r="D21">
            <v>891413</v>
          </cell>
          <cell r="E21">
            <v>1837163</v>
          </cell>
          <cell r="F21">
            <v>-945750</v>
          </cell>
          <cell r="G21">
            <v>0</v>
          </cell>
          <cell r="H21">
            <v>-945750</v>
          </cell>
        </row>
        <row r="22">
          <cell r="A22">
            <v>26005020</v>
          </cell>
          <cell r="B22" t="str">
            <v>Provision For Bad &amp; Doubtful Debts</v>
          </cell>
          <cell r="C22">
            <v>-50000</v>
          </cell>
          <cell r="D22">
            <v>0</v>
          </cell>
          <cell r="E22">
            <v>10000</v>
          </cell>
          <cell r="F22">
            <v>-10000</v>
          </cell>
          <cell r="G22">
            <v>0</v>
          </cell>
          <cell r="H22">
            <v>-60000</v>
          </cell>
        </row>
        <row r="23">
          <cell r="A23">
            <v>26015010</v>
          </cell>
          <cell r="B23" t="str">
            <v>Prov For Dep.-  Buildings</v>
          </cell>
          <cell r="C23">
            <v>-115370.98</v>
          </cell>
          <cell r="D23">
            <v>0</v>
          </cell>
          <cell r="E23">
            <v>24122</v>
          </cell>
          <cell r="F23">
            <v>-24122</v>
          </cell>
          <cell r="G23">
            <v>0</v>
          </cell>
          <cell r="H23">
            <v>-139492.98000000001</v>
          </cell>
        </row>
        <row r="24">
          <cell r="A24">
            <v>26025010</v>
          </cell>
          <cell r="B24" t="str">
            <v>Provision for Depreciation Plant &amp; Machinery</v>
          </cell>
          <cell r="C24">
            <v>-916124.5</v>
          </cell>
          <cell r="D24">
            <v>0</v>
          </cell>
          <cell r="E24">
            <v>217144</v>
          </cell>
          <cell r="F24">
            <v>-217144</v>
          </cell>
          <cell r="G24">
            <v>0</v>
          </cell>
          <cell r="H24">
            <v>-1133268.5</v>
          </cell>
        </row>
        <row r="25">
          <cell r="A25">
            <v>26030010</v>
          </cell>
          <cell r="B25" t="str">
            <v>Provision For Dep.-Electrical Installations</v>
          </cell>
          <cell r="C25">
            <v>-337</v>
          </cell>
          <cell r="D25">
            <v>0</v>
          </cell>
          <cell r="E25">
            <v>675</v>
          </cell>
          <cell r="F25">
            <v>-675</v>
          </cell>
          <cell r="G25">
            <v>0</v>
          </cell>
          <cell r="H25">
            <v>-1012</v>
          </cell>
        </row>
        <row r="26">
          <cell r="A26">
            <v>26040010</v>
          </cell>
          <cell r="B26" t="str">
            <v>Provision for Depreciation- Office and Electrical Appliances</v>
          </cell>
          <cell r="C26">
            <v>-551</v>
          </cell>
          <cell r="D26">
            <v>0</v>
          </cell>
          <cell r="E26">
            <v>1102</v>
          </cell>
          <cell r="F26">
            <v>-1102</v>
          </cell>
          <cell r="G26">
            <v>0</v>
          </cell>
          <cell r="H26">
            <v>-1653</v>
          </cell>
        </row>
        <row r="27">
          <cell r="A27">
            <v>26055020</v>
          </cell>
          <cell r="B27" t="str">
            <v>Profit &amp; Loss A/c</v>
          </cell>
          <cell r="C27">
            <v>5601694.4299999997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5601694.4299999997</v>
          </cell>
        </row>
        <row r="28">
          <cell r="A28">
            <v>26055050</v>
          </cell>
          <cell r="B28" t="str">
            <v>Provision for Production linked incentive (KRA)</v>
          </cell>
          <cell r="C28">
            <v>0</v>
          </cell>
          <cell r="D28">
            <v>0</v>
          </cell>
          <cell r="E28">
            <v>41961</v>
          </cell>
          <cell r="F28">
            <v>-41961</v>
          </cell>
          <cell r="G28">
            <v>0</v>
          </cell>
          <cell r="H28">
            <v>-41961</v>
          </cell>
        </row>
        <row r="29">
          <cell r="A29">
            <v>31010010</v>
          </cell>
          <cell r="B29" t="str">
            <v>Sales</v>
          </cell>
          <cell r="C29">
            <v>0</v>
          </cell>
          <cell r="D29">
            <v>1097987.1100000001</v>
          </cell>
          <cell r="E29">
            <v>10848800.73</v>
          </cell>
          <cell r="F29">
            <v>-9750813.6199999992</v>
          </cell>
          <cell r="G29">
            <v>0</v>
          </cell>
          <cell r="H29">
            <v>-9750813.6199999992</v>
          </cell>
        </row>
        <row r="30">
          <cell r="A30">
            <v>31040010</v>
          </cell>
          <cell r="B30" t="str">
            <v>Mobilisation Charges</v>
          </cell>
          <cell r="C30">
            <v>0</v>
          </cell>
          <cell r="D30">
            <v>6222.22</v>
          </cell>
          <cell r="E30">
            <v>31111.1</v>
          </cell>
          <cell r="F30">
            <v>-24888.880000000001</v>
          </cell>
          <cell r="G30">
            <v>0</v>
          </cell>
          <cell r="H30">
            <v>-24888.880000000001</v>
          </cell>
        </row>
        <row r="31">
          <cell r="A31">
            <v>32020020</v>
          </cell>
          <cell r="B31" t="str">
            <v>Misc Income - Scrap sales</v>
          </cell>
          <cell r="C31">
            <v>0</v>
          </cell>
          <cell r="D31">
            <v>0</v>
          </cell>
          <cell r="E31">
            <v>106341.31</v>
          </cell>
          <cell r="F31">
            <v>-106341.31</v>
          </cell>
          <cell r="G31">
            <v>0</v>
          </cell>
          <cell r="H31">
            <v>-106341.31</v>
          </cell>
        </row>
        <row r="32">
          <cell r="A32">
            <v>41010010</v>
          </cell>
          <cell r="B32" t="str">
            <v>Opening Stock - Cement</v>
          </cell>
          <cell r="C32">
            <v>0</v>
          </cell>
          <cell r="D32">
            <v>411161.7</v>
          </cell>
          <cell r="E32">
            <v>0</v>
          </cell>
          <cell r="F32">
            <v>411161.7</v>
          </cell>
          <cell r="G32">
            <v>0</v>
          </cell>
          <cell r="H32">
            <v>411161.7</v>
          </cell>
        </row>
        <row r="33">
          <cell r="A33">
            <v>41010020</v>
          </cell>
          <cell r="B33" t="str">
            <v>Opening Stock - Sand</v>
          </cell>
          <cell r="C33">
            <v>0</v>
          </cell>
          <cell r="D33">
            <v>67793.67</v>
          </cell>
          <cell r="E33">
            <v>0</v>
          </cell>
          <cell r="F33">
            <v>67793.67</v>
          </cell>
          <cell r="G33">
            <v>0</v>
          </cell>
          <cell r="H33">
            <v>67793.67</v>
          </cell>
        </row>
        <row r="34">
          <cell r="A34">
            <v>41010040</v>
          </cell>
          <cell r="B34" t="str">
            <v>Opening Stock - RMC Aggregates</v>
          </cell>
          <cell r="C34">
            <v>0</v>
          </cell>
          <cell r="D34">
            <v>204787.8</v>
          </cell>
          <cell r="E34">
            <v>0</v>
          </cell>
          <cell r="F34">
            <v>204787.8</v>
          </cell>
          <cell r="G34">
            <v>0</v>
          </cell>
          <cell r="H34">
            <v>204787.8</v>
          </cell>
        </row>
        <row r="35">
          <cell r="A35">
            <v>41010050</v>
          </cell>
          <cell r="B35" t="str">
            <v>Opening Stock - Admixtures</v>
          </cell>
          <cell r="C35">
            <v>0</v>
          </cell>
          <cell r="D35">
            <v>65528.32</v>
          </cell>
          <cell r="E35">
            <v>0</v>
          </cell>
          <cell r="F35">
            <v>65528.32</v>
          </cell>
          <cell r="G35">
            <v>0</v>
          </cell>
          <cell r="H35">
            <v>65528.32</v>
          </cell>
        </row>
        <row r="36">
          <cell r="A36">
            <v>41010080</v>
          </cell>
          <cell r="B36" t="str">
            <v>Opening Stock - Diesel</v>
          </cell>
          <cell r="C36">
            <v>0</v>
          </cell>
          <cell r="D36">
            <v>19370.41</v>
          </cell>
          <cell r="E36">
            <v>0</v>
          </cell>
          <cell r="F36">
            <v>19370.41</v>
          </cell>
          <cell r="G36">
            <v>0</v>
          </cell>
          <cell r="H36">
            <v>19370.41</v>
          </cell>
        </row>
        <row r="37">
          <cell r="A37">
            <v>41020010</v>
          </cell>
          <cell r="B37" t="str">
            <v>Raw Material Purchase - Cement</v>
          </cell>
          <cell r="C37">
            <v>0</v>
          </cell>
          <cell r="D37">
            <v>4306273.34</v>
          </cell>
          <cell r="E37">
            <v>4439000.13</v>
          </cell>
          <cell r="F37">
            <v>-132726.79</v>
          </cell>
          <cell r="G37">
            <v>0</v>
          </cell>
          <cell r="H37">
            <v>-132726.79</v>
          </cell>
        </row>
        <row r="38">
          <cell r="A38">
            <v>41020015</v>
          </cell>
          <cell r="B38" t="str">
            <v>Interim account cement received</v>
          </cell>
          <cell r="C38">
            <v>0</v>
          </cell>
          <cell r="D38">
            <v>4306273.3899999997</v>
          </cell>
          <cell r="E38">
            <v>4306273.34</v>
          </cell>
          <cell r="F38">
            <v>0.05</v>
          </cell>
          <cell r="G38">
            <v>0</v>
          </cell>
          <cell r="H38">
            <v>0.05</v>
          </cell>
        </row>
        <row r="39">
          <cell r="A39">
            <v>41020020</v>
          </cell>
          <cell r="B39" t="str">
            <v>Cement Consumption account</v>
          </cell>
          <cell r="C39">
            <v>0</v>
          </cell>
          <cell r="D39">
            <v>4439000.13</v>
          </cell>
          <cell r="E39">
            <v>0</v>
          </cell>
          <cell r="F39">
            <v>4439000.13</v>
          </cell>
          <cell r="G39">
            <v>0</v>
          </cell>
          <cell r="H39">
            <v>4439000.13</v>
          </cell>
        </row>
        <row r="40">
          <cell r="A40">
            <v>41020030</v>
          </cell>
          <cell r="B40" t="str">
            <v>Raw Material Purchase - Aggregates</v>
          </cell>
          <cell r="C40">
            <v>0</v>
          </cell>
          <cell r="D40">
            <v>1539990.23</v>
          </cell>
          <cell r="E40">
            <v>1553394.18</v>
          </cell>
          <cell r="F40">
            <v>-13403.95</v>
          </cell>
          <cell r="G40">
            <v>0</v>
          </cell>
          <cell r="H40">
            <v>-13403.95</v>
          </cell>
        </row>
        <row r="41">
          <cell r="A41">
            <v>41020035</v>
          </cell>
          <cell r="B41" t="str">
            <v>Interim account Aggregate received</v>
          </cell>
          <cell r="C41">
            <v>0</v>
          </cell>
          <cell r="D41">
            <v>1539881.95</v>
          </cell>
          <cell r="E41">
            <v>1539881.95</v>
          </cell>
          <cell r="F41">
            <v>0</v>
          </cell>
          <cell r="G41">
            <v>0</v>
          </cell>
          <cell r="H41">
            <v>0</v>
          </cell>
        </row>
        <row r="42">
          <cell r="A42">
            <v>41020040</v>
          </cell>
          <cell r="B42" t="str">
            <v>Aggregate Consumption account</v>
          </cell>
          <cell r="C42">
            <v>0</v>
          </cell>
          <cell r="D42">
            <v>1545674.82</v>
          </cell>
          <cell r="E42">
            <v>108.28</v>
          </cell>
          <cell r="F42">
            <v>1545566.54</v>
          </cell>
          <cell r="G42">
            <v>0</v>
          </cell>
          <cell r="H42">
            <v>1545566.54</v>
          </cell>
        </row>
        <row r="43">
          <cell r="A43">
            <v>41020050</v>
          </cell>
          <cell r="B43" t="str">
            <v>Raw Material Purchase - Sand</v>
          </cell>
          <cell r="C43">
            <v>0</v>
          </cell>
          <cell r="D43">
            <v>325671.56</v>
          </cell>
          <cell r="E43">
            <v>340579.26</v>
          </cell>
          <cell r="F43">
            <v>-14907.7</v>
          </cell>
          <cell r="G43">
            <v>0</v>
          </cell>
          <cell r="H43">
            <v>-14907.7</v>
          </cell>
        </row>
        <row r="44">
          <cell r="A44">
            <v>41020055</v>
          </cell>
          <cell r="B44" t="str">
            <v>Interim account Sand Received</v>
          </cell>
          <cell r="C44">
            <v>0</v>
          </cell>
          <cell r="D44">
            <v>325227.25</v>
          </cell>
          <cell r="E44">
            <v>325227.25</v>
          </cell>
          <cell r="F44">
            <v>0</v>
          </cell>
          <cell r="G44">
            <v>0</v>
          </cell>
          <cell r="H44">
            <v>0</v>
          </cell>
        </row>
        <row r="45">
          <cell r="A45">
            <v>41020060</v>
          </cell>
          <cell r="B45" t="str">
            <v>Sand Consumption account</v>
          </cell>
          <cell r="C45">
            <v>0</v>
          </cell>
          <cell r="D45">
            <v>340579.26</v>
          </cell>
          <cell r="E45">
            <v>444.31</v>
          </cell>
          <cell r="F45">
            <v>340134.95</v>
          </cell>
          <cell r="G45">
            <v>0</v>
          </cell>
          <cell r="H45">
            <v>340134.95</v>
          </cell>
        </row>
        <row r="46">
          <cell r="A46">
            <v>41020070</v>
          </cell>
          <cell r="B46" t="str">
            <v>Raw Material Purchase - Admixture</v>
          </cell>
          <cell r="C46">
            <v>0</v>
          </cell>
          <cell r="D46">
            <v>452625</v>
          </cell>
          <cell r="E46">
            <v>229802.06</v>
          </cell>
          <cell r="F46">
            <v>222822.94</v>
          </cell>
          <cell r="G46">
            <v>0</v>
          </cell>
          <cell r="H46">
            <v>222822.94</v>
          </cell>
        </row>
        <row r="47">
          <cell r="A47">
            <v>41020075</v>
          </cell>
          <cell r="B47" t="str">
            <v>Interim account Admixture received</v>
          </cell>
          <cell r="C47">
            <v>0</v>
          </cell>
          <cell r="D47">
            <v>452625</v>
          </cell>
          <cell r="E47">
            <v>452625</v>
          </cell>
          <cell r="F47">
            <v>0</v>
          </cell>
          <cell r="G47">
            <v>0</v>
          </cell>
          <cell r="H47">
            <v>0</v>
          </cell>
        </row>
        <row r="48">
          <cell r="A48">
            <v>41020080</v>
          </cell>
          <cell r="B48" t="str">
            <v>Admixture Consumption account</v>
          </cell>
          <cell r="C48">
            <v>0</v>
          </cell>
          <cell r="D48">
            <v>229802.06</v>
          </cell>
          <cell r="E48">
            <v>0</v>
          </cell>
          <cell r="F48">
            <v>229802.06</v>
          </cell>
          <cell r="G48">
            <v>0</v>
          </cell>
          <cell r="H48">
            <v>229802.06</v>
          </cell>
        </row>
        <row r="49">
          <cell r="A49">
            <v>41020150</v>
          </cell>
          <cell r="B49" t="str">
            <v>Loss/ gain on Stock</v>
          </cell>
          <cell r="C49">
            <v>0</v>
          </cell>
          <cell r="D49">
            <v>7719.36</v>
          </cell>
          <cell r="E49">
            <v>0</v>
          </cell>
          <cell r="F49">
            <v>7719.36</v>
          </cell>
          <cell r="G49">
            <v>0</v>
          </cell>
          <cell r="H49">
            <v>7719.36</v>
          </cell>
        </row>
        <row r="50">
          <cell r="A50">
            <v>41020195</v>
          </cell>
          <cell r="B50" t="str">
            <v>Purchase of Diesel</v>
          </cell>
          <cell r="C50">
            <v>0</v>
          </cell>
          <cell r="D50">
            <v>701189.87</v>
          </cell>
          <cell r="E50">
            <v>707933.56</v>
          </cell>
          <cell r="F50">
            <v>-6743.69</v>
          </cell>
          <cell r="G50">
            <v>0</v>
          </cell>
          <cell r="H50">
            <v>-6743.69</v>
          </cell>
        </row>
        <row r="51">
          <cell r="A51">
            <v>41020200</v>
          </cell>
          <cell r="B51" t="str">
            <v>Interim account for diesel received</v>
          </cell>
          <cell r="C51">
            <v>0</v>
          </cell>
          <cell r="D51">
            <v>701190.26</v>
          </cell>
          <cell r="E51">
            <v>701189.87</v>
          </cell>
          <cell r="F51">
            <v>0.39</v>
          </cell>
          <cell r="G51">
            <v>0</v>
          </cell>
          <cell r="H51">
            <v>0.39</v>
          </cell>
        </row>
        <row r="52">
          <cell r="A52">
            <v>41020205</v>
          </cell>
          <cell r="B52" t="str">
            <v>Diesel Consumption account</v>
          </cell>
          <cell r="C52">
            <v>0</v>
          </cell>
          <cell r="D52">
            <v>521548.42</v>
          </cell>
          <cell r="E52">
            <v>521548.42</v>
          </cell>
          <cell r="F52">
            <v>0</v>
          </cell>
          <cell r="G52">
            <v>0</v>
          </cell>
          <cell r="H52">
            <v>0</v>
          </cell>
        </row>
        <row r="53">
          <cell r="A53">
            <v>41050010</v>
          </cell>
          <cell r="B53" t="str">
            <v>Closing Stock - Cement</v>
          </cell>
          <cell r="C53">
            <v>0</v>
          </cell>
          <cell r="D53">
            <v>0</v>
          </cell>
          <cell r="E53">
            <v>278434.96000000002</v>
          </cell>
          <cell r="F53">
            <v>-278434.96000000002</v>
          </cell>
          <cell r="G53">
            <v>0</v>
          </cell>
          <cell r="H53">
            <v>-278434.96000000002</v>
          </cell>
        </row>
        <row r="54">
          <cell r="A54">
            <v>41050020</v>
          </cell>
          <cell r="B54" t="str">
            <v>Closing Stock - Sand</v>
          </cell>
          <cell r="C54">
            <v>0</v>
          </cell>
          <cell r="D54">
            <v>0</v>
          </cell>
          <cell r="E54">
            <v>52885.97</v>
          </cell>
          <cell r="F54">
            <v>-52885.97</v>
          </cell>
          <cell r="G54">
            <v>0</v>
          </cell>
          <cell r="H54">
            <v>-52885.97</v>
          </cell>
        </row>
        <row r="55">
          <cell r="A55">
            <v>41050040</v>
          </cell>
          <cell r="B55" t="str">
            <v>Closing Stock - RMC Aggregates</v>
          </cell>
          <cell r="C55">
            <v>0</v>
          </cell>
          <cell r="D55">
            <v>0</v>
          </cell>
          <cell r="E55">
            <v>191383.85</v>
          </cell>
          <cell r="F55">
            <v>-191383.85</v>
          </cell>
          <cell r="G55">
            <v>0</v>
          </cell>
          <cell r="H55">
            <v>-191383.85</v>
          </cell>
        </row>
        <row r="56">
          <cell r="A56">
            <v>41050050</v>
          </cell>
          <cell r="B56" t="str">
            <v>Closing Stock - Admixtures</v>
          </cell>
          <cell r="C56">
            <v>0</v>
          </cell>
          <cell r="D56">
            <v>0</v>
          </cell>
          <cell r="E56">
            <v>288351.26</v>
          </cell>
          <cell r="F56">
            <v>-288351.26</v>
          </cell>
          <cell r="G56">
            <v>0</v>
          </cell>
          <cell r="H56">
            <v>-288351.26</v>
          </cell>
        </row>
        <row r="57">
          <cell r="A57">
            <v>41050080</v>
          </cell>
          <cell r="B57" t="str">
            <v>Closing Stock - Diesel</v>
          </cell>
          <cell r="C57">
            <v>0</v>
          </cell>
          <cell r="D57">
            <v>0</v>
          </cell>
          <cell r="E57">
            <v>12627.11</v>
          </cell>
          <cell r="F57">
            <v>-12627.11</v>
          </cell>
          <cell r="G57">
            <v>0</v>
          </cell>
          <cell r="H57">
            <v>-12627.11</v>
          </cell>
        </row>
        <row r="58">
          <cell r="A58">
            <v>42010010</v>
          </cell>
          <cell r="B58" t="str">
            <v>Salary - Basic</v>
          </cell>
          <cell r="C58">
            <v>0</v>
          </cell>
          <cell r="D58">
            <v>255686</v>
          </cell>
          <cell r="E58">
            <v>127843</v>
          </cell>
          <cell r="F58">
            <v>127843</v>
          </cell>
          <cell r="G58">
            <v>0</v>
          </cell>
          <cell r="H58">
            <v>127843</v>
          </cell>
        </row>
        <row r="59">
          <cell r="A59">
            <v>42010020</v>
          </cell>
          <cell r="B59" t="str">
            <v>House Rent Allowance</v>
          </cell>
          <cell r="C59">
            <v>0</v>
          </cell>
          <cell r="D59">
            <v>127846</v>
          </cell>
          <cell r="E59">
            <v>63923</v>
          </cell>
          <cell r="F59">
            <v>63923</v>
          </cell>
          <cell r="G59">
            <v>0</v>
          </cell>
          <cell r="H59">
            <v>63923</v>
          </cell>
        </row>
        <row r="60">
          <cell r="A60">
            <v>42010030</v>
          </cell>
          <cell r="B60" t="str">
            <v>Education Allowance</v>
          </cell>
          <cell r="C60">
            <v>0</v>
          </cell>
          <cell r="D60">
            <v>19720</v>
          </cell>
          <cell r="E60">
            <v>9860</v>
          </cell>
          <cell r="F60">
            <v>9860</v>
          </cell>
          <cell r="G60">
            <v>0</v>
          </cell>
          <cell r="H60">
            <v>9860</v>
          </cell>
        </row>
        <row r="61">
          <cell r="A61">
            <v>42010040</v>
          </cell>
          <cell r="B61" t="str">
            <v>Special Allowance</v>
          </cell>
          <cell r="C61">
            <v>0</v>
          </cell>
          <cell r="D61">
            <v>41960</v>
          </cell>
          <cell r="E61">
            <v>20980</v>
          </cell>
          <cell r="F61">
            <v>20980</v>
          </cell>
          <cell r="G61">
            <v>0</v>
          </cell>
          <cell r="H61">
            <v>20980</v>
          </cell>
        </row>
        <row r="62">
          <cell r="A62">
            <v>42010050</v>
          </cell>
          <cell r="B62" t="str">
            <v>Medical Expense Reimbursement</v>
          </cell>
          <cell r="C62">
            <v>0</v>
          </cell>
          <cell r="D62">
            <v>37680</v>
          </cell>
          <cell r="E62">
            <v>29738</v>
          </cell>
          <cell r="F62">
            <v>7942</v>
          </cell>
          <cell r="G62">
            <v>0</v>
          </cell>
          <cell r="H62">
            <v>7942</v>
          </cell>
        </row>
        <row r="63">
          <cell r="A63">
            <v>42010070</v>
          </cell>
          <cell r="B63" t="str">
            <v>Leave Encashment</v>
          </cell>
          <cell r="C63">
            <v>0</v>
          </cell>
          <cell r="D63">
            <v>39440</v>
          </cell>
          <cell r="E63">
            <v>19720</v>
          </cell>
          <cell r="F63">
            <v>19720</v>
          </cell>
          <cell r="G63">
            <v>0</v>
          </cell>
          <cell r="H63">
            <v>19720</v>
          </cell>
        </row>
        <row r="64">
          <cell r="A64">
            <v>42010100</v>
          </cell>
          <cell r="B64" t="str">
            <v>Transport Allowance</v>
          </cell>
          <cell r="C64">
            <v>0</v>
          </cell>
          <cell r="D64">
            <v>55894</v>
          </cell>
          <cell r="E64">
            <v>27947</v>
          </cell>
          <cell r="F64">
            <v>27947</v>
          </cell>
          <cell r="G64">
            <v>0</v>
          </cell>
          <cell r="H64">
            <v>27947</v>
          </cell>
        </row>
        <row r="65">
          <cell r="A65">
            <v>42010130</v>
          </cell>
          <cell r="B65" t="str">
            <v>Production Linked Incentive</v>
          </cell>
          <cell r="C65">
            <v>0</v>
          </cell>
          <cell r="D65">
            <v>51358</v>
          </cell>
          <cell r="E65">
            <v>9397</v>
          </cell>
          <cell r="F65">
            <v>41961</v>
          </cell>
          <cell r="G65">
            <v>0</v>
          </cell>
          <cell r="H65">
            <v>41961</v>
          </cell>
        </row>
        <row r="66">
          <cell r="A66">
            <v>42010220</v>
          </cell>
          <cell r="B66" t="str">
            <v>Adhoc Allowance</v>
          </cell>
          <cell r="C66">
            <v>0</v>
          </cell>
          <cell r="D66">
            <v>7200</v>
          </cell>
          <cell r="E66">
            <v>3600</v>
          </cell>
          <cell r="F66">
            <v>3600</v>
          </cell>
          <cell r="G66">
            <v>0</v>
          </cell>
          <cell r="H66">
            <v>3600</v>
          </cell>
        </row>
        <row r="67">
          <cell r="A67">
            <v>42020010</v>
          </cell>
          <cell r="B67" t="str">
            <v>Provident Funds - Employer's Conribution</v>
          </cell>
          <cell r="C67">
            <v>0</v>
          </cell>
          <cell r="D67">
            <v>15618</v>
          </cell>
          <cell r="E67">
            <v>7809</v>
          </cell>
          <cell r="F67">
            <v>7809</v>
          </cell>
          <cell r="G67">
            <v>0</v>
          </cell>
          <cell r="H67">
            <v>7809</v>
          </cell>
        </row>
        <row r="68">
          <cell r="A68">
            <v>42020020</v>
          </cell>
          <cell r="B68" t="str">
            <v>Pension Fund - Employer's Contribution</v>
          </cell>
          <cell r="C68">
            <v>0</v>
          </cell>
          <cell r="D68">
            <v>15064</v>
          </cell>
          <cell r="E68">
            <v>7532</v>
          </cell>
          <cell r="F68">
            <v>7532</v>
          </cell>
          <cell r="G68">
            <v>0</v>
          </cell>
          <cell r="H68">
            <v>7532</v>
          </cell>
        </row>
        <row r="69">
          <cell r="A69">
            <v>42030010</v>
          </cell>
          <cell r="B69" t="str">
            <v>Purchases of Safety &amp; Welfare Items - FBT</v>
          </cell>
          <cell r="C69">
            <v>0</v>
          </cell>
          <cell r="D69">
            <v>7698</v>
          </cell>
          <cell r="E69">
            <v>0</v>
          </cell>
          <cell r="F69">
            <v>7698</v>
          </cell>
          <cell r="G69">
            <v>0</v>
          </cell>
          <cell r="H69">
            <v>7698</v>
          </cell>
        </row>
        <row r="70">
          <cell r="A70">
            <v>42030020</v>
          </cell>
          <cell r="B70" t="str">
            <v>Purchases of Safety &amp; Welfare Items</v>
          </cell>
          <cell r="C70">
            <v>0</v>
          </cell>
          <cell r="D70">
            <v>1600</v>
          </cell>
          <cell r="E70">
            <v>0</v>
          </cell>
          <cell r="F70">
            <v>1600</v>
          </cell>
          <cell r="G70">
            <v>0</v>
          </cell>
          <cell r="H70">
            <v>1600</v>
          </cell>
        </row>
        <row r="71">
          <cell r="A71">
            <v>42030030</v>
          </cell>
          <cell r="B71" t="str">
            <v>Mediclaim Expenses Reimbursement - FBT</v>
          </cell>
          <cell r="C71">
            <v>0</v>
          </cell>
          <cell r="D71">
            <v>11098</v>
          </cell>
          <cell r="E71">
            <v>22196</v>
          </cell>
          <cell r="F71">
            <v>-11098</v>
          </cell>
          <cell r="G71">
            <v>0</v>
          </cell>
          <cell r="H71">
            <v>-11098</v>
          </cell>
        </row>
        <row r="72">
          <cell r="A72">
            <v>42030040</v>
          </cell>
          <cell r="B72" t="str">
            <v>Staff Welfare Expenses - FBT</v>
          </cell>
          <cell r="C72">
            <v>0</v>
          </cell>
          <cell r="D72">
            <v>2178</v>
          </cell>
          <cell r="E72">
            <v>48</v>
          </cell>
          <cell r="F72">
            <v>2130</v>
          </cell>
          <cell r="G72">
            <v>0</v>
          </cell>
          <cell r="H72">
            <v>2130</v>
          </cell>
        </row>
        <row r="73">
          <cell r="A73">
            <v>42030050</v>
          </cell>
          <cell r="B73" t="str">
            <v>Staff Welfare Expenses</v>
          </cell>
          <cell r="C73">
            <v>0</v>
          </cell>
          <cell r="D73">
            <v>1120</v>
          </cell>
          <cell r="E73">
            <v>0</v>
          </cell>
          <cell r="F73">
            <v>1120</v>
          </cell>
          <cell r="G73">
            <v>0</v>
          </cell>
          <cell r="H73">
            <v>1120</v>
          </cell>
        </row>
        <row r="74">
          <cell r="A74">
            <v>42030060</v>
          </cell>
          <cell r="B74" t="str">
            <v>Food &amp; Beverage Exps - FBT</v>
          </cell>
          <cell r="C74">
            <v>0</v>
          </cell>
          <cell r="D74">
            <v>14098</v>
          </cell>
          <cell r="E74">
            <v>0</v>
          </cell>
          <cell r="F74">
            <v>14098</v>
          </cell>
          <cell r="G74">
            <v>0</v>
          </cell>
          <cell r="H74">
            <v>14098</v>
          </cell>
        </row>
        <row r="75">
          <cell r="A75">
            <v>43001010</v>
          </cell>
          <cell r="B75" t="str">
            <v>Electricity Charges</v>
          </cell>
          <cell r="C75">
            <v>0</v>
          </cell>
          <cell r="D75">
            <v>15000</v>
          </cell>
          <cell r="E75">
            <v>0</v>
          </cell>
          <cell r="F75">
            <v>15000</v>
          </cell>
          <cell r="G75">
            <v>0</v>
          </cell>
          <cell r="H75">
            <v>15000</v>
          </cell>
        </row>
        <row r="76">
          <cell r="A76">
            <v>43001030</v>
          </cell>
          <cell r="B76" t="str">
            <v>Fuel For Diesel Generator Set</v>
          </cell>
          <cell r="C76">
            <v>0</v>
          </cell>
          <cell r="D76">
            <v>64652.4</v>
          </cell>
          <cell r="E76">
            <v>0</v>
          </cell>
          <cell r="F76">
            <v>64652.4</v>
          </cell>
          <cell r="G76">
            <v>0</v>
          </cell>
          <cell r="H76">
            <v>64652.4</v>
          </cell>
        </row>
        <row r="77">
          <cell r="A77">
            <v>43012010</v>
          </cell>
          <cell r="B77" t="str">
            <v>Lab Consumables</v>
          </cell>
          <cell r="C77">
            <v>0</v>
          </cell>
          <cell r="D77">
            <v>10766</v>
          </cell>
          <cell r="E77">
            <v>0</v>
          </cell>
          <cell r="F77">
            <v>10766</v>
          </cell>
          <cell r="G77">
            <v>0</v>
          </cell>
          <cell r="H77">
            <v>10766</v>
          </cell>
        </row>
        <row r="78">
          <cell r="A78">
            <v>43012020</v>
          </cell>
          <cell r="B78" t="str">
            <v>Labour / sub contractor for - Pumping Expenses Incurred</v>
          </cell>
          <cell r="C78">
            <v>0</v>
          </cell>
          <cell r="D78">
            <v>90604</v>
          </cell>
          <cell r="E78">
            <v>2109</v>
          </cell>
          <cell r="F78">
            <v>88495</v>
          </cell>
          <cell r="G78">
            <v>0</v>
          </cell>
          <cell r="H78">
            <v>88495</v>
          </cell>
        </row>
        <row r="79">
          <cell r="A79">
            <v>43018010</v>
          </cell>
          <cell r="B79" t="str">
            <v>Repairs &amp; Maintenance</v>
          </cell>
          <cell r="C79">
            <v>0</v>
          </cell>
          <cell r="D79">
            <v>118998</v>
          </cell>
          <cell r="E79">
            <v>0</v>
          </cell>
          <cell r="F79">
            <v>118998</v>
          </cell>
          <cell r="G79">
            <v>0</v>
          </cell>
          <cell r="H79">
            <v>118998</v>
          </cell>
        </row>
        <row r="80">
          <cell r="A80">
            <v>43018020</v>
          </cell>
          <cell r="B80" t="str">
            <v>Oil &amp; Grease</v>
          </cell>
          <cell r="C80">
            <v>0</v>
          </cell>
          <cell r="D80">
            <v>1200</v>
          </cell>
          <cell r="E80">
            <v>0</v>
          </cell>
          <cell r="F80">
            <v>1200</v>
          </cell>
          <cell r="G80">
            <v>0</v>
          </cell>
          <cell r="H80">
            <v>1200</v>
          </cell>
        </row>
        <row r="81">
          <cell r="A81">
            <v>43022010</v>
          </cell>
          <cell r="B81" t="str">
            <v>Plant / Office Up Keep Exps</v>
          </cell>
          <cell r="C81">
            <v>0</v>
          </cell>
          <cell r="D81">
            <v>387995</v>
          </cell>
          <cell r="E81">
            <v>155000</v>
          </cell>
          <cell r="F81">
            <v>232995</v>
          </cell>
          <cell r="G81">
            <v>0</v>
          </cell>
          <cell r="H81">
            <v>232995</v>
          </cell>
        </row>
        <row r="82">
          <cell r="A82">
            <v>43024010</v>
          </cell>
          <cell r="B82" t="str">
            <v>Plant Running Expense</v>
          </cell>
          <cell r="C82">
            <v>0</v>
          </cell>
          <cell r="D82">
            <v>3952</v>
          </cell>
          <cell r="E82">
            <v>3952</v>
          </cell>
          <cell r="F82">
            <v>0</v>
          </cell>
          <cell r="G82">
            <v>0</v>
          </cell>
          <cell r="H82">
            <v>0</v>
          </cell>
        </row>
        <row r="83">
          <cell r="A83">
            <v>43032010</v>
          </cell>
          <cell r="B83" t="str">
            <v>Rent - Plant</v>
          </cell>
          <cell r="C83">
            <v>0</v>
          </cell>
          <cell r="D83">
            <v>124000</v>
          </cell>
          <cell r="E83">
            <v>44000</v>
          </cell>
          <cell r="F83">
            <v>80000</v>
          </cell>
          <cell r="G83">
            <v>0</v>
          </cell>
          <cell r="H83">
            <v>80000</v>
          </cell>
        </row>
        <row r="84">
          <cell r="A84">
            <v>43032020</v>
          </cell>
          <cell r="B84" t="str">
            <v>Guest house Lease Rental - FBT</v>
          </cell>
          <cell r="C84">
            <v>0</v>
          </cell>
          <cell r="D84">
            <v>40318</v>
          </cell>
          <cell r="E84">
            <v>0</v>
          </cell>
          <cell r="F84">
            <v>40318</v>
          </cell>
          <cell r="G84">
            <v>0</v>
          </cell>
          <cell r="H84">
            <v>40318</v>
          </cell>
        </row>
        <row r="85">
          <cell r="A85">
            <v>43032045</v>
          </cell>
          <cell r="B85" t="str">
            <v>Towing Expenses</v>
          </cell>
          <cell r="C85">
            <v>0</v>
          </cell>
          <cell r="D85">
            <v>120000</v>
          </cell>
          <cell r="E85">
            <v>60000</v>
          </cell>
          <cell r="F85">
            <v>60000</v>
          </cell>
          <cell r="G85">
            <v>0</v>
          </cell>
          <cell r="H85">
            <v>60000</v>
          </cell>
        </row>
        <row r="86">
          <cell r="A86">
            <v>43036010</v>
          </cell>
          <cell r="B86" t="str">
            <v>Insurance Expenses</v>
          </cell>
          <cell r="C86">
            <v>0</v>
          </cell>
          <cell r="D86">
            <v>12522</v>
          </cell>
          <cell r="E86">
            <v>0</v>
          </cell>
          <cell r="F86">
            <v>12522</v>
          </cell>
          <cell r="G86">
            <v>0</v>
          </cell>
          <cell r="H86">
            <v>12522</v>
          </cell>
        </row>
        <row r="87">
          <cell r="A87">
            <v>43038020</v>
          </cell>
          <cell r="B87" t="str">
            <v>Courier Expenses</v>
          </cell>
          <cell r="C87">
            <v>0</v>
          </cell>
          <cell r="D87">
            <v>2357</v>
          </cell>
          <cell r="E87">
            <v>45</v>
          </cell>
          <cell r="F87">
            <v>2312</v>
          </cell>
          <cell r="G87">
            <v>0</v>
          </cell>
          <cell r="H87">
            <v>2312</v>
          </cell>
        </row>
        <row r="88">
          <cell r="A88">
            <v>43038030</v>
          </cell>
          <cell r="B88" t="str">
            <v>Telephone Expenses</v>
          </cell>
          <cell r="C88">
            <v>0</v>
          </cell>
          <cell r="D88">
            <v>2708</v>
          </cell>
          <cell r="E88">
            <v>0</v>
          </cell>
          <cell r="F88">
            <v>2708</v>
          </cell>
          <cell r="G88">
            <v>0</v>
          </cell>
          <cell r="H88">
            <v>2708</v>
          </cell>
        </row>
        <row r="89">
          <cell r="A89">
            <v>43038040</v>
          </cell>
          <cell r="B89" t="str">
            <v>Fax Expenses</v>
          </cell>
          <cell r="C89">
            <v>0</v>
          </cell>
          <cell r="D89">
            <v>194</v>
          </cell>
          <cell r="E89">
            <v>15</v>
          </cell>
          <cell r="F89">
            <v>179</v>
          </cell>
          <cell r="G89">
            <v>0</v>
          </cell>
          <cell r="H89">
            <v>179</v>
          </cell>
        </row>
        <row r="90">
          <cell r="A90">
            <v>43038050</v>
          </cell>
          <cell r="B90" t="str">
            <v>Telephone Chgs - Mobile  FBT</v>
          </cell>
          <cell r="C90">
            <v>0</v>
          </cell>
          <cell r="D90">
            <v>37786</v>
          </cell>
          <cell r="E90">
            <v>0</v>
          </cell>
          <cell r="F90">
            <v>37786</v>
          </cell>
          <cell r="G90">
            <v>0</v>
          </cell>
          <cell r="H90">
            <v>37786</v>
          </cell>
        </row>
        <row r="91">
          <cell r="A91">
            <v>43040010</v>
          </cell>
          <cell r="B91" t="str">
            <v>Conveyance Expenses - FBT</v>
          </cell>
          <cell r="C91">
            <v>0</v>
          </cell>
          <cell r="D91">
            <v>37616</v>
          </cell>
          <cell r="E91">
            <v>10000</v>
          </cell>
          <cell r="F91">
            <v>27616</v>
          </cell>
          <cell r="G91">
            <v>0</v>
          </cell>
          <cell r="H91">
            <v>27616</v>
          </cell>
        </row>
        <row r="92">
          <cell r="A92">
            <v>43040030</v>
          </cell>
          <cell r="B92" t="str">
            <v>Motor Car Hire Expenses - FBT</v>
          </cell>
          <cell r="C92">
            <v>0</v>
          </cell>
          <cell r="D92">
            <v>121648</v>
          </cell>
          <cell r="E92">
            <v>41016</v>
          </cell>
          <cell r="F92">
            <v>80632</v>
          </cell>
          <cell r="G92">
            <v>0</v>
          </cell>
          <cell r="H92">
            <v>80632</v>
          </cell>
        </row>
        <row r="93">
          <cell r="A93">
            <v>43040060</v>
          </cell>
          <cell r="B93" t="str">
            <v>Travelling Expenses - Foreign - FBT</v>
          </cell>
          <cell r="C93">
            <v>0</v>
          </cell>
          <cell r="D93">
            <v>1783</v>
          </cell>
          <cell r="E93">
            <v>0</v>
          </cell>
          <cell r="F93">
            <v>1783</v>
          </cell>
          <cell r="G93">
            <v>0</v>
          </cell>
          <cell r="H93">
            <v>1783</v>
          </cell>
        </row>
        <row r="94">
          <cell r="A94">
            <v>43040120</v>
          </cell>
          <cell r="B94" t="str">
            <v>Guest House Expenses</v>
          </cell>
          <cell r="C94">
            <v>0</v>
          </cell>
          <cell r="D94">
            <v>2229</v>
          </cell>
          <cell r="E94">
            <v>0</v>
          </cell>
          <cell r="F94">
            <v>2229</v>
          </cell>
          <cell r="G94">
            <v>0</v>
          </cell>
          <cell r="H94">
            <v>2229</v>
          </cell>
        </row>
        <row r="95">
          <cell r="A95">
            <v>43042010</v>
          </cell>
          <cell r="B95" t="str">
            <v>Fuel - Truck Mixers</v>
          </cell>
          <cell r="C95">
            <v>0</v>
          </cell>
          <cell r="D95">
            <v>412609.38</v>
          </cell>
          <cell r="E95">
            <v>0</v>
          </cell>
          <cell r="F95">
            <v>412609.38</v>
          </cell>
          <cell r="G95">
            <v>0</v>
          </cell>
          <cell r="H95">
            <v>412609.38</v>
          </cell>
        </row>
        <row r="96">
          <cell r="A96">
            <v>43042060</v>
          </cell>
          <cell r="B96" t="str">
            <v>Fuel - Concrete Pumps</v>
          </cell>
          <cell r="C96">
            <v>0</v>
          </cell>
          <cell r="D96">
            <v>44286.64</v>
          </cell>
          <cell r="E96">
            <v>0</v>
          </cell>
          <cell r="F96">
            <v>44286.64</v>
          </cell>
          <cell r="G96">
            <v>0</v>
          </cell>
          <cell r="H96">
            <v>44286.64</v>
          </cell>
        </row>
        <row r="97">
          <cell r="A97">
            <v>43046010</v>
          </cell>
          <cell r="B97" t="str">
            <v>Rates &amp; Taxes</v>
          </cell>
          <cell r="C97">
            <v>0</v>
          </cell>
          <cell r="D97">
            <v>159</v>
          </cell>
          <cell r="E97">
            <v>0</v>
          </cell>
          <cell r="F97">
            <v>159</v>
          </cell>
          <cell r="G97">
            <v>0</v>
          </cell>
          <cell r="H97">
            <v>159</v>
          </cell>
        </row>
        <row r="98">
          <cell r="A98">
            <v>43052010</v>
          </cell>
          <cell r="B98" t="str">
            <v>Security Service Charges</v>
          </cell>
          <cell r="C98">
            <v>0</v>
          </cell>
          <cell r="D98">
            <v>98153</v>
          </cell>
          <cell r="E98">
            <v>32000</v>
          </cell>
          <cell r="F98">
            <v>66153</v>
          </cell>
          <cell r="G98">
            <v>0</v>
          </cell>
          <cell r="H98">
            <v>66153</v>
          </cell>
        </row>
        <row r="99">
          <cell r="A99">
            <v>43054010</v>
          </cell>
          <cell r="B99" t="str">
            <v>Hire Charges - Machine</v>
          </cell>
          <cell r="C99">
            <v>0</v>
          </cell>
          <cell r="D99">
            <v>7500</v>
          </cell>
          <cell r="E99">
            <v>0</v>
          </cell>
          <cell r="F99">
            <v>7500</v>
          </cell>
          <cell r="G99">
            <v>0</v>
          </cell>
          <cell r="H99">
            <v>7500</v>
          </cell>
        </row>
        <row r="100">
          <cell r="A100">
            <v>43054020</v>
          </cell>
          <cell r="B100" t="str">
            <v>Concrete Carrying Charges - TM</v>
          </cell>
          <cell r="C100">
            <v>0</v>
          </cell>
          <cell r="D100">
            <v>1710000</v>
          </cell>
          <cell r="E100">
            <v>574000</v>
          </cell>
          <cell r="F100">
            <v>1136000</v>
          </cell>
          <cell r="G100">
            <v>0</v>
          </cell>
          <cell r="H100">
            <v>1136000</v>
          </cell>
        </row>
        <row r="101">
          <cell r="A101">
            <v>43056010</v>
          </cell>
          <cell r="B101" t="str">
            <v>Professional &amp; Consultancy Fees</v>
          </cell>
          <cell r="C101">
            <v>0</v>
          </cell>
          <cell r="D101">
            <v>84658</v>
          </cell>
          <cell r="E101">
            <v>1943</v>
          </cell>
          <cell r="F101">
            <v>82715</v>
          </cell>
          <cell r="G101">
            <v>0</v>
          </cell>
          <cell r="H101">
            <v>82715</v>
          </cell>
        </row>
        <row r="102">
          <cell r="A102">
            <v>43062010</v>
          </cell>
          <cell r="B102" t="str">
            <v>Computer Expenses</v>
          </cell>
          <cell r="C102">
            <v>0</v>
          </cell>
          <cell r="D102">
            <v>5278</v>
          </cell>
          <cell r="E102">
            <v>0</v>
          </cell>
          <cell r="F102">
            <v>5278</v>
          </cell>
          <cell r="G102">
            <v>0</v>
          </cell>
          <cell r="H102">
            <v>5278</v>
          </cell>
        </row>
        <row r="103">
          <cell r="A103">
            <v>43066020</v>
          </cell>
          <cell r="B103" t="str">
            <v>Printing &amp; Stationery</v>
          </cell>
          <cell r="C103">
            <v>0</v>
          </cell>
          <cell r="D103">
            <v>4137</v>
          </cell>
          <cell r="E103">
            <v>0</v>
          </cell>
          <cell r="F103">
            <v>4137</v>
          </cell>
          <cell r="G103">
            <v>0</v>
          </cell>
          <cell r="H103">
            <v>4137</v>
          </cell>
        </row>
        <row r="104">
          <cell r="A104">
            <v>43074010</v>
          </cell>
          <cell r="B104" t="str">
            <v>Provision For Bad &amp; Doubtful Debts W/Off</v>
          </cell>
          <cell r="C104">
            <v>0</v>
          </cell>
          <cell r="D104">
            <v>10000</v>
          </cell>
          <cell r="E104">
            <v>0</v>
          </cell>
          <cell r="F104">
            <v>10000</v>
          </cell>
          <cell r="G104">
            <v>0</v>
          </cell>
          <cell r="H104">
            <v>10000</v>
          </cell>
        </row>
        <row r="105">
          <cell r="A105">
            <v>43084010</v>
          </cell>
          <cell r="B105" t="str">
            <v>Miscellaneous Expenses</v>
          </cell>
          <cell r="C105">
            <v>0</v>
          </cell>
          <cell r="D105">
            <v>370</v>
          </cell>
          <cell r="E105">
            <v>0</v>
          </cell>
          <cell r="F105">
            <v>370</v>
          </cell>
          <cell r="G105">
            <v>0</v>
          </cell>
          <cell r="H105">
            <v>370</v>
          </cell>
        </row>
        <row r="106">
          <cell r="A106">
            <v>43084030</v>
          </cell>
          <cell r="B106" t="str">
            <v>Rounding Off</v>
          </cell>
          <cell r="C106">
            <v>0</v>
          </cell>
          <cell r="D106">
            <v>431.18</v>
          </cell>
          <cell r="E106">
            <v>222.94</v>
          </cell>
          <cell r="F106">
            <v>208.24</v>
          </cell>
          <cell r="G106">
            <v>0</v>
          </cell>
          <cell r="H106">
            <v>208.24</v>
          </cell>
        </row>
        <row r="107">
          <cell r="A107">
            <v>44010040</v>
          </cell>
          <cell r="B107" t="str">
            <v>Bank Charges</v>
          </cell>
          <cell r="C107">
            <v>0</v>
          </cell>
          <cell r="D107">
            <v>6930.3</v>
          </cell>
          <cell r="E107">
            <v>1</v>
          </cell>
          <cell r="F107">
            <v>6929.3</v>
          </cell>
          <cell r="G107">
            <v>0</v>
          </cell>
          <cell r="H107">
            <v>6929.3</v>
          </cell>
        </row>
        <row r="108">
          <cell r="A108">
            <v>45010010</v>
          </cell>
          <cell r="B108" t="str">
            <v>Depreciation</v>
          </cell>
          <cell r="C108">
            <v>0</v>
          </cell>
          <cell r="D108">
            <v>243043</v>
          </cell>
          <cell r="E108">
            <v>0</v>
          </cell>
          <cell r="F108">
            <v>243043</v>
          </cell>
          <cell r="G108">
            <v>0</v>
          </cell>
          <cell r="H108">
            <v>243043</v>
          </cell>
        </row>
        <row r="109">
          <cell r="A109">
            <v>52000000</v>
          </cell>
          <cell r="B109" t="str">
            <v>Inter Branch Control Account</v>
          </cell>
          <cell r="C109">
            <v>-13082402.039999999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-13082402.039999999</v>
          </cell>
        </row>
        <row r="110">
          <cell r="A110">
            <v>52000809</v>
          </cell>
          <cell r="B110" t="str">
            <v>Inter branch control account for 08-09</v>
          </cell>
          <cell r="C110">
            <v>-7727103.5499999998</v>
          </cell>
          <cell r="D110">
            <v>2642466</v>
          </cell>
          <cell r="E110">
            <v>2825315</v>
          </cell>
          <cell r="F110">
            <v>-182849</v>
          </cell>
          <cell r="G110">
            <v>0</v>
          </cell>
          <cell r="H110">
            <v>-7909952.5499999998</v>
          </cell>
        </row>
        <row r="111">
          <cell r="A111">
            <v>62000000</v>
          </cell>
          <cell r="B111" t="str">
            <v>Inter branch Clearing account</v>
          </cell>
          <cell r="C111">
            <v>0</v>
          </cell>
          <cell r="D111">
            <v>3254222</v>
          </cell>
          <cell r="E111">
            <v>3254222</v>
          </cell>
          <cell r="F111">
            <v>0</v>
          </cell>
          <cell r="G111">
            <v>0</v>
          </cell>
          <cell r="H111">
            <v>0</v>
          </cell>
        </row>
        <row r="112">
          <cell r="B112" t="str">
            <v>Total</v>
          </cell>
          <cell r="D112">
            <v>0</v>
          </cell>
          <cell r="E112">
            <v>86149977.030000001</v>
          </cell>
          <cell r="F112">
            <v>86149977.030000001</v>
          </cell>
          <cell r="G112">
            <v>0</v>
          </cell>
          <cell r="H112">
            <v>0</v>
          </cell>
        </row>
      </sheetData>
      <sheetData sheetId="26" refreshError="1">
        <row r="1">
          <cell r="A1" t="str">
            <v>RMC Readymix (I) Pvt. Ltd.,</v>
          </cell>
          <cell r="B1" t="str">
            <v>Trial balance</v>
          </cell>
          <cell r="C1">
            <v>39970</v>
          </cell>
          <cell r="D1">
            <v>0.44364583333333335</v>
          </cell>
          <cell r="E1" t="str">
            <v>Page 1</v>
          </cell>
          <cell r="F1" t="str">
            <v>Surat</v>
          </cell>
        </row>
        <row r="2">
          <cell r="A2" t="str">
            <v>Period</v>
          </cell>
          <cell r="B2">
            <v>39904</v>
          </cell>
          <cell r="C2">
            <v>39964</v>
          </cell>
        </row>
        <row r="3">
          <cell r="A3" t="str">
            <v>Ledger account</v>
          </cell>
          <cell r="B3" t="str">
            <v>Account name</v>
          </cell>
          <cell r="C3" t="str">
            <v>Opening balance</v>
          </cell>
          <cell r="D3" t="str">
            <v>Debit</v>
          </cell>
          <cell r="E3" t="str">
            <v>Credit</v>
          </cell>
          <cell r="F3" t="str">
            <v>Net difference</v>
          </cell>
          <cell r="G3" t="str">
            <v>Closing transactions</v>
          </cell>
          <cell r="H3" t="str">
            <v>Closing balance</v>
          </cell>
        </row>
        <row r="4">
          <cell r="A4">
            <v>11015010</v>
          </cell>
          <cell r="B4" t="str">
            <v>Buildings</v>
          </cell>
          <cell r="C4">
            <v>13360037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13360037</v>
          </cell>
        </row>
        <row r="5">
          <cell r="A5">
            <v>11025010</v>
          </cell>
          <cell r="B5" t="str">
            <v>Plant and Machinery</v>
          </cell>
          <cell r="C5">
            <v>15145401.01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15145401.01</v>
          </cell>
        </row>
        <row r="6">
          <cell r="A6">
            <v>11030010</v>
          </cell>
          <cell r="B6" t="str">
            <v>Electrical Installations</v>
          </cell>
          <cell r="C6">
            <v>1824489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1824489</v>
          </cell>
        </row>
        <row r="7">
          <cell r="A7">
            <v>11035010</v>
          </cell>
          <cell r="B7" t="str">
            <v>Furniture &amp; Fixtures</v>
          </cell>
          <cell r="C7">
            <v>661292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661292</v>
          </cell>
        </row>
        <row r="8">
          <cell r="A8">
            <v>11040010</v>
          </cell>
          <cell r="B8" t="str">
            <v>Office &amp; Electrical Appliances</v>
          </cell>
          <cell r="C8">
            <v>514679.45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514679.45</v>
          </cell>
        </row>
        <row r="9">
          <cell r="A9">
            <v>11045010</v>
          </cell>
          <cell r="B9" t="str">
            <v>Truck Mixers, Loaders &amp; Truck Dumpers</v>
          </cell>
          <cell r="C9">
            <v>10992603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10992603</v>
          </cell>
        </row>
        <row r="10">
          <cell r="A10">
            <v>13015010</v>
          </cell>
          <cell r="B10" t="str">
            <v>Balance Sheet Stock of Raw material - RMC</v>
          </cell>
          <cell r="C10">
            <v>846234.52</v>
          </cell>
          <cell r="D10">
            <v>913753.71</v>
          </cell>
          <cell r="E10">
            <v>846234.52</v>
          </cell>
          <cell r="F10">
            <v>67519.19</v>
          </cell>
          <cell r="G10">
            <v>0</v>
          </cell>
          <cell r="H10">
            <v>913753.71</v>
          </cell>
        </row>
        <row r="11">
          <cell r="A11">
            <v>13020010</v>
          </cell>
          <cell r="B11" t="str">
            <v>Sundry Debtors Account</v>
          </cell>
          <cell r="C11">
            <v>11977934</v>
          </cell>
          <cell r="D11">
            <v>16993686.690000001</v>
          </cell>
          <cell r="E11">
            <v>16440319.689999999</v>
          </cell>
          <cell r="F11">
            <v>553367</v>
          </cell>
          <cell r="G11">
            <v>0</v>
          </cell>
          <cell r="H11">
            <v>12531301</v>
          </cell>
        </row>
        <row r="12">
          <cell r="A12">
            <v>13025010</v>
          </cell>
          <cell r="B12" t="str">
            <v>Cash In Hand</v>
          </cell>
          <cell r="C12">
            <v>206</v>
          </cell>
          <cell r="D12">
            <v>150300</v>
          </cell>
          <cell r="E12">
            <v>115734</v>
          </cell>
          <cell r="F12">
            <v>34566</v>
          </cell>
          <cell r="G12">
            <v>0</v>
          </cell>
          <cell r="H12">
            <v>34772</v>
          </cell>
        </row>
        <row r="13">
          <cell r="A13">
            <v>13035010</v>
          </cell>
          <cell r="B13" t="str">
            <v>Bank Account</v>
          </cell>
          <cell r="C13">
            <v>1044884.45</v>
          </cell>
          <cell r="D13">
            <v>21281404</v>
          </cell>
          <cell r="E13">
            <v>27076241.18</v>
          </cell>
          <cell r="F13">
            <v>-5794837.1799999997</v>
          </cell>
          <cell r="G13">
            <v>0</v>
          </cell>
          <cell r="H13">
            <v>-4749952.7300000004</v>
          </cell>
        </row>
        <row r="14">
          <cell r="A14">
            <v>13040030</v>
          </cell>
          <cell r="B14" t="str">
            <v>Cheques in Hand collected from parties as on 31.03</v>
          </cell>
          <cell r="C14">
            <v>685503</v>
          </cell>
          <cell r="D14">
            <v>0</v>
          </cell>
          <cell r="E14">
            <v>685503</v>
          </cell>
          <cell r="F14">
            <v>-685503</v>
          </cell>
          <cell r="G14">
            <v>0</v>
          </cell>
          <cell r="H14">
            <v>0</v>
          </cell>
        </row>
        <row r="15">
          <cell r="A15">
            <v>13045020</v>
          </cell>
          <cell r="B15" t="str">
            <v>Loans and advances to employees</v>
          </cell>
          <cell r="C15">
            <v>0</v>
          </cell>
          <cell r="D15">
            <v>45005</v>
          </cell>
          <cell r="E15">
            <v>45005</v>
          </cell>
          <cell r="F15">
            <v>0</v>
          </cell>
          <cell r="G15">
            <v>0</v>
          </cell>
          <cell r="H15">
            <v>0</v>
          </cell>
        </row>
        <row r="16">
          <cell r="A16">
            <v>13050020</v>
          </cell>
          <cell r="B16" t="str">
            <v>TDS ON RECEIPTS - 08-09</v>
          </cell>
          <cell r="C16">
            <v>276</v>
          </cell>
          <cell r="D16">
            <v>3748</v>
          </cell>
          <cell r="E16">
            <v>0</v>
          </cell>
          <cell r="F16">
            <v>3748</v>
          </cell>
          <cell r="G16">
            <v>0</v>
          </cell>
          <cell r="H16">
            <v>4024</v>
          </cell>
        </row>
        <row r="17">
          <cell r="A17">
            <v>13055020</v>
          </cell>
          <cell r="B17" t="str">
            <v>Prepaid Expenses</v>
          </cell>
          <cell r="C17">
            <v>91147</v>
          </cell>
          <cell r="D17">
            <v>105702</v>
          </cell>
          <cell r="E17">
            <v>74379</v>
          </cell>
          <cell r="F17">
            <v>31323</v>
          </cell>
          <cell r="G17">
            <v>0</v>
          </cell>
          <cell r="H17">
            <v>122470</v>
          </cell>
        </row>
        <row r="18">
          <cell r="A18">
            <v>13055060</v>
          </cell>
          <cell r="B18" t="str">
            <v>VAT Credit Receivable (Inputs)</v>
          </cell>
          <cell r="C18">
            <v>397090</v>
          </cell>
          <cell r="D18">
            <v>837691</v>
          </cell>
          <cell r="E18">
            <v>752802</v>
          </cell>
          <cell r="F18">
            <v>84889</v>
          </cell>
          <cell r="G18">
            <v>0</v>
          </cell>
          <cell r="H18">
            <v>481979</v>
          </cell>
        </row>
        <row r="19">
          <cell r="A19">
            <v>13055079</v>
          </cell>
          <cell r="B19" t="str">
            <v>Vat Addition Tax Input</v>
          </cell>
          <cell r="C19">
            <v>87059</v>
          </cell>
          <cell r="D19">
            <v>174107</v>
          </cell>
          <cell r="E19">
            <v>161790</v>
          </cell>
          <cell r="F19">
            <v>12317</v>
          </cell>
          <cell r="G19">
            <v>0</v>
          </cell>
          <cell r="H19">
            <v>99376</v>
          </cell>
        </row>
        <row r="20">
          <cell r="A20">
            <v>13055090</v>
          </cell>
          <cell r="B20" t="str">
            <v>Sundry Deposits</v>
          </cell>
          <cell r="C20">
            <v>357222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357222</v>
          </cell>
        </row>
        <row r="21">
          <cell r="A21">
            <v>25005010</v>
          </cell>
          <cell r="B21" t="str">
            <v>Creditors Control</v>
          </cell>
          <cell r="C21">
            <v>-10535960.189999999</v>
          </cell>
          <cell r="D21">
            <v>18442924.190000001</v>
          </cell>
          <cell r="E21">
            <v>11424036</v>
          </cell>
          <cell r="F21">
            <v>7018888.1900000004</v>
          </cell>
          <cell r="G21">
            <v>0</v>
          </cell>
          <cell r="H21">
            <v>-3517072</v>
          </cell>
        </row>
        <row r="22">
          <cell r="A22">
            <v>25005050</v>
          </cell>
          <cell r="B22" t="str">
            <v>Creditors liability for material received but bill not recei</v>
          </cell>
          <cell r="C22">
            <v>-1347173.15</v>
          </cell>
          <cell r="D22">
            <v>9383677.6300000008</v>
          </cell>
          <cell r="E22">
            <v>10652050.310000001</v>
          </cell>
          <cell r="F22">
            <v>-1268372.68</v>
          </cell>
          <cell r="G22">
            <v>0</v>
          </cell>
          <cell r="H22">
            <v>-2615545.83</v>
          </cell>
        </row>
        <row r="23">
          <cell r="A23">
            <v>25010020</v>
          </cell>
          <cell r="B23" t="str">
            <v>Outstanding Liabilities For Expenses</v>
          </cell>
          <cell r="C23">
            <v>-49796</v>
          </cell>
          <cell r="D23">
            <v>49796</v>
          </cell>
          <cell r="E23">
            <v>0</v>
          </cell>
          <cell r="F23">
            <v>49796</v>
          </cell>
          <cell r="G23">
            <v>0</v>
          </cell>
          <cell r="H23">
            <v>0</v>
          </cell>
        </row>
        <row r="24">
          <cell r="A24">
            <v>25010050</v>
          </cell>
          <cell r="B24" t="str">
            <v>Salary Payable</v>
          </cell>
          <cell r="C24">
            <v>-958907</v>
          </cell>
          <cell r="D24">
            <v>1988656</v>
          </cell>
          <cell r="E24">
            <v>1967122</v>
          </cell>
          <cell r="F24">
            <v>21534</v>
          </cell>
          <cell r="G24">
            <v>0</v>
          </cell>
          <cell r="H24">
            <v>-937373</v>
          </cell>
        </row>
        <row r="25">
          <cell r="A25">
            <v>25010060</v>
          </cell>
          <cell r="B25" t="str">
            <v>T.D.S.payable account</v>
          </cell>
          <cell r="C25">
            <v>-117270</v>
          </cell>
          <cell r="D25">
            <v>195586</v>
          </cell>
          <cell r="E25">
            <v>155048</v>
          </cell>
          <cell r="F25">
            <v>40538</v>
          </cell>
          <cell r="G25">
            <v>0</v>
          </cell>
          <cell r="H25">
            <v>-76732</v>
          </cell>
        </row>
        <row r="26">
          <cell r="A26">
            <v>25010120</v>
          </cell>
          <cell r="B26" t="str">
            <v>Service Tax Payable</v>
          </cell>
          <cell r="C26">
            <v>0</v>
          </cell>
          <cell r="D26">
            <v>6140</v>
          </cell>
          <cell r="E26">
            <v>6140</v>
          </cell>
          <cell r="F26">
            <v>0</v>
          </cell>
          <cell r="G26">
            <v>0</v>
          </cell>
          <cell r="H26">
            <v>0</v>
          </cell>
        </row>
        <row r="27">
          <cell r="A27">
            <v>25010190</v>
          </cell>
          <cell r="B27" t="str">
            <v>VAT  Payable account</v>
          </cell>
          <cell r="C27">
            <v>-782452</v>
          </cell>
          <cell r="D27">
            <v>1533471</v>
          </cell>
          <cell r="E27">
            <v>1806784</v>
          </cell>
          <cell r="F27">
            <v>-273313</v>
          </cell>
          <cell r="G27">
            <v>0</v>
          </cell>
          <cell r="H27">
            <v>-1055765</v>
          </cell>
        </row>
        <row r="28">
          <cell r="A28">
            <v>25010197</v>
          </cell>
          <cell r="B28" t="str">
            <v>VAT Additional Tax Payable</v>
          </cell>
          <cell r="C28">
            <v>-156584</v>
          </cell>
          <cell r="D28">
            <v>306861</v>
          </cell>
          <cell r="E28">
            <v>361555</v>
          </cell>
          <cell r="F28">
            <v>-54694</v>
          </cell>
          <cell r="G28">
            <v>0</v>
          </cell>
          <cell r="H28">
            <v>-211278</v>
          </cell>
        </row>
        <row r="29">
          <cell r="A29">
            <v>25010200</v>
          </cell>
          <cell r="B29" t="str">
            <v>Provision for Expenses in MIS</v>
          </cell>
          <cell r="C29">
            <v>0</v>
          </cell>
          <cell r="D29">
            <v>359258</v>
          </cell>
          <cell r="E29">
            <v>1082313</v>
          </cell>
          <cell r="F29">
            <v>-723055</v>
          </cell>
          <cell r="G29">
            <v>0</v>
          </cell>
          <cell r="H29">
            <v>-723055</v>
          </cell>
        </row>
        <row r="30">
          <cell r="A30">
            <v>25015010</v>
          </cell>
          <cell r="B30" t="str">
            <v>PF Payable account</v>
          </cell>
          <cell r="C30">
            <v>-117733</v>
          </cell>
          <cell r="D30">
            <v>232733</v>
          </cell>
          <cell r="E30">
            <v>231158</v>
          </cell>
          <cell r="F30">
            <v>1575</v>
          </cell>
          <cell r="G30">
            <v>0</v>
          </cell>
          <cell r="H30">
            <v>-116158</v>
          </cell>
        </row>
        <row r="31">
          <cell r="A31">
            <v>25020040</v>
          </cell>
          <cell r="B31" t="str">
            <v>Profession Tax payable</v>
          </cell>
          <cell r="C31">
            <v>0</v>
          </cell>
          <cell r="D31">
            <v>17130</v>
          </cell>
          <cell r="E31">
            <v>17130</v>
          </cell>
          <cell r="F31">
            <v>0</v>
          </cell>
          <cell r="G31">
            <v>0</v>
          </cell>
          <cell r="H31">
            <v>0</v>
          </cell>
        </row>
        <row r="32">
          <cell r="A32">
            <v>26005020</v>
          </cell>
          <cell r="B32" t="str">
            <v>Provision For Bad &amp; Doubtful Debts</v>
          </cell>
          <cell r="C32">
            <v>-121375</v>
          </cell>
          <cell r="D32">
            <v>0</v>
          </cell>
          <cell r="E32">
            <v>80538</v>
          </cell>
          <cell r="F32">
            <v>-80538</v>
          </cell>
          <cell r="G32">
            <v>0</v>
          </cell>
          <cell r="H32">
            <v>-201913</v>
          </cell>
        </row>
        <row r="33">
          <cell r="A33">
            <v>26015010</v>
          </cell>
          <cell r="B33" t="str">
            <v>Prov For Dep.-  Buildings</v>
          </cell>
          <cell r="C33">
            <v>-4636888.83</v>
          </cell>
          <cell r="D33">
            <v>0</v>
          </cell>
          <cell r="E33">
            <v>276631</v>
          </cell>
          <cell r="F33">
            <v>-276631</v>
          </cell>
          <cell r="G33">
            <v>0</v>
          </cell>
          <cell r="H33">
            <v>-4913519.83</v>
          </cell>
        </row>
        <row r="34">
          <cell r="A34">
            <v>26025010</v>
          </cell>
          <cell r="B34" t="str">
            <v>Provision for Depreciation Plant &amp; Machinery</v>
          </cell>
          <cell r="C34">
            <v>-3208508</v>
          </cell>
          <cell r="D34">
            <v>0</v>
          </cell>
          <cell r="E34">
            <v>196890</v>
          </cell>
          <cell r="F34">
            <v>-196890</v>
          </cell>
          <cell r="G34">
            <v>0</v>
          </cell>
          <cell r="H34">
            <v>-3405398</v>
          </cell>
        </row>
        <row r="35">
          <cell r="A35">
            <v>26030010</v>
          </cell>
          <cell r="B35" t="str">
            <v>Provision For Dep.-Electrical Installations</v>
          </cell>
          <cell r="C35">
            <v>-506958</v>
          </cell>
          <cell r="D35">
            <v>0</v>
          </cell>
          <cell r="E35">
            <v>29497</v>
          </cell>
          <cell r="F35">
            <v>-29497</v>
          </cell>
          <cell r="G35">
            <v>0</v>
          </cell>
          <cell r="H35">
            <v>-536455</v>
          </cell>
        </row>
        <row r="36">
          <cell r="A36">
            <v>26035010</v>
          </cell>
          <cell r="B36" t="str">
            <v>Provision For Dep.-Furniture and Fixtures</v>
          </cell>
          <cell r="C36">
            <v>-180612</v>
          </cell>
          <cell r="D36">
            <v>0</v>
          </cell>
          <cell r="E36">
            <v>11022</v>
          </cell>
          <cell r="F36">
            <v>-11022</v>
          </cell>
          <cell r="G36">
            <v>0</v>
          </cell>
          <cell r="H36">
            <v>-191634</v>
          </cell>
        </row>
        <row r="37">
          <cell r="A37">
            <v>26040010</v>
          </cell>
          <cell r="B37" t="str">
            <v>Provision for Depreciation- Office and Electrical Appliances</v>
          </cell>
          <cell r="C37">
            <v>-266087</v>
          </cell>
          <cell r="D37">
            <v>0</v>
          </cell>
          <cell r="E37">
            <v>12619</v>
          </cell>
          <cell r="F37">
            <v>-12619</v>
          </cell>
          <cell r="G37">
            <v>0</v>
          </cell>
          <cell r="H37">
            <v>-278706</v>
          </cell>
        </row>
        <row r="38">
          <cell r="A38">
            <v>26045010</v>
          </cell>
          <cell r="B38" t="str">
            <v>Provision for Depreciation- Truck Mixers, Loaders &amp; Dumpers</v>
          </cell>
          <cell r="C38">
            <v>-3737163</v>
          </cell>
          <cell r="D38">
            <v>0</v>
          </cell>
          <cell r="E38">
            <v>229013</v>
          </cell>
          <cell r="F38">
            <v>-229013</v>
          </cell>
          <cell r="G38">
            <v>0</v>
          </cell>
          <cell r="H38">
            <v>-3966176</v>
          </cell>
        </row>
        <row r="39">
          <cell r="A39">
            <v>26055020</v>
          </cell>
          <cell r="B39" t="str">
            <v>Profit &amp; Loss A/c</v>
          </cell>
          <cell r="C39">
            <v>9478425.0500000007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9478425.0500000007</v>
          </cell>
        </row>
        <row r="40">
          <cell r="A40">
            <v>26055030</v>
          </cell>
          <cell r="B40" t="str">
            <v>Provision for Leave encashment</v>
          </cell>
          <cell r="C40">
            <v>0</v>
          </cell>
          <cell r="D40">
            <v>0</v>
          </cell>
          <cell r="E40">
            <v>40000</v>
          </cell>
          <cell r="F40">
            <v>-40000</v>
          </cell>
          <cell r="G40">
            <v>0</v>
          </cell>
          <cell r="H40">
            <v>-40000</v>
          </cell>
        </row>
        <row r="41">
          <cell r="A41">
            <v>26055050</v>
          </cell>
          <cell r="B41" t="str">
            <v>Provision for Production linked incentive (KRA)</v>
          </cell>
          <cell r="C41">
            <v>0</v>
          </cell>
          <cell r="D41">
            <v>0</v>
          </cell>
          <cell r="E41">
            <v>65372</v>
          </cell>
          <cell r="F41">
            <v>-65372</v>
          </cell>
          <cell r="G41">
            <v>0</v>
          </cell>
          <cell r="H41">
            <v>-65372</v>
          </cell>
        </row>
        <row r="42">
          <cell r="A42">
            <v>31010010</v>
          </cell>
          <cell r="B42" t="str">
            <v>Sales</v>
          </cell>
          <cell r="C42">
            <v>0</v>
          </cell>
          <cell r="D42">
            <v>463669.17</v>
          </cell>
          <cell r="E42">
            <v>14434181.98</v>
          </cell>
          <cell r="F42">
            <v>-13970512.810000001</v>
          </cell>
          <cell r="G42">
            <v>0</v>
          </cell>
          <cell r="H42">
            <v>-13970512.810000001</v>
          </cell>
        </row>
        <row r="43">
          <cell r="A43">
            <v>31030020</v>
          </cell>
          <cell r="B43" t="str">
            <v>Waiting / Partload Charges</v>
          </cell>
          <cell r="C43">
            <v>0</v>
          </cell>
          <cell r="D43">
            <v>0</v>
          </cell>
          <cell r="E43">
            <v>8884.69</v>
          </cell>
          <cell r="F43">
            <v>-8884.69</v>
          </cell>
          <cell r="G43">
            <v>0</v>
          </cell>
          <cell r="H43">
            <v>-8884.69</v>
          </cell>
        </row>
        <row r="44">
          <cell r="A44">
            <v>32010010</v>
          </cell>
          <cell r="B44" t="str">
            <v>Interest Income - Other Deposits</v>
          </cell>
          <cell r="C44">
            <v>0</v>
          </cell>
          <cell r="D44">
            <v>0</v>
          </cell>
          <cell r="E44">
            <v>16539.72</v>
          </cell>
          <cell r="F44">
            <v>-16539.72</v>
          </cell>
          <cell r="G44">
            <v>0</v>
          </cell>
          <cell r="H44">
            <v>-16539.72</v>
          </cell>
        </row>
        <row r="45">
          <cell r="A45">
            <v>32020020</v>
          </cell>
          <cell r="B45" t="str">
            <v>Misc Income - Scrap sales</v>
          </cell>
          <cell r="C45">
            <v>0</v>
          </cell>
          <cell r="D45">
            <v>0</v>
          </cell>
          <cell r="E45">
            <v>30640.94</v>
          </cell>
          <cell r="F45">
            <v>-30640.94</v>
          </cell>
          <cell r="G45">
            <v>0</v>
          </cell>
          <cell r="H45">
            <v>-30640.94</v>
          </cell>
        </row>
        <row r="46">
          <cell r="A46">
            <v>41010010</v>
          </cell>
          <cell r="B46" t="str">
            <v>Opening Stock - Cement</v>
          </cell>
          <cell r="C46">
            <v>0</v>
          </cell>
          <cell r="D46">
            <v>307052.01</v>
          </cell>
          <cell r="E46">
            <v>0</v>
          </cell>
          <cell r="F46">
            <v>307052.01</v>
          </cell>
          <cell r="G46">
            <v>0</v>
          </cell>
          <cell r="H46">
            <v>307052.01</v>
          </cell>
        </row>
        <row r="47">
          <cell r="A47">
            <v>41010020</v>
          </cell>
          <cell r="B47" t="str">
            <v>Opening Stock - Sand</v>
          </cell>
          <cell r="C47">
            <v>0</v>
          </cell>
          <cell r="D47">
            <v>54516.83</v>
          </cell>
          <cell r="E47">
            <v>0</v>
          </cell>
          <cell r="F47">
            <v>54516.83</v>
          </cell>
          <cell r="G47">
            <v>0</v>
          </cell>
          <cell r="H47">
            <v>54516.83</v>
          </cell>
        </row>
        <row r="48">
          <cell r="A48">
            <v>41010040</v>
          </cell>
          <cell r="B48" t="str">
            <v>Opening Stock - RMC Aggregates</v>
          </cell>
          <cell r="C48">
            <v>0</v>
          </cell>
          <cell r="D48">
            <v>113372.83</v>
          </cell>
          <cell r="E48">
            <v>0</v>
          </cell>
          <cell r="F48">
            <v>113372.83</v>
          </cell>
          <cell r="G48">
            <v>0</v>
          </cell>
          <cell r="H48">
            <v>113372.83</v>
          </cell>
        </row>
        <row r="49">
          <cell r="A49">
            <v>41010050</v>
          </cell>
          <cell r="B49" t="str">
            <v>Opening Stock - Admixtures</v>
          </cell>
          <cell r="C49">
            <v>0</v>
          </cell>
          <cell r="D49">
            <v>321910.61</v>
          </cell>
          <cell r="E49">
            <v>0</v>
          </cell>
          <cell r="F49">
            <v>321910.61</v>
          </cell>
          <cell r="G49">
            <v>0</v>
          </cell>
          <cell r="H49">
            <v>321910.61</v>
          </cell>
        </row>
        <row r="50">
          <cell r="A50">
            <v>41010070</v>
          </cell>
          <cell r="B50" t="str">
            <v>Opening Stock - Flyash</v>
          </cell>
          <cell r="C50">
            <v>0</v>
          </cell>
          <cell r="D50">
            <v>28725.71</v>
          </cell>
          <cell r="E50">
            <v>0</v>
          </cell>
          <cell r="F50">
            <v>28725.71</v>
          </cell>
          <cell r="G50">
            <v>0</v>
          </cell>
          <cell r="H50">
            <v>28725.71</v>
          </cell>
        </row>
        <row r="51">
          <cell r="A51">
            <v>41010080</v>
          </cell>
          <cell r="B51" t="str">
            <v>Opening Stock - Diesel</v>
          </cell>
          <cell r="C51">
            <v>0</v>
          </cell>
          <cell r="D51">
            <v>20656.53</v>
          </cell>
          <cell r="E51">
            <v>0</v>
          </cell>
          <cell r="F51">
            <v>20656.53</v>
          </cell>
          <cell r="G51">
            <v>0</v>
          </cell>
          <cell r="H51">
            <v>20656.53</v>
          </cell>
        </row>
        <row r="52">
          <cell r="A52">
            <v>41020010</v>
          </cell>
          <cell r="B52" t="str">
            <v>Raw Material Purchase - Cement</v>
          </cell>
          <cell r="C52">
            <v>0</v>
          </cell>
          <cell r="D52">
            <v>5899182.0300000003</v>
          </cell>
          <cell r="E52">
            <v>5302704.5199999996</v>
          </cell>
          <cell r="F52">
            <v>596477.51</v>
          </cell>
          <cell r="G52">
            <v>0</v>
          </cell>
          <cell r="H52">
            <v>596477.51</v>
          </cell>
        </row>
        <row r="53">
          <cell r="A53">
            <v>41020015</v>
          </cell>
          <cell r="B53" t="str">
            <v>Interim account cement received</v>
          </cell>
          <cell r="C53">
            <v>0</v>
          </cell>
          <cell r="D53">
            <v>5156979.18</v>
          </cell>
          <cell r="E53">
            <v>5565379.3600000003</v>
          </cell>
          <cell r="F53">
            <v>-408400.18</v>
          </cell>
          <cell r="G53">
            <v>0</v>
          </cell>
          <cell r="H53">
            <v>-408400.18</v>
          </cell>
        </row>
        <row r="54">
          <cell r="A54">
            <v>41020020</v>
          </cell>
          <cell r="B54" t="str">
            <v>Cement Consumption account</v>
          </cell>
          <cell r="C54">
            <v>0</v>
          </cell>
          <cell r="D54">
            <v>5295407.99</v>
          </cell>
          <cell r="E54">
            <v>177185.51</v>
          </cell>
          <cell r="F54">
            <v>5118222.4800000004</v>
          </cell>
          <cell r="G54">
            <v>0</v>
          </cell>
          <cell r="H54">
            <v>5118222.4800000004</v>
          </cell>
        </row>
        <row r="55">
          <cell r="A55">
            <v>41020030</v>
          </cell>
          <cell r="B55" t="str">
            <v>Raw Material Purchase - Aggregates</v>
          </cell>
          <cell r="C55">
            <v>0</v>
          </cell>
          <cell r="D55">
            <v>1735100.81</v>
          </cell>
          <cell r="E55">
            <v>2791366.01</v>
          </cell>
          <cell r="F55">
            <v>-1056265.2</v>
          </cell>
          <cell r="G55">
            <v>0</v>
          </cell>
          <cell r="H55">
            <v>-1056265.2</v>
          </cell>
        </row>
        <row r="56">
          <cell r="A56">
            <v>41020035</v>
          </cell>
          <cell r="B56" t="str">
            <v>Interim account Aggregate received</v>
          </cell>
          <cell r="C56">
            <v>0</v>
          </cell>
          <cell r="D56">
            <v>2594280.1</v>
          </cell>
          <cell r="E56">
            <v>1566142.02</v>
          </cell>
          <cell r="F56">
            <v>1028138.08</v>
          </cell>
          <cell r="G56">
            <v>0</v>
          </cell>
          <cell r="H56">
            <v>1028138.08</v>
          </cell>
        </row>
        <row r="57">
          <cell r="A57">
            <v>41020040</v>
          </cell>
          <cell r="B57" t="str">
            <v>Aggregate Consumption account</v>
          </cell>
          <cell r="C57">
            <v>0</v>
          </cell>
          <cell r="D57">
            <v>2791366.01</v>
          </cell>
          <cell r="E57">
            <v>114120</v>
          </cell>
          <cell r="F57">
            <v>2677246.0099999998</v>
          </cell>
          <cell r="G57">
            <v>0</v>
          </cell>
          <cell r="H57">
            <v>2677246.0099999998</v>
          </cell>
        </row>
        <row r="58">
          <cell r="A58">
            <v>41020050</v>
          </cell>
          <cell r="B58" t="str">
            <v>Raw Material Purchase - Sand</v>
          </cell>
          <cell r="C58">
            <v>0</v>
          </cell>
          <cell r="D58">
            <v>1249221.01</v>
          </cell>
          <cell r="E58">
            <v>1539391.85</v>
          </cell>
          <cell r="F58">
            <v>-290170.84000000003</v>
          </cell>
          <cell r="G58">
            <v>0</v>
          </cell>
          <cell r="H58">
            <v>-290170.84000000003</v>
          </cell>
        </row>
        <row r="59">
          <cell r="A59">
            <v>41020055</v>
          </cell>
          <cell r="B59" t="str">
            <v>Interim account Sand Received</v>
          </cell>
          <cell r="C59">
            <v>0</v>
          </cell>
          <cell r="D59">
            <v>1534123.57</v>
          </cell>
          <cell r="E59">
            <v>1223864.77</v>
          </cell>
          <cell r="F59">
            <v>310258.8</v>
          </cell>
          <cell r="G59">
            <v>0</v>
          </cell>
          <cell r="H59">
            <v>310258.8</v>
          </cell>
        </row>
        <row r="60">
          <cell r="A60">
            <v>41020060</v>
          </cell>
          <cell r="B60" t="str">
            <v>Sand Consumption account</v>
          </cell>
          <cell r="C60">
            <v>0</v>
          </cell>
          <cell r="D60">
            <v>1535313.85</v>
          </cell>
          <cell r="E60">
            <v>0</v>
          </cell>
          <cell r="F60">
            <v>1535313.85</v>
          </cell>
          <cell r="G60">
            <v>0</v>
          </cell>
          <cell r="H60">
            <v>1535313.85</v>
          </cell>
        </row>
        <row r="61">
          <cell r="A61">
            <v>41020070</v>
          </cell>
          <cell r="B61" t="str">
            <v>Raw Material Purchase - Admixture</v>
          </cell>
          <cell r="C61">
            <v>0</v>
          </cell>
          <cell r="D61">
            <v>127170.86</v>
          </cell>
          <cell r="E61">
            <v>439174.56</v>
          </cell>
          <cell r="F61">
            <v>-312003.7</v>
          </cell>
          <cell r="G61">
            <v>0</v>
          </cell>
          <cell r="H61">
            <v>-312003.7</v>
          </cell>
        </row>
        <row r="62">
          <cell r="A62">
            <v>41020075</v>
          </cell>
          <cell r="B62" t="str">
            <v>Interim account Admixture received</v>
          </cell>
          <cell r="C62">
            <v>0</v>
          </cell>
          <cell r="D62">
            <v>325418.28000000003</v>
          </cell>
          <cell r="E62">
            <v>102840</v>
          </cell>
          <cell r="F62">
            <v>222578.28</v>
          </cell>
          <cell r="G62">
            <v>0</v>
          </cell>
          <cell r="H62">
            <v>222578.28</v>
          </cell>
        </row>
        <row r="63">
          <cell r="A63">
            <v>41020080</v>
          </cell>
          <cell r="B63" t="str">
            <v>Admixture Consumption account</v>
          </cell>
          <cell r="C63">
            <v>0</v>
          </cell>
          <cell r="D63">
            <v>401199.15</v>
          </cell>
          <cell r="E63">
            <v>20345.810000000001</v>
          </cell>
          <cell r="F63">
            <v>380853.34</v>
          </cell>
          <cell r="G63">
            <v>0</v>
          </cell>
          <cell r="H63">
            <v>380853.34</v>
          </cell>
        </row>
        <row r="64">
          <cell r="A64">
            <v>41020090</v>
          </cell>
          <cell r="B64" t="str">
            <v>Raw Material  Purchase - Fly Ash</v>
          </cell>
          <cell r="C64">
            <v>0</v>
          </cell>
          <cell r="D64">
            <v>409245.26</v>
          </cell>
          <cell r="E64">
            <v>466134.52</v>
          </cell>
          <cell r="F64">
            <v>-56889.26</v>
          </cell>
          <cell r="G64">
            <v>0</v>
          </cell>
          <cell r="H64">
            <v>-56889.26</v>
          </cell>
        </row>
        <row r="65">
          <cell r="A65">
            <v>41020095</v>
          </cell>
          <cell r="B65" t="str">
            <v>Interim account fly ash received</v>
          </cell>
          <cell r="C65">
            <v>0</v>
          </cell>
          <cell r="D65">
            <v>423826.18</v>
          </cell>
          <cell r="E65">
            <v>386120.68</v>
          </cell>
          <cell r="F65">
            <v>37705.5</v>
          </cell>
          <cell r="G65">
            <v>0</v>
          </cell>
          <cell r="H65">
            <v>37705.5</v>
          </cell>
        </row>
        <row r="66">
          <cell r="A66">
            <v>41020100</v>
          </cell>
          <cell r="B66" t="str">
            <v>Fly Ash Consumption account</v>
          </cell>
          <cell r="C66">
            <v>0</v>
          </cell>
          <cell r="D66">
            <v>466134.52</v>
          </cell>
          <cell r="E66">
            <v>9490.9</v>
          </cell>
          <cell r="F66">
            <v>456643.62</v>
          </cell>
          <cell r="G66">
            <v>0</v>
          </cell>
          <cell r="H66">
            <v>456643.62</v>
          </cell>
        </row>
        <row r="67">
          <cell r="A67">
            <v>41020150</v>
          </cell>
          <cell r="B67" t="str">
            <v>Loss/ gain on Stock</v>
          </cell>
          <cell r="C67">
            <v>0</v>
          </cell>
          <cell r="D67">
            <v>23190.720000000001</v>
          </cell>
          <cell r="E67">
            <v>254430.92</v>
          </cell>
          <cell r="F67">
            <v>-231240.2</v>
          </cell>
          <cell r="G67">
            <v>0</v>
          </cell>
          <cell r="H67">
            <v>-231240.2</v>
          </cell>
        </row>
        <row r="68">
          <cell r="A68">
            <v>41020175</v>
          </cell>
          <cell r="B68" t="str">
            <v>Purchase of Concrete</v>
          </cell>
          <cell r="C68">
            <v>0</v>
          </cell>
          <cell r="D68">
            <v>29050</v>
          </cell>
          <cell r="E68">
            <v>0</v>
          </cell>
          <cell r="F68">
            <v>29050</v>
          </cell>
          <cell r="G68">
            <v>0</v>
          </cell>
          <cell r="H68">
            <v>29050</v>
          </cell>
        </row>
        <row r="69">
          <cell r="A69">
            <v>41020180</v>
          </cell>
          <cell r="B69" t="str">
            <v>Interim account for Concrete purchased</v>
          </cell>
          <cell r="C69">
            <v>0</v>
          </cell>
          <cell r="D69">
            <v>29050</v>
          </cell>
          <cell r="E69">
            <v>29050</v>
          </cell>
          <cell r="F69">
            <v>0</v>
          </cell>
          <cell r="G69">
            <v>0</v>
          </cell>
          <cell r="H69">
            <v>0</v>
          </cell>
        </row>
        <row r="70">
          <cell r="A70">
            <v>41020195</v>
          </cell>
          <cell r="B70" t="str">
            <v>Purchase of Diesel</v>
          </cell>
          <cell r="C70">
            <v>0</v>
          </cell>
          <cell r="D70">
            <v>510280.8</v>
          </cell>
          <cell r="E70">
            <v>592282.80000000005</v>
          </cell>
          <cell r="F70">
            <v>-82002</v>
          </cell>
          <cell r="G70">
            <v>0</v>
          </cell>
          <cell r="H70">
            <v>-82002</v>
          </cell>
        </row>
        <row r="71">
          <cell r="A71">
            <v>41020200</v>
          </cell>
          <cell r="B71" t="str">
            <v>Interim account for diesel received</v>
          </cell>
          <cell r="C71">
            <v>0</v>
          </cell>
          <cell r="D71">
            <v>588373</v>
          </cell>
          <cell r="E71">
            <v>510280.8</v>
          </cell>
          <cell r="F71">
            <v>78092.2</v>
          </cell>
          <cell r="G71">
            <v>0</v>
          </cell>
          <cell r="H71">
            <v>78092.2</v>
          </cell>
        </row>
        <row r="72">
          <cell r="A72">
            <v>41050010</v>
          </cell>
          <cell r="B72" t="str">
            <v>Closing Stock - Cement</v>
          </cell>
          <cell r="C72">
            <v>0</v>
          </cell>
          <cell r="D72">
            <v>0</v>
          </cell>
          <cell r="E72">
            <v>495129.34</v>
          </cell>
          <cell r="F72">
            <v>-495129.34</v>
          </cell>
          <cell r="G72">
            <v>0</v>
          </cell>
          <cell r="H72">
            <v>-495129.34</v>
          </cell>
        </row>
        <row r="73">
          <cell r="A73">
            <v>41050020</v>
          </cell>
          <cell r="B73" t="str">
            <v>Closing Stock - Sand</v>
          </cell>
          <cell r="C73">
            <v>0</v>
          </cell>
          <cell r="D73">
            <v>0</v>
          </cell>
          <cell r="E73">
            <v>74604.789999999994</v>
          </cell>
          <cell r="F73">
            <v>-74604.789999999994</v>
          </cell>
          <cell r="G73">
            <v>0</v>
          </cell>
          <cell r="H73">
            <v>-74604.789999999994</v>
          </cell>
        </row>
        <row r="74">
          <cell r="A74">
            <v>41050040</v>
          </cell>
          <cell r="B74" t="str">
            <v>Closing Stock - RMC Aggregates</v>
          </cell>
          <cell r="C74">
            <v>0</v>
          </cell>
          <cell r="D74">
            <v>0</v>
          </cell>
          <cell r="E74">
            <v>85245.71</v>
          </cell>
          <cell r="F74">
            <v>-85245.71</v>
          </cell>
          <cell r="G74">
            <v>0</v>
          </cell>
          <cell r="H74">
            <v>-85245.71</v>
          </cell>
        </row>
        <row r="75">
          <cell r="A75">
            <v>41050050</v>
          </cell>
          <cell r="B75" t="str">
            <v>Closing Stock - Admixtures</v>
          </cell>
          <cell r="C75">
            <v>0</v>
          </cell>
          <cell r="D75">
            <v>0</v>
          </cell>
          <cell r="E75">
            <v>232485.19</v>
          </cell>
          <cell r="F75">
            <v>-232485.19</v>
          </cell>
          <cell r="G75">
            <v>0</v>
          </cell>
          <cell r="H75">
            <v>-232485.19</v>
          </cell>
        </row>
        <row r="76">
          <cell r="A76">
            <v>41050070</v>
          </cell>
          <cell r="B76" t="str">
            <v>Closing Stock - Flyash</v>
          </cell>
          <cell r="C76">
            <v>0</v>
          </cell>
          <cell r="D76">
            <v>0</v>
          </cell>
          <cell r="E76">
            <v>9541.9500000000007</v>
          </cell>
          <cell r="F76">
            <v>-9541.9500000000007</v>
          </cell>
          <cell r="G76">
            <v>0</v>
          </cell>
          <cell r="H76">
            <v>-9541.9500000000007</v>
          </cell>
        </row>
        <row r="77">
          <cell r="A77">
            <v>41050080</v>
          </cell>
          <cell r="B77" t="str">
            <v>Closing Stock - Diesel</v>
          </cell>
          <cell r="C77">
            <v>0</v>
          </cell>
          <cell r="D77">
            <v>0</v>
          </cell>
          <cell r="E77">
            <v>16746.73</v>
          </cell>
          <cell r="F77">
            <v>-16746.73</v>
          </cell>
          <cell r="G77">
            <v>0</v>
          </cell>
          <cell r="H77">
            <v>-16746.73</v>
          </cell>
        </row>
        <row r="78">
          <cell r="A78">
            <v>42010010</v>
          </cell>
          <cell r="B78" t="str">
            <v>Salary - Basic</v>
          </cell>
          <cell r="C78">
            <v>0</v>
          </cell>
          <cell r="D78">
            <v>271139</v>
          </cell>
          <cell r="E78">
            <v>0</v>
          </cell>
          <cell r="F78">
            <v>271139</v>
          </cell>
          <cell r="G78">
            <v>0</v>
          </cell>
          <cell r="H78">
            <v>271139</v>
          </cell>
        </row>
        <row r="79">
          <cell r="A79">
            <v>42010020</v>
          </cell>
          <cell r="B79" t="str">
            <v>House Rent Allowance</v>
          </cell>
          <cell r="C79">
            <v>0</v>
          </cell>
          <cell r="D79">
            <v>132533</v>
          </cell>
          <cell r="E79">
            <v>0</v>
          </cell>
          <cell r="F79">
            <v>132533</v>
          </cell>
          <cell r="G79">
            <v>0</v>
          </cell>
          <cell r="H79">
            <v>132533</v>
          </cell>
        </row>
        <row r="80">
          <cell r="A80">
            <v>42010030</v>
          </cell>
          <cell r="B80" t="str">
            <v>Education Allowance</v>
          </cell>
          <cell r="C80">
            <v>0</v>
          </cell>
          <cell r="D80">
            <v>23200</v>
          </cell>
          <cell r="E80">
            <v>0</v>
          </cell>
          <cell r="F80">
            <v>23200</v>
          </cell>
          <cell r="G80">
            <v>0</v>
          </cell>
          <cell r="H80">
            <v>23200</v>
          </cell>
        </row>
        <row r="81">
          <cell r="A81">
            <v>42010040</v>
          </cell>
          <cell r="B81" t="str">
            <v>Special Allowance</v>
          </cell>
          <cell r="C81">
            <v>0</v>
          </cell>
          <cell r="D81">
            <v>38408</v>
          </cell>
          <cell r="E81">
            <v>0</v>
          </cell>
          <cell r="F81">
            <v>38408</v>
          </cell>
          <cell r="G81">
            <v>0</v>
          </cell>
          <cell r="H81">
            <v>38408</v>
          </cell>
        </row>
        <row r="82">
          <cell r="A82">
            <v>42010050</v>
          </cell>
          <cell r="B82" t="str">
            <v>Medical Expense Reimbursement</v>
          </cell>
          <cell r="C82">
            <v>0</v>
          </cell>
          <cell r="D82">
            <v>89374</v>
          </cell>
          <cell r="E82">
            <v>0</v>
          </cell>
          <cell r="F82">
            <v>89374</v>
          </cell>
          <cell r="G82">
            <v>0</v>
          </cell>
          <cell r="H82">
            <v>89374</v>
          </cell>
        </row>
        <row r="83">
          <cell r="A83">
            <v>42010060</v>
          </cell>
          <cell r="B83" t="str">
            <v>Leave Travel Allowance</v>
          </cell>
          <cell r="C83">
            <v>0</v>
          </cell>
          <cell r="D83">
            <v>94204</v>
          </cell>
          <cell r="E83">
            <v>0</v>
          </cell>
          <cell r="F83">
            <v>94204</v>
          </cell>
          <cell r="G83">
            <v>0</v>
          </cell>
          <cell r="H83">
            <v>94204</v>
          </cell>
        </row>
        <row r="84">
          <cell r="A84">
            <v>42010070</v>
          </cell>
          <cell r="B84" t="str">
            <v>Leave Encashment</v>
          </cell>
          <cell r="C84">
            <v>0</v>
          </cell>
          <cell r="D84">
            <v>56760</v>
          </cell>
          <cell r="E84">
            <v>0</v>
          </cell>
          <cell r="F84">
            <v>56760</v>
          </cell>
          <cell r="G84">
            <v>0</v>
          </cell>
          <cell r="H84">
            <v>56760</v>
          </cell>
        </row>
        <row r="85">
          <cell r="A85">
            <v>42010090</v>
          </cell>
          <cell r="B85" t="str">
            <v>Overtime Payment</v>
          </cell>
          <cell r="C85">
            <v>0</v>
          </cell>
          <cell r="D85">
            <v>16794</v>
          </cell>
          <cell r="E85">
            <v>0</v>
          </cell>
          <cell r="F85">
            <v>16794</v>
          </cell>
          <cell r="G85">
            <v>0</v>
          </cell>
          <cell r="H85">
            <v>16794</v>
          </cell>
        </row>
        <row r="86">
          <cell r="A86">
            <v>42010100</v>
          </cell>
          <cell r="B86" t="str">
            <v>Transport Allowance</v>
          </cell>
          <cell r="C86">
            <v>0</v>
          </cell>
          <cell r="D86">
            <v>37333</v>
          </cell>
          <cell r="E86">
            <v>0</v>
          </cell>
          <cell r="F86">
            <v>37333</v>
          </cell>
          <cell r="G86">
            <v>0</v>
          </cell>
          <cell r="H86">
            <v>37333</v>
          </cell>
        </row>
        <row r="87">
          <cell r="A87">
            <v>42010130</v>
          </cell>
          <cell r="B87" t="str">
            <v>Production Linked Incentive</v>
          </cell>
          <cell r="C87">
            <v>0</v>
          </cell>
          <cell r="D87">
            <v>65372</v>
          </cell>
          <cell r="E87">
            <v>0</v>
          </cell>
          <cell r="F87">
            <v>65372</v>
          </cell>
          <cell r="G87">
            <v>0</v>
          </cell>
          <cell r="H87">
            <v>65372</v>
          </cell>
        </row>
        <row r="88">
          <cell r="A88">
            <v>42010220</v>
          </cell>
          <cell r="B88" t="str">
            <v>Adhoc Allowance</v>
          </cell>
          <cell r="C88">
            <v>0</v>
          </cell>
          <cell r="D88">
            <v>11212</v>
          </cell>
          <cell r="E88">
            <v>0</v>
          </cell>
          <cell r="F88">
            <v>11212</v>
          </cell>
          <cell r="G88">
            <v>0</v>
          </cell>
          <cell r="H88">
            <v>11212</v>
          </cell>
        </row>
        <row r="89">
          <cell r="A89">
            <v>42010230</v>
          </cell>
          <cell r="B89" t="str">
            <v>Car Allowance</v>
          </cell>
          <cell r="C89">
            <v>0</v>
          </cell>
          <cell r="D89">
            <v>27000</v>
          </cell>
          <cell r="E89">
            <v>0</v>
          </cell>
          <cell r="F89">
            <v>27000</v>
          </cell>
          <cell r="G89">
            <v>0</v>
          </cell>
          <cell r="H89">
            <v>27000</v>
          </cell>
        </row>
        <row r="90">
          <cell r="A90">
            <v>42010240</v>
          </cell>
          <cell r="B90" t="str">
            <v>Driver Allowance</v>
          </cell>
          <cell r="C90">
            <v>0</v>
          </cell>
          <cell r="D90">
            <v>18000</v>
          </cell>
          <cell r="E90">
            <v>0</v>
          </cell>
          <cell r="F90">
            <v>18000</v>
          </cell>
          <cell r="G90">
            <v>0</v>
          </cell>
          <cell r="H90">
            <v>18000</v>
          </cell>
        </row>
        <row r="91">
          <cell r="A91">
            <v>42020010</v>
          </cell>
          <cell r="B91" t="str">
            <v>Provident Funds - Employer's Conribution</v>
          </cell>
          <cell r="C91">
            <v>0</v>
          </cell>
          <cell r="D91">
            <v>18640</v>
          </cell>
          <cell r="E91">
            <v>0</v>
          </cell>
          <cell r="F91">
            <v>18640</v>
          </cell>
          <cell r="G91">
            <v>0</v>
          </cell>
          <cell r="H91">
            <v>18640</v>
          </cell>
        </row>
        <row r="92">
          <cell r="A92">
            <v>42020020</v>
          </cell>
          <cell r="B92" t="str">
            <v>Pension Fund - Employer's Contribution</v>
          </cell>
          <cell r="C92">
            <v>0</v>
          </cell>
          <cell r="D92">
            <v>15352</v>
          </cell>
          <cell r="E92">
            <v>0</v>
          </cell>
          <cell r="F92">
            <v>15352</v>
          </cell>
          <cell r="G92">
            <v>0</v>
          </cell>
          <cell r="H92">
            <v>15352</v>
          </cell>
        </row>
        <row r="93">
          <cell r="A93">
            <v>42030020</v>
          </cell>
          <cell r="B93" t="str">
            <v>Purchases of Safety &amp; Welfare Items</v>
          </cell>
          <cell r="C93">
            <v>0</v>
          </cell>
          <cell r="D93">
            <v>3320</v>
          </cell>
          <cell r="E93">
            <v>0</v>
          </cell>
          <cell r="F93">
            <v>3320</v>
          </cell>
          <cell r="G93">
            <v>0</v>
          </cell>
          <cell r="H93">
            <v>3320</v>
          </cell>
        </row>
        <row r="94">
          <cell r="A94">
            <v>42030040</v>
          </cell>
          <cell r="B94" t="str">
            <v>Staff Welfare Expenses - FBT</v>
          </cell>
          <cell r="C94">
            <v>0</v>
          </cell>
          <cell r="D94">
            <v>21200</v>
          </cell>
          <cell r="E94">
            <v>5500</v>
          </cell>
          <cell r="F94">
            <v>15700</v>
          </cell>
          <cell r="G94">
            <v>0</v>
          </cell>
          <cell r="H94">
            <v>15700</v>
          </cell>
        </row>
        <row r="95">
          <cell r="A95">
            <v>42030060</v>
          </cell>
          <cell r="B95" t="str">
            <v>Food &amp; Beverage Exps - FBT</v>
          </cell>
          <cell r="C95">
            <v>0</v>
          </cell>
          <cell r="D95">
            <v>4332</v>
          </cell>
          <cell r="E95">
            <v>915</v>
          </cell>
          <cell r="F95">
            <v>3417</v>
          </cell>
          <cell r="G95">
            <v>0</v>
          </cell>
          <cell r="H95">
            <v>3417</v>
          </cell>
        </row>
        <row r="96">
          <cell r="A96">
            <v>43001010</v>
          </cell>
          <cell r="B96" t="str">
            <v>Electricity Charges</v>
          </cell>
          <cell r="C96">
            <v>0</v>
          </cell>
          <cell r="D96">
            <v>152612.72</v>
          </cell>
          <cell r="E96">
            <v>46000</v>
          </cell>
          <cell r="F96">
            <v>106612.72</v>
          </cell>
          <cell r="G96">
            <v>0</v>
          </cell>
          <cell r="H96">
            <v>106612.72</v>
          </cell>
        </row>
        <row r="97">
          <cell r="A97">
            <v>43001020</v>
          </cell>
          <cell r="B97" t="str">
            <v>Water Charges</v>
          </cell>
          <cell r="C97">
            <v>0</v>
          </cell>
          <cell r="D97">
            <v>58500</v>
          </cell>
          <cell r="E97">
            <v>0</v>
          </cell>
          <cell r="F97">
            <v>58500</v>
          </cell>
          <cell r="G97">
            <v>0</v>
          </cell>
          <cell r="H97">
            <v>58500</v>
          </cell>
        </row>
        <row r="98">
          <cell r="A98">
            <v>43001030</v>
          </cell>
          <cell r="B98" t="str">
            <v>Fuel For Diesel Generator Set</v>
          </cell>
          <cell r="C98">
            <v>0</v>
          </cell>
          <cell r="D98">
            <v>8996</v>
          </cell>
          <cell r="E98">
            <v>0</v>
          </cell>
          <cell r="F98">
            <v>8996</v>
          </cell>
          <cell r="G98">
            <v>0</v>
          </cell>
          <cell r="H98">
            <v>8996</v>
          </cell>
        </row>
        <row r="99">
          <cell r="A99">
            <v>43012010</v>
          </cell>
          <cell r="B99" t="str">
            <v>Lab Consumables</v>
          </cell>
          <cell r="C99">
            <v>0</v>
          </cell>
          <cell r="D99">
            <v>9910</v>
          </cell>
          <cell r="E99">
            <v>0</v>
          </cell>
          <cell r="F99">
            <v>9910</v>
          </cell>
          <cell r="G99">
            <v>0</v>
          </cell>
          <cell r="H99">
            <v>9910</v>
          </cell>
        </row>
        <row r="100">
          <cell r="A100">
            <v>43012020</v>
          </cell>
          <cell r="B100" t="str">
            <v>Labour / sub contractor for - Pumping Expenses Incurred</v>
          </cell>
          <cell r="C100">
            <v>0</v>
          </cell>
          <cell r="D100">
            <v>225667</v>
          </cell>
          <cell r="E100">
            <v>70000</v>
          </cell>
          <cell r="F100">
            <v>155667</v>
          </cell>
          <cell r="G100">
            <v>0</v>
          </cell>
          <cell r="H100">
            <v>155667</v>
          </cell>
        </row>
        <row r="101">
          <cell r="A101">
            <v>43016010</v>
          </cell>
          <cell r="B101" t="str">
            <v>Transportation Charges</v>
          </cell>
          <cell r="C101">
            <v>0</v>
          </cell>
          <cell r="D101">
            <v>775</v>
          </cell>
          <cell r="E101">
            <v>0</v>
          </cell>
          <cell r="F101">
            <v>775</v>
          </cell>
          <cell r="G101">
            <v>0</v>
          </cell>
          <cell r="H101">
            <v>775</v>
          </cell>
        </row>
        <row r="102">
          <cell r="A102">
            <v>43018010</v>
          </cell>
          <cell r="B102" t="str">
            <v>Repairs &amp; Maintenance</v>
          </cell>
          <cell r="C102">
            <v>0</v>
          </cell>
          <cell r="D102">
            <v>176184.72</v>
          </cell>
          <cell r="E102">
            <v>62427</v>
          </cell>
          <cell r="F102">
            <v>113757.72</v>
          </cell>
          <cell r="G102">
            <v>0</v>
          </cell>
          <cell r="H102">
            <v>113757.72</v>
          </cell>
        </row>
        <row r="103">
          <cell r="A103">
            <v>43018020</v>
          </cell>
          <cell r="B103" t="str">
            <v>Oil &amp; Grease</v>
          </cell>
          <cell r="C103">
            <v>0</v>
          </cell>
          <cell r="D103">
            <v>18165.96</v>
          </cell>
          <cell r="E103">
            <v>0</v>
          </cell>
          <cell r="F103">
            <v>18165.96</v>
          </cell>
          <cell r="G103">
            <v>0</v>
          </cell>
          <cell r="H103">
            <v>18165.96</v>
          </cell>
        </row>
        <row r="104">
          <cell r="A104">
            <v>43020030</v>
          </cell>
          <cell r="B104" t="str">
            <v>Tyres</v>
          </cell>
          <cell r="C104">
            <v>0</v>
          </cell>
          <cell r="D104">
            <v>30000</v>
          </cell>
          <cell r="E104">
            <v>0</v>
          </cell>
          <cell r="F104">
            <v>30000</v>
          </cell>
          <cell r="G104">
            <v>0</v>
          </cell>
          <cell r="H104">
            <v>30000</v>
          </cell>
        </row>
        <row r="105">
          <cell r="A105">
            <v>43022010</v>
          </cell>
          <cell r="B105" t="str">
            <v>Plant / Office Up Keep Exps</v>
          </cell>
          <cell r="C105">
            <v>0</v>
          </cell>
          <cell r="D105">
            <v>158127</v>
          </cell>
          <cell r="E105">
            <v>44794</v>
          </cell>
          <cell r="F105">
            <v>113333</v>
          </cell>
          <cell r="G105">
            <v>0</v>
          </cell>
          <cell r="H105">
            <v>113333</v>
          </cell>
        </row>
        <row r="106">
          <cell r="A106">
            <v>43030010</v>
          </cell>
          <cell r="B106" t="str">
            <v>Transportation Exps-Labour</v>
          </cell>
          <cell r="C106">
            <v>0</v>
          </cell>
          <cell r="D106">
            <v>58316</v>
          </cell>
          <cell r="E106">
            <v>0</v>
          </cell>
          <cell r="F106">
            <v>58316</v>
          </cell>
          <cell r="G106">
            <v>0</v>
          </cell>
          <cell r="H106">
            <v>58316</v>
          </cell>
        </row>
        <row r="107">
          <cell r="A107">
            <v>43032010</v>
          </cell>
          <cell r="B107" t="str">
            <v>Rent - Plant</v>
          </cell>
          <cell r="C107">
            <v>0</v>
          </cell>
          <cell r="D107">
            <v>138000</v>
          </cell>
          <cell r="E107">
            <v>0</v>
          </cell>
          <cell r="F107">
            <v>138000</v>
          </cell>
          <cell r="G107">
            <v>0</v>
          </cell>
          <cell r="H107">
            <v>138000</v>
          </cell>
        </row>
        <row r="108">
          <cell r="A108">
            <v>43032040</v>
          </cell>
          <cell r="B108" t="str">
            <v>Lease Rentals- Machinery</v>
          </cell>
          <cell r="C108">
            <v>0</v>
          </cell>
          <cell r="D108">
            <v>62720</v>
          </cell>
          <cell r="E108">
            <v>0</v>
          </cell>
          <cell r="F108">
            <v>62720</v>
          </cell>
          <cell r="G108">
            <v>0</v>
          </cell>
          <cell r="H108">
            <v>62720</v>
          </cell>
        </row>
        <row r="109">
          <cell r="A109">
            <v>43032045</v>
          </cell>
          <cell r="B109" t="str">
            <v>Towing Expenses</v>
          </cell>
          <cell r="C109">
            <v>0</v>
          </cell>
          <cell r="D109">
            <v>62505.4</v>
          </cell>
          <cell r="E109">
            <v>20000</v>
          </cell>
          <cell r="F109">
            <v>42505.4</v>
          </cell>
          <cell r="G109">
            <v>0</v>
          </cell>
          <cell r="H109">
            <v>42505.4</v>
          </cell>
        </row>
        <row r="110">
          <cell r="A110">
            <v>43036010</v>
          </cell>
          <cell r="B110" t="str">
            <v>Insurance Expenses</v>
          </cell>
          <cell r="C110">
            <v>0</v>
          </cell>
          <cell r="D110">
            <v>17924</v>
          </cell>
          <cell r="E110">
            <v>0</v>
          </cell>
          <cell r="F110">
            <v>17924</v>
          </cell>
          <cell r="G110">
            <v>0</v>
          </cell>
          <cell r="H110">
            <v>17924</v>
          </cell>
        </row>
        <row r="111">
          <cell r="A111">
            <v>43038020</v>
          </cell>
          <cell r="B111" t="str">
            <v>Courier Expenses</v>
          </cell>
          <cell r="C111">
            <v>0</v>
          </cell>
          <cell r="D111">
            <v>2019</v>
          </cell>
          <cell r="E111">
            <v>0</v>
          </cell>
          <cell r="F111">
            <v>2019</v>
          </cell>
          <cell r="G111">
            <v>0</v>
          </cell>
          <cell r="H111">
            <v>2019</v>
          </cell>
        </row>
        <row r="112">
          <cell r="A112">
            <v>43038030</v>
          </cell>
          <cell r="B112" t="str">
            <v>Telephone Expenses</v>
          </cell>
          <cell r="C112">
            <v>0</v>
          </cell>
          <cell r="D112">
            <v>18792</v>
          </cell>
          <cell r="E112">
            <v>6584</v>
          </cell>
          <cell r="F112">
            <v>12208</v>
          </cell>
          <cell r="G112">
            <v>0</v>
          </cell>
          <cell r="H112">
            <v>12208</v>
          </cell>
        </row>
        <row r="113">
          <cell r="A113">
            <v>43038040</v>
          </cell>
          <cell r="B113" t="str">
            <v>Fax Expenses</v>
          </cell>
          <cell r="C113">
            <v>0</v>
          </cell>
          <cell r="D113">
            <v>31</v>
          </cell>
          <cell r="E113">
            <v>0</v>
          </cell>
          <cell r="F113">
            <v>31</v>
          </cell>
          <cell r="G113">
            <v>0</v>
          </cell>
          <cell r="H113">
            <v>31</v>
          </cell>
        </row>
        <row r="114">
          <cell r="A114">
            <v>43038050</v>
          </cell>
          <cell r="B114" t="str">
            <v>Telephone Chgs - Mobile  FBT</v>
          </cell>
          <cell r="C114">
            <v>0</v>
          </cell>
          <cell r="D114">
            <v>32411</v>
          </cell>
          <cell r="E114">
            <v>5033</v>
          </cell>
          <cell r="F114">
            <v>27378</v>
          </cell>
          <cell r="G114">
            <v>0</v>
          </cell>
          <cell r="H114">
            <v>27378</v>
          </cell>
        </row>
        <row r="115">
          <cell r="A115">
            <v>43038060</v>
          </cell>
          <cell r="B115" t="str">
            <v>Telephone  Employee - Residence - FBT</v>
          </cell>
          <cell r="C115">
            <v>0</v>
          </cell>
          <cell r="D115">
            <v>658</v>
          </cell>
          <cell r="E115">
            <v>0</v>
          </cell>
          <cell r="F115">
            <v>658</v>
          </cell>
          <cell r="G115">
            <v>0</v>
          </cell>
          <cell r="H115">
            <v>658</v>
          </cell>
        </row>
        <row r="116">
          <cell r="A116">
            <v>43040010</v>
          </cell>
          <cell r="B116" t="str">
            <v>Conveyance Expenses - FBT</v>
          </cell>
          <cell r="C116">
            <v>0</v>
          </cell>
          <cell r="D116">
            <v>69836</v>
          </cell>
          <cell r="E116">
            <v>21755</v>
          </cell>
          <cell r="F116">
            <v>48081</v>
          </cell>
          <cell r="G116">
            <v>0</v>
          </cell>
          <cell r="H116">
            <v>48081</v>
          </cell>
        </row>
        <row r="117">
          <cell r="A117">
            <v>43040040</v>
          </cell>
          <cell r="B117" t="str">
            <v>Motor Car Hire Expenses</v>
          </cell>
          <cell r="C117">
            <v>0</v>
          </cell>
          <cell r="D117">
            <v>87000</v>
          </cell>
          <cell r="E117">
            <v>29000</v>
          </cell>
          <cell r="F117">
            <v>58000</v>
          </cell>
          <cell r="G117">
            <v>0</v>
          </cell>
          <cell r="H117">
            <v>58000</v>
          </cell>
        </row>
        <row r="118">
          <cell r="A118">
            <v>43040080</v>
          </cell>
          <cell r="B118" t="str">
            <v>Travelling Expenses - Domestic - FBT</v>
          </cell>
          <cell r="C118">
            <v>0</v>
          </cell>
          <cell r="D118">
            <v>6398</v>
          </cell>
          <cell r="E118">
            <v>2310</v>
          </cell>
          <cell r="F118">
            <v>4088</v>
          </cell>
          <cell r="G118">
            <v>0</v>
          </cell>
          <cell r="H118">
            <v>4088</v>
          </cell>
        </row>
        <row r="119">
          <cell r="A119">
            <v>43040100</v>
          </cell>
          <cell r="B119" t="str">
            <v>Hotel Expenses  - FBT</v>
          </cell>
          <cell r="C119">
            <v>0</v>
          </cell>
          <cell r="D119">
            <v>14139</v>
          </cell>
          <cell r="E119">
            <v>6108</v>
          </cell>
          <cell r="F119">
            <v>8031</v>
          </cell>
          <cell r="G119">
            <v>0</v>
          </cell>
          <cell r="H119">
            <v>8031</v>
          </cell>
        </row>
        <row r="120">
          <cell r="A120">
            <v>43042010</v>
          </cell>
          <cell r="B120" t="str">
            <v>Fuel - Truck Mixers</v>
          </cell>
          <cell r="C120">
            <v>0</v>
          </cell>
          <cell r="D120">
            <v>391879.6</v>
          </cell>
          <cell r="E120">
            <v>195939.8</v>
          </cell>
          <cell r="F120">
            <v>195939.8</v>
          </cell>
          <cell r="G120">
            <v>0</v>
          </cell>
          <cell r="H120">
            <v>195939.8</v>
          </cell>
        </row>
        <row r="121">
          <cell r="A121">
            <v>43042020</v>
          </cell>
          <cell r="B121" t="str">
            <v>Fuel - Loader</v>
          </cell>
          <cell r="C121">
            <v>0</v>
          </cell>
          <cell r="D121">
            <v>35292</v>
          </cell>
          <cell r="E121">
            <v>0</v>
          </cell>
          <cell r="F121">
            <v>35292</v>
          </cell>
          <cell r="G121">
            <v>0</v>
          </cell>
          <cell r="H121">
            <v>35292</v>
          </cell>
        </row>
        <row r="122">
          <cell r="A122">
            <v>43042030</v>
          </cell>
          <cell r="B122" t="str">
            <v>Fuel - Others</v>
          </cell>
          <cell r="C122">
            <v>0</v>
          </cell>
          <cell r="D122">
            <v>15881.4</v>
          </cell>
          <cell r="E122">
            <v>15881.4</v>
          </cell>
          <cell r="F122">
            <v>0</v>
          </cell>
          <cell r="G122">
            <v>0</v>
          </cell>
          <cell r="H122">
            <v>0</v>
          </cell>
        </row>
        <row r="123">
          <cell r="A123">
            <v>43042050</v>
          </cell>
          <cell r="B123" t="str">
            <v>Fuel -  External Trucks/Pumps</v>
          </cell>
          <cell r="C123">
            <v>0</v>
          </cell>
          <cell r="D123">
            <v>655739.19999999995</v>
          </cell>
          <cell r="E123">
            <v>327869.59999999998</v>
          </cell>
          <cell r="F123">
            <v>327869.59999999998</v>
          </cell>
          <cell r="G123">
            <v>0</v>
          </cell>
          <cell r="H123">
            <v>327869.59999999998</v>
          </cell>
        </row>
        <row r="124">
          <cell r="A124">
            <v>43042060</v>
          </cell>
          <cell r="B124" t="str">
            <v>Fuel - Concrete Pumps</v>
          </cell>
          <cell r="C124">
            <v>0</v>
          </cell>
          <cell r="D124">
            <v>16608</v>
          </cell>
          <cell r="E124">
            <v>8304</v>
          </cell>
          <cell r="F124">
            <v>8304</v>
          </cell>
          <cell r="G124">
            <v>0</v>
          </cell>
          <cell r="H124">
            <v>8304</v>
          </cell>
        </row>
        <row r="125">
          <cell r="A125">
            <v>43046010</v>
          </cell>
          <cell r="B125" t="str">
            <v>Rates &amp; Taxes</v>
          </cell>
          <cell r="C125">
            <v>0</v>
          </cell>
          <cell r="D125">
            <v>14870</v>
          </cell>
          <cell r="E125">
            <v>0</v>
          </cell>
          <cell r="F125">
            <v>14870</v>
          </cell>
          <cell r="G125">
            <v>0</v>
          </cell>
          <cell r="H125">
            <v>14870</v>
          </cell>
        </row>
        <row r="126">
          <cell r="A126">
            <v>43046020</v>
          </cell>
          <cell r="B126" t="str">
            <v>Toll Charges- Truck Mixer</v>
          </cell>
          <cell r="C126">
            <v>0</v>
          </cell>
          <cell r="D126">
            <v>4000</v>
          </cell>
          <cell r="E126">
            <v>0</v>
          </cell>
          <cell r="F126">
            <v>4000</v>
          </cell>
          <cell r="G126">
            <v>0</v>
          </cell>
          <cell r="H126">
            <v>4000</v>
          </cell>
        </row>
        <row r="127">
          <cell r="A127">
            <v>43052010</v>
          </cell>
          <cell r="B127" t="str">
            <v>Security Service Charges</v>
          </cell>
          <cell r="C127">
            <v>0</v>
          </cell>
          <cell r="D127">
            <v>89533</v>
          </cell>
          <cell r="E127">
            <v>30000</v>
          </cell>
          <cell r="F127">
            <v>59533</v>
          </cell>
          <cell r="G127">
            <v>0</v>
          </cell>
          <cell r="H127">
            <v>59533</v>
          </cell>
        </row>
        <row r="128">
          <cell r="A128">
            <v>43054010</v>
          </cell>
          <cell r="B128" t="str">
            <v>Hire Charges - Machine</v>
          </cell>
          <cell r="C128">
            <v>0</v>
          </cell>
          <cell r="D128">
            <v>48366</v>
          </cell>
          <cell r="E128">
            <v>22253</v>
          </cell>
          <cell r="F128">
            <v>26113</v>
          </cell>
          <cell r="G128">
            <v>0</v>
          </cell>
          <cell r="H128">
            <v>26113</v>
          </cell>
        </row>
        <row r="129">
          <cell r="A129">
            <v>43054020</v>
          </cell>
          <cell r="B129" t="str">
            <v>Concrete Carrying Charges - TM</v>
          </cell>
          <cell r="C129">
            <v>0</v>
          </cell>
          <cell r="D129">
            <v>558000</v>
          </cell>
          <cell r="E129">
            <v>99153</v>
          </cell>
          <cell r="F129">
            <v>458847</v>
          </cell>
          <cell r="G129">
            <v>0</v>
          </cell>
          <cell r="H129">
            <v>458847</v>
          </cell>
        </row>
        <row r="130">
          <cell r="A130">
            <v>43054030</v>
          </cell>
          <cell r="B130" t="str">
            <v>Concrete Placing Charges Pump</v>
          </cell>
          <cell r="C130">
            <v>0</v>
          </cell>
          <cell r="D130">
            <v>304916</v>
          </cell>
          <cell r="E130">
            <v>122850</v>
          </cell>
          <cell r="F130">
            <v>182066</v>
          </cell>
          <cell r="G130">
            <v>0</v>
          </cell>
          <cell r="H130">
            <v>182066</v>
          </cell>
        </row>
        <row r="131">
          <cell r="A131">
            <v>43056010</v>
          </cell>
          <cell r="B131" t="str">
            <v>Professional &amp; Consultancy Fees</v>
          </cell>
          <cell r="C131">
            <v>0</v>
          </cell>
          <cell r="D131">
            <v>30163</v>
          </cell>
          <cell r="E131">
            <v>0</v>
          </cell>
          <cell r="F131">
            <v>30163</v>
          </cell>
          <cell r="G131">
            <v>0</v>
          </cell>
          <cell r="H131">
            <v>30163</v>
          </cell>
        </row>
        <row r="132">
          <cell r="A132">
            <v>43056020</v>
          </cell>
          <cell r="B132" t="str">
            <v>Legal fees - Court fee on which TDS is not recovered</v>
          </cell>
          <cell r="C132">
            <v>0</v>
          </cell>
          <cell r="D132">
            <v>6000</v>
          </cell>
          <cell r="E132">
            <v>3000</v>
          </cell>
          <cell r="F132">
            <v>3000</v>
          </cell>
          <cell r="G132">
            <v>0</v>
          </cell>
          <cell r="H132">
            <v>3000</v>
          </cell>
        </row>
        <row r="133">
          <cell r="A133">
            <v>43062010</v>
          </cell>
          <cell r="B133" t="str">
            <v>Computer Expenses</v>
          </cell>
          <cell r="C133">
            <v>0</v>
          </cell>
          <cell r="D133">
            <v>3600</v>
          </cell>
          <cell r="E133">
            <v>0</v>
          </cell>
          <cell r="F133">
            <v>3600</v>
          </cell>
          <cell r="G133">
            <v>0</v>
          </cell>
          <cell r="H133">
            <v>3600</v>
          </cell>
        </row>
        <row r="134">
          <cell r="A134">
            <v>43066020</v>
          </cell>
          <cell r="B134" t="str">
            <v>Printing &amp; Stationery</v>
          </cell>
          <cell r="C134">
            <v>0</v>
          </cell>
          <cell r="D134">
            <v>5750</v>
          </cell>
          <cell r="E134">
            <v>0</v>
          </cell>
          <cell r="F134">
            <v>5750</v>
          </cell>
          <cell r="G134">
            <v>0</v>
          </cell>
          <cell r="H134">
            <v>5750</v>
          </cell>
        </row>
        <row r="135">
          <cell r="A135">
            <v>43074010</v>
          </cell>
          <cell r="B135" t="str">
            <v>Provision For Bad &amp; Doubtful Debts W/Off</v>
          </cell>
          <cell r="C135">
            <v>0</v>
          </cell>
          <cell r="D135">
            <v>80538</v>
          </cell>
          <cell r="E135">
            <v>0</v>
          </cell>
          <cell r="F135">
            <v>80538</v>
          </cell>
          <cell r="G135">
            <v>0</v>
          </cell>
          <cell r="H135">
            <v>80538</v>
          </cell>
        </row>
        <row r="136">
          <cell r="A136">
            <v>43084030</v>
          </cell>
          <cell r="B136" t="str">
            <v>Rounding Off</v>
          </cell>
          <cell r="C136">
            <v>0</v>
          </cell>
          <cell r="D136">
            <v>60.59</v>
          </cell>
          <cell r="E136">
            <v>113.72</v>
          </cell>
          <cell r="F136">
            <v>-53.13</v>
          </cell>
          <cell r="G136">
            <v>0</v>
          </cell>
          <cell r="H136">
            <v>-53.13</v>
          </cell>
        </row>
        <row r="137">
          <cell r="A137">
            <v>44010040</v>
          </cell>
          <cell r="B137" t="str">
            <v>Bank Charges</v>
          </cell>
          <cell r="C137">
            <v>0</v>
          </cell>
          <cell r="D137">
            <v>414.18</v>
          </cell>
          <cell r="E137">
            <v>0</v>
          </cell>
          <cell r="F137">
            <v>414.18</v>
          </cell>
          <cell r="G137">
            <v>0</v>
          </cell>
          <cell r="H137">
            <v>414.18</v>
          </cell>
        </row>
        <row r="138">
          <cell r="A138">
            <v>45010010</v>
          </cell>
          <cell r="B138" t="str">
            <v>Depreciation</v>
          </cell>
          <cell r="C138">
            <v>0</v>
          </cell>
          <cell r="D138">
            <v>755672</v>
          </cell>
          <cell r="E138">
            <v>0</v>
          </cell>
          <cell r="F138">
            <v>755672</v>
          </cell>
          <cell r="G138">
            <v>0</v>
          </cell>
          <cell r="H138">
            <v>755672</v>
          </cell>
        </row>
        <row r="139">
          <cell r="A139">
            <v>52000000</v>
          </cell>
          <cell r="B139" t="str">
            <v>Inter Branch Control Account</v>
          </cell>
          <cell r="C139">
            <v>-40092637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-40092637</v>
          </cell>
        </row>
        <row r="140">
          <cell r="A140">
            <v>52000809</v>
          </cell>
          <cell r="B140" t="str">
            <v>Inter branch control account for 08-09</v>
          </cell>
          <cell r="C140">
            <v>-648378.31000000006</v>
          </cell>
          <cell r="D140">
            <v>8464107.2899999991</v>
          </cell>
          <cell r="E140">
            <v>6807675</v>
          </cell>
          <cell r="F140">
            <v>1656432.29</v>
          </cell>
          <cell r="G140">
            <v>0</v>
          </cell>
          <cell r="H140">
            <v>1008053.98</v>
          </cell>
        </row>
        <row r="141">
          <cell r="A141">
            <v>61000200</v>
          </cell>
          <cell r="B141" t="str">
            <v>Stock Transfer Control Account</v>
          </cell>
          <cell r="C141">
            <v>0</v>
          </cell>
          <cell r="D141">
            <v>18602.29</v>
          </cell>
          <cell r="E141">
            <v>18602.29</v>
          </cell>
          <cell r="F141">
            <v>0</v>
          </cell>
          <cell r="G141">
            <v>0</v>
          </cell>
          <cell r="H141">
            <v>0</v>
          </cell>
        </row>
        <row r="142">
          <cell r="A142">
            <v>61000400</v>
          </cell>
          <cell r="B142" t="str">
            <v>Control Account Haulage Income</v>
          </cell>
          <cell r="C142">
            <v>0</v>
          </cell>
          <cell r="D142">
            <v>2880483</v>
          </cell>
          <cell r="E142">
            <v>2880483</v>
          </cell>
          <cell r="F142">
            <v>0</v>
          </cell>
          <cell r="G142">
            <v>0</v>
          </cell>
          <cell r="H142">
            <v>0</v>
          </cell>
        </row>
        <row r="143">
          <cell r="A143">
            <v>61000500</v>
          </cell>
          <cell r="B143" t="str">
            <v>Control Account for Pumping</v>
          </cell>
          <cell r="C143">
            <v>0</v>
          </cell>
          <cell r="D143">
            <v>251551</v>
          </cell>
          <cell r="E143">
            <v>251551</v>
          </cell>
          <cell r="F143">
            <v>0</v>
          </cell>
          <cell r="G143">
            <v>0</v>
          </cell>
          <cell r="H143">
            <v>0</v>
          </cell>
        </row>
        <row r="144">
          <cell r="A144">
            <v>62000000</v>
          </cell>
          <cell r="B144" t="str">
            <v>Inter branch Clearing account</v>
          </cell>
          <cell r="C144">
            <v>0</v>
          </cell>
          <cell r="D144">
            <v>5838226</v>
          </cell>
          <cell r="E144">
            <v>5838226</v>
          </cell>
          <cell r="F144">
            <v>0</v>
          </cell>
          <cell r="G144">
            <v>0</v>
          </cell>
          <cell r="H144">
            <v>0</v>
          </cell>
        </row>
        <row r="145">
          <cell r="B145" t="str">
            <v>Total</v>
          </cell>
          <cell r="D145">
            <v>0</v>
          </cell>
          <cell r="E145">
            <v>128279560.58</v>
          </cell>
          <cell r="F145">
            <v>128279560.58</v>
          </cell>
          <cell r="G145">
            <v>0</v>
          </cell>
          <cell r="H145">
            <v>0</v>
          </cell>
        </row>
      </sheetData>
      <sheetData sheetId="27" refreshError="1">
        <row r="1">
          <cell r="A1" t="str">
            <v>RMC Readymix (I) Pvt. Ltd.,</v>
          </cell>
          <cell r="B1" t="str">
            <v>Trial balance</v>
          </cell>
          <cell r="C1">
            <v>39970</v>
          </cell>
          <cell r="D1">
            <v>0.44511574074074073</v>
          </cell>
          <cell r="E1" t="str">
            <v>Page 1</v>
          </cell>
          <cell r="F1" t="str">
            <v>Trivandrum</v>
          </cell>
        </row>
        <row r="2">
          <cell r="A2" t="str">
            <v>Period</v>
          </cell>
          <cell r="B2">
            <v>39904</v>
          </cell>
          <cell r="C2">
            <v>39964</v>
          </cell>
        </row>
        <row r="3">
          <cell r="A3" t="str">
            <v>Ledger account</v>
          </cell>
          <cell r="B3" t="str">
            <v>Account name</v>
          </cell>
          <cell r="C3" t="str">
            <v>Opening balance</v>
          </cell>
          <cell r="D3" t="str">
            <v>Debit</v>
          </cell>
          <cell r="E3" t="str">
            <v>Credit</v>
          </cell>
          <cell r="F3" t="str">
            <v>Net difference</v>
          </cell>
          <cell r="G3" t="str">
            <v>Closing transactions</v>
          </cell>
          <cell r="H3" t="str">
            <v>Closing balance</v>
          </cell>
        </row>
        <row r="4">
          <cell r="A4">
            <v>11015010</v>
          </cell>
          <cell r="B4" t="str">
            <v>Buildings</v>
          </cell>
          <cell r="C4">
            <v>15598625.060000001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15598625.060000001</v>
          </cell>
        </row>
        <row r="5">
          <cell r="A5">
            <v>11025010</v>
          </cell>
          <cell r="B5" t="str">
            <v>Plant and Machinery</v>
          </cell>
          <cell r="C5">
            <v>22338173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22338173</v>
          </cell>
        </row>
        <row r="6">
          <cell r="A6">
            <v>11030010</v>
          </cell>
          <cell r="B6" t="str">
            <v>Electrical Installations</v>
          </cell>
          <cell r="C6">
            <v>1059556.01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1059556.01</v>
          </cell>
        </row>
        <row r="7">
          <cell r="A7">
            <v>11035010</v>
          </cell>
          <cell r="B7" t="str">
            <v>Furniture &amp; Fixtures</v>
          </cell>
          <cell r="C7">
            <v>3378641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3378641</v>
          </cell>
        </row>
        <row r="8">
          <cell r="A8">
            <v>11040010</v>
          </cell>
          <cell r="B8" t="str">
            <v>Office &amp; Electrical Appliances</v>
          </cell>
          <cell r="C8">
            <v>267185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267185</v>
          </cell>
        </row>
        <row r="9">
          <cell r="A9">
            <v>11045010</v>
          </cell>
          <cell r="B9" t="str">
            <v>Truck Mixers, Loaders &amp; Truck Dumpers</v>
          </cell>
          <cell r="C9">
            <v>2545548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2545548</v>
          </cell>
        </row>
        <row r="10">
          <cell r="A10">
            <v>11060010</v>
          </cell>
          <cell r="B10" t="str">
            <v>Capital W.I.P</v>
          </cell>
          <cell r="C10">
            <v>328725.52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328725.52</v>
          </cell>
        </row>
        <row r="11">
          <cell r="A11">
            <v>13005010</v>
          </cell>
          <cell r="B11" t="str">
            <v>Stores and spare  Local</v>
          </cell>
          <cell r="C11">
            <v>75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75</v>
          </cell>
        </row>
        <row r="12">
          <cell r="A12">
            <v>13015010</v>
          </cell>
          <cell r="B12" t="str">
            <v>Balance Sheet Stock of Raw material - RMC</v>
          </cell>
          <cell r="C12">
            <v>1434043.38</v>
          </cell>
          <cell r="D12">
            <v>966556.11</v>
          </cell>
          <cell r="E12">
            <v>1434043.38</v>
          </cell>
          <cell r="F12">
            <v>-467487.27</v>
          </cell>
          <cell r="G12">
            <v>0</v>
          </cell>
          <cell r="H12">
            <v>966556.11</v>
          </cell>
        </row>
        <row r="13">
          <cell r="A13">
            <v>13020010</v>
          </cell>
          <cell r="B13" t="str">
            <v>Sundry Debtors Account</v>
          </cell>
          <cell r="C13">
            <v>7105378</v>
          </cell>
          <cell r="D13">
            <v>20818201</v>
          </cell>
          <cell r="E13">
            <v>18657745</v>
          </cell>
          <cell r="F13">
            <v>2160456</v>
          </cell>
          <cell r="G13">
            <v>0</v>
          </cell>
          <cell r="H13">
            <v>9265834</v>
          </cell>
        </row>
        <row r="14">
          <cell r="A14">
            <v>13025010</v>
          </cell>
          <cell r="B14" t="str">
            <v>Cash In Hand</v>
          </cell>
          <cell r="C14">
            <v>21239.5</v>
          </cell>
          <cell r="D14">
            <v>154675</v>
          </cell>
          <cell r="E14">
            <v>154131</v>
          </cell>
          <cell r="F14">
            <v>544</v>
          </cell>
          <cell r="G14">
            <v>0</v>
          </cell>
          <cell r="H14">
            <v>21783.5</v>
          </cell>
        </row>
        <row r="15">
          <cell r="A15">
            <v>13035010</v>
          </cell>
          <cell r="B15" t="str">
            <v>Bank Account</v>
          </cell>
          <cell r="C15">
            <v>121243.61</v>
          </cell>
          <cell r="D15">
            <v>18597437</v>
          </cell>
          <cell r="E15">
            <v>26771924.75</v>
          </cell>
          <cell r="F15">
            <v>-8174487.75</v>
          </cell>
          <cell r="G15">
            <v>0</v>
          </cell>
          <cell r="H15">
            <v>-8053244.1399999997</v>
          </cell>
        </row>
        <row r="16">
          <cell r="A16">
            <v>13045020</v>
          </cell>
          <cell r="B16" t="str">
            <v>Loans and advances to employees</v>
          </cell>
          <cell r="C16">
            <v>-73924.87</v>
          </cell>
          <cell r="D16">
            <v>152457.87</v>
          </cell>
          <cell r="E16">
            <v>86566</v>
          </cell>
          <cell r="F16">
            <v>65891.87</v>
          </cell>
          <cell r="G16">
            <v>0</v>
          </cell>
          <cell r="H16">
            <v>-8033</v>
          </cell>
        </row>
        <row r="17">
          <cell r="A17">
            <v>13055020</v>
          </cell>
          <cell r="B17" t="str">
            <v>Prepaid Expenses</v>
          </cell>
          <cell r="C17">
            <v>7820</v>
          </cell>
          <cell r="D17">
            <v>374807</v>
          </cell>
          <cell r="E17">
            <v>66249</v>
          </cell>
          <cell r="F17">
            <v>308558</v>
          </cell>
          <cell r="G17">
            <v>0</v>
          </cell>
          <cell r="H17">
            <v>316378</v>
          </cell>
        </row>
        <row r="18">
          <cell r="A18">
            <v>13055060</v>
          </cell>
          <cell r="B18" t="str">
            <v>VAT Credit Receivable (Inputs)</v>
          </cell>
          <cell r="C18">
            <v>336349.12</v>
          </cell>
          <cell r="D18">
            <v>631371</v>
          </cell>
          <cell r="E18">
            <v>580320.17000000004</v>
          </cell>
          <cell r="F18">
            <v>51050.83</v>
          </cell>
          <cell r="G18">
            <v>0</v>
          </cell>
          <cell r="H18">
            <v>387399.95</v>
          </cell>
        </row>
        <row r="19">
          <cell r="A19">
            <v>13055081</v>
          </cell>
          <cell r="B19" t="str">
            <v>CESS ON VAT Purchases</v>
          </cell>
          <cell r="C19">
            <v>3367.82</v>
          </cell>
          <cell r="D19">
            <v>6308</v>
          </cell>
          <cell r="E19">
            <v>5803.12</v>
          </cell>
          <cell r="F19">
            <v>504.88</v>
          </cell>
          <cell r="G19">
            <v>0</v>
          </cell>
          <cell r="H19">
            <v>3872.7</v>
          </cell>
        </row>
        <row r="20">
          <cell r="A20">
            <v>25005010</v>
          </cell>
          <cell r="B20" t="str">
            <v>Creditors Control</v>
          </cell>
          <cell r="C20">
            <v>-14135459.720000001</v>
          </cell>
          <cell r="D20">
            <v>23319298.899999999</v>
          </cell>
          <cell r="E20">
            <v>13875637.92</v>
          </cell>
          <cell r="F20">
            <v>9443660.9800000004</v>
          </cell>
          <cell r="G20">
            <v>0</v>
          </cell>
          <cell r="H20">
            <v>-4691798.74</v>
          </cell>
        </row>
        <row r="21">
          <cell r="A21">
            <v>25005050</v>
          </cell>
          <cell r="B21" t="str">
            <v>Creditors liability for material received but bill not recei</v>
          </cell>
          <cell r="C21">
            <v>-60.98</v>
          </cell>
          <cell r="D21">
            <v>11230887.529999999</v>
          </cell>
          <cell r="E21">
            <v>13395797.369999999</v>
          </cell>
          <cell r="F21">
            <v>-2164909.84</v>
          </cell>
          <cell r="G21">
            <v>0</v>
          </cell>
          <cell r="H21">
            <v>-2164970.8199999998</v>
          </cell>
        </row>
        <row r="22">
          <cell r="A22">
            <v>25010060</v>
          </cell>
          <cell r="B22" t="str">
            <v>T.D.S.payable account</v>
          </cell>
          <cell r="C22">
            <v>-170601.08</v>
          </cell>
          <cell r="D22">
            <v>260763</v>
          </cell>
          <cell r="E22">
            <v>178678</v>
          </cell>
          <cell r="F22">
            <v>82085</v>
          </cell>
          <cell r="G22">
            <v>0</v>
          </cell>
          <cell r="H22">
            <v>-88516.08</v>
          </cell>
        </row>
        <row r="23">
          <cell r="A23">
            <v>25010120</v>
          </cell>
          <cell r="B23" t="str">
            <v>Service Tax Payable</v>
          </cell>
          <cell r="C23">
            <v>4.6100000000000003</v>
          </cell>
          <cell r="D23">
            <v>11196</v>
          </cell>
          <cell r="E23">
            <v>18652.84</v>
          </cell>
          <cell r="F23">
            <v>-7456.84</v>
          </cell>
          <cell r="G23">
            <v>0</v>
          </cell>
          <cell r="H23">
            <v>-7452.23</v>
          </cell>
        </row>
        <row r="24">
          <cell r="A24">
            <v>25010190</v>
          </cell>
          <cell r="B24" t="str">
            <v>VAT  Payable account</v>
          </cell>
          <cell r="C24">
            <v>-1004523.14</v>
          </cell>
          <cell r="D24">
            <v>2001422.45</v>
          </cell>
          <cell r="E24">
            <v>2120514</v>
          </cell>
          <cell r="F24">
            <v>-119091.55</v>
          </cell>
          <cell r="G24">
            <v>0</v>
          </cell>
          <cell r="H24">
            <v>-1123614.69</v>
          </cell>
        </row>
        <row r="25">
          <cell r="A25">
            <v>25010198</v>
          </cell>
          <cell r="B25" t="str">
            <v>CESS ON VAT Payable</v>
          </cell>
          <cell r="C25">
            <v>-10068.9</v>
          </cell>
          <cell r="D25">
            <v>20230.84</v>
          </cell>
          <cell r="E25">
            <v>21569</v>
          </cell>
          <cell r="F25">
            <v>-1338.16</v>
          </cell>
          <cell r="G25">
            <v>0</v>
          </cell>
          <cell r="H25">
            <v>-11407.06</v>
          </cell>
        </row>
        <row r="26">
          <cell r="A26">
            <v>25010200</v>
          </cell>
          <cell r="B26" t="str">
            <v>Provision for Expenses in MIS</v>
          </cell>
          <cell r="C26">
            <v>0</v>
          </cell>
          <cell r="D26">
            <v>15000</v>
          </cell>
          <cell r="E26">
            <v>71774</v>
          </cell>
          <cell r="F26">
            <v>-56774</v>
          </cell>
          <cell r="G26">
            <v>0</v>
          </cell>
          <cell r="H26">
            <v>-56774</v>
          </cell>
        </row>
        <row r="27">
          <cell r="A27">
            <v>26015010</v>
          </cell>
          <cell r="B27" t="str">
            <v>Prov For Dep.-  Buildings</v>
          </cell>
          <cell r="C27">
            <v>-222327</v>
          </cell>
          <cell r="D27">
            <v>0</v>
          </cell>
          <cell r="E27">
            <v>68010</v>
          </cell>
          <cell r="F27">
            <v>-68010</v>
          </cell>
          <cell r="G27">
            <v>0</v>
          </cell>
          <cell r="H27">
            <v>-290337</v>
          </cell>
        </row>
        <row r="28">
          <cell r="A28">
            <v>26025010</v>
          </cell>
          <cell r="B28" t="str">
            <v>Provision for Depreciation Plant &amp; Machinery</v>
          </cell>
          <cell r="C28">
            <v>-2124992</v>
          </cell>
          <cell r="D28">
            <v>0</v>
          </cell>
          <cell r="E28">
            <v>353041.2</v>
          </cell>
          <cell r="F28">
            <v>-353041.2</v>
          </cell>
          <cell r="G28">
            <v>0</v>
          </cell>
          <cell r="H28">
            <v>-2478033.2000000002</v>
          </cell>
        </row>
        <row r="29">
          <cell r="A29">
            <v>26030010</v>
          </cell>
          <cell r="B29" t="str">
            <v>Provision For Dep.-Electrical Installations</v>
          </cell>
          <cell r="C29">
            <v>-84528</v>
          </cell>
          <cell r="D29">
            <v>0</v>
          </cell>
          <cell r="E29">
            <v>17550</v>
          </cell>
          <cell r="F29">
            <v>-17550</v>
          </cell>
          <cell r="G29">
            <v>0</v>
          </cell>
          <cell r="H29">
            <v>-102078</v>
          </cell>
        </row>
        <row r="30">
          <cell r="A30">
            <v>26035010</v>
          </cell>
          <cell r="B30" t="str">
            <v>Provision For Dep.-Furniture and Fixtures</v>
          </cell>
          <cell r="C30">
            <v>-176128</v>
          </cell>
          <cell r="D30">
            <v>0</v>
          </cell>
          <cell r="E30">
            <v>56262</v>
          </cell>
          <cell r="F30">
            <v>-56262</v>
          </cell>
          <cell r="G30">
            <v>0</v>
          </cell>
          <cell r="H30">
            <v>-232390</v>
          </cell>
        </row>
        <row r="31">
          <cell r="A31">
            <v>26040010</v>
          </cell>
          <cell r="B31" t="str">
            <v>Provision for Depreciation- Office and Electrical Appliances</v>
          </cell>
          <cell r="C31">
            <v>-39784</v>
          </cell>
          <cell r="D31">
            <v>0</v>
          </cell>
          <cell r="E31">
            <v>7807.1</v>
          </cell>
          <cell r="F31">
            <v>-7807.1</v>
          </cell>
          <cell r="G31">
            <v>0</v>
          </cell>
          <cell r="H31">
            <v>-47591.1</v>
          </cell>
        </row>
        <row r="32">
          <cell r="A32">
            <v>26045010</v>
          </cell>
          <cell r="B32" t="str">
            <v>Provision for Depreciation- Truck Mixers, Loaders &amp; Dumpers</v>
          </cell>
          <cell r="C32">
            <v>-265160</v>
          </cell>
          <cell r="D32">
            <v>0</v>
          </cell>
          <cell r="E32">
            <v>53032</v>
          </cell>
          <cell r="F32">
            <v>-53032</v>
          </cell>
          <cell r="G32">
            <v>0</v>
          </cell>
          <cell r="H32">
            <v>-318192</v>
          </cell>
        </row>
        <row r="33">
          <cell r="A33">
            <v>26055020</v>
          </cell>
          <cell r="B33" t="str">
            <v>Profit &amp; Loss A/c</v>
          </cell>
          <cell r="C33">
            <v>6956771.04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6956771.04</v>
          </cell>
        </row>
        <row r="34">
          <cell r="A34">
            <v>26055050</v>
          </cell>
          <cell r="B34" t="str">
            <v>Provision for Production linked incentive (KRA)</v>
          </cell>
          <cell r="C34">
            <v>0</v>
          </cell>
          <cell r="D34">
            <v>0</v>
          </cell>
          <cell r="E34">
            <v>40500</v>
          </cell>
          <cell r="F34">
            <v>-40500</v>
          </cell>
          <cell r="G34">
            <v>0</v>
          </cell>
          <cell r="H34">
            <v>-40500</v>
          </cell>
        </row>
        <row r="35">
          <cell r="A35">
            <v>31010010</v>
          </cell>
          <cell r="B35" t="str">
            <v>Sales</v>
          </cell>
          <cell r="C35">
            <v>0</v>
          </cell>
          <cell r="D35">
            <v>75234.55</v>
          </cell>
          <cell r="E35">
            <v>16961075.420000002</v>
          </cell>
          <cell r="F35">
            <v>-16885840.870000001</v>
          </cell>
          <cell r="G35">
            <v>0</v>
          </cell>
          <cell r="H35">
            <v>-16885840.870000001</v>
          </cell>
        </row>
        <row r="36">
          <cell r="A36">
            <v>41010010</v>
          </cell>
          <cell r="B36" t="str">
            <v>Opening Stock - Cement</v>
          </cell>
          <cell r="C36">
            <v>0</v>
          </cell>
          <cell r="D36">
            <v>554709.66</v>
          </cell>
          <cell r="E36">
            <v>0</v>
          </cell>
          <cell r="F36">
            <v>554709.66</v>
          </cell>
          <cell r="G36">
            <v>0</v>
          </cell>
          <cell r="H36">
            <v>554709.66</v>
          </cell>
        </row>
        <row r="37">
          <cell r="A37">
            <v>41010020</v>
          </cell>
          <cell r="B37" t="str">
            <v>Opening Stock - Sand</v>
          </cell>
          <cell r="C37">
            <v>0</v>
          </cell>
          <cell r="D37">
            <v>155598.70000000001</v>
          </cell>
          <cell r="E37">
            <v>0</v>
          </cell>
          <cell r="F37">
            <v>155598.70000000001</v>
          </cell>
          <cell r="G37">
            <v>0</v>
          </cell>
          <cell r="H37">
            <v>155598.70000000001</v>
          </cell>
        </row>
        <row r="38">
          <cell r="A38">
            <v>41010030</v>
          </cell>
          <cell r="B38" t="str">
            <v>Opening Stock - CRF</v>
          </cell>
          <cell r="C38">
            <v>0</v>
          </cell>
          <cell r="D38">
            <v>91009</v>
          </cell>
          <cell r="E38">
            <v>0</v>
          </cell>
          <cell r="F38">
            <v>91009</v>
          </cell>
          <cell r="G38">
            <v>0</v>
          </cell>
          <cell r="H38">
            <v>91009</v>
          </cell>
        </row>
        <row r="39">
          <cell r="A39">
            <v>41010040</v>
          </cell>
          <cell r="B39" t="str">
            <v>Opening Stock - RMC Aggregates</v>
          </cell>
          <cell r="C39">
            <v>0</v>
          </cell>
          <cell r="D39">
            <v>157351.04000000001</v>
          </cell>
          <cell r="E39">
            <v>0</v>
          </cell>
          <cell r="F39">
            <v>157351.04000000001</v>
          </cell>
          <cell r="G39">
            <v>0</v>
          </cell>
          <cell r="H39">
            <v>157351.04000000001</v>
          </cell>
        </row>
        <row r="40">
          <cell r="A40">
            <v>41010050</v>
          </cell>
          <cell r="B40" t="str">
            <v>Opening Stock - Admixtures</v>
          </cell>
          <cell r="C40">
            <v>0</v>
          </cell>
          <cell r="D40">
            <v>160384.26</v>
          </cell>
          <cell r="E40">
            <v>0</v>
          </cell>
          <cell r="F40">
            <v>160384.26</v>
          </cell>
          <cell r="G40">
            <v>0</v>
          </cell>
          <cell r="H40">
            <v>160384.26</v>
          </cell>
        </row>
        <row r="41">
          <cell r="A41">
            <v>41010070</v>
          </cell>
          <cell r="B41" t="str">
            <v>Opening Stock - Flyash</v>
          </cell>
          <cell r="C41">
            <v>0</v>
          </cell>
          <cell r="D41">
            <v>48129.34</v>
          </cell>
          <cell r="E41">
            <v>0</v>
          </cell>
          <cell r="F41">
            <v>48129.34</v>
          </cell>
          <cell r="G41">
            <v>0</v>
          </cell>
          <cell r="H41">
            <v>48129.34</v>
          </cell>
        </row>
        <row r="42">
          <cell r="A42">
            <v>41010080</v>
          </cell>
          <cell r="B42" t="str">
            <v>Opening Stock - Diesel</v>
          </cell>
          <cell r="C42">
            <v>0</v>
          </cell>
          <cell r="D42">
            <v>498.37</v>
          </cell>
          <cell r="E42">
            <v>0</v>
          </cell>
          <cell r="F42">
            <v>498.37</v>
          </cell>
          <cell r="G42">
            <v>0</v>
          </cell>
          <cell r="H42">
            <v>498.37</v>
          </cell>
        </row>
        <row r="43">
          <cell r="A43">
            <v>41010110</v>
          </cell>
          <cell r="B43" t="str">
            <v>Opening Stock GGBS</v>
          </cell>
          <cell r="C43">
            <v>0</v>
          </cell>
          <cell r="D43">
            <v>266363.01</v>
          </cell>
          <cell r="E43">
            <v>0</v>
          </cell>
          <cell r="F43">
            <v>266363.01</v>
          </cell>
          <cell r="G43">
            <v>0</v>
          </cell>
          <cell r="H43">
            <v>266363.01</v>
          </cell>
        </row>
        <row r="44">
          <cell r="A44">
            <v>41020010</v>
          </cell>
          <cell r="B44" t="str">
            <v>Raw Material Purchase - Cement</v>
          </cell>
          <cell r="C44">
            <v>0</v>
          </cell>
          <cell r="D44">
            <v>4682951.18</v>
          </cell>
          <cell r="E44">
            <v>5000471.7300000004</v>
          </cell>
          <cell r="F44">
            <v>-317520.55</v>
          </cell>
          <cell r="G44">
            <v>0</v>
          </cell>
          <cell r="H44">
            <v>-317520.55</v>
          </cell>
        </row>
        <row r="45">
          <cell r="A45">
            <v>41020015</v>
          </cell>
          <cell r="B45" t="str">
            <v>Interim account cement received</v>
          </cell>
          <cell r="C45">
            <v>0</v>
          </cell>
          <cell r="D45">
            <v>4662682.16</v>
          </cell>
          <cell r="E45">
            <v>4662682.16</v>
          </cell>
          <cell r="F45">
            <v>0</v>
          </cell>
          <cell r="G45">
            <v>0</v>
          </cell>
          <cell r="H45">
            <v>0</v>
          </cell>
        </row>
        <row r="46">
          <cell r="A46">
            <v>41020020</v>
          </cell>
          <cell r="B46" t="str">
            <v>Cement Consumption account</v>
          </cell>
          <cell r="C46">
            <v>0</v>
          </cell>
          <cell r="D46">
            <v>4951098.08</v>
          </cell>
          <cell r="E46">
            <v>0</v>
          </cell>
          <cell r="F46">
            <v>4951098.08</v>
          </cell>
          <cell r="G46">
            <v>0</v>
          </cell>
          <cell r="H46">
            <v>4951098.08</v>
          </cell>
        </row>
        <row r="47">
          <cell r="A47">
            <v>41020030</v>
          </cell>
          <cell r="B47" t="str">
            <v>Raw Material Purchase - Aggregates</v>
          </cell>
          <cell r="C47">
            <v>0</v>
          </cell>
          <cell r="D47">
            <v>1537384.79</v>
          </cell>
          <cell r="E47">
            <v>2900122.99</v>
          </cell>
          <cell r="F47">
            <v>-1362738.2</v>
          </cell>
          <cell r="G47">
            <v>0</v>
          </cell>
          <cell r="H47">
            <v>-1362738.2</v>
          </cell>
        </row>
        <row r="48">
          <cell r="A48">
            <v>41020035</v>
          </cell>
          <cell r="B48" t="str">
            <v>Interim account Aggregate received</v>
          </cell>
          <cell r="C48">
            <v>0</v>
          </cell>
          <cell r="D48">
            <v>2917915.04</v>
          </cell>
          <cell r="E48">
            <v>1509215.4</v>
          </cell>
          <cell r="F48">
            <v>1408699.64</v>
          </cell>
          <cell r="G48">
            <v>0</v>
          </cell>
          <cell r="H48">
            <v>1408699.64</v>
          </cell>
        </row>
        <row r="49">
          <cell r="A49">
            <v>41020040</v>
          </cell>
          <cell r="B49" t="str">
            <v>Aggregate Consumption account</v>
          </cell>
          <cell r="C49">
            <v>0</v>
          </cell>
          <cell r="D49">
            <v>2879846.1</v>
          </cell>
          <cell r="E49">
            <v>0</v>
          </cell>
          <cell r="F49">
            <v>2879846.1</v>
          </cell>
          <cell r="G49">
            <v>0</v>
          </cell>
          <cell r="H49">
            <v>2879846.1</v>
          </cell>
        </row>
        <row r="50">
          <cell r="A50">
            <v>41020050</v>
          </cell>
          <cell r="B50" t="str">
            <v>Raw Material Purchase - Sand</v>
          </cell>
          <cell r="C50">
            <v>0</v>
          </cell>
          <cell r="D50">
            <v>762899.1</v>
          </cell>
          <cell r="E50">
            <v>724819.19</v>
          </cell>
          <cell r="F50">
            <v>38079.910000000003</v>
          </cell>
          <cell r="G50">
            <v>0</v>
          </cell>
          <cell r="H50">
            <v>38079.910000000003</v>
          </cell>
        </row>
        <row r="51">
          <cell r="A51">
            <v>41020055</v>
          </cell>
          <cell r="B51" t="str">
            <v>Interim account Sand Received</v>
          </cell>
          <cell r="C51">
            <v>0</v>
          </cell>
          <cell r="D51">
            <v>762899.1</v>
          </cell>
          <cell r="E51">
            <v>762899.1</v>
          </cell>
          <cell r="F51">
            <v>0</v>
          </cell>
          <cell r="G51">
            <v>0</v>
          </cell>
          <cell r="H51">
            <v>0</v>
          </cell>
        </row>
        <row r="52">
          <cell r="A52">
            <v>41020060</v>
          </cell>
          <cell r="B52" t="str">
            <v>Sand Consumption account</v>
          </cell>
          <cell r="C52">
            <v>0</v>
          </cell>
          <cell r="D52">
            <v>690260.92</v>
          </cell>
          <cell r="E52">
            <v>0</v>
          </cell>
          <cell r="F52">
            <v>690260.92</v>
          </cell>
          <cell r="G52">
            <v>0</v>
          </cell>
          <cell r="H52">
            <v>690260.92</v>
          </cell>
        </row>
        <row r="53">
          <cell r="A53">
            <v>41020070</v>
          </cell>
          <cell r="B53" t="str">
            <v>Raw Material Purchase - Admixture</v>
          </cell>
          <cell r="C53">
            <v>0</v>
          </cell>
          <cell r="D53">
            <v>466877.2</v>
          </cell>
          <cell r="E53">
            <v>393312.9</v>
          </cell>
          <cell r="F53">
            <v>73564.3</v>
          </cell>
          <cell r="G53">
            <v>0</v>
          </cell>
          <cell r="H53">
            <v>73564.3</v>
          </cell>
        </row>
        <row r="54">
          <cell r="A54">
            <v>41020075</v>
          </cell>
          <cell r="B54" t="str">
            <v>Interim account Admixture received</v>
          </cell>
          <cell r="C54">
            <v>0</v>
          </cell>
          <cell r="D54">
            <v>465610.2</v>
          </cell>
          <cell r="E54">
            <v>465610.2</v>
          </cell>
          <cell r="F54">
            <v>0</v>
          </cell>
          <cell r="G54">
            <v>0</v>
          </cell>
          <cell r="H54">
            <v>0</v>
          </cell>
        </row>
        <row r="55">
          <cell r="A55">
            <v>41020080</v>
          </cell>
          <cell r="B55" t="str">
            <v>Admixture Consumption account</v>
          </cell>
          <cell r="C55">
            <v>0</v>
          </cell>
          <cell r="D55">
            <v>393192.2</v>
          </cell>
          <cell r="E55">
            <v>0</v>
          </cell>
          <cell r="F55">
            <v>393192.2</v>
          </cell>
          <cell r="G55">
            <v>0</v>
          </cell>
          <cell r="H55">
            <v>393192.2</v>
          </cell>
        </row>
        <row r="56">
          <cell r="A56">
            <v>41020090</v>
          </cell>
          <cell r="B56" t="str">
            <v>Raw Material  Purchase - Fly Ash</v>
          </cell>
          <cell r="C56">
            <v>0</v>
          </cell>
          <cell r="D56">
            <v>705315.12</v>
          </cell>
          <cell r="E56">
            <v>818895.53</v>
          </cell>
          <cell r="F56">
            <v>-113580.41</v>
          </cell>
          <cell r="G56">
            <v>0</v>
          </cell>
          <cell r="H56">
            <v>-113580.41</v>
          </cell>
        </row>
        <row r="57">
          <cell r="A57">
            <v>41020095</v>
          </cell>
          <cell r="B57" t="str">
            <v>Interim account fly ash received</v>
          </cell>
          <cell r="C57">
            <v>0</v>
          </cell>
          <cell r="D57">
            <v>770785.85</v>
          </cell>
          <cell r="E57">
            <v>703545.72</v>
          </cell>
          <cell r="F57">
            <v>67240.13</v>
          </cell>
          <cell r="G57">
            <v>0</v>
          </cell>
          <cell r="H57">
            <v>67240.13</v>
          </cell>
        </row>
        <row r="58">
          <cell r="A58">
            <v>41020100</v>
          </cell>
          <cell r="B58" t="str">
            <v>Fly Ash Consumption account</v>
          </cell>
          <cell r="C58">
            <v>0</v>
          </cell>
          <cell r="D58">
            <v>813600.65</v>
          </cell>
          <cell r="E58">
            <v>0</v>
          </cell>
          <cell r="F58">
            <v>813600.65</v>
          </cell>
          <cell r="G58">
            <v>0</v>
          </cell>
          <cell r="H58">
            <v>813600.65</v>
          </cell>
        </row>
        <row r="59">
          <cell r="A59">
            <v>41020110</v>
          </cell>
          <cell r="B59" t="str">
            <v>Raw Material Purchase GGBS</v>
          </cell>
          <cell r="C59">
            <v>0</v>
          </cell>
          <cell r="D59">
            <v>287695.89</v>
          </cell>
          <cell r="E59">
            <v>554049.23</v>
          </cell>
          <cell r="F59">
            <v>-266353.34000000003</v>
          </cell>
          <cell r="G59">
            <v>0</v>
          </cell>
          <cell r="H59">
            <v>-266353.34000000003</v>
          </cell>
        </row>
        <row r="60">
          <cell r="A60">
            <v>41020115</v>
          </cell>
          <cell r="B60" t="str">
            <v>Interim account for GGBS received</v>
          </cell>
          <cell r="C60">
            <v>0</v>
          </cell>
          <cell r="D60">
            <v>225022.2</v>
          </cell>
          <cell r="E60">
            <v>225021.22</v>
          </cell>
          <cell r="F60">
            <v>0.98</v>
          </cell>
          <cell r="G60">
            <v>0</v>
          </cell>
          <cell r="H60">
            <v>0.98</v>
          </cell>
        </row>
        <row r="61">
          <cell r="A61">
            <v>41020120</v>
          </cell>
          <cell r="B61" t="str">
            <v>GGBS Consumption account</v>
          </cell>
          <cell r="C61">
            <v>0</v>
          </cell>
          <cell r="D61">
            <v>554049.23</v>
          </cell>
          <cell r="E61">
            <v>0</v>
          </cell>
          <cell r="F61">
            <v>554049.23</v>
          </cell>
          <cell r="G61">
            <v>0</v>
          </cell>
          <cell r="H61">
            <v>554049.23</v>
          </cell>
        </row>
        <row r="62">
          <cell r="A62">
            <v>41020130</v>
          </cell>
          <cell r="B62" t="str">
            <v>Raw Materials Purchase - CRF</v>
          </cell>
          <cell r="C62">
            <v>0</v>
          </cell>
          <cell r="D62">
            <v>1248216.3799999999</v>
          </cell>
          <cell r="E62">
            <v>1926628.53</v>
          </cell>
          <cell r="F62">
            <v>-678412.15</v>
          </cell>
          <cell r="G62">
            <v>0</v>
          </cell>
          <cell r="H62">
            <v>-678412.15</v>
          </cell>
        </row>
        <row r="63">
          <cell r="A63">
            <v>41020135</v>
          </cell>
          <cell r="B63" t="str">
            <v>Interim account for CRF received</v>
          </cell>
          <cell r="C63">
            <v>0</v>
          </cell>
          <cell r="D63">
            <v>1924918.2</v>
          </cell>
          <cell r="E63">
            <v>1242226.8</v>
          </cell>
          <cell r="F63">
            <v>682691.4</v>
          </cell>
          <cell r="G63">
            <v>0</v>
          </cell>
          <cell r="H63">
            <v>682691.4</v>
          </cell>
        </row>
        <row r="64">
          <cell r="A64">
            <v>41020140</v>
          </cell>
          <cell r="B64" t="str">
            <v>CRF Consumption account</v>
          </cell>
          <cell r="C64">
            <v>0</v>
          </cell>
          <cell r="D64">
            <v>1899134.2</v>
          </cell>
          <cell r="E64">
            <v>0</v>
          </cell>
          <cell r="F64">
            <v>1899134.2</v>
          </cell>
          <cell r="G64">
            <v>0</v>
          </cell>
          <cell r="H64">
            <v>1899134.2</v>
          </cell>
        </row>
        <row r="65">
          <cell r="A65">
            <v>41020150</v>
          </cell>
          <cell r="B65" t="str">
            <v>Loss/ gain on Stock</v>
          </cell>
          <cell r="C65">
            <v>0</v>
          </cell>
          <cell r="D65">
            <v>137118.72</v>
          </cell>
          <cell r="E65">
            <v>120139.06</v>
          </cell>
          <cell r="F65">
            <v>16979.66</v>
          </cell>
          <cell r="G65">
            <v>0</v>
          </cell>
          <cell r="H65">
            <v>16979.66</v>
          </cell>
        </row>
        <row r="66">
          <cell r="A66">
            <v>41020195</v>
          </cell>
          <cell r="B66" t="str">
            <v>Purchase of Diesel</v>
          </cell>
          <cell r="C66">
            <v>0</v>
          </cell>
          <cell r="D66">
            <v>916640.17</v>
          </cell>
          <cell r="E66">
            <v>915799.15</v>
          </cell>
          <cell r="F66">
            <v>841.02</v>
          </cell>
          <cell r="G66">
            <v>0</v>
          </cell>
          <cell r="H66">
            <v>841.02</v>
          </cell>
        </row>
        <row r="67">
          <cell r="A67">
            <v>41020200</v>
          </cell>
          <cell r="B67" t="str">
            <v>Interim account for diesel received</v>
          </cell>
          <cell r="C67">
            <v>0</v>
          </cell>
          <cell r="D67">
            <v>916640.17</v>
          </cell>
          <cell r="E67">
            <v>916640.17</v>
          </cell>
          <cell r="F67">
            <v>0</v>
          </cell>
          <cell r="G67">
            <v>0</v>
          </cell>
          <cell r="H67">
            <v>0</v>
          </cell>
        </row>
        <row r="68">
          <cell r="A68">
            <v>41020205</v>
          </cell>
          <cell r="B68" t="str">
            <v>Diesel Consumption account</v>
          </cell>
          <cell r="C68">
            <v>0</v>
          </cell>
          <cell r="D68">
            <v>900557.65</v>
          </cell>
          <cell r="E68">
            <v>900557.65</v>
          </cell>
          <cell r="F68">
            <v>0</v>
          </cell>
          <cell r="G68">
            <v>0</v>
          </cell>
          <cell r="H68">
            <v>0</v>
          </cell>
        </row>
        <row r="69">
          <cell r="A69">
            <v>41050010</v>
          </cell>
          <cell r="B69" t="str">
            <v>Closing Stock - Cement</v>
          </cell>
          <cell r="C69">
            <v>0</v>
          </cell>
          <cell r="D69">
            <v>0</v>
          </cell>
          <cell r="E69">
            <v>237189.11</v>
          </cell>
          <cell r="F69">
            <v>-237189.11</v>
          </cell>
          <cell r="G69">
            <v>0</v>
          </cell>
          <cell r="H69">
            <v>-237189.11</v>
          </cell>
        </row>
        <row r="70">
          <cell r="A70">
            <v>41050020</v>
          </cell>
          <cell r="B70" t="str">
            <v>Closing Stock - Sand</v>
          </cell>
          <cell r="C70">
            <v>0</v>
          </cell>
          <cell r="D70">
            <v>0</v>
          </cell>
          <cell r="E70">
            <v>193678.61</v>
          </cell>
          <cell r="F70">
            <v>-193678.61</v>
          </cell>
          <cell r="G70">
            <v>0</v>
          </cell>
          <cell r="H70">
            <v>-193678.61</v>
          </cell>
        </row>
        <row r="71">
          <cell r="A71">
            <v>41050030</v>
          </cell>
          <cell r="B71" t="str">
            <v>Closing Stock - CRF</v>
          </cell>
          <cell r="C71">
            <v>0</v>
          </cell>
          <cell r="D71">
            <v>0</v>
          </cell>
          <cell r="E71">
            <v>95288.25</v>
          </cell>
          <cell r="F71">
            <v>-95288.25</v>
          </cell>
          <cell r="G71">
            <v>0</v>
          </cell>
          <cell r="H71">
            <v>-95288.25</v>
          </cell>
        </row>
        <row r="72">
          <cell r="A72">
            <v>41050040</v>
          </cell>
          <cell r="B72" t="str">
            <v>Closing Stock - RMC Aggregates</v>
          </cell>
          <cell r="C72">
            <v>0</v>
          </cell>
          <cell r="D72">
            <v>0</v>
          </cell>
          <cell r="E72">
            <v>203312.48</v>
          </cell>
          <cell r="F72">
            <v>-203312.48</v>
          </cell>
          <cell r="G72">
            <v>0</v>
          </cell>
          <cell r="H72">
            <v>-203312.48</v>
          </cell>
        </row>
        <row r="73">
          <cell r="A73">
            <v>41050050</v>
          </cell>
          <cell r="B73" t="str">
            <v>Closing Stock - Admixtures</v>
          </cell>
          <cell r="C73">
            <v>0</v>
          </cell>
          <cell r="D73">
            <v>0</v>
          </cell>
          <cell r="E73">
            <v>233948.56</v>
          </cell>
          <cell r="F73">
            <v>-233948.56</v>
          </cell>
          <cell r="G73">
            <v>0</v>
          </cell>
          <cell r="H73">
            <v>-233948.56</v>
          </cell>
        </row>
        <row r="74">
          <cell r="A74">
            <v>41050070</v>
          </cell>
          <cell r="B74" t="str">
            <v>Closing Stock - Flyash</v>
          </cell>
          <cell r="C74">
            <v>0</v>
          </cell>
          <cell r="D74">
            <v>0</v>
          </cell>
          <cell r="E74">
            <v>1789.06</v>
          </cell>
          <cell r="F74">
            <v>-1789.06</v>
          </cell>
          <cell r="G74">
            <v>0</v>
          </cell>
          <cell r="H74">
            <v>-1789.06</v>
          </cell>
        </row>
        <row r="75">
          <cell r="A75">
            <v>41050080</v>
          </cell>
          <cell r="B75" t="str">
            <v>Closing Stock - Diesel</v>
          </cell>
          <cell r="C75">
            <v>0</v>
          </cell>
          <cell r="D75">
            <v>0</v>
          </cell>
          <cell r="E75">
            <v>1339.39</v>
          </cell>
          <cell r="F75">
            <v>-1339.39</v>
          </cell>
          <cell r="G75">
            <v>0</v>
          </cell>
          <cell r="H75">
            <v>-1339.39</v>
          </cell>
        </row>
        <row r="76">
          <cell r="A76">
            <v>41050110</v>
          </cell>
          <cell r="B76" t="str">
            <v>Closing Stock GGBS</v>
          </cell>
          <cell r="C76">
            <v>0</v>
          </cell>
          <cell r="D76">
            <v>0</v>
          </cell>
          <cell r="E76">
            <v>10.65</v>
          </cell>
          <cell r="F76">
            <v>-10.65</v>
          </cell>
          <cell r="G76">
            <v>0</v>
          </cell>
          <cell r="H76">
            <v>-10.65</v>
          </cell>
        </row>
        <row r="77">
          <cell r="A77">
            <v>42010010</v>
          </cell>
          <cell r="B77" t="str">
            <v>Salary - Basic</v>
          </cell>
          <cell r="C77">
            <v>0</v>
          </cell>
          <cell r="D77">
            <v>359000</v>
          </cell>
          <cell r="E77">
            <v>153800</v>
          </cell>
          <cell r="F77">
            <v>205200</v>
          </cell>
          <cell r="G77">
            <v>0</v>
          </cell>
          <cell r="H77">
            <v>205200</v>
          </cell>
        </row>
        <row r="78">
          <cell r="A78">
            <v>42010020</v>
          </cell>
          <cell r="B78" t="str">
            <v>House Rent Allowance</v>
          </cell>
          <cell r="C78">
            <v>0</v>
          </cell>
          <cell r="D78">
            <v>179500</v>
          </cell>
          <cell r="E78">
            <v>76900</v>
          </cell>
          <cell r="F78">
            <v>102600</v>
          </cell>
          <cell r="G78">
            <v>0</v>
          </cell>
          <cell r="H78">
            <v>102600</v>
          </cell>
        </row>
        <row r="79">
          <cell r="A79">
            <v>42010030</v>
          </cell>
          <cell r="B79" t="str">
            <v>Education Allowance</v>
          </cell>
          <cell r="C79">
            <v>0</v>
          </cell>
          <cell r="D79">
            <v>25000</v>
          </cell>
          <cell r="E79">
            <v>11400</v>
          </cell>
          <cell r="F79">
            <v>13600</v>
          </cell>
          <cell r="G79">
            <v>0</v>
          </cell>
          <cell r="H79">
            <v>13600</v>
          </cell>
        </row>
        <row r="80">
          <cell r="A80">
            <v>42010040</v>
          </cell>
          <cell r="B80" t="str">
            <v>Special Allowance</v>
          </cell>
          <cell r="C80">
            <v>0</v>
          </cell>
          <cell r="D80">
            <v>60657</v>
          </cell>
          <cell r="E80">
            <v>25576</v>
          </cell>
          <cell r="F80">
            <v>35081</v>
          </cell>
          <cell r="G80">
            <v>0</v>
          </cell>
          <cell r="H80">
            <v>35081</v>
          </cell>
        </row>
        <row r="81">
          <cell r="A81">
            <v>42010050</v>
          </cell>
          <cell r="B81" t="str">
            <v>Medical Expense Reimbursement</v>
          </cell>
          <cell r="C81">
            <v>0</v>
          </cell>
          <cell r="D81">
            <v>51101</v>
          </cell>
          <cell r="E81">
            <v>30172</v>
          </cell>
          <cell r="F81">
            <v>20929</v>
          </cell>
          <cell r="G81">
            <v>0</v>
          </cell>
          <cell r="H81">
            <v>20929</v>
          </cell>
        </row>
        <row r="82">
          <cell r="A82">
            <v>42010090</v>
          </cell>
          <cell r="B82" t="str">
            <v>Overtime Payment</v>
          </cell>
          <cell r="C82">
            <v>0</v>
          </cell>
          <cell r="D82">
            <v>2133</v>
          </cell>
          <cell r="E82">
            <v>0</v>
          </cell>
          <cell r="F82">
            <v>2133</v>
          </cell>
          <cell r="G82">
            <v>0</v>
          </cell>
          <cell r="H82">
            <v>2133</v>
          </cell>
        </row>
        <row r="83">
          <cell r="A83">
            <v>42010100</v>
          </cell>
          <cell r="B83" t="str">
            <v>Transport Allowance</v>
          </cell>
          <cell r="C83">
            <v>0</v>
          </cell>
          <cell r="D83">
            <v>47200</v>
          </cell>
          <cell r="E83">
            <v>21200</v>
          </cell>
          <cell r="F83">
            <v>26000</v>
          </cell>
          <cell r="G83">
            <v>0</v>
          </cell>
          <cell r="H83">
            <v>26000</v>
          </cell>
        </row>
        <row r="84">
          <cell r="A84">
            <v>42010110</v>
          </cell>
          <cell r="B84" t="str">
            <v>Lunch Allowance</v>
          </cell>
          <cell r="C84">
            <v>0</v>
          </cell>
          <cell r="D84">
            <v>250</v>
          </cell>
          <cell r="E84">
            <v>0</v>
          </cell>
          <cell r="F84">
            <v>250</v>
          </cell>
          <cell r="G84">
            <v>0</v>
          </cell>
          <cell r="H84">
            <v>250</v>
          </cell>
        </row>
        <row r="85">
          <cell r="A85">
            <v>42010130</v>
          </cell>
          <cell r="B85" t="str">
            <v>Production Linked Incentive</v>
          </cell>
          <cell r="C85">
            <v>0</v>
          </cell>
          <cell r="D85">
            <v>40500</v>
          </cell>
          <cell r="E85">
            <v>0</v>
          </cell>
          <cell r="F85">
            <v>40500</v>
          </cell>
          <cell r="G85">
            <v>0</v>
          </cell>
          <cell r="H85">
            <v>40500</v>
          </cell>
        </row>
        <row r="86">
          <cell r="A86">
            <v>42010220</v>
          </cell>
          <cell r="B86" t="str">
            <v>Adhoc Allowance</v>
          </cell>
          <cell r="C86">
            <v>0</v>
          </cell>
          <cell r="D86">
            <v>19445</v>
          </cell>
          <cell r="E86">
            <v>6635</v>
          </cell>
          <cell r="F86">
            <v>12810</v>
          </cell>
          <cell r="G86">
            <v>0</v>
          </cell>
          <cell r="H86">
            <v>12810</v>
          </cell>
        </row>
        <row r="87">
          <cell r="A87">
            <v>42010230</v>
          </cell>
          <cell r="B87" t="str">
            <v>Car Allowance</v>
          </cell>
          <cell r="C87">
            <v>0</v>
          </cell>
          <cell r="D87">
            <v>36000</v>
          </cell>
          <cell r="E87">
            <v>12000</v>
          </cell>
          <cell r="F87">
            <v>24000</v>
          </cell>
          <cell r="G87">
            <v>0</v>
          </cell>
          <cell r="H87">
            <v>24000</v>
          </cell>
        </row>
        <row r="88">
          <cell r="A88">
            <v>42010240</v>
          </cell>
          <cell r="B88" t="str">
            <v>Driver Allowance</v>
          </cell>
          <cell r="C88">
            <v>0</v>
          </cell>
          <cell r="D88">
            <v>18000</v>
          </cell>
          <cell r="E88">
            <v>6000</v>
          </cell>
          <cell r="F88">
            <v>12000</v>
          </cell>
          <cell r="G88">
            <v>0</v>
          </cell>
          <cell r="H88">
            <v>12000</v>
          </cell>
        </row>
        <row r="89">
          <cell r="A89">
            <v>42020010</v>
          </cell>
          <cell r="B89" t="str">
            <v>Provident Funds - Employer's Conribution</v>
          </cell>
          <cell r="C89">
            <v>0</v>
          </cell>
          <cell r="D89">
            <v>13108</v>
          </cell>
          <cell r="E89">
            <v>6554</v>
          </cell>
          <cell r="F89">
            <v>6554</v>
          </cell>
          <cell r="G89">
            <v>0</v>
          </cell>
          <cell r="H89">
            <v>6554</v>
          </cell>
        </row>
        <row r="90">
          <cell r="A90">
            <v>42020020</v>
          </cell>
          <cell r="B90" t="str">
            <v>Pension Fund - Employer's Contribution</v>
          </cell>
          <cell r="C90">
            <v>0</v>
          </cell>
          <cell r="D90">
            <v>16004</v>
          </cell>
          <cell r="E90">
            <v>8002</v>
          </cell>
          <cell r="F90">
            <v>8002</v>
          </cell>
          <cell r="G90">
            <v>0</v>
          </cell>
          <cell r="H90">
            <v>8002</v>
          </cell>
        </row>
        <row r="91">
          <cell r="A91">
            <v>42030010</v>
          </cell>
          <cell r="B91" t="str">
            <v>Purchases of Safety &amp; Welfare Items - FBT</v>
          </cell>
          <cell r="C91">
            <v>0</v>
          </cell>
          <cell r="D91">
            <v>41055</v>
          </cell>
          <cell r="E91">
            <v>0</v>
          </cell>
          <cell r="F91">
            <v>41055</v>
          </cell>
          <cell r="G91">
            <v>0</v>
          </cell>
          <cell r="H91">
            <v>41055</v>
          </cell>
        </row>
        <row r="92">
          <cell r="A92">
            <v>42030020</v>
          </cell>
          <cell r="B92" t="str">
            <v>Purchases of Safety &amp; Welfare Items</v>
          </cell>
          <cell r="C92">
            <v>0</v>
          </cell>
          <cell r="D92">
            <v>100</v>
          </cell>
          <cell r="E92">
            <v>0</v>
          </cell>
          <cell r="F92">
            <v>100</v>
          </cell>
          <cell r="G92">
            <v>0</v>
          </cell>
          <cell r="H92">
            <v>100</v>
          </cell>
        </row>
        <row r="93">
          <cell r="A93">
            <v>42030060</v>
          </cell>
          <cell r="B93" t="str">
            <v>Food &amp; Beverage Exps - FBT</v>
          </cell>
          <cell r="C93">
            <v>0</v>
          </cell>
          <cell r="D93">
            <v>2407</v>
          </cell>
          <cell r="E93">
            <v>0</v>
          </cell>
          <cell r="F93">
            <v>2407</v>
          </cell>
          <cell r="G93">
            <v>0</v>
          </cell>
          <cell r="H93">
            <v>2407</v>
          </cell>
        </row>
        <row r="94">
          <cell r="A94">
            <v>42030070</v>
          </cell>
          <cell r="B94" t="str">
            <v>Food &amp; Beverage Exps</v>
          </cell>
          <cell r="C94">
            <v>0</v>
          </cell>
          <cell r="D94">
            <v>8540</v>
          </cell>
          <cell r="E94">
            <v>0</v>
          </cell>
          <cell r="F94">
            <v>8540</v>
          </cell>
          <cell r="G94">
            <v>0</v>
          </cell>
          <cell r="H94">
            <v>8540</v>
          </cell>
        </row>
        <row r="95">
          <cell r="A95">
            <v>43001010</v>
          </cell>
          <cell r="B95" t="str">
            <v>Electricity Charges</v>
          </cell>
          <cell r="C95">
            <v>0</v>
          </cell>
          <cell r="D95">
            <v>62211</v>
          </cell>
          <cell r="E95">
            <v>15000</v>
          </cell>
          <cell r="F95">
            <v>47211</v>
          </cell>
          <cell r="G95">
            <v>0</v>
          </cell>
          <cell r="H95">
            <v>47211</v>
          </cell>
        </row>
        <row r="96">
          <cell r="A96">
            <v>43001020</v>
          </cell>
          <cell r="B96" t="str">
            <v>Water Charges</v>
          </cell>
          <cell r="C96">
            <v>0</v>
          </cell>
          <cell r="D96">
            <v>222750</v>
          </cell>
          <cell r="E96">
            <v>0</v>
          </cell>
          <cell r="F96">
            <v>222750</v>
          </cell>
          <cell r="G96">
            <v>0</v>
          </cell>
          <cell r="H96">
            <v>222750</v>
          </cell>
        </row>
        <row r="97">
          <cell r="A97">
            <v>43001030</v>
          </cell>
          <cell r="B97" t="str">
            <v>Fuel For Diesel Generator Set</v>
          </cell>
          <cell r="C97">
            <v>0</v>
          </cell>
          <cell r="D97">
            <v>207060.26</v>
          </cell>
          <cell r="E97">
            <v>0</v>
          </cell>
          <cell r="F97">
            <v>207060.26</v>
          </cell>
          <cell r="G97">
            <v>0</v>
          </cell>
          <cell r="H97">
            <v>207060.26</v>
          </cell>
        </row>
        <row r="98">
          <cell r="A98">
            <v>43012020</v>
          </cell>
          <cell r="B98" t="str">
            <v>Labour / sub contractor for - Pumping Expenses Incurred</v>
          </cell>
          <cell r="C98">
            <v>0</v>
          </cell>
          <cell r="D98">
            <v>580253</v>
          </cell>
          <cell r="E98">
            <v>0</v>
          </cell>
          <cell r="F98">
            <v>580253</v>
          </cell>
          <cell r="G98">
            <v>0</v>
          </cell>
          <cell r="H98">
            <v>580253</v>
          </cell>
        </row>
        <row r="99">
          <cell r="A99">
            <v>43016010</v>
          </cell>
          <cell r="B99" t="str">
            <v>Transportation Charges</v>
          </cell>
          <cell r="C99">
            <v>0</v>
          </cell>
          <cell r="D99">
            <v>2175</v>
          </cell>
          <cell r="E99">
            <v>0</v>
          </cell>
          <cell r="F99">
            <v>2175</v>
          </cell>
          <cell r="G99">
            <v>0</v>
          </cell>
          <cell r="H99">
            <v>2175</v>
          </cell>
        </row>
        <row r="100">
          <cell r="A100">
            <v>43018010</v>
          </cell>
          <cell r="B100" t="str">
            <v>Repairs &amp; Maintenance</v>
          </cell>
          <cell r="C100">
            <v>0</v>
          </cell>
          <cell r="D100">
            <v>129107.5</v>
          </cell>
          <cell r="E100">
            <v>0</v>
          </cell>
          <cell r="F100">
            <v>129107.5</v>
          </cell>
          <cell r="G100">
            <v>0</v>
          </cell>
          <cell r="H100">
            <v>129107.5</v>
          </cell>
        </row>
        <row r="101">
          <cell r="A101">
            <v>43018020</v>
          </cell>
          <cell r="B101" t="str">
            <v>Oil &amp; Grease</v>
          </cell>
          <cell r="C101">
            <v>0</v>
          </cell>
          <cell r="D101">
            <v>24016</v>
          </cell>
          <cell r="E101">
            <v>0</v>
          </cell>
          <cell r="F101">
            <v>24016</v>
          </cell>
          <cell r="G101">
            <v>0</v>
          </cell>
          <cell r="H101">
            <v>24016</v>
          </cell>
        </row>
        <row r="102">
          <cell r="A102">
            <v>43022010</v>
          </cell>
          <cell r="B102" t="str">
            <v>Plant / Office Up Keep Exps</v>
          </cell>
          <cell r="C102">
            <v>0</v>
          </cell>
          <cell r="D102">
            <v>5325</v>
          </cell>
          <cell r="E102">
            <v>0</v>
          </cell>
          <cell r="F102">
            <v>5325</v>
          </cell>
          <cell r="G102">
            <v>0</v>
          </cell>
          <cell r="H102">
            <v>5325</v>
          </cell>
        </row>
        <row r="103">
          <cell r="A103">
            <v>43024010</v>
          </cell>
          <cell r="B103" t="str">
            <v>Plant Running Expense</v>
          </cell>
          <cell r="C103">
            <v>0</v>
          </cell>
          <cell r="D103">
            <v>565</v>
          </cell>
          <cell r="E103">
            <v>0</v>
          </cell>
          <cell r="F103">
            <v>565</v>
          </cell>
          <cell r="G103">
            <v>0</v>
          </cell>
          <cell r="H103">
            <v>565</v>
          </cell>
        </row>
        <row r="104">
          <cell r="A104">
            <v>43032010</v>
          </cell>
          <cell r="B104" t="str">
            <v>Rent - Plant</v>
          </cell>
          <cell r="C104">
            <v>0</v>
          </cell>
          <cell r="D104">
            <v>120000</v>
          </cell>
          <cell r="E104">
            <v>0</v>
          </cell>
          <cell r="F104">
            <v>120000</v>
          </cell>
          <cell r="G104">
            <v>0</v>
          </cell>
          <cell r="H104">
            <v>120000</v>
          </cell>
        </row>
        <row r="105">
          <cell r="A105">
            <v>43032045</v>
          </cell>
          <cell r="B105" t="str">
            <v>Towing Expenses</v>
          </cell>
          <cell r="C105">
            <v>0</v>
          </cell>
          <cell r="D105">
            <v>129355</v>
          </cell>
          <cell r="E105">
            <v>0</v>
          </cell>
          <cell r="F105">
            <v>129355</v>
          </cell>
          <cell r="G105">
            <v>0</v>
          </cell>
          <cell r="H105">
            <v>129355</v>
          </cell>
        </row>
        <row r="106">
          <cell r="A106">
            <v>43036010</v>
          </cell>
          <cell r="B106" t="str">
            <v>Insurance Expenses</v>
          </cell>
          <cell r="C106">
            <v>0</v>
          </cell>
          <cell r="D106">
            <v>6106</v>
          </cell>
          <cell r="E106">
            <v>0</v>
          </cell>
          <cell r="F106">
            <v>6106</v>
          </cell>
          <cell r="G106">
            <v>0</v>
          </cell>
          <cell r="H106">
            <v>6106</v>
          </cell>
        </row>
        <row r="107">
          <cell r="A107">
            <v>43038010</v>
          </cell>
          <cell r="B107" t="str">
            <v>Postage Expenses</v>
          </cell>
          <cell r="C107">
            <v>0</v>
          </cell>
          <cell r="D107">
            <v>40</v>
          </cell>
          <cell r="E107">
            <v>0</v>
          </cell>
          <cell r="F107">
            <v>40</v>
          </cell>
          <cell r="G107">
            <v>0</v>
          </cell>
          <cell r="H107">
            <v>40</v>
          </cell>
        </row>
        <row r="108">
          <cell r="A108">
            <v>43038020</v>
          </cell>
          <cell r="B108" t="str">
            <v>Courier Expenses</v>
          </cell>
          <cell r="C108">
            <v>0</v>
          </cell>
          <cell r="D108">
            <v>3435</v>
          </cell>
          <cell r="E108">
            <v>0</v>
          </cell>
          <cell r="F108">
            <v>3435</v>
          </cell>
          <cell r="G108">
            <v>0</v>
          </cell>
          <cell r="H108">
            <v>3435</v>
          </cell>
        </row>
        <row r="109">
          <cell r="A109">
            <v>43038030</v>
          </cell>
          <cell r="B109" t="str">
            <v>Telephone Expenses</v>
          </cell>
          <cell r="C109">
            <v>0</v>
          </cell>
          <cell r="D109">
            <v>10745</v>
          </cell>
          <cell r="E109">
            <v>0</v>
          </cell>
          <cell r="F109">
            <v>10745</v>
          </cell>
          <cell r="G109">
            <v>0</v>
          </cell>
          <cell r="H109">
            <v>10745</v>
          </cell>
        </row>
        <row r="110">
          <cell r="A110">
            <v>43038040</v>
          </cell>
          <cell r="B110" t="str">
            <v>Fax Expenses</v>
          </cell>
          <cell r="C110">
            <v>0</v>
          </cell>
          <cell r="D110">
            <v>740</v>
          </cell>
          <cell r="E110">
            <v>0</v>
          </cell>
          <cell r="F110">
            <v>740</v>
          </cell>
          <cell r="G110">
            <v>0</v>
          </cell>
          <cell r="H110">
            <v>740</v>
          </cell>
        </row>
        <row r="111">
          <cell r="A111">
            <v>43038050</v>
          </cell>
          <cell r="B111" t="str">
            <v>Telephone Chgs - Mobile  FBT</v>
          </cell>
          <cell r="C111">
            <v>0</v>
          </cell>
          <cell r="D111">
            <v>23780</v>
          </cell>
          <cell r="E111">
            <v>3545</v>
          </cell>
          <cell r="F111">
            <v>20235</v>
          </cell>
          <cell r="G111">
            <v>0</v>
          </cell>
          <cell r="H111">
            <v>20235</v>
          </cell>
        </row>
        <row r="112">
          <cell r="A112">
            <v>43040010</v>
          </cell>
          <cell r="B112" t="str">
            <v>Conveyance Expenses - FBT</v>
          </cell>
          <cell r="C112">
            <v>0</v>
          </cell>
          <cell r="D112">
            <v>66970.5</v>
          </cell>
          <cell r="E112">
            <v>0</v>
          </cell>
          <cell r="F112">
            <v>66970.5</v>
          </cell>
          <cell r="G112">
            <v>0</v>
          </cell>
          <cell r="H112">
            <v>66970.5</v>
          </cell>
        </row>
        <row r="113">
          <cell r="A113">
            <v>43040040</v>
          </cell>
          <cell r="B113" t="str">
            <v>Motor Car Hire Expenses</v>
          </cell>
          <cell r="C113">
            <v>0</v>
          </cell>
          <cell r="D113">
            <v>32299</v>
          </cell>
          <cell r="E113">
            <v>0</v>
          </cell>
          <cell r="F113">
            <v>32299</v>
          </cell>
          <cell r="G113">
            <v>0</v>
          </cell>
          <cell r="H113">
            <v>32299</v>
          </cell>
        </row>
        <row r="114">
          <cell r="A114">
            <v>43040100</v>
          </cell>
          <cell r="B114" t="str">
            <v>Hotel Expenses  - FBT</v>
          </cell>
          <cell r="C114">
            <v>0</v>
          </cell>
          <cell r="D114">
            <v>10788</v>
          </cell>
          <cell r="E114">
            <v>0</v>
          </cell>
          <cell r="F114">
            <v>10788</v>
          </cell>
          <cell r="G114">
            <v>0</v>
          </cell>
          <cell r="H114">
            <v>10788</v>
          </cell>
        </row>
        <row r="115">
          <cell r="A115">
            <v>43042010</v>
          </cell>
          <cell r="B115" t="str">
            <v>Fuel - Truck Mixers</v>
          </cell>
          <cell r="C115">
            <v>0</v>
          </cell>
          <cell r="D115">
            <v>529182</v>
          </cell>
          <cell r="E115">
            <v>0</v>
          </cell>
          <cell r="F115">
            <v>529182</v>
          </cell>
          <cell r="G115">
            <v>0</v>
          </cell>
          <cell r="H115">
            <v>529182</v>
          </cell>
        </row>
        <row r="116">
          <cell r="A116">
            <v>43042020</v>
          </cell>
          <cell r="B116" t="str">
            <v>Fuel - Loader</v>
          </cell>
          <cell r="C116">
            <v>0</v>
          </cell>
          <cell r="D116">
            <v>50139.16</v>
          </cell>
          <cell r="E116">
            <v>0</v>
          </cell>
          <cell r="F116">
            <v>50139.16</v>
          </cell>
          <cell r="G116">
            <v>0</v>
          </cell>
          <cell r="H116">
            <v>50139.16</v>
          </cell>
        </row>
        <row r="117">
          <cell r="A117">
            <v>43042060</v>
          </cell>
          <cell r="B117" t="str">
            <v>Fuel - Concrete Pumps</v>
          </cell>
          <cell r="C117">
            <v>0</v>
          </cell>
          <cell r="D117">
            <v>114176.23</v>
          </cell>
          <cell r="E117">
            <v>0</v>
          </cell>
          <cell r="F117">
            <v>114176.23</v>
          </cell>
          <cell r="G117">
            <v>0</v>
          </cell>
          <cell r="H117">
            <v>114176.23</v>
          </cell>
        </row>
        <row r="118">
          <cell r="A118">
            <v>43046010</v>
          </cell>
          <cell r="B118" t="str">
            <v>Rates &amp; Taxes</v>
          </cell>
          <cell r="C118">
            <v>0</v>
          </cell>
          <cell r="D118">
            <v>336</v>
          </cell>
          <cell r="E118">
            <v>0</v>
          </cell>
          <cell r="F118">
            <v>336</v>
          </cell>
          <cell r="G118">
            <v>0</v>
          </cell>
          <cell r="H118">
            <v>336</v>
          </cell>
        </row>
        <row r="119">
          <cell r="A119">
            <v>43046020</v>
          </cell>
          <cell r="B119" t="str">
            <v>Toll Charges- Truck Mixer</v>
          </cell>
          <cell r="C119">
            <v>0</v>
          </cell>
          <cell r="D119">
            <v>3827.5</v>
          </cell>
          <cell r="E119">
            <v>1550</v>
          </cell>
          <cell r="F119">
            <v>2277.5</v>
          </cell>
          <cell r="G119">
            <v>0</v>
          </cell>
          <cell r="H119">
            <v>2277.5</v>
          </cell>
        </row>
        <row r="120">
          <cell r="A120">
            <v>43046030</v>
          </cell>
          <cell r="B120" t="str">
            <v>Fines &amp; Penalties</v>
          </cell>
          <cell r="C120">
            <v>0</v>
          </cell>
          <cell r="D120">
            <v>5200</v>
          </cell>
          <cell r="E120">
            <v>0</v>
          </cell>
          <cell r="F120">
            <v>5200</v>
          </cell>
          <cell r="G120">
            <v>0</v>
          </cell>
          <cell r="H120">
            <v>5200</v>
          </cell>
        </row>
        <row r="121">
          <cell r="A121">
            <v>43052010</v>
          </cell>
          <cell r="B121" t="str">
            <v>Security Service Charges</v>
          </cell>
          <cell r="C121">
            <v>0</v>
          </cell>
          <cell r="D121">
            <v>60947</v>
          </cell>
          <cell r="E121">
            <v>0</v>
          </cell>
          <cell r="F121">
            <v>60947</v>
          </cell>
          <cell r="G121">
            <v>0</v>
          </cell>
          <cell r="H121">
            <v>60947</v>
          </cell>
        </row>
        <row r="122">
          <cell r="A122">
            <v>43054020</v>
          </cell>
          <cell r="B122" t="str">
            <v>Concrete Carrying Charges - TM</v>
          </cell>
          <cell r="C122">
            <v>0</v>
          </cell>
          <cell r="D122">
            <v>1147774</v>
          </cell>
          <cell r="E122">
            <v>0</v>
          </cell>
          <cell r="F122">
            <v>1147774</v>
          </cell>
          <cell r="G122">
            <v>0</v>
          </cell>
          <cell r="H122">
            <v>1147774</v>
          </cell>
        </row>
        <row r="123">
          <cell r="A123">
            <v>43054040</v>
          </cell>
          <cell r="B123" t="str">
            <v>Hire Charges - Vehicle</v>
          </cell>
          <cell r="C123">
            <v>0</v>
          </cell>
          <cell r="D123">
            <v>37204</v>
          </cell>
          <cell r="E123">
            <v>0</v>
          </cell>
          <cell r="F123">
            <v>37204</v>
          </cell>
          <cell r="G123">
            <v>0</v>
          </cell>
          <cell r="H123">
            <v>37204</v>
          </cell>
        </row>
        <row r="124">
          <cell r="A124">
            <v>43066020</v>
          </cell>
          <cell r="B124" t="str">
            <v>Printing &amp; Stationery</v>
          </cell>
          <cell r="C124">
            <v>0</v>
          </cell>
          <cell r="D124">
            <v>17520</v>
          </cell>
          <cell r="E124">
            <v>6020</v>
          </cell>
          <cell r="F124">
            <v>11500</v>
          </cell>
          <cell r="G124">
            <v>0</v>
          </cell>
          <cell r="H124">
            <v>11500</v>
          </cell>
        </row>
        <row r="125">
          <cell r="A125">
            <v>43068010</v>
          </cell>
          <cell r="B125" t="str">
            <v>Donation</v>
          </cell>
          <cell r="C125">
            <v>0</v>
          </cell>
          <cell r="D125">
            <v>5000</v>
          </cell>
          <cell r="E125">
            <v>1000</v>
          </cell>
          <cell r="F125">
            <v>4000</v>
          </cell>
          <cell r="G125">
            <v>0</v>
          </cell>
          <cell r="H125">
            <v>4000</v>
          </cell>
        </row>
        <row r="126">
          <cell r="A126">
            <v>43084020</v>
          </cell>
          <cell r="B126" t="str">
            <v>Testing Charges</v>
          </cell>
          <cell r="C126">
            <v>0</v>
          </cell>
          <cell r="D126">
            <v>1864</v>
          </cell>
          <cell r="E126">
            <v>0</v>
          </cell>
          <cell r="F126">
            <v>1864</v>
          </cell>
          <cell r="G126">
            <v>0</v>
          </cell>
          <cell r="H126">
            <v>1864</v>
          </cell>
        </row>
        <row r="127">
          <cell r="A127">
            <v>43084030</v>
          </cell>
          <cell r="B127" t="str">
            <v>Rounding Off</v>
          </cell>
          <cell r="C127">
            <v>0</v>
          </cell>
          <cell r="D127">
            <v>159.87</v>
          </cell>
          <cell r="E127">
            <v>91.52</v>
          </cell>
          <cell r="F127">
            <v>68.349999999999994</v>
          </cell>
          <cell r="G127">
            <v>0</v>
          </cell>
          <cell r="H127">
            <v>68.349999999999994</v>
          </cell>
        </row>
        <row r="128">
          <cell r="A128">
            <v>44010040</v>
          </cell>
          <cell r="B128" t="str">
            <v>Bank Charges</v>
          </cell>
          <cell r="C128">
            <v>0</v>
          </cell>
          <cell r="D128">
            <v>3619.48</v>
          </cell>
          <cell r="E128">
            <v>0</v>
          </cell>
          <cell r="F128">
            <v>3619.48</v>
          </cell>
          <cell r="G128">
            <v>0</v>
          </cell>
          <cell r="H128">
            <v>3619.48</v>
          </cell>
        </row>
        <row r="129">
          <cell r="A129">
            <v>45010010</v>
          </cell>
          <cell r="B129" t="str">
            <v>Depreciation</v>
          </cell>
          <cell r="C129">
            <v>0</v>
          </cell>
          <cell r="D129">
            <v>583115</v>
          </cell>
          <cell r="E129">
            <v>0</v>
          </cell>
          <cell r="F129">
            <v>583115</v>
          </cell>
          <cell r="G129">
            <v>0</v>
          </cell>
          <cell r="H129">
            <v>583115</v>
          </cell>
        </row>
        <row r="130">
          <cell r="A130">
            <v>52000000</v>
          </cell>
          <cell r="B130" t="str">
            <v>Inter Branch Control Account</v>
          </cell>
          <cell r="C130">
            <v>-35482287.909999996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-35482287.909999996</v>
          </cell>
        </row>
        <row r="131">
          <cell r="A131">
            <v>52000809</v>
          </cell>
          <cell r="B131" t="str">
            <v>Inter branch control account for 08-09</v>
          </cell>
          <cell r="C131">
            <v>-7712900.0700000003</v>
          </cell>
          <cell r="D131">
            <v>1690478</v>
          </cell>
          <cell r="E131">
            <v>2260142</v>
          </cell>
          <cell r="F131">
            <v>-569664</v>
          </cell>
          <cell r="G131">
            <v>0</v>
          </cell>
          <cell r="H131">
            <v>-8282564.0700000003</v>
          </cell>
        </row>
        <row r="132">
          <cell r="A132">
            <v>61000400</v>
          </cell>
          <cell r="B132" t="str">
            <v>Control Account Haulage Income</v>
          </cell>
          <cell r="C132">
            <v>0</v>
          </cell>
          <cell r="D132">
            <v>1353207</v>
          </cell>
          <cell r="E132">
            <v>1353207</v>
          </cell>
          <cell r="F132">
            <v>0</v>
          </cell>
          <cell r="G132">
            <v>0</v>
          </cell>
          <cell r="H132">
            <v>0</v>
          </cell>
        </row>
        <row r="133">
          <cell r="A133">
            <v>61000500</v>
          </cell>
          <cell r="B133" t="str">
            <v>Control Account for Pumping</v>
          </cell>
          <cell r="C133">
            <v>0</v>
          </cell>
          <cell r="D133">
            <v>691200</v>
          </cell>
          <cell r="E133">
            <v>691200</v>
          </cell>
          <cell r="F133">
            <v>0</v>
          </cell>
          <cell r="G133">
            <v>0</v>
          </cell>
          <cell r="H133">
            <v>0</v>
          </cell>
        </row>
        <row r="134">
          <cell r="A134">
            <v>62000000</v>
          </cell>
          <cell r="B134" t="str">
            <v>Inter branch Clearing account</v>
          </cell>
          <cell r="C134">
            <v>0</v>
          </cell>
          <cell r="D134">
            <v>3773198</v>
          </cell>
          <cell r="E134">
            <v>3773198</v>
          </cell>
          <cell r="F134">
            <v>0</v>
          </cell>
          <cell r="G134">
            <v>0</v>
          </cell>
          <cell r="H134">
            <v>0</v>
          </cell>
        </row>
        <row r="135">
          <cell r="B135" t="str">
            <v>Total</v>
          </cell>
          <cell r="D135">
            <v>0</v>
          </cell>
          <cell r="E135">
            <v>129169068.63</v>
          </cell>
          <cell r="F135">
            <v>129169068.63</v>
          </cell>
          <cell r="G135">
            <v>0</v>
          </cell>
          <cell r="H135">
            <v>0</v>
          </cell>
        </row>
      </sheetData>
      <sheetData sheetId="28" refreshError="1">
        <row r="1">
          <cell r="A1" t="str">
            <v>RMC Readymix (I) Pvt. Ltd.,</v>
          </cell>
          <cell r="B1" t="str">
            <v>Trial balance</v>
          </cell>
          <cell r="C1">
            <v>39970</v>
          </cell>
          <cell r="D1">
            <v>0.44631944444444444</v>
          </cell>
          <cell r="E1" t="str">
            <v>Page 1</v>
          </cell>
          <cell r="F1" t="str">
            <v>Ghaziabad</v>
          </cell>
        </row>
        <row r="2">
          <cell r="A2" t="str">
            <v>Period</v>
          </cell>
          <cell r="B2">
            <v>39904</v>
          </cell>
          <cell r="C2">
            <v>39964</v>
          </cell>
        </row>
        <row r="3">
          <cell r="A3" t="str">
            <v>Ledger account</v>
          </cell>
          <cell r="B3" t="str">
            <v>Account name</v>
          </cell>
          <cell r="C3" t="str">
            <v>Opening balance</v>
          </cell>
          <cell r="D3" t="str">
            <v>Debit</v>
          </cell>
          <cell r="E3" t="str">
            <v>Credit</v>
          </cell>
          <cell r="F3" t="str">
            <v>Net difference</v>
          </cell>
          <cell r="G3" t="str">
            <v>Closing transactions</v>
          </cell>
          <cell r="H3" t="str">
            <v>Closing balance</v>
          </cell>
        </row>
        <row r="4">
          <cell r="A4">
            <v>11015010</v>
          </cell>
          <cell r="B4" t="str">
            <v>Buildings</v>
          </cell>
          <cell r="C4">
            <v>24537552.879999999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24537552.879999999</v>
          </cell>
        </row>
        <row r="5">
          <cell r="A5">
            <v>11025010</v>
          </cell>
          <cell r="B5" t="str">
            <v>Plant and Machinery</v>
          </cell>
          <cell r="C5">
            <v>58308629.140000001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58308629.140000001</v>
          </cell>
        </row>
        <row r="6">
          <cell r="A6">
            <v>11030010</v>
          </cell>
          <cell r="B6" t="str">
            <v>Electrical Installations</v>
          </cell>
          <cell r="C6">
            <v>5404532.2999999998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5404532.2999999998</v>
          </cell>
        </row>
        <row r="7">
          <cell r="A7">
            <v>11035010</v>
          </cell>
          <cell r="B7" t="str">
            <v>Furniture &amp; Fixtures</v>
          </cell>
          <cell r="C7">
            <v>3625562.75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3625562.75</v>
          </cell>
        </row>
        <row r="8">
          <cell r="A8">
            <v>11040010</v>
          </cell>
          <cell r="B8" t="str">
            <v>Office &amp; Electrical Appliances</v>
          </cell>
          <cell r="C8">
            <v>1448367.5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1448367.5</v>
          </cell>
        </row>
        <row r="9">
          <cell r="A9">
            <v>11045010</v>
          </cell>
          <cell r="B9" t="str">
            <v>Truck Mixers, Loaders &amp; Truck Dumpers</v>
          </cell>
          <cell r="C9">
            <v>32887662.18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32887662.18</v>
          </cell>
        </row>
        <row r="10">
          <cell r="A10">
            <v>11060010</v>
          </cell>
          <cell r="B10" t="str">
            <v>Capital W.I.P</v>
          </cell>
          <cell r="C10">
            <v>0</v>
          </cell>
          <cell r="D10">
            <v>326800</v>
          </cell>
          <cell r="E10">
            <v>0</v>
          </cell>
          <cell r="F10">
            <v>326800</v>
          </cell>
          <cell r="G10">
            <v>0</v>
          </cell>
          <cell r="H10">
            <v>326800</v>
          </cell>
        </row>
        <row r="11">
          <cell r="A11">
            <v>13015010</v>
          </cell>
          <cell r="B11" t="str">
            <v>Balance Sheet Stock of Raw material - RMC</v>
          </cell>
          <cell r="C11">
            <v>2059296.33</v>
          </cell>
          <cell r="D11">
            <v>3756599.12</v>
          </cell>
          <cell r="E11">
            <v>2059296.33</v>
          </cell>
          <cell r="F11">
            <v>1697302.79</v>
          </cell>
          <cell r="G11">
            <v>0</v>
          </cell>
          <cell r="H11">
            <v>3756599.12</v>
          </cell>
        </row>
        <row r="12">
          <cell r="A12">
            <v>13020010</v>
          </cell>
          <cell r="B12" t="str">
            <v>Sundry Debtors Account</v>
          </cell>
          <cell r="C12">
            <v>51291912</v>
          </cell>
          <cell r="D12">
            <v>84597773</v>
          </cell>
          <cell r="E12">
            <v>79481121</v>
          </cell>
          <cell r="F12">
            <v>5116652</v>
          </cell>
          <cell r="G12">
            <v>0</v>
          </cell>
          <cell r="H12">
            <v>56408564</v>
          </cell>
        </row>
        <row r="13">
          <cell r="A13">
            <v>13025010</v>
          </cell>
          <cell r="B13" t="str">
            <v>Cash In Hand</v>
          </cell>
          <cell r="C13">
            <v>7829</v>
          </cell>
          <cell r="D13">
            <v>25000</v>
          </cell>
          <cell r="E13">
            <v>11082</v>
          </cell>
          <cell r="F13">
            <v>13918</v>
          </cell>
          <cell r="G13">
            <v>0</v>
          </cell>
          <cell r="H13">
            <v>21747</v>
          </cell>
        </row>
        <row r="14">
          <cell r="A14">
            <v>13035010</v>
          </cell>
          <cell r="B14" t="str">
            <v>Bank Account</v>
          </cell>
          <cell r="C14">
            <v>1528.7</v>
          </cell>
          <cell r="D14">
            <v>82628547</v>
          </cell>
          <cell r="E14">
            <v>82535555.650000006</v>
          </cell>
          <cell r="F14">
            <v>92991.35</v>
          </cell>
          <cell r="G14">
            <v>0</v>
          </cell>
          <cell r="H14">
            <v>94520.05</v>
          </cell>
        </row>
        <row r="15">
          <cell r="A15">
            <v>13045020</v>
          </cell>
          <cell r="B15" t="str">
            <v>Loans and advances to employees</v>
          </cell>
          <cell r="C15">
            <v>56677</v>
          </cell>
          <cell r="D15">
            <v>694659</v>
          </cell>
          <cell r="E15">
            <v>433985</v>
          </cell>
          <cell r="F15">
            <v>260674</v>
          </cell>
          <cell r="G15">
            <v>0</v>
          </cell>
          <cell r="H15">
            <v>317351</v>
          </cell>
        </row>
        <row r="16">
          <cell r="A16">
            <v>13050020</v>
          </cell>
          <cell r="B16" t="str">
            <v>TDS ON RECEIPTS - 08-09</v>
          </cell>
          <cell r="C16">
            <v>27709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27709</v>
          </cell>
        </row>
        <row r="17">
          <cell r="A17">
            <v>13055020</v>
          </cell>
          <cell r="B17" t="str">
            <v>Prepaid Expenses</v>
          </cell>
          <cell r="C17">
            <v>697592</v>
          </cell>
          <cell r="D17">
            <v>188367</v>
          </cell>
          <cell r="E17">
            <v>291580</v>
          </cell>
          <cell r="F17">
            <v>-103213</v>
          </cell>
          <cell r="G17">
            <v>0</v>
          </cell>
          <cell r="H17">
            <v>594379</v>
          </cell>
        </row>
        <row r="18">
          <cell r="A18">
            <v>13055060</v>
          </cell>
          <cell r="B18" t="str">
            <v>VAT Credit Receivable (Inputs)</v>
          </cell>
          <cell r="C18">
            <v>3086127</v>
          </cell>
          <cell r="D18">
            <v>3846867</v>
          </cell>
          <cell r="E18">
            <v>5058141</v>
          </cell>
          <cell r="F18">
            <v>-1211274</v>
          </cell>
          <cell r="G18">
            <v>0</v>
          </cell>
          <cell r="H18">
            <v>1874853</v>
          </cell>
        </row>
        <row r="19">
          <cell r="A19">
            <v>13055090</v>
          </cell>
          <cell r="B19" t="str">
            <v>Sundry Deposits</v>
          </cell>
          <cell r="C19">
            <v>679500</v>
          </cell>
          <cell r="D19">
            <v>150000</v>
          </cell>
          <cell r="E19">
            <v>0</v>
          </cell>
          <cell r="F19">
            <v>150000</v>
          </cell>
          <cell r="G19">
            <v>0</v>
          </cell>
          <cell r="H19">
            <v>829500</v>
          </cell>
        </row>
        <row r="20">
          <cell r="A20">
            <v>25005010</v>
          </cell>
          <cell r="B20" t="str">
            <v>Creditors Control</v>
          </cell>
          <cell r="C20">
            <v>-49494443.07</v>
          </cell>
          <cell r="D20">
            <v>66811332</v>
          </cell>
          <cell r="E20">
            <v>62958309.770000003</v>
          </cell>
          <cell r="F20">
            <v>3853022.23</v>
          </cell>
          <cell r="G20">
            <v>0</v>
          </cell>
          <cell r="H20">
            <v>-45641420.840000004</v>
          </cell>
        </row>
        <row r="21">
          <cell r="A21">
            <v>25005050</v>
          </cell>
          <cell r="B21" t="str">
            <v>Creditors liability for material received but bill not recei</v>
          </cell>
          <cell r="C21">
            <v>-95.65</v>
          </cell>
          <cell r="D21">
            <v>56949080.380000003</v>
          </cell>
          <cell r="E21">
            <v>61509543.789999999</v>
          </cell>
          <cell r="F21">
            <v>-4560463.41</v>
          </cell>
          <cell r="G21">
            <v>0</v>
          </cell>
          <cell r="H21">
            <v>-4560559.0599999996</v>
          </cell>
        </row>
        <row r="22">
          <cell r="A22">
            <v>25010020</v>
          </cell>
          <cell r="B22" t="str">
            <v>Outstanding Liabilities For Expenses</v>
          </cell>
          <cell r="C22">
            <v>-197229</v>
          </cell>
          <cell r="D22">
            <v>135721</v>
          </cell>
          <cell r="E22">
            <v>0</v>
          </cell>
          <cell r="F22">
            <v>135721</v>
          </cell>
          <cell r="G22">
            <v>0</v>
          </cell>
          <cell r="H22">
            <v>-61508</v>
          </cell>
        </row>
        <row r="23">
          <cell r="A23">
            <v>25010040</v>
          </cell>
          <cell r="B23" t="str">
            <v>Entry Tax Payable A/c</v>
          </cell>
          <cell r="C23">
            <v>-19420.89</v>
          </cell>
          <cell r="D23">
            <v>190075.89</v>
          </cell>
          <cell r="E23">
            <v>237048.8</v>
          </cell>
          <cell r="F23">
            <v>-46972.91</v>
          </cell>
          <cell r="G23">
            <v>0</v>
          </cell>
          <cell r="H23">
            <v>-66393.8</v>
          </cell>
        </row>
        <row r="24">
          <cell r="A24">
            <v>25010050</v>
          </cell>
          <cell r="B24" t="str">
            <v>Salary Payable</v>
          </cell>
          <cell r="C24">
            <v>-1356260</v>
          </cell>
          <cell r="D24">
            <v>3354331</v>
          </cell>
          <cell r="E24">
            <v>3227478</v>
          </cell>
          <cell r="F24">
            <v>126853</v>
          </cell>
          <cell r="G24">
            <v>0</v>
          </cell>
          <cell r="H24">
            <v>-1229407</v>
          </cell>
        </row>
        <row r="25">
          <cell r="A25">
            <v>25010060</v>
          </cell>
          <cell r="B25" t="str">
            <v>T.D.S.payable account</v>
          </cell>
          <cell r="C25">
            <v>-304102</v>
          </cell>
          <cell r="D25">
            <v>431863</v>
          </cell>
          <cell r="E25">
            <v>288473</v>
          </cell>
          <cell r="F25">
            <v>143390</v>
          </cell>
          <cell r="G25">
            <v>0</v>
          </cell>
          <cell r="H25">
            <v>-160712</v>
          </cell>
        </row>
        <row r="26">
          <cell r="A26">
            <v>25010120</v>
          </cell>
          <cell r="B26" t="str">
            <v>Service Tax Payable</v>
          </cell>
          <cell r="C26">
            <v>0</v>
          </cell>
          <cell r="D26">
            <v>4532.97</v>
          </cell>
          <cell r="E26">
            <v>4533.26</v>
          </cell>
          <cell r="F26">
            <v>-0.28999999999999998</v>
          </cell>
          <cell r="G26">
            <v>0</v>
          </cell>
          <cell r="H26">
            <v>-0.28999999999999998</v>
          </cell>
        </row>
        <row r="27">
          <cell r="A27">
            <v>25010190</v>
          </cell>
          <cell r="B27" t="str">
            <v>VAT  Payable account</v>
          </cell>
          <cell r="C27">
            <v>-2673117.4</v>
          </cell>
          <cell r="D27">
            <v>5705780.1100000003</v>
          </cell>
          <cell r="E27">
            <v>5425874</v>
          </cell>
          <cell r="F27">
            <v>279906.11</v>
          </cell>
          <cell r="G27">
            <v>0</v>
          </cell>
          <cell r="H27">
            <v>-2393211.29</v>
          </cell>
        </row>
        <row r="28">
          <cell r="A28">
            <v>25010195</v>
          </cell>
          <cell r="B28" t="str">
            <v>CST Payable Account</v>
          </cell>
          <cell r="C28">
            <v>3115</v>
          </cell>
          <cell r="D28">
            <v>279817</v>
          </cell>
          <cell r="E28">
            <v>711337</v>
          </cell>
          <cell r="F28">
            <v>-431520</v>
          </cell>
          <cell r="G28">
            <v>0</v>
          </cell>
          <cell r="H28">
            <v>-428405</v>
          </cell>
        </row>
        <row r="29">
          <cell r="A29">
            <v>25010200</v>
          </cell>
          <cell r="B29" t="str">
            <v>Provision for Expenses in MIS</v>
          </cell>
          <cell r="C29">
            <v>0</v>
          </cell>
          <cell r="D29">
            <v>3178219</v>
          </cell>
          <cell r="E29">
            <v>8266806</v>
          </cell>
          <cell r="F29">
            <v>-5088587</v>
          </cell>
          <cell r="G29">
            <v>0</v>
          </cell>
          <cell r="H29">
            <v>-5088587</v>
          </cell>
        </row>
        <row r="30">
          <cell r="A30">
            <v>25015010</v>
          </cell>
          <cell r="B30" t="str">
            <v>PF Payable account</v>
          </cell>
          <cell r="C30">
            <v>-218130</v>
          </cell>
          <cell r="D30">
            <v>432564</v>
          </cell>
          <cell r="E30">
            <v>428098</v>
          </cell>
          <cell r="F30">
            <v>4466</v>
          </cell>
          <cell r="G30">
            <v>0</v>
          </cell>
          <cell r="H30">
            <v>-213664</v>
          </cell>
        </row>
        <row r="31">
          <cell r="A31">
            <v>25020010</v>
          </cell>
          <cell r="B31" t="str">
            <v>E.S.I.C. Payable account</v>
          </cell>
          <cell r="C31">
            <v>430</v>
          </cell>
          <cell r="D31">
            <v>11592</v>
          </cell>
          <cell r="E31">
            <v>18767</v>
          </cell>
          <cell r="F31">
            <v>-7175</v>
          </cell>
          <cell r="G31">
            <v>0</v>
          </cell>
          <cell r="H31">
            <v>-6745</v>
          </cell>
        </row>
        <row r="32">
          <cell r="A32">
            <v>26005020</v>
          </cell>
          <cell r="B32" t="str">
            <v>Provision For Bad &amp; Doubtful Debts</v>
          </cell>
          <cell r="C32">
            <v>-675676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-675676</v>
          </cell>
        </row>
        <row r="33">
          <cell r="A33">
            <v>26015010</v>
          </cell>
          <cell r="B33" t="str">
            <v>Prov For Dep.-  Buildings</v>
          </cell>
          <cell r="C33">
            <v>-2847697.49</v>
          </cell>
          <cell r="D33">
            <v>0</v>
          </cell>
          <cell r="E33">
            <v>325330</v>
          </cell>
          <cell r="F33">
            <v>-325330</v>
          </cell>
          <cell r="G33">
            <v>0</v>
          </cell>
          <cell r="H33">
            <v>-3173027.49</v>
          </cell>
        </row>
        <row r="34">
          <cell r="A34">
            <v>26025010</v>
          </cell>
          <cell r="B34" t="str">
            <v>Provision for Depreciation Plant &amp; Machinery</v>
          </cell>
          <cell r="C34">
            <v>-10545047.08</v>
          </cell>
          <cell r="D34">
            <v>0</v>
          </cell>
          <cell r="E34">
            <v>872632</v>
          </cell>
          <cell r="F34">
            <v>-872632</v>
          </cell>
          <cell r="G34">
            <v>0</v>
          </cell>
          <cell r="H34">
            <v>-11417679.08</v>
          </cell>
        </row>
        <row r="35">
          <cell r="A35">
            <v>26030010</v>
          </cell>
          <cell r="B35" t="str">
            <v>Provision For Dep.-Electrical Installations</v>
          </cell>
          <cell r="C35">
            <v>-1033952.11</v>
          </cell>
          <cell r="D35">
            <v>0</v>
          </cell>
          <cell r="E35">
            <v>88056</v>
          </cell>
          <cell r="F35">
            <v>-88056</v>
          </cell>
          <cell r="G35">
            <v>0</v>
          </cell>
          <cell r="H35">
            <v>-1122008.1100000001</v>
          </cell>
        </row>
        <row r="36">
          <cell r="A36">
            <v>26035010</v>
          </cell>
          <cell r="B36" t="str">
            <v>Provision For Dep.-Furniture and Fixtures</v>
          </cell>
          <cell r="C36">
            <v>-917409.41</v>
          </cell>
          <cell r="D36">
            <v>0</v>
          </cell>
          <cell r="E36">
            <v>53346</v>
          </cell>
          <cell r="F36">
            <v>-53346</v>
          </cell>
          <cell r="G36">
            <v>0</v>
          </cell>
          <cell r="H36">
            <v>-970755.41</v>
          </cell>
        </row>
        <row r="37">
          <cell r="A37">
            <v>26040010</v>
          </cell>
          <cell r="B37" t="str">
            <v>Provision for Depreciation- Office and Electrical Appliances</v>
          </cell>
          <cell r="C37">
            <v>-505469.89</v>
          </cell>
          <cell r="D37">
            <v>0</v>
          </cell>
          <cell r="E37">
            <v>42226</v>
          </cell>
          <cell r="F37">
            <v>-42226</v>
          </cell>
          <cell r="G37">
            <v>0</v>
          </cell>
          <cell r="H37">
            <v>-547695.89</v>
          </cell>
        </row>
        <row r="38">
          <cell r="A38">
            <v>26045010</v>
          </cell>
          <cell r="B38" t="str">
            <v>Provision for Depreciation- Truck Mixers, Loaders &amp; Dumpers</v>
          </cell>
          <cell r="C38">
            <v>-8142704.8799999999</v>
          </cell>
          <cell r="D38">
            <v>0</v>
          </cell>
          <cell r="E38">
            <v>685153</v>
          </cell>
          <cell r="F38">
            <v>-685153</v>
          </cell>
          <cell r="G38">
            <v>0</v>
          </cell>
          <cell r="H38">
            <v>-8827857.8800000008</v>
          </cell>
        </row>
        <row r="39">
          <cell r="A39">
            <v>26050010</v>
          </cell>
          <cell r="B39" t="str">
            <v>Provision for Depreciation Motor Vehicles &amp; Technical Vans</v>
          </cell>
          <cell r="C39">
            <v>3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3</v>
          </cell>
        </row>
        <row r="40">
          <cell r="A40">
            <v>26055020</v>
          </cell>
          <cell r="B40" t="str">
            <v>Profit &amp; Loss A/c</v>
          </cell>
          <cell r="C40">
            <v>23257517.620000001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23257517.620000001</v>
          </cell>
        </row>
        <row r="41">
          <cell r="A41">
            <v>26055050</v>
          </cell>
          <cell r="B41" t="str">
            <v>Provision for Production linked incentive (KRA)</v>
          </cell>
          <cell r="C41">
            <v>0</v>
          </cell>
          <cell r="D41">
            <v>0</v>
          </cell>
          <cell r="E41">
            <v>132636</v>
          </cell>
          <cell r="F41">
            <v>-132636</v>
          </cell>
          <cell r="G41">
            <v>0</v>
          </cell>
          <cell r="H41">
            <v>-132636</v>
          </cell>
        </row>
        <row r="42">
          <cell r="A42">
            <v>31010010</v>
          </cell>
          <cell r="B42" t="str">
            <v>Sales</v>
          </cell>
          <cell r="C42">
            <v>0</v>
          </cell>
          <cell r="D42">
            <v>52018.02</v>
          </cell>
          <cell r="E42">
            <v>70986139.170000002</v>
          </cell>
          <cell r="F42">
            <v>-70934121.150000006</v>
          </cell>
          <cell r="G42">
            <v>0</v>
          </cell>
          <cell r="H42">
            <v>-70934121.150000006</v>
          </cell>
        </row>
        <row r="43">
          <cell r="A43">
            <v>31010030</v>
          </cell>
          <cell r="B43" t="str">
            <v>Sales Rebates</v>
          </cell>
          <cell r="C43">
            <v>0</v>
          </cell>
          <cell r="D43">
            <v>94074</v>
          </cell>
          <cell r="E43">
            <v>0</v>
          </cell>
          <cell r="F43">
            <v>94074</v>
          </cell>
          <cell r="G43">
            <v>0</v>
          </cell>
          <cell r="H43">
            <v>94074</v>
          </cell>
        </row>
        <row r="44">
          <cell r="A44">
            <v>32020020</v>
          </cell>
          <cell r="B44" t="str">
            <v>Misc Income - Scrap sales</v>
          </cell>
          <cell r="C44">
            <v>0</v>
          </cell>
          <cell r="D44">
            <v>0</v>
          </cell>
          <cell r="E44">
            <v>132884</v>
          </cell>
          <cell r="F44">
            <v>-132884</v>
          </cell>
          <cell r="G44">
            <v>0</v>
          </cell>
          <cell r="H44">
            <v>-132884</v>
          </cell>
        </row>
        <row r="45">
          <cell r="A45">
            <v>41010010</v>
          </cell>
          <cell r="B45" t="str">
            <v>Opening Stock - Cement</v>
          </cell>
          <cell r="C45">
            <v>0</v>
          </cell>
          <cell r="D45">
            <v>447756.5</v>
          </cell>
          <cell r="E45">
            <v>0</v>
          </cell>
          <cell r="F45">
            <v>447756.5</v>
          </cell>
          <cell r="G45">
            <v>0</v>
          </cell>
          <cell r="H45">
            <v>447756.5</v>
          </cell>
        </row>
        <row r="46">
          <cell r="A46">
            <v>41010020</v>
          </cell>
          <cell r="B46" t="str">
            <v>Opening Stock - Sand</v>
          </cell>
          <cell r="C46">
            <v>0</v>
          </cell>
          <cell r="D46">
            <v>335996.76</v>
          </cell>
          <cell r="E46">
            <v>0</v>
          </cell>
          <cell r="F46">
            <v>335996.76</v>
          </cell>
          <cell r="G46">
            <v>0</v>
          </cell>
          <cell r="H46">
            <v>335996.76</v>
          </cell>
        </row>
        <row r="47">
          <cell r="A47">
            <v>41010040</v>
          </cell>
          <cell r="B47" t="str">
            <v>Opening Stock - RMC Aggregates</v>
          </cell>
          <cell r="C47">
            <v>0</v>
          </cell>
          <cell r="D47">
            <v>487886.83</v>
          </cell>
          <cell r="E47">
            <v>0</v>
          </cell>
          <cell r="F47">
            <v>487886.83</v>
          </cell>
          <cell r="G47">
            <v>0</v>
          </cell>
          <cell r="H47">
            <v>487886.83</v>
          </cell>
        </row>
        <row r="48">
          <cell r="A48">
            <v>41010050</v>
          </cell>
          <cell r="B48" t="str">
            <v>Opening Stock - Admixtures</v>
          </cell>
          <cell r="C48">
            <v>0</v>
          </cell>
          <cell r="D48">
            <v>609696.80000000005</v>
          </cell>
          <cell r="E48">
            <v>0</v>
          </cell>
          <cell r="F48">
            <v>609696.80000000005</v>
          </cell>
          <cell r="G48">
            <v>0</v>
          </cell>
          <cell r="H48">
            <v>609696.80000000005</v>
          </cell>
        </row>
        <row r="49">
          <cell r="A49">
            <v>41010070</v>
          </cell>
          <cell r="B49" t="str">
            <v>Opening Stock - Flyash</v>
          </cell>
          <cell r="C49">
            <v>0</v>
          </cell>
          <cell r="D49">
            <v>91866.02</v>
          </cell>
          <cell r="E49">
            <v>0</v>
          </cell>
          <cell r="F49">
            <v>91866.02</v>
          </cell>
          <cell r="G49">
            <v>0</v>
          </cell>
          <cell r="H49">
            <v>91866.02</v>
          </cell>
        </row>
        <row r="50">
          <cell r="A50">
            <v>41010080</v>
          </cell>
          <cell r="B50" t="str">
            <v>Opening Stock - Diesel</v>
          </cell>
          <cell r="C50">
            <v>0</v>
          </cell>
          <cell r="D50">
            <v>86093.42</v>
          </cell>
          <cell r="E50">
            <v>0</v>
          </cell>
          <cell r="F50">
            <v>86093.42</v>
          </cell>
          <cell r="G50">
            <v>0</v>
          </cell>
          <cell r="H50">
            <v>86093.42</v>
          </cell>
        </row>
        <row r="51">
          <cell r="A51">
            <v>41020010</v>
          </cell>
          <cell r="B51" t="str">
            <v>Raw Material Purchase - Cement</v>
          </cell>
          <cell r="C51">
            <v>0</v>
          </cell>
          <cell r="D51">
            <v>27768778.66</v>
          </cell>
          <cell r="E51">
            <v>29716375.600000001</v>
          </cell>
          <cell r="F51">
            <v>-1947596.94</v>
          </cell>
          <cell r="G51">
            <v>0</v>
          </cell>
          <cell r="H51">
            <v>-1947596.94</v>
          </cell>
        </row>
        <row r="52">
          <cell r="A52">
            <v>41020015</v>
          </cell>
          <cell r="B52" t="str">
            <v>Interim account cement received</v>
          </cell>
          <cell r="C52">
            <v>0</v>
          </cell>
          <cell r="D52">
            <v>29110108.07</v>
          </cell>
          <cell r="E52">
            <v>25883989.149999999</v>
          </cell>
          <cell r="F52">
            <v>3226118.92</v>
          </cell>
          <cell r="G52">
            <v>0</v>
          </cell>
          <cell r="H52">
            <v>3226118.92</v>
          </cell>
        </row>
        <row r="53">
          <cell r="A53">
            <v>41020020</v>
          </cell>
          <cell r="B53" t="str">
            <v>Cement Consumption account</v>
          </cell>
          <cell r="C53">
            <v>0</v>
          </cell>
          <cell r="D53">
            <v>28313911.690000001</v>
          </cell>
          <cell r="E53">
            <v>0</v>
          </cell>
          <cell r="F53">
            <v>28313911.690000001</v>
          </cell>
          <cell r="G53">
            <v>0</v>
          </cell>
          <cell r="H53">
            <v>28313911.690000001</v>
          </cell>
        </row>
        <row r="54">
          <cell r="A54">
            <v>41020030</v>
          </cell>
          <cell r="B54" t="str">
            <v>Raw Material Purchase - Aggregates</v>
          </cell>
          <cell r="C54">
            <v>0</v>
          </cell>
          <cell r="D54">
            <v>15072239.359999999</v>
          </cell>
          <cell r="E54">
            <v>16121384.279999999</v>
          </cell>
          <cell r="F54">
            <v>-1049144.92</v>
          </cell>
          <cell r="G54">
            <v>0</v>
          </cell>
          <cell r="H54">
            <v>-1049144.92</v>
          </cell>
        </row>
        <row r="55">
          <cell r="A55">
            <v>41020035</v>
          </cell>
          <cell r="B55" t="str">
            <v>Interim account Aggregate received</v>
          </cell>
          <cell r="C55">
            <v>0</v>
          </cell>
          <cell r="D55">
            <v>15992952.67</v>
          </cell>
          <cell r="E55">
            <v>14699294.890000001</v>
          </cell>
          <cell r="F55">
            <v>1293657.78</v>
          </cell>
          <cell r="G55">
            <v>0</v>
          </cell>
          <cell r="H55">
            <v>1293657.78</v>
          </cell>
        </row>
        <row r="56">
          <cell r="A56">
            <v>41020040</v>
          </cell>
          <cell r="B56" t="str">
            <v>Aggregate Consumption account</v>
          </cell>
          <cell r="C56">
            <v>0</v>
          </cell>
          <cell r="D56">
            <v>16116713.720000001</v>
          </cell>
          <cell r="E56">
            <v>117899.49</v>
          </cell>
          <cell r="F56">
            <v>15998814.23</v>
          </cell>
          <cell r="G56">
            <v>0</v>
          </cell>
          <cell r="H56">
            <v>15998814.23</v>
          </cell>
        </row>
        <row r="57">
          <cell r="A57">
            <v>41020050</v>
          </cell>
          <cell r="B57" t="str">
            <v>Raw Material Purchase - Sand</v>
          </cell>
          <cell r="C57">
            <v>0</v>
          </cell>
          <cell r="D57">
            <v>8786362.5199999996</v>
          </cell>
          <cell r="E57">
            <v>8829994.8499999996</v>
          </cell>
          <cell r="F57">
            <v>-43632.33</v>
          </cell>
          <cell r="G57">
            <v>0</v>
          </cell>
          <cell r="H57">
            <v>-43632.33</v>
          </cell>
        </row>
        <row r="58">
          <cell r="A58">
            <v>41020055</v>
          </cell>
          <cell r="B58" t="str">
            <v>Interim account Sand Received</v>
          </cell>
          <cell r="C58">
            <v>0</v>
          </cell>
          <cell r="D58">
            <v>8729742.7100000009</v>
          </cell>
          <cell r="E58">
            <v>8729742.6999999993</v>
          </cell>
          <cell r="F58">
            <v>0.01</v>
          </cell>
          <cell r="G58">
            <v>0</v>
          </cell>
          <cell r="H58">
            <v>0.01</v>
          </cell>
        </row>
        <row r="59">
          <cell r="A59">
            <v>41020060</v>
          </cell>
          <cell r="B59" t="str">
            <v>Sand Consumption account</v>
          </cell>
          <cell r="C59">
            <v>0</v>
          </cell>
          <cell r="D59">
            <v>8651215.2899999991</v>
          </cell>
          <cell r="E59">
            <v>0</v>
          </cell>
          <cell r="F59">
            <v>8651215.2899999991</v>
          </cell>
          <cell r="G59">
            <v>0</v>
          </cell>
          <cell r="H59">
            <v>8651215.2899999991</v>
          </cell>
        </row>
        <row r="60">
          <cell r="A60">
            <v>41020070</v>
          </cell>
          <cell r="B60" t="str">
            <v>Raw Material Purchase - Admixture</v>
          </cell>
          <cell r="C60">
            <v>0</v>
          </cell>
          <cell r="D60">
            <v>3053874.38</v>
          </cell>
          <cell r="E60">
            <v>2789389</v>
          </cell>
          <cell r="F60">
            <v>264485.38</v>
          </cell>
          <cell r="G60">
            <v>0</v>
          </cell>
          <cell r="H60">
            <v>264485.38</v>
          </cell>
        </row>
        <row r="61">
          <cell r="A61">
            <v>41020075</v>
          </cell>
          <cell r="B61" t="str">
            <v>Interim account Admixture received</v>
          </cell>
          <cell r="C61">
            <v>0</v>
          </cell>
          <cell r="D61">
            <v>3023776.54</v>
          </cell>
          <cell r="E61">
            <v>3023777.2</v>
          </cell>
          <cell r="F61">
            <v>-0.66</v>
          </cell>
          <cell r="G61">
            <v>0</v>
          </cell>
          <cell r="H61">
            <v>-0.66</v>
          </cell>
        </row>
        <row r="62">
          <cell r="A62">
            <v>41020080</v>
          </cell>
          <cell r="B62" t="str">
            <v>Admixture Consumption account</v>
          </cell>
          <cell r="C62">
            <v>0</v>
          </cell>
          <cell r="D62">
            <v>2737823.58</v>
          </cell>
          <cell r="E62">
            <v>2589.7600000000002</v>
          </cell>
          <cell r="F62">
            <v>2735233.82</v>
          </cell>
          <cell r="G62">
            <v>0</v>
          </cell>
          <cell r="H62">
            <v>2735233.82</v>
          </cell>
        </row>
        <row r="63">
          <cell r="A63">
            <v>41020090</v>
          </cell>
          <cell r="B63" t="str">
            <v>Raw Material  Purchase - Fly Ash</v>
          </cell>
          <cell r="C63">
            <v>0</v>
          </cell>
          <cell r="D63">
            <v>1159289.1499999999</v>
          </cell>
          <cell r="E63">
            <v>1195636.1100000001</v>
          </cell>
          <cell r="F63">
            <v>-36346.959999999999</v>
          </cell>
          <cell r="G63">
            <v>0</v>
          </cell>
          <cell r="H63">
            <v>-36346.959999999999</v>
          </cell>
        </row>
        <row r="64">
          <cell r="A64">
            <v>41020095</v>
          </cell>
          <cell r="B64" t="str">
            <v>Interim account fly ash received</v>
          </cell>
          <cell r="C64">
            <v>0</v>
          </cell>
          <cell r="D64">
            <v>1059861.03</v>
          </cell>
          <cell r="E64">
            <v>1059862.76</v>
          </cell>
          <cell r="F64">
            <v>-1.73</v>
          </cell>
          <cell r="G64">
            <v>0</v>
          </cell>
          <cell r="H64">
            <v>-1.73</v>
          </cell>
        </row>
        <row r="65">
          <cell r="A65">
            <v>41020100</v>
          </cell>
          <cell r="B65" t="str">
            <v>Fly Ash Consumption account</v>
          </cell>
          <cell r="C65">
            <v>0</v>
          </cell>
          <cell r="D65">
            <v>1195438.1299999999</v>
          </cell>
          <cell r="E65">
            <v>85302.02</v>
          </cell>
          <cell r="F65">
            <v>1110136.1100000001</v>
          </cell>
          <cell r="G65">
            <v>0</v>
          </cell>
          <cell r="H65">
            <v>1110136.1100000001</v>
          </cell>
        </row>
        <row r="66">
          <cell r="A66">
            <v>41020150</v>
          </cell>
          <cell r="B66" t="str">
            <v>Loss/ gain on Stock</v>
          </cell>
          <cell r="C66">
            <v>0</v>
          </cell>
          <cell r="D66">
            <v>497037.41</v>
          </cell>
          <cell r="E66">
            <v>1097645.17</v>
          </cell>
          <cell r="F66">
            <v>-600607.76</v>
          </cell>
          <cell r="G66">
            <v>0</v>
          </cell>
          <cell r="H66">
            <v>-600607.76</v>
          </cell>
        </row>
        <row r="67">
          <cell r="A67">
            <v>41020195</v>
          </cell>
          <cell r="B67" t="str">
            <v>Purchase of Diesel</v>
          </cell>
          <cell r="C67">
            <v>0</v>
          </cell>
          <cell r="D67">
            <v>3086868.88</v>
          </cell>
          <cell r="E67">
            <v>3137793.73</v>
          </cell>
          <cell r="F67">
            <v>-50924.85</v>
          </cell>
          <cell r="G67">
            <v>0</v>
          </cell>
          <cell r="H67">
            <v>-50924.85</v>
          </cell>
        </row>
        <row r="68">
          <cell r="A68">
            <v>41020200</v>
          </cell>
          <cell r="B68" t="str">
            <v>Interim account for diesel received</v>
          </cell>
          <cell r="C68">
            <v>0</v>
          </cell>
          <cell r="D68">
            <v>3127557.97</v>
          </cell>
          <cell r="E68">
            <v>3086868.88</v>
          </cell>
          <cell r="F68">
            <v>40689.089999999997</v>
          </cell>
          <cell r="G68">
            <v>0</v>
          </cell>
          <cell r="H68">
            <v>40689.089999999997</v>
          </cell>
        </row>
        <row r="69">
          <cell r="A69">
            <v>41050010</v>
          </cell>
          <cell r="B69" t="str">
            <v>Closing Stock - Cement</v>
          </cell>
          <cell r="C69">
            <v>0</v>
          </cell>
          <cell r="D69">
            <v>0</v>
          </cell>
          <cell r="E69">
            <v>1726278.48</v>
          </cell>
          <cell r="F69">
            <v>-1726278.48</v>
          </cell>
          <cell r="G69">
            <v>0</v>
          </cell>
          <cell r="H69">
            <v>-1726278.48</v>
          </cell>
        </row>
        <row r="70">
          <cell r="A70">
            <v>41050020</v>
          </cell>
          <cell r="B70" t="str">
            <v>Closing Stock - Sand</v>
          </cell>
          <cell r="C70">
            <v>0</v>
          </cell>
          <cell r="D70">
            <v>0</v>
          </cell>
          <cell r="E70">
            <v>292364.44</v>
          </cell>
          <cell r="F70">
            <v>-292364.44</v>
          </cell>
          <cell r="G70">
            <v>0</v>
          </cell>
          <cell r="H70">
            <v>-292364.44</v>
          </cell>
        </row>
        <row r="71">
          <cell r="A71">
            <v>41050040</v>
          </cell>
          <cell r="B71" t="str">
            <v>Closing Stock - RMC Aggregates</v>
          </cell>
          <cell r="C71">
            <v>0</v>
          </cell>
          <cell r="D71">
            <v>0</v>
          </cell>
          <cell r="E71">
            <v>732399.69</v>
          </cell>
          <cell r="F71">
            <v>-732399.69</v>
          </cell>
          <cell r="G71">
            <v>0</v>
          </cell>
          <cell r="H71">
            <v>-732399.69</v>
          </cell>
        </row>
        <row r="72">
          <cell r="A72">
            <v>41050050</v>
          </cell>
          <cell r="B72" t="str">
            <v>Closing Stock - Admixtures</v>
          </cell>
          <cell r="C72">
            <v>0</v>
          </cell>
          <cell r="D72">
            <v>0</v>
          </cell>
          <cell r="E72">
            <v>874181.52</v>
          </cell>
          <cell r="F72">
            <v>-874181.52</v>
          </cell>
          <cell r="G72">
            <v>0</v>
          </cell>
          <cell r="H72">
            <v>-874181.52</v>
          </cell>
        </row>
        <row r="73">
          <cell r="A73">
            <v>41050070</v>
          </cell>
          <cell r="B73" t="str">
            <v>Closing Stock - Flyash</v>
          </cell>
          <cell r="C73">
            <v>0</v>
          </cell>
          <cell r="D73">
            <v>0</v>
          </cell>
          <cell r="E73">
            <v>55517.33</v>
          </cell>
          <cell r="F73">
            <v>-55517.33</v>
          </cell>
          <cell r="G73">
            <v>0</v>
          </cell>
          <cell r="H73">
            <v>-55517.33</v>
          </cell>
        </row>
        <row r="74">
          <cell r="A74">
            <v>41050080</v>
          </cell>
          <cell r="B74" t="str">
            <v>Closing Stock - Diesel</v>
          </cell>
          <cell r="C74">
            <v>0</v>
          </cell>
          <cell r="D74">
            <v>0</v>
          </cell>
          <cell r="E74">
            <v>75857.66</v>
          </cell>
          <cell r="F74">
            <v>-75857.66</v>
          </cell>
          <cell r="G74">
            <v>0</v>
          </cell>
          <cell r="H74">
            <v>-75857.66</v>
          </cell>
        </row>
        <row r="75">
          <cell r="A75">
            <v>42010010</v>
          </cell>
          <cell r="B75" t="str">
            <v>Salary - Basic</v>
          </cell>
          <cell r="C75">
            <v>0</v>
          </cell>
          <cell r="D75">
            <v>590352</v>
          </cell>
          <cell r="E75">
            <v>0</v>
          </cell>
          <cell r="F75">
            <v>590352</v>
          </cell>
          <cell r="G75">
            <v>0</v>
          </cell>
          <cell r="H75">
            <v>590352</v>
          </cell>
        </row>
        <row r="76">
          <cell r="A76">
            <v>42010020</v>
          </cell>
          <cell r="B76" t="str">
            <v>House Rent Allowance</v>
          </cell>
          <cell r="C76">
            <v>0</v>
          </cell>
          <cell r="D76">
            <v>292686</v>
          </cell>
          <cell r="E76">
            <v>0</v>
          </cell>
          <cell r="F76">
            <v>292686</v>
          </cell>
          <cell r="G76">
            <v>0</v>
          </cell>
          <cell r="H76">
            <v>292686</v>
          </cell>
        </row>
        <row r="77">
          <cell r="A77">
            <v>42010030</v>
          </cell>
          <cell r="B77" t="str">
            <v>Education Allowance</v>
          </cell>
          <cell r="C77">
            <v>0</v>
          </cell>
          <cell r="D77">
            <v>34883</v>
          </cell>
          <cell r="E77">
            <v>0</v>
          </cell>
          <cell r="F77">
            <v>34883</v>
          </cell>
          <cell r="G77">
            <v>0</v>
          </cell>
          <cell r="H77">
            <v>34883</v>
          </cell>
        </row>
        <row r="78">
          <cell r="A78">
            <v>42010040</v>
          </cell>
          <cell r="B78" t="str">
            <v>Special Allowance</v>
          </cell>
          <cell r="C78">
            <v>0</v>
          </cell>
          <cell r="D78">
            <v>91550</v>
          </cell>
          <cell r="E78">
            <v>0</v>
          </cell>
          <cell r="F78">
            <v>91550</v>
          </cell>
          <cell r="G78">
            <v>0</v>
          </cell>
          <cell r="H78">
            <v>91550</v>
          </cell>
        </row>
        <row r="79">
          <cell r="A79">
            <v>42010050</v>
          </cell>
          <cell r="B79" t="str">
            <v>Medical Expense Reimbursement</v>
          </cell>
          <cell r="C79">
            <v>0</v>
          </cell>
          <cell r="D79">
            <v>249</v>
          </cell>
          <cell r="E79">
            <v>0</v>
          </cell>
          <cell r="F79">
            <v>249</v>
          </cell>
          <cell r="G79">
            <v>0</v>
          </cell>
          <cell r="H79">
            <v>249</v>
          </cell>
        </row>
        <row r="80">
          <cell r="A80">
            <v>42010060</v>
          </cell>
          <cell r="B80" t="str">
            <v>Leave Travel Allowance</v>
          </cell>
          <cell r="C80">
            <v>0</v>
          </cell>
          <cell r="D80">
            <v>18630</v>
          </cell>
          <cell r="E80">
            <v>0</v>
          </cell>
          <cell r="F80">
            <v>18630</v>
          </cell>
          <cell r="G80">
            <v>0</v>
          </cell>
          <cell r="H80">
            <v>18630</v>
          </cell>
        </row>
        <row r="81">
          <cell r="A81">
            <v>42010090</v>
          </cell>
          <cell r="B81" t="str">
            <v>Overtime Payment</v>
          </cell>
          <cell r="C81">
            <v>0</v>
          </cell>
          <cell r="D81">
            <v>31468</v>
          </cell>
          <cell r="E81">
            <v>0</v>
          </cell>
          <cell r="F81">
            <v>31468</v>
          </cell>
          <cell r="G81">
            <v>0</v>
          </cell>
          <cell r="H81">
            <v>31468</v>
          </cell>
        </row>
        <row r="82">
          <cell r="A82">
            <v>42010100</v>
          </cell>
          <cell r="B82" t="str">
            <v>Transport Allowance</v>
          </cell>
          <cell r="C82">
            <v>0</v>
          </cell>
          <cell r="D82">
            <v>70184</v>
          </cell>
          <cell r="E82">
            <v>0</v>
          </cell>
          <cell r="F82">
            <v>70184</v>
          </cell>
          <cell r="G82">
            <v>0</v>
          </cell>
          <cell r="H82">
            <v>70184</v>
          </cell>
        </row>
        <row r="83">
          <cell r="A83">
            <v>42010130</v>
          </cell>
          <cell r="B83" t="str">
            <v>Production Linked Incentive</v>
          </cell>
          <cell r="C83">
            <v>0</v>
          </cell>
          <cell r="D83">
            <v>132636</v>
          </cell>
          <cell r="E83">
            <v>0</v>
          </cell>
          <cell r="F83">
            <v>132636</v>
          </cell>
          <cell r="G83">
            <v>0</v>
          </cell>
          <cell r="H83">
            <v>132636</v>
          </cell>
        </row>
        <row r="84">
          <cell r="A84">
            <v>42010220</v>
          </cell>
          <cell r="B84" t="str">
            <v>Adhoc Allowance</v>
          </cell>
          <cell r="C84">
            <v>0</v>
          </cell>
          <cell r="D84">
            <v>23910</v>
          </cell>
          <cell r="E84">
            <v>0</v>
          </cell>
          <cell r="F84">
            <v>23910</v>
          </cell>
          <cell r="G84">
            <v>0</v>
          </cell>
          <cell r="H84">
            <v>23910</v>
          </cell>
        </row>
        <row r="85">
          <cell r="A85">
            <v>42010230</v>
          </cell>
          <cell r="B85" t="str">
            <v>Car Allowance</v>
          </cell>
          <cell r="C85">
            <v>0</v>
          </cell>
          <cell r="D85">
            <v>48000</v>
          </cell>
          <cell r="E85">
            <v>0</v>
          </cell>
          <cell r="F85">
            <v>48000</v>
          </cell>
          <cell r="G85">
            <v>0</v>
          </cell>
          <cell r="H85">
            <v>48000</v>
          </cell>
        </row>
        <row r="86">
          <cell r="A86">
            <v>42010240</v>
          </cell>
          <cell r="B86" t="str">
            <v>Driver Allowance</v>
          </cell>
          <cell r="C86">
            <v>0</v>
          </cell>
          <cell r="D86">
            <v>24000</v>
          </cell>
          <cell r="E86">
            <v>0</v>
          </cell>
          <cell r="F86">
            <v>24000</v>
          </cell>
          <cell r="G86">
            <v>0</v>
          </cell>
          <cell r="H86">
            <v>24000</v>
          </cell>
        </row>
        <row r="87">
          <cell r="A87">
            <v>42020010</v>
          </cell>
          <cell r="B87" t="str">
            <v>Provident Funds - Employer's Conribution</v>
          </cell>
          <cell r="C87">
            <v>0</v>
          </cell>
          <cell r="D87">
            <v>70842</v>
          </cell>
          <cell r="E87">
            <v>0</v>
          </cell>
          <cell r="F87">
            <v>70842</v>
          </cell>
          <cell r="G87">
            <v>0</v>
          </cell>
          <cell r="H87">
            <v>70842</v>
          </cell>
        </row>
        <row r="88">
          <cell r="A88">
            <v>42020070</v>
          </cell>
          <cell r="B88" t="str">
            <v>E.S.I.S. - Employer's Contribution</v>
          </cell>
          <cell r="C88">
            <v>0</v>
          </cell>
          <cell r="D88">
            <v>10387</v>
          </cell>
          <cell r="E88">
            <v>0</v>
          </cell>
          <cell r="F88">
            <v>10387</v>
          </cell>
          <cell r="G88">
            <v>0</v>
          </cell>
          <cell r="H88">
            <v>10387</v>
          </cell>
        </row>
        <row r="89">
          <cell r="A89">
            <v>42030020</v>
          </cell>
          <cell r="B89" t="str">
            <v>Purchases of Safety &amp; Welfare Items</v>
          </cell>
          <cell r="C89">
            <v>0</v>
          </cell>
          <cell r="D89">
            <v>28691</v>
          </cell>
          <cell r="E89">
            <v>0</v>
          </cell>
          <cell r="F89">
            <v>28691</v>
          </cell>
          <cell r="G89">
            <v>0</v>
          </cell>
          <cell r="H89">
            <v>28691</v>
          </cell>
        </row>
        <row r="90">
          <cell r="A90">
            <v>42030050</v>
          </cell>
          <cell r="B90" t="str">
            <v>Staff Welfare Expenses</v>
          </cell>
          <cell r="C90">
            <v>0</v>
          </cell>
          <cell r="D90">
            <v>34949</v>
          </cell>
          <cell r="E90">
            <v>11024</v>
          </cell>
          <cell r="F90">
            <v>23925</v>
          </cell>
          <cell r="G90">
            <v>0</v>
          </cell>
          <cell r="H90">
            <v>23925</v>
          </cell>
        </row>
        <row r="91">
          <cell r="A91">
            <v>43001010</v>
          </cell>
          <cell r="B91" t="str">
            <v>Electricity Charges</v>
          </cell>
          <cell r="C91">
            <v>0</v>
          </cell>
          <cell r="D91">
            <v>305783</v>
          </cell>
          <cell r="E91">
            <v>90000</v>
          </cell>
          <cell r="F91">
            <v>215783</v>
          </cell>
          <cell r="G91">
            <v>0</v>
          </cell>
          <cell r="H91">
            <v>215783</v>
          </cell>
        </row>
        <row r="92">
          <cell r="A92">
            <v>43001030</v>
          </cell>
          <cell r="B92" t="str">
            <v>Fuel For Diesel Generator Set</v>
          </cell>
          <cell r="C92">
            <v>0</v>
          </cell>
          <cell r="D92">
            <v>482934.65</v>
          </cell>
          <cell r="E92">
            <v>0</v>
          </cell>
          <cell r="F92">
            <v>482934.65</v>
          </cell>
          <cell r="G92">
            <v>0</v>
          </cell>
          <cell r="H92">
            <v>482934.65</v>
          </cell>
        </row>
        <row r="93">
          <cell r="A93">
            <v>43010010</v>
          </cell>
          <cell r="B93" t="str">
            <v>Consumables</v>
          </cell>
          <cell r="C93">
            <v>0</v>
          </cell>
          <cell r="D93">
            <v>9750</v>
          </cell>
          <cell r="E93">
            <v>0</v>
          </cell>
          <cell r="F93">
            <v>9750</v>
          </cell>
          <cell r="G93">
            <v>0</v>
          </cell>
          <cell r="H93">
            <v>9750</v>
          </cell>
        </row>
        <row r="94">
          <cell r="A94">
            <v>43012010</v>
          </cell>
          <cell r="B94" t="str">
            <v>Lab Consumables</v>
          </cell>
          <cell r="C94">
            <v>0</v>
          </cell>
          <cell r="D94">
            <v>710</v>
          </cell>
          <cell r="E94">
            <v>0</v>
          </cell>
          <cell r="F94">
            <v>710</v>
          </cell>
          <cell r="G94">
            <v>0</v>
          </cell>
          <cell r="H94">
            <v>710</v>
          </cell>
        </row>
        <row r="95">
          <cell r="A95">
            <v>43012020</v>
          </cell>
          <cell r="B95" t="str">
            <v>Labour / sub contractor for - Pumping Expenses Incurred</v>
          </cell>
          <cell r="C95">
            <v>0</v>
          </cell>
          <cell r="D95">
            <v>1115938</v>
          </cell>
          <cell r="E95">
            <v>380100</v>
          </cell>
          <cell r="F95">
            <v>735838</v>
          </cell>
          <cell r="G95">
            <v>0</v>
          </cell>
          <cell r="H95">
            <v>735838</v>
          </cell>
        </row>
        <row r="96">
          <cell r="A96">
            <v>43018010</v>
          </cell>
          <cell r="B96" t="str">
            <v>Repairs &amp; Maintenance</v>
          </cell>
          <cell r="C96">
            <v>0</v>
          </cell>
          <cell r="D96">
            <v>1082694.3500000001</v>
          </cell>
          <cell r="E96">
            <v>33323</v>
          </cell>
          <cell r="F96">
            <v>1049371.3500000001</v>
          </cell>
          <cell r="G96">
            <v>0</v>
          </cell>
          <cell r="H96">
            <v>1049371.3500000001</v>
          </cell>
        </row>
        <row r="97">
          <cell r="A97">
            <v>43018020</v>
          </cell>
          <cell r="B97" t="str">
            <v>Oil &amp; Grease</v>
          </cell>
          <cell r="C97">
            <v>0</v>
          </cell>
          <cell r="D97">
            <v>78650.880000000005</v>
          </cell>
          <cell r="E97">
            <v>0</v>
          </cell>
          <cell r="F97">
            <v>78650.880000000005</v>
          </cell>
          <cell r="G97">
            <v>0</v>
          </cell>
          <cell r="H97">
            <v>78650.880000000005</v>
          </cell>
        </row>
        <row r="98">
          <cell r="A98">
            <v>43020030</v>
          </cell>
          <cell r="B98" t="str">
            <v>Tyres</v>
          </cell>
          <cell r="C98">
            <v>0</v>
          </cell>
          <cell r="D98">
            <v>39909.730000000003</v>
          </cell>
          <cell r="E98">
            <v>0</v>
          </cell>
          <cell r="F98">
            <v>39909.730000000003</v>
          </cell>
          <cell r="G98">
            <v>0</v>
          </cell>
          <cell r="H98">
            <v>39909.730000000003</v>
          </cell>
        </row>
        <row r="99">
          <cell r="A99">
            <v>43022010</v>
          </cell>
          <cell r="B99" t="str">
            <v>Plant / Office Up Keep Exps</v>
          </cell>
          <cell r="C99">
            <v>0</v>
          </cell>
          <cell r="D99">
            <v>1032206</v>
          </cell>
          <cell r="E99">
            <v>359000</v>
          </cell>
          <cell r="F99">
            <v>673206</v>
          </cell>
          <cell r="G99">
            <v>0</v>
          </cell>
          <cell r="H99">
            <v>673206</v>
          </cell>
        </row>
        <row r="100">
          <cell r="A100">
            <v>43030010</v>
          </cell>
          <cell r="B100" t="str">
            <v>Transportation Exps-Labour</v>
          </cell>
          <cell r="C100">
            <v>0</v>
          </cell>
          <cell r="D100">
            <v>400611</v>
          </cell>
          <cell r="E100">
            <v>140000</v>
          </cell>
          <cell r="F100">
            <v>260611</v>
          </cell>
          <cell r="G100">
            <v>0</v>
          </cell>
          <cell r="H100">
            <v>260611</v>
          </cell>
        </row>
        <row r="101">
          <cell r="A101">
            <v>43032010</v>
          </cell>
          <cell r="B101" t="str">
            <v>Rent - Plant</v>
          </cell>
          <cell r="C101">
            <v>0</v>
          </cell>
          <cell r="D101">
            <v>575580</v>
          </cell>
          <cell r="E101">
            <v>0</v>
          </cell>
          <cell r="F101">
            <v>575580</v>
          </cell>
          <cell r="G101">
            <v>0</v>
          </cell>
          <cell r="H101">
            <v>575580</v>
          </cell>
        </row>
        <row r="102">
          <cell r="A102">
            <v>43032040</v>
          </cell>
          <cell r="B102" t="str">
            <v>Lease Rentals- Machinery</v>
          </cell>
          <cell r="C102">
            <v>0</v>
          </cell>
          <cell r="D102">
            <v>151391.76</v>
          </cell>
          <cell r="E102">
            <v>0</v>
          </cell>
          <cell r="F102">
            <v>151391.76</v>
          </cell>
          <cell r="G102">
            <v>0</v>
          </cell>
          <cell r="H102">
            <v>151391.76</v>
          </cell>
        </row>
        <row r="103">
          <cell r="A103">
            <v>43032045</v>
          </cell>
          <cell r="B103" t="str">
            <v>Towing Expenses</v>
          </cell>
          <cell r="C103">
            <v>0</v>
          </cell>
          <cell r="D103">
            <v>264000</v>
          </cell>
          <cell r="E103">
            <v>88000</v>
          </cell>
          <cell r="F103">
            <v>176000</v>
          </cell>
          <cell r="G103">
            <v>0</v>
          </cell>
          <cell r="H103">
            <v>176000</v>
          </cell>
        </row>
        <row r="104">
          <cell r="A104">
            <v>43036010</v>
          </cell>
          <cell r="B104" t="str">
            <v>Insurance Expenses</v>
          </cell>
          <cell r="C104">
            <v>0</v>
          </cell>
          <cell r="D104">
            <v>60228</v>
          </cell>
          <cell r="E104">
            <v>0</v>
          </cell>
          <cell r="F104">
            <v>60228</v>
          </cell>
          <cell r="G104">
            <v>0</v>
          </cell>
          <cell r="H104">
            <v>60228</v>
          </cell>
        </row>
        <row r="105">
          <cell r="A105">
            <v>43036030</v>
          </cell>
          <cell r="B105" t="str">
            <v>Insurance  - Company Vehicle Expenses  - FBT</v>
          </cell>
          <cell r="C105">
            <v>0</v>
          </cell>
          <cell r="D105">
            <v>1072</v>
          </cell>
          <cell r="E105">
            <v>0</v>
          </cell>
          <cell r="F105">
            <v>1072</v>
          </cell>
          <cell r="G105">
            <v>0</v>
          </cell>
          <cell r="H105">
            <v>1072</v>
          </cell>
        </row>
        <row r="106">
          <cell r="A106">
            <v>43038020</v>
          </cell>
          <cell r="B106" t="str">
            <v>Courier Expenses</v>
          </cell>
          <cell r="C106">
            <v>0</v>
          </cell>
          <cell r="D106">
            <v>12025</v>
          </cell>
          <cell r="E106">
            <v>4500</v>
          </cell>
          <cell r="F106">
            <v>7525</v>
          </cell>
          <cell r="G106">
            <v>0</v>
          </cell>
          <cell r="H106">
            <v>7525</v>
          </cell>
        </row>
        <row r="107">
          <cell r="A107">
            <v>43038050</v>
          </cell>
          <cell r="B107" t="str">
            <v>Telephone Chgs - Mobile  FBT</v>
          </cell>
          <cell r="C107">
            <v>0</v>
          </cell>
          <cell r="D107">
            <v>138714</v>
          </cell>
          <cell r="E107">
            <v>54736</v>
          </cell>
          <cell r="F107">
            <v>83978</v>
          </cell>
          <cell r="G107">
            <v>0</v>
          </cell>
          <cell r="H107">
            <v>83978</v>
          </cell>
        </row>
        <row r="108">
          <cell r="A108">
            <v>43040010</v>
          </cell>
          <cell r="B108" t="str">
            <v>Conveyance Expenses - FBT</v>
          </cell>
          <cell r="C108">
            <v>0</v>
          </cell>
          <cell r="D108">
            <v>178657</v>
          </cell>
          <cell r="E108">
            <v>59916</v>
          </cell>
          <cell r="F108">
            <v>118741</v>
          </cell>
          <cell r="G108">
            <v>0</v>
          </cell>
          <cell r="H108">
            <v>118741</v>
          </cell>
        </row>
        <row r="109">
          <cell r="A109">
            <v>43040030</v>
          </cell>
          <cell r="B109" t="str">
            <v>Motor Car Hire Expenses - FBT</v>
          </cell>
          <cell r="C109">
            <v>0</v>
          </cell>
          <cell r="D109">
            <v>144000</v>
          </cell>
          <cell r="E109">
            <v>73000</v>
          </cell>
          <cell r="F109">
            <v>71000</v>
          </cell>
          <cell r="G109">
            <v>0</v>
          </cell>
          <cell r="H109">
            <v>71000</v>
          </cell>
        </row>
        <row r="110">
          <cell r="A110">
            <v>43040040</v>
          </cell>
          <cell r="B110" t="str">
            <v>Motor Car Hire Expenses</v>
          </cell>
          <cell r="C110">
            <v>0</v>
          </cell>
          <cell r="D110">
            <v>71695</v>
          </cell>
          <cell r="E110">
            <v>0</v>
          </cell>
          <cell r="F110">
            <v>71695</v>
          </cell>
          <cell r="G110">
            <v>0</v>
          </cell>
          <cell r="H110">
            <v>71695</v>
          </cell>
        </row>
        <row r="111">
          <cell r="A111">
            <v>43042010</v>
          </cell>
          <cell r="B111" t="str">
            <v>Fuel - Truck Mixers</v>
          </cell>
          <cell r="C111">
            <v>0</v>
          </cell>
          <cell r="D111">
            <v>1436878.2</v>
          </cell>
          <cell r="E111">
            <v>718439.1</v>
          </cell>
          <cell r="F111">
            <v>718439.1</v>
          </cell>
          <cell r="G111">
            <v>0</v>
          </cell>
          <cell r="H111">
            <v>718439.1</v>
          </cell>
        </row>
        <row r="112">
          <cell r="A112">
            <v>43042020</v>
          </cell>
          <cell r="B112" t="str">
            <v>Fuel - Loader</v>
          </cell>
          <cell r="C112">
            <v>0</v>
          </cell>
          <cell r="D112">
            <v>139425.62</v>
          </cell>
          <cell r="E112">
            <v>0</v>
          </cell>
          <cell r="F112">
            <v>139425.62</v>
          </cell>
          <cell r="G112">
            <v>0</v>
          </cell>
          <cell r="H112">
            <v>139425.62</v>
          </cell>
        </row>
        <row r="113">
          <cell r="A113">
            <v>43042040</v>
          </cell>
          <cell r="B113" t="str">
            <v>Fuel -  Company Vehicle Expenses  FBT</v>
          </cell>
          <cell r="C113">
            <v>0</v>
          </cell>
          <cell r="D113">
            <v>21000</v>
          </cell>
          <cell r="E113">
            <v>7000</v>
          </cell>
          <cell r="F113">
            <v>14000</v>
          </cell>
          <cell r="G113">
            <v>0</v>
          </cell>
          <cell r="H113">
            <v>14000</v>
          </cell>
        </row>
        <row r="114">
          <cell r="A114">
            <v>43042050</v>
          </cell>
          <cell r="B114" t="str">
            <v>Fuel -  External Trucks/Pumps</v>
          </cell>
          <cell r="C114">
            <v>0</v>
          </cell>
          <cell r="D114">
            <v>3155579.02</v>
          </cell>
          <cell r="E114">
            <v>1577789.51</v>
          </cell>
          <cell r="F114">
            <v>1577789.51</v>
          </cell>
          <cell r="G114">
            <v>0</v>
          </cell>
          <cell r="H114">
            <v>1577789.51</v>
          </cell>
        </row>
        <row r="115">
          <cell r="A115">
            <v>43042060</v>
          </cell>
          <cell r="B115" t="str">
            <v>Fuel - Concrete Pumps</v>
          </cell>
          <cell r="C115">
            <v>0</v>
          </cell>
          <cell r="D115">
            <v>438409.7</v>
          </cell>
          <cell r="E115">
            <v>219204.85</v>
          </cell>
          <cell r="F115">
            <v>219204.85</v>
          </cell>
          <cell r="G115">
            <v>0</v>
          </cell>
          <cell r="H115">
            <v>219204.85</v>
          </cell>
        </row>
        <row r="116">
          <cell r="A116">
            <v>43046010</v>
          </cell>
          <cell r="B116" t="str">
            <v>Rates &amp; Taxes</v>
          </cell>
          <cell r="C116">
            <v>0</v>
          </cell>
          <cell r="D116">
            <v>138062</v>
          </cell>
          <cell r="E116">
            <v>0</v>
          </cell>
          <cell r="F116">
            <v>138062</v>
          </cell>
          <cell r="G116">
            <v>0</v>
          </cell>
          <cell r="H116">
            <v>138062</v>
          </cell>
        </row>
        <row r="117">
          <cell r="A117">
            <v>43046020</v>
          </cell>
          <cell r="B117" t="str">
            <v>Toll Charges- Truck Mixer</v>
          </cell>
          <cell r="C117">
            <v>0</v>
          </cell>
          <cell r="D117">
            <v>238015</v>
          </cell>
          <cell r="E117">
            <v>6020</v>
          </cell>
          <cell r="F117">
            <v>231995</v>
          </cell>
          <cell r="G117">
            <v>0</v>
          </cell>
          <cell r="H117">
            <v>231995</v>
          </cell>
        </row>
        <row r="118">
          <cell r="A118">
            <v>43052010</v>
          </cell>
          <cell r="B118" t="str">
            <v>Security Service Charges</v>
          </cell>
          <cell r="C118">
            <v>0</v>
          </cell>
          <cell r="D118">
            <v>195047</v>
          </cell>
          <cell r="E118">
            <v>66000</v>
          </cell>
          <cell r="F118">
            <v>129047</v>
          </cell>
          <cell r="G118">
            <v>0</v>
          </cell>
          <cell r="H118">
            <v>129047</v>
          </cell>
        </row>
        <row r="119">
          <cell r="A119">
            <v>43054020</v>
          </cell>
          <cell r="B119" t="str">
            <v>Concrete Carrying Charges - TM</v>
          </cell>
          <cell r="C119">
            <v>0</v>
          </cell>
          <cell r="D119">
            <v>5045437</v>
          </cell>
          <cell r="E119">
            <v>1643200</v>
          </cell>
          <cell r="F119">
            <v>3402237</v>
          </cell>
          <cell r="G119">
            <v>0</v>
          </cell>
          <cell r="H119">
            <v>3402237</v>
          </cell>
        </row>
        <row r="120">
          <cell r="A120">
            <v>43054040</v>
          </cell>
          <cell r="B120" t="str">
            <v>Hire Charges - Vehicle</v>
          </cell>
          <cell r="C120">
            <v>0</v>
          </cell>
          <cell r="D120">
            <v>500</v>
          </cell>
          <cell r="E120">
            <v>0</v>
          </cell>
          <cell r="F120">
            <v>500</v>
          </cell>
          <cell r="G120">
            <v>0</v>
          </cell>
          <cell r="H120">
            <v>500</v>
          </cell>
        </row>
        <row r="121">
          <cell r="A121">
            <v>43056010</v>
          </cell>
          <cell r="B121" t="str">
            <v>Professional &amp; Consultancy Fees</v>
          </cell>
          <cell r="C121">
            <v>0</v>
          </cell>
          <cell r="D121">
            <v>117011</v>
          </cell>
          <cell r="E121">
            <v>43000</v>
          </cell>
          <cell r="F121">
            <v>74011</v>
          </cell>
          <cell r="G121">
            <v>0</v>
          </cell>
          <cell r="H121">
            <v>74011</v>
          </cell>
        </row>
        <row r="122">
          <cell r="A122">
            <v>43062010</v>
          </cell>
          <cell r="B122" t="str">
            <v>Computer Expenses</v>
          </cell>
          <cell r="C122">
            <v>0</v>
          </cell>
          <cell r="D122">
            <v>9721</v>
          </cell>
          <cell r="E122">
            <v>0</v>
          </cell>
          <cell r="F122">
            <v>9721</v>
          </cell>
          <cell r="G122">
            <v>0</v>
          </cell>
          <cell r="H122">
            <v>9721</v>
          </cell>
        </row>
        <row r="123">
          <cell r="A123">
            <v>43066020</v>
          </cell>
          <cell r="B123" t="str">
            <v>Printing &amp; Stationery</v>
          </cell>
          <cell r="C123">
            <v>0</v>
          </cell>
          <cell r="D123">
            <v>39205</v>
          </cell>
          <cell r="E123">
            <v>10000</v>
          </cell>
          <cell r="F123">
            <v>29205</v>
          </cell>
          <cell r="G123">
            <v>0</v>
          </cell>
          <cell r="H123">
            <v>29205</v>
          </cell>
        </row>
        <row r="124">
          <cell r="A124">
            <v>43070080</v>
          </cell>
          <cell r="B124" t="str">
            <v>Advertisement Expenses</v>
          </cell>
          <cell r="C124">
            <v>0</v>
          </cell>
          <cell r="D124">
            <v>5051</v>
          </cell>
          <cell r="E124">
            <v>0</v>
          </cell>
          <cell r="F124">
            <v>5051</v>
          </cell>
          <cell r="G124">
            <v>0</v>
          </cell>
          <cell r="H124">
            <v>5051</v>
          </cell>
        </row>
        <row r="125">
          <cell r="A125">
            <v>43074010</v>
          </cell>
          <cell r="B125" t="str">
            <v>Provision For Bad &amp; Doubtful Debts W/Off</v>
          </cell>
          <cell r="C125">
            <v>0</v>
          </cell>
          <cell r="D125">
            <v>354670</v>
          </cell>
          <cell r="E125">
            <v>0</v>
          </cell>
          <cell r="F125">
            <v>354670</v>
          </cell>
          <cell r="G125">
            <v>0</v>
          </cell>
          <cell r="H125">
            <v>354670</v>
          </cell>
        </row>
        <row r="126">
          <cell r="A126">
            <v>43084010</v>
          </cell>
          <cell r="B126" t="str">
            <v>Miscellaneous Expenses</v>
          </cell>
          <cell r="C126">
            <v>0</v>
          </cell>
          <cell r="D126">
            <v>120410</v>
          </cell>
          <cell r="E126">
            <v>113500</v>
          </cell>
          <cell r="F126">
            <v>6910</v>
          </cell>
          <cell r="G126">
            <v>0</v>
          </cell>
          <cell r="H126">
            <v>6910</v>
          </cell>
        </row>
        <row r="127">
          <cell r="A127">
            <v>43084020</v>
          </cell>
          <cell r="B127" t="str">
            <v>Testing Charges</v>
          </cell>
          <cell r="C127">
            <v>0</v>
          </cell>
          <cell r="D127">
            <v>1103</v>
          </cell>
          <cell r="E127">
            <v>0</v>
          </cell>
          <cell r="F127">
            <v>1103</v>
          </cell>
          <cell r="G127">
            <v>0</v>
          </cell>
          <cell r="H127">
            <v>1103</v>
          </cell>
        </row>
        <row r="128">
          <cell r="A128">
            <v>43084030</v>
          </cell>
          <cell r="B128" t="str">
            <v>Rounding Off</v>
          </cell>
          <cell r="C128">
            <v>0</v>
          </cell>
          <cell r="D128">
            <v>131.19999999999999</v>
          </cell>
          <cell r="E128">
            <v>128.75</v>
          </cell>
          <cell r="F128">
            <v>2.4500000000000002</v>
          </cell>
          <cell r="G128">
            <v>0</v>
          </cell>
          <cell r="H128">
            <v>2.4500000000000002</v>
          </cell>
        </row>
        <row r="129">
          <cell r="A129">
            <v>44010040</v>
          </cell>
          <cell r="B129" t="str">
            <v>Bank Charges</v>
          </cell>
          <cell r="C129">
            <v>0</v>
          </cell>
          <cell r="D129">
            <v>1709.65</v>
          </cell>
          <cell r="E129">
            <v>0</v>
          </cell>
          <cell r="F129">
            <v>1709.65</v>
          </cell>
          <cell r="G129">
            <v>0</v>
          </cell>
          <cell r="H129">
            <v>1709.65</v>
          </cell>
        </row>
        <row r="130">
          <cell r="A130">
            <v>45010010</v>
          </cell>
          <cell r="B130" t="str">
            <v>Depreciation</v>
          </cell>
          <cell r="C130">
            <v>0</v>
          </cell>
          <cell r="D130">
            <v>2066743</v>
          </cell>
          <cell r="E130">
            <v>0</v>
          </cell>
          <cell r="F130">
            <v>2066743</v>
          </cell>
          <cell r="G130">
            <v>0</v>
          </cell>
          <cell r="H130">
            <v>2066743</v>
          </cell>
        </row>
        <row r="131">
          <cell r="A131">
            <v>52000000</v>
          </cell>
          <cell r="B131" t="str">
            <v>Inter Branch Control Account</v>
          </cell>
          <cell r="C131">
            <v>-130997200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-130997200</v>
          </cell>
        </row>
        <row r="132">
          <cell r="A132">
            <v>52000809</v>
          </cell>
          <cell r="B132" t="str">
            <v>Inter branch control account for 08-09</v>
          </cell>
          <cell r="C132">
            <v>2546411.4700000002</v>
          </cell>
          <cell r="D132">
            <v>6322760</v>
          </cell>
          <cell r="E132">
            <v>5587839.7599999998</v>
          </cell>
          <cell r="F132">
            <v>734920.24</v>
          </cell>
          <cell r="G132">
            <v>0</v>
          </cell>
          <cell r="H132">
            <v>3281331.71</v>
          </cell>
        </row>
        <row r="133">
          <cell r="A133">
            <v>61000200</v>
          </cell>
          <cell r="B133" t="str">
            <v>Stock Transfer Control Account</v>
          </cell>
          <cell r="C133">
            <v>0</v>
          </cell>
          <cell r="D133">
            <v>1140442.04</v>
          </cell>
          <cell r="E133">
            <v>1140440.93</v>
          </cell>
          <cell r="F133">
            <v>1.1100000000000001</v>
          </cell>
          <cell r="G133">
            <v>0</v>
          </cell>
          <cell r="H133">
            <v>1.1100000000000001</v>
          </cell>
        </row>
        <row r="134">
          <cell r="A134">
            <v>61000400</v>
          </cell>
          <cell r="B134" t="str">
            <v>Control Account Haulage Income</v>
          </cell>
          <cell r="C134">
            <v>0</v>
          </cell>
          <cell r="D134">
            <v>7115000</v>
          </cell>
          <cell r="E134">
            <v>7115000</v>
          </cell>
          <cell r="F134">
            <v>0</v>
          </cell>
          <cell r="G134">
            <v>0</v>
          </cell>
          <cell r="H134">
            <v>0</v>
          </cell>
        </row>
        <row r="135">
          <cell r="A135">
            <v>61000500</v>
          </cell>
          <cell r="B135" t="str">
            <v>Control Account for Pumping</v>
          </cell>
          <cell r="C135">
            <v>0</v>
          </cell>
          <cell r="D135">
            <v>1608174</v>
          </cell>
          <cell r="E135">
            <v>1608174</v>
          </cell>
          <cell r="F135">
            <v>0</v>
          </cell>
          <cell r="G135">
            <v>0</v>
          </cell>
          <cell r="H135">
            <v>0</v>
          </cell>
        </row>
        <row r="136">
          <cell r="A136">
            <v>62000000</v>
          </cell>
          <cell r="B136" t="str">
            <v>Inter branch Clearing account</v>
          </cell>
          <cell r="C136">
            <v>0</v>
          </cell>
          <cell r="D136">
            <v>4717864.76</v>
          </cell>
          <cell r="E136">
            <v>4717864.76</v>
          </cell>
          <cell r="F136">
            <v>0</v>
          </cell>
          <cell r="G136">
            <v>0</v>
          </cell>
          <cell r="H136">
            <v>0</v>
          </cell>
        </row>
        <row r="137">
          <cell r="B137" t="str">
            <v>Total</v>
          </cell>
          <cell r="D137">
            <v>0</v>
          </cell>
          <cell r="E137">
            <v>535466777.13999999</v>
          </cell>
          <cell r="F137">
            <v>535466777.13999999</v>
          </cell>
          <cell r="G137">
            <v>0</v>
          </cell>
          <cell r="H137">
            <v>0</v>
          </cell>
        </row>
      </sheetData>
      <sheetData sheetId="29" refreshError="1">
        <row r="1">
          <cell r="A1" t="str">
            <v>RMC Readymix (I) Pvt. Ltd.,</v>
          </cell>
          <cell r="B1" t="str">
            <v>Trial balance</v>
          </cell>
          <cell r="C1">
            <v>39970</v>
          </cell>
          <cell r="D1">
            <v>0.4466087962962963</v>
          </cell>
          <cell r="E1" t="str">
            <v>Page 1</v>
          </cell>
          <cell r="F1" t="str">
            <v>Vadodara</v>
          </cell>
        </row>
        <row r="2">
          <cell r="A2" t="str">
            <v>Period</v>
          </cell>
          <cell r="B2">
            <v>39904</v>
          </cell>
          <cell r="C2">
            <v>39964</v>
          </cell>
        </row>
        <row r="3">
          <cell r="A3" t="str">
            <v>Ledger account</v>
          </cell>
          <cell r="B3" t="str">
            <v>Account name</v>
          </cell>
          <cell r="C3" t="str">
            <v>Opening balance</v>
          </cell>
          <cell r="D3" t="str">
            <v>Debit</v>
          </cell>
          <cell r="E3" t="str">
            <v>Credit</v>
          </cell>
          <cell r="F3" t="str">
            <v>Net difference</v>
          </cell>
          <cell r="G3" t="str">
            <v>Closing transactions</v>
          </cell>
          <cell r="H3" t="str">
            <v>Closing balance</v>
          </cell>
        </row>
        <row r="4">
          <cell r="A4">
            <v>11015010</v>
          </cell>
          <cell r="B4" t="str">
            <v>Buildings</v>
          </cell>
          <cell r="C4">
            <v>11368155.970000001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11368155.970000001</v>
          </cell>
        </row>
        <row r="5">
          <cell r="A5">
            <v>11025010</v>
          </cell>
          <cell r="B5" t="str">
            <v>Plant and Machinery</v>
          </cell>
          <cell r="C5">
            <v>19313770.699999999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19313770.699999999</v>
          </cell>
        </row>
        <row r="6">
          <cell r="A6">
            <v>11030010</v>
          </cell>
          <cell r="B6" t="str">
            <v>Electrical Installations</v>
          </cell>
          <cell r="C6">
            <v>2076078.24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2076078.24</v>
          </cell>
        </row>
        <row r="7">
          <cell r="A7">
            <v>11035010</v>
          </cell>
          <cell r="B7" t="str">
            <v>Furniture &amp; Fixtures</v>
          </cell>
          <cell r="C7">
            <v>686421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686421</v>
          </cell>
        </row>
        <row r="8">
          <cell r="A8">
            <v>11040010</v>
          </cell>
          <cell r="B8" t="str">
            <v>Office &amp; Electrical Appliances</v>
          </cell>
          <cell r="C8">
            <v>392677.75</v>
          </cell>
          <cell r="D8">
            <v>2880.86</v>
          </cell>
          <cell r="E8">
            <v>0</v>
          </cell>
          <cell r="F8">
            <v>2880.86</v>
          </cell>
          <cell r="G8">
            <v>0</v>
          </cell>
          <cell r="H8">
            <v>395558.61</v>
          </cell>
        </row>
        <row r="9">
          <cell r="A9">
            <v>11045010</v>
          </cell>
          <cell r="B9" t="str">
            <v>Truck Mixers, Loaders &amp; Truck Dumpers</v>
          </cell>
          <cell r="C9">
            <v>8156157.9500000002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8156157.9500000002</v>
          </cell>
        </row>
        <row r="10">
          <cell r="A10">
            <v>11060010</v>
          </cell>
          <cell r="B10" t="str">
            <v>Capital W.I.P</v>
          </cell>
          <cell r="C10">
            <v>0</v>
          </cell>
          <cell r="D10">
            <v>2880.86</v>
          </cell>
          <cell r="E10">
            <v>2880.86</v>
          </cell>
          <cell r="F10">
            <v>0</v>
          </cell>
          <cell r="G10">
            <v>0</v>
          </cell>
          <cell r="H10">
            <v>0</v>
          </cell>
        </row>
        <row r="11">
          <cell r="A11">
            <v>13015010</v>
          </cell>
          <cell r="B11" t="str">
            <v>Balance Sheet Stock of Raw material - RMC</v>
          </cell>
          <cell r="C11">
            <v>445373.6</v>
          </cell>
          <cell r="D11">
            <v>1300894.24</v>
          </cell>
          <cell r="E11">
            <v>445373.6</v>
          </cell>
          <cell r="F11">
            <v>855520.64</v>
          </cell>
          <cell r="G11">
            <v>0</v>
          </cell>
          <cell r="H11">
            <v>1300894.24</v>
          </cell>
        </row>
        <row r="12">
          <cell r="A12">
            <v>13020010</v>
          </cell>
          <cell r="B12" t="str">
            <v>Sundry Debtors Account</v>
          </cell>
          <cell r="C12">
            <v>13695886</v>
          </cell>
          <cell r="D12">
            <v>24487338</v>
          </cell>
          <cell r="E12">
            <v>19850397</v>
          </cell>
          <cell r="F12">
            <v>4636941</v>
          </cell>
          <cell r="G12">
            <v>0</v>
          </cell>
          <cell r="H12">
            <v>18332827</v>
          </cell>
        </row>
        <row r="13">
          <cell r="A13">
            <v>13025010</v>
          </cell>
          <cell r="B13" t="str">
            <v>Cash In Hand</v>
          </cell>
          <cell r="C13">
            <v>33260</v>
          </cell>
          <cell r="D13">
            <v>184017</v>
          </cell>
          <cell r="E13">
            <v>197309</v>
          </cell>
          <cell r="F13">
            <v>-13292</v>
          </cell>
          <cell r="G13">
            <v>0</v>
          </cell>
          <cell r="H13">
            <v>19968</v>
          </cell>
        </row>
        <row r="14">
          <cell r="A14">
            <v>13035010</v>
          </cell>
          <cell r="B14" t="str">
            <v>Bank Account</v>
          </cell>
          <cell r="C14">
            <v>661801.78</v>
          </cell>
          <cell r="D14">
            <v>18814946.300000001</v>
          </cell>
          <cell r="E14">
            <v>20604754.079999998</v>
          </cell>
          <cell r="F14">
            <v>-1789807.78</v>
          </cell>
          <cell r="G14">
            <v>0</v>
          </cell>
          <cell r="H14">
            <v>-1128006</v>
          </cell>
        </row>
        <row r="15">
          <cell r="A15">
            <v>13045020</v>
          </cell>
          <cell r="B15" t="str">
            <v>Loans and advances to employees</v>
          </cell>
          <cell r="C15">
            <v>0</v>
          </cell>
          <cell r="D15">
            <v>30548</v>
          </cell>
          <cell r="E15">
            <v>29262</v>
          </cell>
          <cell r="F15">
            <v>1286</v>
          </cell>
          <cell r="G15">
            <v>0</v>
          </cell>
          <cell r="H15">
            <v>1286</v>
          </cell>
        </row>
        <row r="16">
          <cell r="A16">
            <v>13050020</v>
          </cell>
          <cell r="B16" t="str">
            <v>TDS ON RECEIPTS - 08-09</v>
          </cell>
          <cell r="C16">
            <v>0</v>
          </cell>
          <cell r="D16">
            <v>19473</v>
          </cell>
          <cell r="E16">
            <v>0</v>
          </cell>
          <cell r="F16">
            <v>19473</v>
          </cell>
          <cell r="G16">
            <v>0</v>
          </cell>
          <cell r="H16">
            <v>19473</v>
          </cell>
        </row>
        <row r="17">
          <cell r="A17">
            <v>13055020</v>
          </cell>
          <cell r="B17" t="str">
            <v>Prepaid Expenses</v>
          </cell>
          <cell r="C17">
            <v>82618.75</v>
          </cell>
          <cell r="D17">
            <v>206985</v>
          </cell>
          <cell r="E17">
            <v>86528.5</v>
          </cell>
          <cell r="F17">
            <v>120456.5</v>
          </cell>
          <cell r="G17">
            <v>0</v>
          </cell>
          <cell r="H17">
            <v>203075.25</v>
          </cell>
        </row>
        <row r="18">
          <cell r="A18">
            <v>13055060</v>
          </cell>
          <cell r="B18" t="str">
            <v>VAT Credit Receivable (Inputs)</v>
          </cell>
          <cell r="C18">
            <v>912087</v>
          </cell>
          <cell r="D18">
            <v>1167526</v>
          </cell>
          <cell r="E18">
            <v>1454779</v>
          </cell>
          <cell r="F18">
            <v>-287253</v>
          </cell>
          <cell r="G18">
            <v>0</v>
          </cell>
          <cell r="H18">
            <v>624834</v>
          </cell>
        </row>
        <row r="19">
          <cell r="A19">
            <v>13055070</v>
          </cell>
          <cell r="B19" t="str">
            <v>Vat Credit Receivable (Capital Goods)</v>
          </cell>
          <cell r="C19">
            <v>539441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539441</v>
          </cell>
        </row>
        <row r="20">
          <cell r="A20">
            <v>13055090</v>
          </cell>
          <cell r="B20" t="str">
            <v>Sundry Deposits</v>
          </cell>
          <cell r="C20">
            <v>845891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845891</v>
          </cell>
        </row>
        <row r="21">
          <cell r="A21">
            <v>25005010</v>
          </cell>
          <cell r="B21" t="str">
            <v>Creditors Control</v>
          </cell>
          <cell r="C21">
            <v>-12966382.800000001</v>
          </cell>
          <cell r="D21">
            <v>14801027.25</v>
          </cell>
          <cell r="E21">
            <v>13404383</v>
          </cell>
          <cell r="F21">
            <v>1396644.25</v>
          </cell>
          <cell r="G21">
            <v>0</v>
          </cell>
          <cell r="H21">
            <v>-11569738.550000001</v>
          </cell>
        </row>
        <row r="22">
          <cell r="A22">
            <v>25005050</v>
          </cell>
          <cell r="B22" t="str">
            <v>Creditors liability for material received but bill not recei</v>
          </cell>
          <cell r="C22">
            <v>0.64</v>
          </cell>
          <cell r="D22">
            <v>10527450.99</v>
          </cell>
          <cell r="E22">
            <v>13830567.720000001</v>
          </cell>
          <cell r="F22">
            <v>-3303116.73</v>
          </cell>
          <cell r="G22">
            <v>0</v>
          </cell>
          <cell r="H22">
            <v>-3303116.09</v>
          </cell>
        </row>
        <row r="23">
          <cell r="A23">
            <v>25010020</v>
          </cell>
          <cell r="B23" t="str">
            <v>Outstanding Liabilities For Expenses</v>
          </cell>
          <cell r="C23">
            <v>-45000</v>
          </cell>
          <cell r="D23">
            <v>45000</v>
          </cell>
          <cell r="E23">
            <v>0</v>
          </cell>
          <cell r="F23">
            <v>45000</v>
          </cell>
          <cell r="G23">
            <v>0</v>
          </cell>
          <cell r="H23">
            <v>0</v>
          </cell>
        </row>
        <row r="24">
          <cell r="A24">
            <v>25010060</v>
          </cell>
          <cell r="B24" t="str">
            <v>T.D.S.payable account</v>
          </cell>
          <cell r="C24">
            <v>-137385</v>
          </cell>
          <cell r="D24">
            <v>175978</v>
          </cell>
          <cell r="E24">
            <v>62616</v>
          </cell>
          <cell r="F24">
            <v>113362</v>
          </cell>
          <cell r="G24">
            <v>0</v>
          </cell>
          <cell r="H24">
            <v>-24023</v>
          </cell>
        </row>
        <row r="25">
          <cell r="A25">
            <v>25010190</v>
          </cell>
          <cell r="B25" t="str">
            <v>VAT  Payable account</v>
          </cell>
          <cell r="C25">
            <v>-1162285</v>
          </cell>
          <cell r="D25">
            <v>2256505</v>
          </cell>
          <cell r="E25">
            <v>2289744</v>
          </cell>
          <cell r="F25">
            <v>-33239</v>
          </cell>
          <cell r="G25">
            <v>0</v>
          </cell>
          <cell r="H25">
            <v>-1195524</v>
          </cell>
        </row>
        <row r="26">
          <cell r="A26">
            <v>25010197</v>
          </cell>
          <cell r="B26" t="str">
            <v>VAT Additional Tax Payable</v>
          </cell>
          <cell r="C26">
            <v>-232533</v>
          </cell>
          <cell r="D26">
            <v>451464</v>
          </cell>
          <cell r="E26">
            <v>458101</v>
          </cell>
          <cell r="F26">
            <v>-6637</v>
          </cell>
          <cell r="G26">
            <v>0</v>
          </cell>
          <cell r="H26">
            <v>-239170</v>
          </cell>
        </row>
        <row r="27">
          <cell r="A27">
            <v>25010200</v>
          </cell>
          <cell r="B27" t="str">
            <v>Provision for Expenses in MIS</v>
          </cell>
          <cell r="C27">
            <v>0</v>
          </cell>
          <cell r="D27">
            <v>1034661</v>
          </cell>
          <cell r="E27">
            <v>2375237</v>
          </cell>
          <cell r="F27">
            <v>-1340576</v>
          </cell>
          <cell r="G27">
            <v>0</v>
          </cell>
          <cell r="H27">
            <v>-1340576</v>
          </cell>
        </row>
        <row r="28">
          <cell r="A28">
            <v>26005020</v>
          </cell>
          <cell r="B28" t="str">
            <v>Provision For Bad &amp; Doubtful Debts</v>
          </cell>
          <cell r="C28">
            <v>0</v>
          </cell>
          <cell r="D28">
            <v>0</v>
          </cell>
          <cell r="E28">
            <v>101122</v>
          </cell>
          <cell r="F28">
            <v>-101122</v>
          </cell>
          <cell r="G28">
            <v>0</v>
          </cell>
          <cell r="H28">
            <v>-101122</v>
          </cell>
        </row>
        <row r="29">
          <cell r="A29">
            <v>26015010</v>
          </cell>
          <cell r="B29" t="str">
            <v>Prov For Dep.-  Buildings</v>
          </cell>
          <cell r="C29">
            <v>-311836.94</v>
          </cell>
          <cell r="D29">
            <v>0</v>
          </cell>
          <cell r="E29">
            <v>184270</v>
          </cell>
          <cell r="F29">
            <v>-184270</v>
          </cell>
          <cell r="G29">
            <v>0</v>
          </cell>
          <cell r="H29">
            <v>-496106.94</v>
          </cell>
        </row>
        <row r="30">
          <cell r="A30">
            <v>26025010</v>
          </cell>
          <cell r="B30" t="str">
            <v>Provision for Depreciation Plant &amp; Machinery</v>
          </cell>
          <cell r="C30">
            <v>-1850796</v>
          </cell>
          <cell r="D30">
            <v>0</v>
          </cell>
          <cell r="E30">
            <v>305772</v>
          </cell>
          <cell r="F30">
            <v>-305772</v>
          </cell>
          <cell r="G30">
            <v>0</v>
          </cell>
          <cell r="H30">
            <v>-2156568</v>
          </cell>
        </row>
        <row r="31">
          <cell r="A31">
            <v>26030010</v>
          </cell>
          <cell r="B31" t="str">
            <v>Provision For Dep.-Electrical Installations</v>
          </cell>
          <cell r="C31">
            <v>-68731</v>
          </cell>
          <cell r="D31">
            <v>0</v>
          </cell>
          <cell r="E31">
            <v>34610</v>
          </cell>
          <cell r="F31">
            <v>-34610</v>
          </cell>
          <cell r="G31">
            <v>0</v>
          </cell>
          <cell r="H31">
            <v>-103341</v>
          </cell>
        </row>
        <row r="32">
          <cell r="A32">
            <v>26035010</v>
          </cell>
          <cell r="B32" t="str">
            <v>Provision For Dep.-Furniture and Fixtures</v>
          </cell>
          <cell r="C32">
            <v>-53049</v>
          </cell>
          <cell r="D32">
            <v>0</v>
          </cell>
          <cell r="E32">
            <v>16782</v>
          </cell>
          <cell r="F32">
            <v>-16782</v>
          </cell>
          <cell r="G32">
            <v>0</v>
          </cell>
          <cell r="H32">
            <v>-69831</v>
          </cell>
        </row>
        <row r="33">
          <cell r="A33">
            <v>26040010</v>
          </cell>
          <cell r="B33" t="str">
            <v>Provision for Depreciation- Office and Electrical Appliances</v>
          </cell>
          <cell r="C33">
            <v>-41735</v>
          </cell>
          <cell r="D33">
            <v>0</v>
          </cell>
          <cell r="E33">
            <v>10643</v>
          </cell>
          <cell r="F33">
            <v>-10643</v>
          </cell>
          <cell r="G33">
            <v>0</v>
          </cell>
          <cell r="H33">
            <v>-52378</v>
          </cell>
        </row>
        <row r="34">
          <cell r="A34">
            <v>26045010</v>
          </cell>
          <cell r="B34" t="str">
            <v>Provision for Depreciation- Truck Mixers, Loaders &amp; Dumpers</v>
          </cell>
          <cell r="C34">
            <v>-608914</v>
          </cell>
          <cell r="D34">
            <v>0</v>
          </cell>
          <cell r="E34">
            <v>169918</v>
          </cell>
          <cell r="F34">
            <v>-169918</v>
          </cell>
          <cell r="G34">
            <v>0</v>
          </cell>
          <cell r="H34">
            <v>-778832</v>
          </cell>
        </row>
        <row r="35">
          <cell r="A35">
            <v>26055020</v>
          </cell>
          <cell r="B35" t="str">
            <v>Profit &amp; Loss A/c</v>
          </cell>
          <cell r="C35">
            <v>-2632928.37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-2632928.37</v>
          </cell>
        </row>
        <row r="36">
          <cell r="A36">
            <v>26055030</v>
          </cell>
          <cell r="B36" t="str">
            <v>Provision for Leave encashment</v>
          </cell>
          <cell r="C36">
            <v>0</v>
          </cell>
          <cell r="D36">
            <v>0</v>
          </cell>
          <cell r="E36">
            <v>30000</v>
          </cell>
          <cell r="F36">
            <v>-30000</v>
          </cell>
          <cell r="G36">
            <v>0</v>
          </cell>
          <cell r="H36">
            <v>-30000</v>
          </cell>
        </row>
        <row r="37">
          <cell r="A37">
            <v>26055050</v>
          </cell>
          <cell r="B37" t="str">
            <v>Provision for Production linked incentive (KRA)</v>
          </cell>
          <cell r="C37">
            <v>0</v>
          </cell>
          <cell r="D37">
            <v>0</v>
          </cell>
          <cell r="E37">
            <v>60274</v>
          </cell>
          <cell r="F37">
            <v>-60274</v>
          </cell>
          <cell r="G37">
            <v>0</v>
          </cell>
          <cell r="H37">
            <v>-60274</v>
          </cell>
        </row>
        <row r="38">
          <cell r="A38">
            <v>31010010</v>
          </cell>
          <cell r="B38" t="str">
            <v>Sales</v>
          </cell>
          <cell r="C38">
            <v>0</v>
          </cell>
          <cell r="D38">
            <v>722618.38</v>
          </cell>
          <cell r="E38">
            <v>18308708.350000001</v>
          </cell>
          <cell r="F38">
            <v>-17586089.969999999</v>
          </cell>
          <cell r="G38">
            <v>0</v>
          </cell>
          <cell r="H38">
            <v>-17586089.969999999</v>
          </cell>
        </row>
        <row r="39">
          <cell r="A39">
            <v>32020020</v>
          </cell>
          <cell r="B39" t="str">
            <v>Misc Income - Scrap sales</v>
          </cell>
          <cell r="C39">
            <v>0</v>
          </cell>
          <cell r="D39">
            <v>0</v>
          </cell>
          <cell r="E39">
            <v>25619.06</v>
          </cell>
          <cell r="F39">
            <v>-25619.06</v>
          </cell>
          <cell r="G39">
            <v>0</v>
          </cell>
          <cell r="H39">
            <v>-25619.06</v>
          </cell>
        </row>
        <row r="40">
          <cell r="A40">
            <v>41010010</v>
          </cell>
          <cell r="B40" t="str">
            <v>Opening Stock - Cement</v>
          </cell>
          <cell r="C40">
            <v>0</v>
          </cell>
          <cell r="D40">
            <v>232280.7</v>
          </cell>
          <cell r="E40">
            <v>0</v>
          </cell>
          <cell r="F40">
            <v>232280.7</v>
          </cell>
          <cell r="G40">
            <v>0</v>
          </cell>
          <cell r="H40">
            <v>232280.7</v>
          </cell>
        </row>
        <row r="41">
          <cell r="A41">
            <v>41010020</v>
          </cell>
          <cell r="B41" t="str">
            <v>Opening Stock - Sand</v>
          </cell>
          <cell r="C41">
            <v>0</v>
          </cell>
          <cell r="D41">
            <v>54139.79</v>
          </cell>
          <cell r="E41">
            <v>0</v>
          </cell>
          <cell r="F41">
            <v>54139.79</v>
          </cell>
          <cell r="G41">
            <v>0</v>
          </cell>
          <cell r="H41">
            <v>54139.79</v>
          </cell>
        </row>
        <row r="42">
          <cell r="A42">
            <v>41010040</v>
          </cell>
          <cell r="B42" t="str">
            <v>Opening Stock - RMC Aggregates</v>
          </cell>
          <cell r="C42">
            <v>0</v>
          </cell>
          <cell r="D42">
            <v>80682.8</v>
          </cell>
          <cell r="E42">
            <v>0</v>
          </cell>
          <cell r="F42">
            <v>80682.8</v>
          </cell>
          <cell r="G42">
            <v>0</v>
          </cell>
          <cell r="H42">
            <v>80682.8</v>
          </cell>
        </row>
        <row r="43">
          <cell r="A43">
            <v>41010050</v>
          </cell>
          <cell r="B43" t="str">
            <v>Opening Stock - Admixtures</v>
          </cell>
          <cell r="C43">
            <v>0</v>
          </cell>
          <cell r="D43">
            <v>34645.660000000003</v>
          </cell>
          <cell r="E43">
            <v>0</v>
          </cell>
          <cell r="F43">
            <v>34645.660000000003</v>
          </cell>
          <cell r="G43">
            <v>0</v>
          </cell>
          <cell r="H43">
            <v>34645.660000000003</v>
          </cell>
        </row>
        <row r="44">
          <cell r="A44">
            <v>41010070</v>
          </cell>
          <cell r="B44" t="str">
            <v>Opening Stock - Flyash</v>
          </cell>
          <cell r="C44">
            <v>0</v>
          </cell>
          <cell r="D44">
            <v>37644.75</v>
          </cell>
          <cell r="E44">
            <v>0</v>
          </cell>
          <cell r="F44">
            <v>37644.75</v>
          </cell>
          <cell r="G44">
            <v>0</v>
          </cell>
          <cell r="H44">
            <v>37644.75</v>
          </cell>
        </row>
        <row r="45">
          <cell r="A45">
            <v>41010080</v>
          </cell>
          <cell r="B45" t="str">
            <v>Opening Stock - Diesel</v>
          </cell>
          <cell r="C45">
            <v>0</v>
          </cell>
          <cell r="D45">
            <v>5979.9</v>
          </cell>
          <cell r="E45">
            <v>0</v>
          </cell>
          <cell r="F45">
            <v>5979.9</v>
          </cell>
          <cell r="G45">
            <v>0</v>
          </cell>
          <cell r="H45">
            <v>5979.9</v>
          </cell>
        </row>
        <row r="46">
          <cell r="A46">
            <v>41020010</v>
          </cell>
          <cell r="B46" t="str">
            <v>Raw Material Purchase - Cement</v>
          </cell>
          <cell r="C46">
            <v>0</v>
          </cell>
          <cell r="D46">
            <v>7033998.4100000001</v>
          </cell>
          <cell r="E46">
            <v>7707520.0300000003</v>
          </cell>
          <cell r="F46">
            <v>-673521.62</v>
          </cell>
          <cell r="G46">
            <v>0</v>
          </cell>
          <cell r="H46">
            <v>-673521.62</v>
          </cell>
        </row>
        <row r="47">
          <cell r="A47">
            <v>41020015</v>
          </cell>
          <cell r="B47" t="str">
            <v>Interim account cement received</v>
          </cell>
          <cell r="C47">
            <v>0</v>
          </cell>
          <cell r="D47">
            <v>8341620.1299999999</v>
          </cell>
          <cell r="E47">
            <v>7028437.46</v>
          </cell>
          <cell r="F47">
            <v>1313182.67</v>
          </cell>
          <cell r="G47">
            <v>0</v>
          </cell>
          <cell r="H47">
            <v>1313182.67</v>
          </cell>
        </row>
        <row r="48">
          <cell r="A48">
            <v>41020020</v>
          </cell>
          <cell r="B48" t="str">
            <v>Cement Consumption account</v>
          </cell>
          <cell r="C48">
            <v>0</v>
          </cell>
          <cell r="D48">
            <v>7682315.3899999997</v>
          </cell>
          <cell r="E48">
            <v>1210.6400000000001</v>
          </cell>
          <cell r="F48">
            <v>7681104.75</v>
          </cell>
          <cell r="G48">
            <v>0</v>
          </cell>
          <cell r="H48">
            <v>7681104.75</v>
          </cell>
        </row>
        <row r="49">
          <cell r="A49">
            <v>41020030</v>
          </cell>
          <cell r="B49" t="str">
            <v>Raw Material Purchase - Aggregates</v>
          </cell>
          <cell r="C49">
            <v>0</v>
          </cell>
          <cell r="D49">
            <v>1245134.2</v>
          </cell>
          <cell r="E49">
            <v>2615967.94</v>
          </cell>
          <cell r="F49">
            <v>-1370833.74</v>
          </cell>
          <cell r="G49">
            <v>0</v>
          </cell>
          <cell r="H49">
            <v>-1370833.74</v>
          </cell>
        </row>
        <row r="50">
          <cell r="A50">
            <v>41020035</v>
          </cell>
          <cell r="B50" t="str">
            <v>Interim account Aggregate received</v>
          </cell>
          <cell r="C50">
            <v>0</v>
          </cell>
          <cell r="D50">
            <v>2703369.2</v>
          </cell>
          <cell r="E50">
            <v>1211847.17</v>
          </cell>
          <cell r="F50">
            <v>1491522.03</v>
          </cell>
          <cell r="G50">
            <v>0</v>
          </cell>
          <cell r="H50">
            <v>1491522.03</v>
          </cell>
        </row>
        <row r="51">
          <cell r="A51">
            <v>41020040</v>
          </cell>
          <cell r="B51" t="str">
            <v>Aggregate Consumption account</v>
          </cell>
          <cell r="C51">
            <v>0</v>
          </cell>
          <cell r="D51">
            <v>2615419.4500000002</v>
          </cell>
          <cell r="E51">
            <v>31241.52</v>
          </cell>
          <cell r="F51">
            <v>2584177.9300000002</v>
          </cell>
          <cell r="G51">
            <v>0</v>
          </cell>
          <cell r="H51">
            <v>2584177.9300000002</v>
          </cell>
        </row>
        <row r="52">
          <cell r="A52">
            <v>41020050</v>
          </cell>
          <cell r="B52" t="str">
            <v>Raw Material Purchase - Sand</v>
          </cell>
          <cell r="C52">
            <v>0</v>
          </cell>
          <cell r="D52">
            <v>739511.41</v>
          </cell>
          <cell r="E52">
            <v>989104.99</v>
          </cell>
          <cell r="F52">
            <v>-249593.58</v>
          </cell>
          <cell r="G52">
            <v>0</v>
          </cell>
          <cell r="H52">
            <v>-249593.58</v>
          </cell>
        </row>
        <row r="53">
          <cell r="A53">
            <v>41020055</v>
          </cell>
          <cell r="B53" t="str">
            <v>Interim account Sand Received</v>
          </cell>
          <cell r="C53">
            <v>0</v>
          </cell>
          <cell r="D53">
            <v>990793.25</v>
          </cell>
          <cell r="E53">
            <v>723893.87</v>
          </cell>
          <cell r="F53">
            <v>266899.38</v>
          </cell>
          <cell r="G53">
            <v>0</v>
          </cell>
          <cell r="H53">
            <v>266899.38</v>
          </cell>
        </row>
        <row r="54">
          <cell r="A54">
            <v>41020060</v>
          </cell>
          <cell r="B54" t="str">
            <v>Sand Consumption account</v>
          </cell>
          <cell r="C54">
            <v>0</v>
          </cell>
          <cell r="D54">
            <v>989104.99</v>
          </cell>
          <cell r="E54">
            <v>3913.18</v>
          </cell>
          <cell r="F54">
            <v>985191.81</v>
          </cell>
          <cell r="G54">
            <v>0</v>
          </cell>
          <cell r="H54">
            <v>985191.81</v>
          </cell>
        </row>
        <row r="55">
          <cell r="A55">
            <v>41020070</v>
          </cell>
          <cell r="B55" t="str">
            <v>Raw Material Purchase - Admixture</v>
          </cell>
          <cell r="C55">
            <v>0</v>
          </cell>
          <cell r="D55">
            <v>668217.79</v>
          </cell>
          <cell r="E55">
            <v>797404.58</v>
          </cell>
          <cell r="F55">
            <v>-129186.79</v>
          </cell>
          <cell r="G55">
            <v>0</v>
          </cell>
          <cell r="H55">
            <v>-129186.79</v>
          </cell>
        </row>
        <row r="56">
          <cell r="A56">
            <v>41020075</v>
          </cell>
          <cell r="B56" t="str">
            <v>Interim account Admixture received</v>
          </cell>
          <cell r="C56">
            <v>0</v>
          </cell>
          <cell r="D56">
            <v>850204.96</v>
          </cell>
          <cell r="E56">
            <v>634293.80000000005</v>
          </cell>
          <cell r="F56">
            <v>215911.16</v>
          </cell>
          <cell r="G56">
            <v>0</v>
          </cell>
          <cell r="H56">
            <v>215911.16</v>
          </cell>
        </row>
        <row r="57">
          <cell r="A57">
            <v>41020080</v>
          </cell>
          <cell r="B57" t="str">
            <v>Admixture Consumption account</v>
          </cell>
          <cell r="C57">
            <v>0</v>
          </cell>
          <cell r="D57">
            <v>389065</v>
          </cell>
          <cell r="E57">
            <v>15169.29</v>
          </cell>
          <cell r="F57">
            <v>373895.71</v>
          </cell>
          <cell r="G57">
            <v>0</v>
          </cell>
          <cell r="H57">
            <v>373895.71</v>
          </cell>
        </row>
        <row r="58">
          <cell r="A58">
            <v>41020090</v>
          </cell>
          <cell r="B58" t="str">
            <v>Raw Material  Purchase - Fly Ash</v>
          </cell>
          <cell r="C58">
            <v>0</v>
          </cell>
          <cell r="D58">
            <v>160045.31</v>
          </cell>
          <cell r="E58">
            <v>166361.26</v>
          </cell>
          <cell r="F58">
            <v>-6315.95</v>
          </cell>
          <cell r="G58">
            <v>0</v>
          </cell>
          <cell r="H58">
            <v>-6315.95</v>
          </cell>
        </row>
        <row r="59">
          <cell r="A59">
            <v>41020095</v>
          </cell>
          <cell r="B59" t="str">
            <v>Interim account fly ash received</v>
          </cell>
          <cell r="C59">
            <v>0</v>
          </cell>
          <cell r="D59">
            <v>155548.72</v>
          </cell>
          <cell r="E59">
            <v>155548.72</v>
          </cell>
          <cell r="F59">
            <v>0</v>
          </cell>
          <cell r="G59">
            <v>0</v>
          </cell>
          <cell r="H59">
            <v>0</v>
          </cell>
        </row>
        <row r="60">
          <cell r="A60">
            <v>41020100</v>
          </cell>
          <cell r="B60" t="str">
            <v>Fly Ash Consumption account</v>
          </cell>
          <cell r="C60">
            <v>0</v>
          </cell>
          <cell r="D60">
            <v>164526.94</v>
          </cell>
          <cell r="E60">
            <v>2003.94</v>
          </cell>
          <cell r="F60">
            <v>162523</v>
          </cell>
          <cell r="G60">
            <v>0</v>
          </cell>
          <cell r="H60">
            <v>162523</v>
          </cell>
        </row>
        <row r="61">
          <cell r="A61">
            <v>41020150</v>
          </cell>
          <cell r="B61" t="str">
            <v>Loss/ gain on Stock</v>
          </cell>
          <cell r="C61">
            <v>0</v>
          </cell>
          <cell r="D61">
            <v>3650.32</v>
          </cell>
          <cell r="E61">
            <v>20745.240000000002</v>
          </cell>
          <cell r="F61">
            <v>-17094.919999999998</v>
          </cell>
          <cell r="G61">
            <v>0</v>
          </cell>
          <cell r="H61">
            <v>-17094.919999999998</v>
          </cell>
        </row>
        <row r="62">
          <cell r="A62">
            <v>41020195</v>
          </cell>
          <cell r="B62" t="str">
            <v>Purchase of Diesel</v>
          </cell>
          <cell r="C62">
            <v>0</v>
          </cell>
          <cell r="D62">
            <v>723818.47</v>
          </cell>
          <cell r="E62">
            <v>741827.88</v>
          </cell>
          <cell r="F62">
            <v>-18009.41</v>
          </cell>
          <cell r="G62">
            <v>0</v>
          </cell>
          <cell r="H62">
            <v>-18009.41</v>
          </cell>
        </row>
        <row r="63">
          <cell r="A63">
            <v>41020200</v>
          </cell>
          <cell r="B63" t="str">
            <v>Interim account for diesel received</v>
          </cell>
          <cell r="C63">
            <v>0</v>
          </cell>
          <cell r="D63">
            <v>739284.96</v>
          </cell>
          <cell r="E63">
            <v>723818.47</v>
          </cell>
          <cell r="F63">
            <v>15466.49</v>
          </cell>
          <cell r="G63">
            <v>0</v>
          </cell>
          <cell r="H63">
            <v>15466.49</v>
          </cell>
        </row>
        <row r="64">
          <cell r="A64">
            <v>41050010</v>
          </cell>
          <cell r="B64" t="str">
            <v>Closing Stock - Cement</v>
          </cell>
          <cell r="C64">
            <v>0</v>
          </cell>
          <cell r="D64">
            <v>0</v>
          </cell>
          <cell r="E64">
            <v>871941.75</v>
          </cell>
          <cell r="F64">
            <v>-871941.75</v>
          </cell>
          <cell r="G64">
            <v>0</v>
          </cell>
          <cell r="H64">
            <v>-871941.75</v>
          </cell>
        </row>
        <row r="65">
          <cell r="A65">
            <v>41050020</v>
          </cell>
          <cell r="B65" t="str">
            <v>Closing Stock - Sand</v>
          </cell>
          <cell r="C65">
            <v>0</v>
          </cell>
          <cell r="D65">
            <v>0</v>
          </cell>
          <cell r="E65">
            <v>71445.59</v>
          </cell>
          <cell r="F65">
            <v>-71445.59</v>
          </cell>
          <cell r="G65">
            <v>0</v>
          </cell>
          <cell r="H65">
            <v>-71445.59</v>
          </cell>
        </row>
        <row r="66">
          <cell r="A66">
            <v>41050040</v>
          </cell>
          <cell r="B66" t="str">
            <v>Closing Stock - RMC Aggregates</v>
          </cell>
          <cell r="C66">
            <v>0</v>
          </cell>
          <cell r="D66">
            <v>0</v>
          </cell>
          <cell r="E66">
            <v>201371.09</v>
          </cell>
          <cell r="F66">
            <v>-201371.09</v>
          </cell>
          <cell r="G66">
            <v>0</v>
          </cell>
          <cell r="H66">
            <v>-201371.09</v>
          </cell>
        </row>
        <row r="67">
          <cell r="A67">
            <v>41050050</v>
          </cell>
          <cell r="B67" t="str">
            <v>Closing Stock - Admixtures</v>
          </cell>
          <cell r="C67">
            <v>0</v>
          </cell>
          <cell r="D67">
            <v>0</v>
          </cell>
          <cell r="E67">
            <v>121370.03</v>
          </cell>
          <cell r="F67">
            <v>-121370.03</v>
          </cell>
          <cell r="G67">
            <v>0</v>
          </cell>
          <cell r="H67">
            <v>-121370.03</v>
          </cell>
        </row>
        <row r="68">
          <cell r="A68">
            <v>41050070</v>
          </cell>
          <cell r="B68" t="str">
            <v>Closing Stock - Flyash</v>
          </cell>
          <cell r="C68">
            <v>0</v>
          </cell>
          <cell r="D68">
            <v>0</v>
          </cell>
          <cell r="E68">
            <v>31328.799999999999</v>
          </cell>
          <cell r="F68">
            <v>-31328.799999999999</v>
          </cell>
          <cell r="G68">
            <v>0</v>
          </cell>
          <cell r="H68">
            <v>-31328.799999999999</v>
          </cell>
        </row>
        <row r="69">
          <cell r="A69">
            <v>41050080</v>
          </cell>
          <cell r="B69" t="str">
            <v>Closing Stock - Diesel</v>
          </cell>
          <cell r="C69">
            <v>0</v>
          </cell>
          <cell r="D69">
            <v>0</v>
          </cell>
          <cell r="E69">
            <v>3436.98</v>
          </cell>
          <cell r="F69">
            <v>-3436.98</v>
          </cell>
          <cell r="G69">
            <v>0</v>
          </cell>
          <cell r="H69">
            <v>-3436.98</v>
          </cell>
        </row>
        <row r="70">
          <cell r="A70">
            <v>42010010</v>
          </cell>
          <cell r="B70" t="str">
            <v>Salary - Basic</v>
          </cell>
          <cell r="C70">
            <v>0</v>
          </cell>
          <cell r="D70">
            <v>191136</v>
          </cell>
          <cell r="E70">
            <v>0</v>
          </cell>
          <cell r="F70">
            <v>191136</v>
          </cell>
          <cell r="G70">
            <v>0</v>
          </cell>
          <cell r="H70">
            <v>191136</v>
          </cell>
        </row>
        <row r="71">
          <cell r="A71">
            <v>42010020</v>
          </cell>
          <cell r="B71" t="str">
            <v>House Rent Allowance</v>
          </cell>
          <cell r="C71">
            <v>0</v>
          </cell>
          <cell r="D71">
            <v>95567</v>
          </cell>
          <cell r="E71">
            <v>0</v>
          </cell>
          <cell r="F71">
            <v>95567</v>
          </cell>
          <cell r="G71">
            <v>0</v>
          </cell>
          <cell r="H71">
            <v>95567</v>
          </cell>
        </row>
        <row r="72">
          <cell r="A72">
            <v>42010030</v>
          </cell>
          <cell r="B72" t="str">
            <v>Education Allowance</v>
          </cell>
          <cell r="C72">
            <v>0</v>
          </cell>
          <cell r="D72">
            <v>14159</v>
          </cell>
          <cell r="E72">
            <v>0</v>
          </cell>
          <cell r="F72">
            <v>14159</v>
          </cell>
          <cell r="G72">
            <v>0</v>
          </cell>
          <cell r="H72">
            <v>14159</v>
          </cell>
        </row>
        <row r="73">
          <cell r="A73">
            <v>42010040</v>
          </cell>
          <cell r="B73" t="str">
            <v>Special Allowance</v>
          </cell>
          <cell r="C73">
            <v>0</v>
          </cell>
          <cell r="D73">
            <v>31997</v>
          </cell>
          <cell r="E73">
            <v>0</v>
          </cell>
          <cell r="F73">
            <v>31997</v>
          </cell>
          <cell r="G73">
            <v>0</v>
          </cell>
          <cell r="H73">
            <v>31997</v>
          </cell>
        </row>
        <row r="74">
          <cell r="A74">
            <v>42010050</v>
          </cell>
          <cell r="B74" t="str">
            <v>Medical Expense Reimbursement</v>
          </cell>
          <cell r="C74">
            <v>0</v>
          </cell>
          <cell r="D74">
            <v>28337</v>
          </cell>
          <cell r="E74">
            <v>0</v>
          </cell>
          <cell r="F74">
            <v>28337</v>
          </cell>
          <cell r="G74">
            <v>0</v>
          </cell>
          <cell r="H74">
            <v>28337</v>
          </cell>
        </row>
        <row r="75">
          <cell r="A75">
            <v>42010060</v>
          </cell>
          <cell r="B75" t="str">
            <v>Leave Travel Allowance</v>
          </cell>
          <cell r="C75">
            <v>0</v>
          </cell>
          <cell r="D75">
            <v>73795</v>
          </cell>
          <cell r="E75">
            <v>25973</v>
          </cell>
          <cell r="F75">
            <v>47822</v>
          </cell>
          <cell r="G75">
            <v>0</v>
          </cell>
          <cell r="H75">
            <v>47822</v>
          </cell>
        </row>
        <row r="76">
          <cell r="A76">
            <v>42010070</v>
          </cell>
          <cell r="B76" t="str">
            <v>Leave Encashment</v>
          </cell>
          <cell r="C76">
            <v>0</v>
          </cell>
          <cell r="D76">
            <v>36819</v>
          </cell>
          <cell r="E76">
            <v>0</v>
          </cell>
          <cell r="F76">
            <v>36819</v>
          </cell>
          <cell r="G76">
            <v>0</v>
          </cell>
          <cell r="H76">
            <v>36819</v>
          </cell>
        </row>
        <row r="77">
          <cell r="A77">
            <v>42010100</v>
          </cell>
          <cell r="B77" t="str">
            <v>Transport Allowance</v>
          </cell>
          <cell r="C77">
            <v>0</v>
          </cell>
          <cell r="D77">
            <v>24479</v>
          </cell>
          <cell r="E77">
            <v>0</v>
          </cell>
          <cell r="F77">
            <v>24479</v>
          </cell>
          <cell r="G77">
            <v>0</v>
          </cell>
          <cell r="H77">
            <v>24479</v>
          </cell>
        </row>
        <row r="78">
          <cell r="A78">
            <v>42010130</v>
          </cell>
          <cell r="B78" t="str">
            <v>Production Linked Incentive</v>
          </cell>
          <cell r="C78">
            <v>0</v>
          </cell>
          <cell r="D78">
            <v>60274</v>
          </cell>
          <cell r="E78">
            <v>0</v>
          </cell>
          <cell r="F78">
            <v>60274</v>
          </cell>
          <cell r="G78">
            <v>0</v>
          </cell>
          <cell r="H78">
            <v>60274</v>
          </cell>
        </row>
        <row r="79">
          <cell r="A79">
            <v>42010220</v>
          </cell>
          <cell r="B79" t="str">
            <v>Adhoc Allowance</v>
          </cell>
          <cell r="C79">
            <v>0</v>
          </cell>
          <cell r="D79">
            <v>14432</v>
          </cell>
          <cell r="E79">
            <v>0</v>
          </cell>
          <cell r="F79">
            <v>14432</v>
          </cell>
          <cell r="G79">
            <v>0</v>
          </cell>
          <cell r="H79">
            <v>14432</v>
          </cell>
        </row>
        <row r="80">
          <cell r="A80">
            <v>42010230</v>
          </cell>
          <cell r="B80" t="str">
            <v>Car Allowance</v>
          </cell>
          <cell r="C80">
            <v>0</v>
          </cell>
          <cell r="D80">
            <v>27000</v>
          </cell>
          <cell r="E80">
            <v>0</v>
          </cell>
          <cell r="F80">
            <v>27000</v>
          </cell>
          <cell r="G80">
            <v>0</v>
          </cell>
          <cell r="H80">
            <v>27000</v>
          </cell>
        </row>
        <row r="81">
          <cell r="A81">
            <v>42010240</v>
          </cell>
          <cell r="B81" t="str">
            <v>Driver Allowance</v>
          </cell>
          <cell r="C81">
            <v>0</v>
          </cell>
          <cell r="D81">
            <v>18000</v>
          </cell>
          <cell r="E81">
            <v>0</v>
          </cell>
          <cell r="F81">
            <v>18000</v>
          </cell>
          <cell r="G81">
            <v>0</v>
          </cell>
          <cell r="H81">
            <v>18000</v>
          </cell>
        </row>
        <row r="82">
          <cell r="A82">
            <v>42020010</v>
          </cell>
          <cell r="B82" t="str">
            <v>Provident Funds - Employer's Conribution</v>
          </cell>
          <cell r="C82">
            <v>0</v>
          </cell>
          <cell r="D82">
            <v>11942</v>
          </cell>
          <cell r="E82">
            <v>0</v>
          </cell>
          <cell r="F82">
            <v>11942</v>
          </cell>
          <cell r="G82">
            <v>0</v>
          </cell>
          <cell r="H82">
            <v>11942</v>
          </cell>
        </row>
        <row r="83">
          <cell r="A83">
            <v>42020020</v>
          </cell>
          <cell r="B83" t="str">
            <v>Pension Fund - Employer's Contribution</v>
          </cell>
          <cell r="C83">
            <v>0</v>
          </cell>
          <cell r="D83">
            <v>9965</v>
          </cell>
          <cell r="E83">
            <v>0</v>
          </cell>
          <cell r="F83">
            <v>9965</v>
          </cell>
          <cell r="G83">
            <v>0</v>
          </cell>
          <cell r="H83">
            <v>9965</v>
          </cell>
        </row>
        <row r="84">
          <cell r="A84">
            <v>42030020</v>
          </cell>
          <cell r="B84" t="str">
            <v>Purchases of Safety &amp; Welfare Items</v>
          </cell>
          <cell r="C84">
            <v>0</v>
          </cell>
          <cell r="D84">
            <v>16414</v>
          </cell>
          <cell r="E84">
            <v>0</v>
          </cell>
          <cell r="F84">
            <v>16414</v>
          </cell>
          <cell r="G84">
            <v>0</v>
          </cell>
          <cell r="H84">
            <v>16414</v>
          </cell>
        </row>
        <row r="85">
          <cell r="A85">
            <v>42030040</v>
          </cell>
          <cell r="B85" t="str">
            <v>Staff Welfare Expenses - FBT</v>
          </cell>
          <cell r="C85">
            <v>0</v>
          </cell>
          <cell r="D85">
            <v>43023</v>
          </cell>
          <cell r="E85">
            <v>11806</v>
          </cell>
          <cell r="F85">
            <v>31217</v>
          </cell>
          <cell r="G85">
            <v>0</v>
          </cell>
          <cell r="H85">
            <v>31217</v>
          </cell>
        </row>
        <row r="86">
          <cell r="A86">
            <v>42030060</v>
          </cell>
          <cell r="B86" t="str">
            <v>Food &amp; Beverage Exps - FBT</v>
          </cell>
          <cell r="C86">
            <v>0</v>
          </cell>
          <cell r="D86">
            <v>7033</v>
          </cell>
          <cell r="E86">
            <v>0</v>
          </cell>
          <cell r="F86">
            <v>7033</v>
          </cell>
          <cell r="G86">
            <v>0</v>
          </cell>
          <cell r="H86">
            <v>7033</v>
          </cell>
        </row>
        <row r="87">
          <cell r="A87">
            <v>42030090</v>
          </cell>
          <cell r="B87" t="str">
            <v>Pooja &amp; Festival Celebration Expenses - FBT</v>
          </cell>
          <cell r="C87">
            <v>0</v>
          </cell>
          <cell r="D87">
            <v>1000</v>
          </cell>
          <cell r="E87">
            <v>0</v>
          </cell>
          <cell r="F87">
            <v>1000</v>
          </cell>
          <cell r="G87">
            <v>0</v>
          </cell>
          <cell r="H87">
            <v>1000</v>
          </cell>
        </row>
        <row r="88">
          <cell r="A88">
            <v>43001010</v>
          </cell>
          <cell r="B88" t="str">
            <v>Electricity Charges</v>
          </cell>
          <cell r="C88">
            <v>0</v>
          </cell>
          <cell r="D88">
            <v>235056</v>
          </cell>
          <cell r="E88">
            <v>95000</v>
          </cell>
          <cell r="F88">
            <v>140056</v>
          </cell>
          <cell r="G88">
            <v>0</v>
          </cell>
          <cell r="H88">
            <v>140056</v>
          </cell>
        </row>
        <row r="89">
          <cell r="A89">
            <v>43001030</v>
          </cell>
          <cell r="B89" t="str">
            <v>Fuel For Diesel Generator Set</v>
          </cell>
          <cell r="C89">
            <v>0</v>
          </cell>
          <cell r="D89">
            <v>17700.54</v>
          </cell>
          <cell r="E89">
            <v>0</v>
          </cell>
          <cell r="F89">
            <v>17700.54</v>
          </cell>
          <cell r="G89">
            <v>0</v>
          </cell>
          <cell r="H89">
            <v>17700.54</v>
          </cell>
        </row>
        <row r="90">
          <cell r="A90">
            <v>43012010</v>
          </cell>
          <cell r="B90" t="str">
            <v>Lab Consumables</v>
          </cell>
          <cell r="C90">
            <v>0</v>
          </cell>
          <cell r="D90">
            <v>6385</v>
          </cell>
          <cell r="E90">
            <v>0</v>
          </cell>
          <cell r="F90">
            <v>6385</v>
          </cell>
          <cell r="G90">
            <v>0</v>
          </cell>
          <cell r="H90">
            <v>6385</v>
          </cell>
        </row>
        <row r="91">
          <cell r="A91">
            <v>43012020</v>
          </cell>
          <cell r="B91" t="str">
            <v>Labour / sub contractor for - Pumping Expenses Incurred</v>
          </cell>
          <cell r="C91">
            <v>0</v>
          </cell>
          <cell r="D91">
            <v>228589</v>
          </cell>
          <cell r="E91">
            <v>62000</v>
          </cell>
          <cell r="F91">
            <v>166589</v>
          </cell>
          <cell r="G91">
            <v>0</v>
          </cell>
          <cell r="H91">
            <v>166589</v>
          </cell>
        </row>
        <row r="92">
          <cell r="A92">
            <v>43016010</v>
          </cell>
          <cell r="B92" t="str">
            <v>Transportation Charges</v>
          </cell>
          <cell r="C92">
            <v>0</v>
          </cell>
          <cell r="D92">
            <v>330</v>
          </cell>
          <cell r="E92">
            <v>0</v>
          </cell>
          <cell r="F92">
            <v>330</v>
          </cell>
          <cell r="G92">
            <v>0</v>
          </cell>
          <cell r="H92">
            <v>330</v>
          </cell>
        </row>
        <row r="93">
          <cell r="A93">
            <v>43018010</v>
          </cell>
          <cell r="B93" t="str">
            <v>Repairs &amp; Maintenance</v>
          </cell>
          <cell r="C93">
            <v>0</v>
          </cell>
          <cell r="D93">
            <v>436805.24</v>
          </cell>
          <cell r="E93">
            <v>173234.7</v>
          </cell>
          <cell r="F93">
            <v>263570.53999999998</v>
          </cell>
          <cell r="G93">
            <v>0</v>
          </cell>
          <cell r="H93">
            <v>263570.53999999998</v>
          </cell>
        </row>
        <row r="94">
          <cell r="A94">
            <v>43018020</v>
          </cell>
          <cell r="B94" t="str">
            <v>Oil &amp; Grease</v>
          </cell>
          <cell r="C94">
            <v>0</v>
          </cell>
          <cell r="D94">
            <v>82039.399999999994</v>
          </cell>
          <cell r="E94">
            <v>55303.82</v>
          </cell>
          <cell r="F94">
            <v>26735.58</v>
          </cell>
          <cell r="G94">
            <v>0</v>
          </cell>
          <cell r="H94">
            <v>26735.58</v>
          </cell>
        </row>
        <row r="95">
          <cell r="A95">
            <v>43020030</v>
          </cell>
          <cell r="B95" t="str">
            <v>Tyres</v>
          </cell>
          <cell r="C95">
            <v>0</v>
          </cell>
          <cell r="D95">
            <v>82448.009999999995</v>
          </cell>
          <cell r="E95">
            <v>58800</v>
          </cell>
          <cell r="F95">
            <v>23648.01</v>
          </cell>
          <cell r="G95">
            <v>0</v>
          </cell>
          <cell r="H95">
            <v>23648.01</v>
          </cell>
        </row>
        <row r="96">
          <cell r="A96">
            <v>43022010</v>
          </cell>
          <cell r="B96" t="str">
            <v>Plant / Office Up Keep Exps</v>
          </cell>
          <cell r="C96">
            <v>0</v>
          </cell>
          <cell r="D96">
            <v>207077</v>
          </cell>
          <cell r="E96">
            <v>40000</v>
          </cell>
          <cell r="F96">
            <v>167077</v>
          </cell>
          <cell r="G96">
            <v>0</v>
          </cell>
          <cell r="H96">
            <v>167077</v>
          </cell>
        </row>
        <row r="97">
          <cell r="A97">
            <v>43030010</v>
          </cell>
          <cell r="B97" t="str">
            <v>Transportation Exps-Labour</v>
          </cell>
          <cell r="C97">
            <v>0</v>
          </cell>
          <cell r="D97">
            <v>68427</v>
          </cell>
          <cell r="E97">
            <v>0</v>
          </cell>
          <cell r="F97">
            <v>68427</v>
          </cell>
          <cell r="G97">
            <v>0</v>
          </cell>
          <cell r="H97">
            <v>68427</v>
          </cell>
        </row>
        <row r="98">
          <cell r="A98">
            <v>43032010</v>
          </cell>
          <cell r="B98" t="str">
            <v>Rent - Plant</v>
          </cell>
          <cell r="C98">
            <v>0</v>
          </cell>
          <cell r="D98">
            <v>54237</v>
          </cell>
          <cell r="E98">
            <v>18079</v>
          </cell>
          <cell r="F98">
            <v>36158</v>
          </cell>
          <cell r="G98">
            <v>0</v>
          </cell>
          <cell r="H98">
            <v>36158</v>
          </cell>
        </row>
        <row r="99">
          <cell r="A99">
            <v>43032045</v>
          </cell>
          <cell r="B99" t="str">
            <v>Towing Expenses</v>
          </cell>
          <cell r="C99">
            <v>0</v>
          </cell>
          <cell r="D99">
            <v>78850</v>
          </cell>
          <cell r="E99">
            <v>28320</v>
          </cell>
          <cell r="F99">
            <v>50530</v>
          </cell>
          <cell r="G99">
            <v>0</v>
          </cell>
          <cell r="H99">
            <v>50530</v>
          </cell>
        </row>
        <row r="100">
          <cell r="A100">
            <v>43036010</v>
          </cell>
          <cell r="B100" t="str">
            <v>Insurance Expenses</v>
          </cell>
          <cell r="C100">
            <v>0</v>
          </cell>
          <cell r="D100">
            <v>41010.5</v>
          </cell>
          <cell r="E100">
            <v>0</v>
          </cell>
          <cell r="F100">
            <v>41010.5</v>
          </cell>
          <cell r="G100">
            <v>0</v>
          </cell>
          <cell r="H100">
            <v>41010.5</v>
          </cell>
        </row>
        <row r="101">
          <cell r="A101">
            <v>43038020</v>
          </cell>
          <cell r="B101" t="str">
            <v>Courier Expenses</v>
          </cell>
          <cell r="C101">
            <v>0</v>
          </cell>
          <cell r="D101">
            <v>10237</v>
          </cell>
          <cell r="E101">
            <v>4000</v>
          </cell>
          <cell r="F101">
            <v>6237</v>
          </cell>
          <cell r="G101">
            <v>0</v>
          </cell>
          <cell r="H101">
            <v>6237</v>
          </cell>
        </row>
        <row r="102">
          <cell r="A102">
            <v>43038030</v>
          </cell>
          <cell r="B102" t="str">
            <v>Telephone Expenses</v>
          </cell>
          <cell r="C102">
            <v>0</v>
          </cell>
          <cell r="D102">
            <v>3000</v>
          </cell>
          <cell r="E102">
            <v>1500</v>
          </cell>
          <cell r="F102">
            <v>1500</v>
          </cell>
          <cell r="G102">
            <v>0</v>
          </cell>
          <cell r="H102">
            <v>1500</v>
          </cell>
        </row>
        <row r="103">
          <cell r="A103">
            <v>43038050</v>
          </cell>
          <cell r="B103" t="str">
            <v>Telephone Chgs - Mobile  FBT</v>
          </cell>
          <cell r="C103">
            <v>0</v>
          </cell>
          <cell r="D103">
            <v>57443</v>
          </cell>
          <cell r="E103">
            <v>18975</v>
          </cell>
          <cell r="F103">
            <v>38468</v>
          </cell>
          <cell r="G103">
            <v>0</v>
          </cell>
          <cell r="H103">
            <v>38468</v>
          </cell>
        </row>
        <row r="104">
          <cell r="A104">
            <v>43040010</v>
          </cell>
          <cell r="B104" t="str">
            <v>Conveyance Expenses - FBT</v>
          </cell>
          <cell r="C104">
            <v>0</v>
          </cell>
          <cell r="D104">
            <v>100936</v>
          </cell>
          <cell r="E104">
            <v>34369</v>
          </cell>
          <cell r="F104">
            <v>66567</v>
          </cell>
          <cell r="G104">
            <v>0</v>
          </cell>
          <cell r="H104">
            <v>66567</v>
          </cell>
        </row>
        <row r="105">
          <cell r="A105">
            <v>43040030</v>
          </cell>
          <cell r="B105" t="str">
            <v>Motor Car Hire Expenses - FBT</v>
          </cell>
          <cell r="C105">
            <v>0</v>
          </cell>
          <cell r="D105">
            <v>37817</v>
          </cell>
          <cell r="E105">
            <v>36605</v>
          </cell>
          <cell r="F105">
            <v>1212</v>
          </cell>
          <cell r="G105">
            <v>0</v>
          </cell>
          <cell r="H105">
            <v>1212</v>
          </cell>
        </row>
        <row r="106">
          <cell r="A106">
            <v>43040080</v>
          </cell>
          <cell r="B106" t="str">
            <v>Travelling Expenses - Domestic - FBT</v>
          </cell>
          <cell r="C106">
            <v>0</v>
          </cell>
          <cell r="D106">
            <v>1456</v>
          </cell>
          <cell r="E106">
            <v>0</v>
          </cell>
          <cell r="F106">
            <v>1456</v>
          </cell>
          <cell r="G106">
            <v>0</v>
          </cell>
          <cell r="H106">
            <v>1456</v>
          </cell>
        </row>
        <row r="107">
          <cell r="A107">
            <v>43040100</v>
          </cell>
          <cell r="B107" t="str">
            <v>Hotel Expenses  - FBT</v>
          </cell>
          <cell r="C107">
            <v>0</v>
          </cell>
          <cell r="D107">
            <v>20609</v>
          </cell>
          <cell r="E107">
            <v>13930</v>
          </cell>
          <cell r="F107">
            <v>6679</v>
          </cell>
          <cell r="G107">
            <v>0</v>
          </cell>
          <cell r="H107">
            <v>6679</v>
          </cell>
        </row>
        <row r="108">
          <cell r="A108">
            <v>43042010</v>
          </cell>
          <cell r="B108" t="str">
            <v>Fuel - Truck Mixers</v>
          </cell>
          <cell r="C108">
            <v>0</v>
          </cell>
          <cell r="D108">
            <v>485892.24</v>
          </cell>
          <cell r="E108">
            <v>242946.12</v>
          </cell>
          <cell r="F108">
            <v>242946.12</v>
          </cell>
          <cell r="G108">
            <v>0</v>
          </cell>
          <cell r="H108">
            <v>242946.12</v>
          </cell>
        </row>
        <row r="109">
          <cell r="A109">
            <v>43042020</v>
          </cell>
          <cell r="B109" t="str">
            <v>Fuel - Loader</v>
          </cell>
          <cell r="C109">
            <v>0</v>
          </cell>
          <cell r="D109">
            <v>42103.26</v>
          </cell>
          <cell r="E109">
            <v>0</v>
          </cell>
          <cell r="F109">
            <v>42103.26</v>
          </cell>
          <cell r="G109">
            <v>0</v>
          </cell>
          <cell r="H109">
            <v>42103.26</v>
          </cell>
        </row>
        <row r="110">
          <cell r="A110">
            <v>43042050</v>
          </cell>
          <cell r="B110" t="str">
            <v>Fuel -  External Trucks/Pumps</v>
          </cell>
          <cell r="C110">
            <v>0</v>
          </cell>
          <cell r="D110">
            <v>838561.66</v>
          </cell>
          <cell r="E110">
            <v>419280.83</v>
          </cell>
          <cell r="F110">
            <v>419280.83</v>
          </cell>
          <cell r="G110">
            <v>0</v>
          </cell>
          <cell r="H110">
            <v>419280.83</v>
          </cell>
        </row>
        <row r="111">
          <cell r="A111">
            <v>43042060</v>
          </cell>
          <cell r="B111" t="str">
            <v>Fuel - Concrete Pumps</v>
          </cell>
          <cell r="C111">
            <v>0</v>
          </cell>
          <cell r="D111">
            <v>39594.26</v>
          </cell>
          <cell r="E111">
            <v>19797.13</v>
          </cell>
          <cell r="F111">
            <v>19797.13</v>
          </cell>
          <cell r="G111">
            <v>0</v>
          </cell>
          <cell r="H111">
            <v>19797.13</v>
          </cell>
        </row>
        <row r="112">
          <cell r="A112">
            <v>43046010</v>
          </cell>
          <cell r="B112" t="str">
            <v>Rates &amp; Taxes</v>
          </cell>
          <cell r="C112">
            <v>0</v>
          </cell>
          <cell r="D112">
            <v>33118</v>
          </cell>
          <cell r="E112">
            <v>9337</v>
          </cell>
          <cell r="F112">
            <v>23781</v>
          </cell>
          <cell r="G112">
            <v>0</v>
          </cell>
          <cell r="H112">
            <v>23781</v>
          </cell>
        </row>
        <row r="113">
          <cell r="A113">
            <v>43046020</v>
          </cell>
          <cell r="B113" t="str">
            <v>Toll Charges- Truck Mixer</v>
          </cell>
          <cell r="C113">
            <v>0</v>
          </cell>
          <cell r="D113">
            <v>12918</v>
          </cell>
          <cell r="E113">
            <v>0</v>
          </cell>
          <cell r="F113">
            <v>12918</v>
          </cell>
          <cell r="G113">
            <v>0</v>
          </cell>
          <cell r="H113">
            <v>12918</v>
          </cell>
        </row>
        <row r="114">
          <cell r="A114">
            <v>43052010</v>
          </cell>
          <cell r="B114" t="str">
            <v>Security Service Charges</v>
          </cell>
          <cell r="C114">
            <v>0</v>
          </cell>
          <cell r="D114">
            <v>81899</v>
          </cell>
          <cell r="E114">
            <v>27300</v>
          </cell>
          <cell r="F114">
            <v>54599</v>
          </cell>
          <cell r="G114">
            <v>0</v>
          </cell>
          <cell r="H114">
            <v>54599</v>
          </cell>
        </row>
        <row r="115">
          <cell r="A115">
            <v>43054020</v>
          </cell>
          <cell r="B115" t="str">
            <v>Concrete Carrying Charges - TM</v>
          </cell>
          <cell r="C115">
            <v>0</v>
          </cell>
          <cell r="D115">
            <v>1137267</v>
          </cell>
          <cell r="E115">
            <v>358368</v>
          </cell>
          <cell r="F115">
            <v>778899</v>
          </cell>
          <cell r="G115">
            <v>0</v>
          </cell>
          <cell r="H115">
            <v>778899</v>
          </cell>
        </row>
        <row r="116">
          <cell r="A116">
            <v>43054030</v>
          </cell>
          <cell r="B116" t="str">
            <v>Concrete Placing Charges Pump</v>
          </cell>
          <cell r="C116">
            <v>0</v>
          </cell>
          <cell r="D116">
            <v>255000</v>
          </cell>
          <cell r="E116">
            <v>159034</v>
          </cell>
          <cell r="F116">
            <v>95966</v>
          </cell>
          <cell r="G116">
            <v>0</v>
          </cell>
          <cell r="H116">
            <v>95966</v>
          </cell>
        </row>
        <row r="117">
          <cell r="A117">
            <v>43054040</v>
          </cell>
          <cell r="B117" t="str">
            <v>Hire Charges - Vehicle</v>
          </cell>
          <cell r="C117">
            <v>0</v>
          </cell>
          <cell r="D117">
            <v>104422</v>
          </cell>
          <cell r="E117">
            <v>37317</v>
          </cell>
          <cell r="F117">
            <v>67105</v>
          </cell>
          <cell r="G117">
            <v>0</v>
          </cell>
          <cell r="H117">
            <v>67105</v>
          </cell>
        </row>
        <row r="118">
          <cell r="A118">
            <v>43056010</v>
          </cell>
          <cell r="B118" t="str">
            <v>Professional &amp; Consultancy Fees</v>
          </cell>
          <cell r="C118">
            <v>0</v>
          </cell>
          <cell r="D118">
            <v>90119</v>
          </cell>
          <cell r="E118">
            <v>0</v>
          </cell>
          <cell r="F118">
            <v>90119</v>
          </cell>
          <cell r="G118">
            <v>0</v>
          </cell>
          <cell r="H118">
            <v>90119</v>
          </cell>
        </row>
        <row r="119">
          <cell r="A119">
            <v>43062010</v>
          </cell>
          <cell r="B119" t="str">
            <v>Computer Expenses</v>
          </cell>
          <cell r="C119">
            <v>0</v>
          </cell>
          <cell r="D119">
            <v>5466</v>
          </cell>
          <cell r="E119">
            <v>3028</v>
          </cell>
          <cell r="F119">
            <v>2438</v>
          </cell>
          <cell r="G119">
            <v>0</v>
          </cell>
          <cell r="H119">
            <v>2438</v>
          </cell>
        </row>
        <row r="120">
          <cell r="A120">
            <v>43066020</v>
          </cell>
          <cell r="B120" t="str">
            <v>Printing &amp; Stationery</v>
          </cell>
          <cell r="C120">
            <v>0</v>
          </cell>
          <cell r="D120">
            <v>8055</v>
          </cell>
          <cell r="E120">
            <v>0</v>
          </cell>
          <cell r="F120">
            <v>8055</v>
          </cell>
          <cell r="G120">
            <v>0</v>
          </cell>
          <cell r="H120">
            <v>8055</v>
          </cell>
        </row>
        <row r="121">
          <cell r="A121">
            <v>43074010</v>
          </cell>
          <cell r="B121" t="str">
            <v>Provision For Bad &amp; Doubtful Debts W/Off</v>
          </cell>
          <cell r="C121">
            <v>0</v>
          </cell>
          <cell r="D121">
            <v>101122</v>
          </cell>
          <cell r="E121">
            <v>0</v>
          </cell>
          <cell r="F121">
            <v>101122</v>
          </cell>
          <cell r="G121">
            <v>0</v>
          </cell>
          <cell r="H121">
            <v>101122</v>
          </cell>
        </row>
        <row r="122">
          <cell r="A122">
            <v>43084020</v>
          </cell>
          <cell r="B122" t="str">
            <v>Testing Charges</v>
          </cell>
          <cell r="C122">
            <v>0</v>
          </cell>
          <cell r="D122">
            <v>200</v>
          </cell>
          <cell r="E122">
            <v>0</v>
          </cell>
          <cell r="F122">
            <v>200</v>
          </cell>
          <cell r="G122">
            <v>0</v>
          </cell>
          <cell r="H122">
            <v>200</v>
          </cell>
        </row>
        <row r="123">
          <cell r="A123">
            <v>43084030</v>
          </cell>
          <cell r="B123" t="str">
            <v>Rounding Off</v>
          </cell>
          <cell r="C123">
            <v>0</v>
          </cell>
          <cell r="D123">
            <v>36.75</v>
          </cell>
          <cell r="E123">
            <v>31.74</v>
          </cell>
          <cell r="F123">
            <v>5.01</v>
          </cell>
          <cell r="G123">
            <v>0</v>
          </cell>
          <cell r="H123">
            <v>5.01</v>
          </cell>
        </row>
        <row r="124">
          <cell r="A124">
            <v>44010040</v>
          </cell>
          <cell r="B124" t="str">
            <v>Bank Charges</v>
          </cell>
          <cell r="C124">
            <v>0</v>
          </cell>
          <cell r="D124">
            <v>3800.5</v>
          </cell>
          <cell r="E124">
            <v>110.3</v>
          </cell>
          <cell r="F124">
            <v>3690.2</v>
          </cell>
          <cell r="G124">
            <v>0</v>
          </cell>
          <cell r="H124">
            <v>3690.2</v>
          </cell>
        </row>
        <row r="125">
          <cell r="A125">
            <v>45010010</v>
          </cell>
          <cell r="B125" t="str">
            <v>Depreciation</v>
          </cell>
          <cell r="C125">
            <v>0</v>
          </cell>
          <cell r="D125">
            <v>721995</v>
          </cell>
          <cell r="E125">
            <v>0</v>
          </cell>
          <cell r="F125">
            <v>721995</v>
          </cell>
          <cell r="G125">
            <v>0</v>
          </cell>
          <cell r="H125">
            <v>721995</v>
          </cell>
        </row>
        <row r="126">
          <cell r="A126">
            <v>52000000</v>
          </cell>
          <cell r="B126" t="str">
            <v>Inter Branch Control Account</v>
          </cell>
          <cell r="C126">
            <v>-21637480.25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-21637480.25</v>
          </cell>
        </row>
        <row r="127">
          <cell r="A127">
            <v>52000809</v>
          </cell>
          <cell r="B127" t="str">
            <v>Inter branch control account for 08-09</v>
          </cell>
          <cell r="C127">
            <v>-17460565.02</v>
          </cell>
          <cell r="D127">
            <v>7204522.9400000004</v>
          </cell>
          <cell r="E127">
            <v>5349812.6500000004</v>
          </cell>
          <cell r="F127">
            <v>1854710.29</v>
          </cell>
          <cell r="G127">
            <v>0</v>
          </cell>
          <cell r="H127">
            <v>-15605854.73</v>
          </cell>
        </row>
        <row r="128">
          <cell r="A128">
            <v>61000200</v>
          </cell>
          <cell r="B128" t="str">
            <v>Stock Transfer Control Account</v>
          </cell>
          <cell r="C128">
            <v>0</v>
          </cell>
          <cell r="D128">
            <v>37204.58</v>
          </cell>
          <cell r="E128">
            <v>37204.58</v>
          </cell>
          <cell r="F128">
            <v>0</v>
          </cell>
          <cell r="G128">
            <v>0</v>
          </cell>
          <cell r="H128">
            <v>0</v>
          </cell>
        </row>
        <row r="129">
          <cell r="A129">
            <v>61000400</v>
          </cell>
          <cell r="B129" t="str">
            <v>Control Account Haulage Income</v>
          </cell>
          <cell r="C129">
            <v>0</v>
          </cell>
          <cell r="D129">
            <v>2263822</v>
          </cell>
          <cell r="E129">
            <v>2263822</v>
          </cell>
          <cell r="F129">
            <v>0</v>
          </cell>
          <cell r="G129">
            <v>0</v>
          </cell>
          <cell r="H129">
            <v>0</v>
          </cell>
        </row>
        <row r="130">
          <cell r="A130">
            <v>61000500</v>
          </cell>
          <cell r="B130" t="str">
            <v>Control Account for Pumping</v>
          </cell>
          <cell r="C130">
            <v>0</v>
          </cell>
          <cell r="D130">
            <v>393225</v>
          </cell>
          <cell r="E130">
            <v>393225</v>
          </cell>
          <cell r="F130">
            <v>0</v>
          </cell>
          <cell r="G130">
            <v>0</v>
          </cell>
          <cell r="H130">
            <v>0</v>
          </cell>
        </row>
        <row r="131">
          <cell r="A131">
            <v>62000000</v>
          </cell>
          <cell r="B131" t="str">
            <v>Inter branch Clearing account</v>
          </cell>
          <cell r="C131">
            <v>0</v>
          </cell>
          <cell r="D131">
            <v>5612133.6500000004</v>
          </cell>
          <cell r="E131">
            <v>5612133.6500000004</v>
          </cell>
          <cell r="F131">
            <v>0</v>
          </cell>
          <cell r="G131">
            <v>0</v>
          </cell>
          <cell r="H131">
            <v>0</v>
          </cell>
        </row>
        <row r="132">
          <cell r="B132" t="str">
            <v>Total</v>
          </cell>
          <cell r="D132">
            <v>0</v>
          </cell>
          <cell r="E132">
            <v>134821498.91</v>
          </cell>
          <cell r="F132">
            <v>134821498.91</v>
          </cell>
          <cell r="G132">
            <v>0</v>
          </cell>
          <cell r="H132">
            <v>0</v>
          </cell>
        </row>
      </sheetData>
      <sheetData sheetId="30" refreshError="1">
        <row r="1">
          <cell r="A1" t="str">
            <v>RMC Readymix (I) Pvt. Ltd.,</v>
          </cell>
          <cell r="B1" t="str">
            <v>Trial balance</v>
          </cell>
          <cell r="C1">
            <v>39970</v>
          </cell>
          <cell r="D1">
            <v>0.44688657407407412</v>
          </cell>
          <cell r="E1" t="str">
            <v>Page 1</v>
          </cell>
          <cell r="F1" t="str">
            <v>Vishakhapatnam</v>
          </cell>
        </row>
        <row r="2">
          <cell r="A2" t="str">
            <v>Period</v>
          </cell>
          <cell r="B2">
            <v>39904</v>
          </cell>
          <cell r="C2">
            <v>39964</v>
          </cell>
        </row>
        <row r="3">
          <cell r="A3" t="str">
            <v>Ledger account</v>
          </cell>
          <cell r="B3" t="str">
            <v>Account name</v>
          </cell>
          <cell r="C3" t="str">
            <v>Opening balance</v>
          </cell>
          <cell r="D3" t="str">
            <v>Debit</v>
          </cell>
          <cell r="E3" t="str">
            <v>Credit</v>
          </cell>
          <cell r="F3" t="str">
            <v>Net difference</v>
          </cell>
          <cell r="G3" t="str">
            <v>Closing transactions</v>
          </cell>
          <cell r="H3" t="str">
            <v>Closing balance</v>
          </cell>
        </row>
        <row r="4">
          <cell r="A4">
            <v>11015010</v>
          </cell>
          <cell r="B4" t="str">
            <v>Buildings</v>
          </cell>
          <cell r="C4">
            <v>5706443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5706443</v>
          </cell>
        </row>
        <row r="5">
          <cell r="A5">
            <v>11025010</v>
          </cell>
          <cell r="B5" t="str">
            <v>Plant and Machinery</v>
          </cell>
          <cell r="C5">
            <v>16266315.41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16266315.41</v>
          </cell>
        </row>
        <row r="6">
          <cell r="A6">
            <v>11030010</v>
          </cell>
          <cell r="B6" t="str">
            <v>Electrical Installations</v>
          </cell>
          <cell r="C6">
            <v>1798824.8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1798824.8</v>
          </cell>
        </row>
        <row r="7">
          <cell r="A7">
            <v>11035010</v>
          </cell>
          <cell r="B7" t="str">
            <v>Furniture &amp; Fixtures</v>
          </cell>
          <cell r="C7">
            <v>555744.25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555744.25</v>
          </cell>
        </row>
        <row r="8">
          <cell r="A8">
            <v>11040010</v>
          </cell>
          <cell r="B8" t="str">
            <v>Office &amp; Electrical Appliances</v>
          </cell>
          <cell r="C8">
            <v>381936.83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381936.83</v>
          </cell>
        </row>
        <row r="9">
          <cell r="A9">
            <v>11045010</v>
          </cell>
          <cell r="B9" t="str">
            <v>Truck Mixers, Loaders &amp; Truck Dumpers</v>
          </cell>
          <cell r="C9">
            <v>9038928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9038928</v>
          </cell>
        </row>
        <row r="10">
          <cell r="A10">
            <v>13015010</v>
          </cell>
          <cell r="B10" t="str">
            <v>Balance Sheet Stock of Raw material - RMC</v>
          </cell>
          <cell r="C10">
            <v>1399784.3</v>
          </cell>
          <cell r="D10">
            <v>763966.55</v>
          </cell>
          <cell r="E10">
            <v>1400288.92</v>
          </cell>
          <cell r="F10">
            <v>-636322.37</v>
          </cell>
          <cell r="G10">
            <v>0</v>
          </cell>
          <cell r="H10">
            <v>763461.93</v>
          </cell>
        </row>
        <row r="11">
          <cell r="A11">
            <v>13020010</v>
          </cell>
          <cell r="B11" t="str">
            <v>Sundry Debtors Account</v>
          </cell>
          <cell r="C11">
            <v>13730127.130000001</v>
          </cell>
          <cell r="D11">
            <v>19241989</v>
          </cell>
          <cell r="E11">
            <v>19071417.780000001</v>
          </cell>
          <cell r="F11">
            <v>170571.22</v>
          </cell>
          <cell r="G11">
            <v>0</v>
          </cell>
          <cell r="H11">
            <v>13900698.35</v>
          </cell>
        </row>
        <row r="12">
          <cell r="A12">
            <v>13025010</v>
          </cell>
          <cell r="B12" t="str">
            <v>Cash In Hand</v>
          </cell>
          <cell r="C12">
            <v>5742</v>
          </cell>
          <cell r="D12">
            <v>225300</v>
          </cell>
          <cell r="E12">
            <v>230658</v>
          </cell>
          <cell r="F12">
            <v>-5358</v>
          </cell>
          <cell r="G12">
            <v>0</v>
          </cell>
          <cell r="H12">
            <v>384</v>
          </cell>
        </row>
        <row r="13">
          <cell r="A13">
            <v>13035010</v>
          </cell>
          <cell r="B13" t="str">
            <v>Bank Account</v>
          </cell>
          <cell r="C13">
            <v>675738.96</v>
          </cell>
          <cell r="D13">
            <v>27000020.940000001</v>
          </cell>
          <cell r="E13">
            <v>25525384.390000001</v>
          </cell>
          <cell r="F13">
            <v>1474636.55</v>
          </cell>
          <cell r="G13">
            <v>0</v>
          </cell>
          <cell r="H13">
            <v>2150375.5099999998</v>
          </cell>
        </row>
        <row r="14">
          <cell r="A14">
            <v>13040030</v>
          </cell>
          <cell r="B14" t="str">
            <v>Cheques in Hand collected from parties as on 31.03</v>
          </cell>
          <cell r="C14">
            <v>1443379</v>
          </cell>
          <cell r="D14">
            <v>0</v>
          </cell>
          <cell r="E14">
            <v>1443379</v>
          </cell>
          <cell r="F14">
            <v>-1443379</v>
          </cell>
          <cell r="G14">
            <v>0</v>
          </cell>
          <cell r="H14">
            <v>0</v>
          </cell>
        </row>
        <row r="15">
          <cell r="A15">
            <v>13045020</v>
          </cell>
          <cell r="B15" t="str">
            <v>Loans and advances to employees</v>
          </cell>
          <cell r="C15">
            <v>-38935.040000000001</v>
          </cell>
          <cell r="D15">
            <v>147103.5</v>
          </cell>
          <cell r="E15">
            <v>86982.5</v>
          </cell>
          <cell r="F15">
            <v>60121</v>
          </cell>
          <cell r="G15">
            <v>0</v>
          </cell>
          <cell r="H15">
            <v>21185.96</v>
          </cell>
        </row>
        <row r="16">
          <cell r="A16">
            <v>13055020</v>
          </cell>
          <cell r="B16" t="str">
            <v>Prepaid Expenses</v>
          </cell>
          <cell r="C16">
            <v>106618.64</v>
          </cell>
          <cell r="D16">
            <v>57220</v>
          </cell>
          <cell r="E16">
            <v>57767.16</v>
          </cell>
          <cell r="F16">
            <v>-547.16</v>
          </cell>
          <cell r="G16">
            <v>0</v>
          </cell>
          <cell r="H16">
            <v>106071.48</v>
          </cell>
        </row>
        <row r="17">
          <cell r="A17">
            <v>13055060</v>
          </cell>
          <cell r="B17" t="str">
            <v>VAT Credit Receivable (Inputs)</v>
          </cell>
          <cell r="C17">
            <v>421328.89</v>
          </cell>
          <cell r="D17">
            <v>594732</v>
          </cell>
          <cell r="E17">
            <v>706943</v>
          </cell>
          <cell r="F17">
            <v>-112211</v>
          </cell>
          <cell r="G17">
            <v>0</v>
          </cell>
          <cell r="H17">
            <v>309117.89</v>
          </cell>
        </row>
        <row r="18">
          <cell r="A18">
            <v>13055070</v>
          </cell>
          <cell r="B18" t="str">
            <v>Vat Credit Receivable (Capital Goods)</v>
          </cell>
          <cell r="C18">
            <v>277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277</v>
          </cell>
        </row>
        <row r="19">
          <cell r="A19">
            <v>13055090</v>
          </cell>
          <cell r="B19" t="str">
            <v>Sundry Deposits</v>
          </cell>
          <cell r="C19">
            <v>70065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70065</v>
          </cell>
        </row>
        <row r="20">
          <cell r="A20">
            <v>25005010</v>
          </cell>
          <cell r="B20" t="str">
            <v>Creditors Control</v>
          </cell>
          <cell r="C20">
            <v>-6794567.0199999996</v>
          </cell>
          <cell r="D20">
            <v>14568224.890000001</v>
          </cell>
          <cell r="E20">
            <v>14810071.890000001</v>
          </cell>
          <cell r="F20">
            <v>-241847</v>
          </cell>
          <cell r="G20">
            <v>0</v>
          </cell>
          <cell r="H20">
            <v>-7036414.0199999996</v>
          </cell>
        </row>
        <row r="21">
          <cell r="A21">
            <v>25005050</v>
          </cell>
          <cell r="B21" t="str">
            <v>Creditors liability for material received but bill not recei</v>
          </cell>
          <cell r="C21">
            <v>1.57</v>
          </cell>
          <cell r="D21">
            <v>11321537.039999999</v>
          </cell>
          <cell r="E21">
            <v>11650830.51</v>
          </cell>
          <cell r="F21">
            <v>-329293.46999999997</v>
          </cell>
          <cell r="G21">
            <v>0</v>
          </cell>
          <cell r="H21">
            <v>-329291.90000000002</v>
          </cell>
        </row>
        <row r="22">
          <cell r="A22">
            <v>25010020</v>
          </cell>
          <cell r="B22" t="str">
            <v>Outstanding Liabilities For Expenses</v>
          </cell>
          <cell r="C22">
            <v>-133003.29999999999</v>
          </cell>
          <cell r="D22">
            <v>20050</v>
          </cell>
          <cell r="E22">
            <v>0</v>
          </cell>
          <cell r="F22">
            <v>20050</v>
          </cell>
          <cell r="G22">
            <v>0</v>
          </cell>
          <cell r="H22">
            <v>-112953.3</v>
          </cell>
        </row>
        <row r="23">
          <cell r="A23">
            <v>25010060</v>
          </cell>
          <cell r="B23" t="str">
            <v>T.D.S.payable account</v>
          </cell>
          <cell r="C23">
            <v>-50051</v>
          </cell>
          <cell r="D23">
            <v>149459</v>
          </cell>
          <cell r="E23">
            <v>141433</v>
          </cell>
          <cell r="F23">
            <v>8026</v>
          </cell>
          <cell r="G23">
            <v>0</v>
          </cell>
          <cell r="H23">
            <v>-42025</v>
          </cell>
        </row>
        <row r="24">
          <cell r="A24">
            <v>25010120</v>
          </cell>
          <cell r="B24" t="str">
            <v>Service Tax Payable</v>
          </cell>
          <cell r="C24">
            <v>-1.21</v>
          </cell>
          <cell r="D24">
            <v>14948</v>
          </cell>
          <cell r="E24">
            <v>28247.119999999999</v>
          </cell>
          <cell r="F24">
            <v>-13299.12</v>
          </cell>
          <cell r="G24">
            <v>0</v>
          </cell>
          <cell r="H24">
            <v>-13300.33</v>
          </cell>
        </row>
        <row r="25">
          <cell r="A25">
            <v>25010190</v>
          </cell>
          <cell r="B25" t="str">
            <v>VAT  Payable account</v>
          </cell>
          <cell r="C25">
            <v>-1194414.82</v>
          </cell>
          <cell r="D25">
            <v>2139495</v>
          </cell>
          <cell r="E25">
            <v>1944335</v>
          </cell>
          <cell r="F25">
            <v>195160</v>
          </cell>
          <cell r="G25">
            <v>0</v>
          </cell>
          <cell r="H25">
            <v>-999254.82</v>
          </cell>
        </row>
        <row r="26">
          <cell r="A26">
            <v>25010200</v>
          </cell>
          <cell r="B26" t="str">
            <v>Provision for Expenses in MIS</v>
          </cell>
          <cell r="C26">
            <v>0</v>
          </cell>
          <cell r="D26">
            <v>78480</v>
          </cell>
          <cell r="E26">
            <v>158462</v>
          </cell>
          <cell r="F26">
            <v>-79982</v>
          </cell>
          <cell r="G26">
            <v>0</v>
          </cell>
          <cell r="H26">
            <v>-79982</v>
          </cell>
        </row>
        <row r="27">
          <cell r="A27">
            <v>26005020</v>
          </cell>
          <cell r="B27" t="str">
            <v>Provision For Bad &amp; Doubtful Debts</v>
          </cell>
          <cell r="C27">
            <v>-1648436</v>
          </cell>
          <cell r="D27">
            <v>93838</v>
          </cell>
          <cell r="E27">
            <v>50000</v>
          </cell>
          <cell r="F27">
            <v>43838</v>
          </cell>
          <cell r="G27">
            <v>0</v>
          </cell>
          <cell r="H27">
            <v>-1604598</v>
          </cell>
        </row>
        <row r="28">
          <cell r="A28">
            <v>26015010</v>
          </cell>
          <cell r="B28" t="str">
            <v>Prov For Dep.-  Buildings</v>
          </cell>
          <cell r="C28">
            <v>-1238130.95</v>
          </cell>
          <cell r="D28">
            <v>0</v>
          </cell>
          <cell r="E28">
            <v>135398</v>
          </cell>
          <cell r="F28">
            <v>-135398</v>
          </cell>
          <cell r="G28">
            <v>0</v>
          </cell>
          <cell r="H28">
            <v>-1373528.95</v>
          </cell>
        </row>
        <row r="29">
          <cell r="A29">
            <v>26025010</v>
          </cell>
          <cell r="B29" t="str">
            <v>Provision for Depreciation Plant &amp; Machinery</v>
          </cell>
          <cell r="C29">
            <v>-2208461.5699999998</v>
          </cell>
          <cell r="D29">
            <v>0</v>
          </cell>
          <cell r="E29">
            <v>206835</v>
          </cell>
          <cell r="F29">
            <v>-206835</v>
          </cell>
          <cell r="G29">
            <v>0</v>
          </cell>
          <cell r="H29">
            <v>-2415296.5699999998</v>
          </cell>
        </row>
        <row r="30">
          <cell r="A30">
            <v>26030010</v>
          </cell>
          <cell r="B30" t="str">
            <v>Provision For Dep.-Electrical Installations</v>
          </cell>
          <cell r="C30">
            <v>-300148.43</v>
          </cell>
          <cell r="D30">
            <v>0</v>
          </cell>
          <cell r="E30">
            <v>35365</v>
          </cell>
          <cell r="F30">
            <v>-35365</v>
          </cell>
          <cell r="G30">
            <v>0</v>
          </cell>
          <cell r="H30">
            <v>-335513.43</v>
          </cell>
        </row>
        <row r="31">
          <cell r="A31">
            <v>26035010</v>
          </cell>
          <cell r="B31" t="str">
            <v>Provision For Dep.-Furniture and Fixtures</v>
          </cell>
          <cell r="C31">
            <v>-99649</v>
          </cell>
          <cell r="D31">
            <v>0</v>
          </cell>
          <cell r="E31">
            <v>9182</v>
          </cell>
          <cell r="F31">
            <v>-9182</v>
          </cell>
          <cell r="G31">
            <v>0</v>
          </cell>
          <cell r="H31">
            <v>-108831</v>
          </cell>
        </row>
        <row r="32">
          <cell r="A32">
            <v>26040010</v>
          </cell>
          <cell r="B32" t="str">
            <v>Provision for Depreciation- Office and Electrical Appliances</v>
          </cell>
          <cell r="C32">
            <v>-144367.20000000001</v>
          </cell>
          <cell r="D32">
            <v>0</v>
          </cell>
          <cell r="E32">
            <v>10826</v>
          </cell>
          <cell r="F32">
            <v>-10826</v>
          </cell>
          <cell r="G32">
            <v>0</v>
          </cell>
          <cell r="H32">
            <v>-155193.20000000001</v>
          </cell>
        </row>
        <row r="33">
          <cell r="A33">
            <v>26045010</v>
          </cell>
          <cell r="B33" t="str">
            <v>Provision for Depreciation- Truck Mixers, Loaders &amp; Dumpers</v>
          </cell>
          <cell r="C33">
            <v>-2165575</v>
          </cell>
          <cell r="D33">
            <v>0</v>
          </cell>
          <cell r="E33">
            <v>188312</v>
          </cell>
          <cell r="F33">
            <v>-188312</v>
          </cell>
          <cell r="G33">
            <v>0</v>
          </cell>
          <cell r="H33">
            <v>-2353887</v>
          </cell>
        </row>
        <row r="34">
          <cell r="A34">
            <v>26055020</v>
          </cell>
          <cell r="B34" t="str">
            <v>Profit &amp; Loss A/c</v>
          </cell>
          <cell r="C34">
            <v>-1846777.74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-1846777.74</v>
          </cell>
        </row>
        <row r="35">
          <cell r="A35">
            <v>26055050</v>
          </cell>
          <cell r="B35" t="str">
            <v>Provision for Production linked incentive (KRA)</v>
          </cell>
          <cell r="C35">
            <v>0</v>
          </cell>
          <cell r="D35">
            <v>0</v>
          </cell>
          <cell r="E35">
            <v>60155.32</v>
          </cell>
          <cell r="F35">
            <v>-60155.32</v>
          </cell>
          <cell r="G35">
            <v>0</v>
          </cell>
          <cell r="H35">
            <v>-60155.32</v>
          </cell>
        </row>
        <row r="36">
          <cell r="A36">
            <v>31010010</v>
          </cell>
          <cell r="B36" t="str">
            <v>Sales</v>
          </cell>
          <cell r="C36">
            <v>0</v>
          </cell>
          <cell r="D36">
            <v>698065.67</v>
          </cell>
          <cell r="E36">
            <v>16510779.949999999</v>
          </cell>
          <cell r="F36">
            <v>-15812714.279999999</v>
          </cell>
          <cell r="G36">
            <v>0</v>
          </cell>
          <cell r="H36">
            <v>-15812714.279999999</v>
          </cell>
        </row>
        <row r="37">
          <cell r="A37">
            <v>32020020</v>
          </cell>
          <cell r="B37" t="str">
            <v>Misc Income - Scrap sales</v>
          </cell>
          <cell r="C37">
            <v>0</v>
          </cell>
          <cell r="D37">
            <v>0</v>
          </cell>
          <cell r="E37">
            <v>13955.54</v>
          </cell>
          <cell r="F37">
            <v>-13955.54</v>
          </cell>
          <cell r="G37">
            <v>0</v>
          </cell>
          <cell r="H37">
            <v>-13955.54</v>
          </cell>
        </row>
        <row r="38">
          <cell r="A38">
            <v>41010010</v>
          </cell>
          <cell r="B38" t="str">
            <v>Opening Stock - Cement</v>
          </cell>
          <cell r="C38">
            <v>0</v>
          </cell>
          <cell r="D38">
            <v>1024198.07</v>
          </cell>
          <cell r="E38">
            <v>0</v>
          </cell>
          <cell r="F38">
            <v>1024198.07</v>
          </cell>
          <cell r="G38">
            <v>0</v>
          </cell>
          <cell r="H38">
            <v>1024198.07</v>
          </cell>
        </row>
        <row r="39">
          <cell r="A39">
            <v>41010020</v>
          </cell>
          <cell r="B39" t="str">
            <v>Opening Stock - Sand</v>
          </cell>
          <cell r="C39">
            <v>0</v>
          </cell>
          <cell r="D39">
            <v>88923.199999999997</v>
          </cell>
          <cell r="E39">
            <v>0</v>
          </cell>
          <cell r="F39">
            <v>88923.199999999997</v>
          </cell>
          <cell r="G39">
            <v>0</v>
          </cell>
          <cell r="H39">
            <v>88923.199999999997</v>
          </cell>
        </row>
        <row r="40">
          <cell r="A40">
            <v>41010030</v>
          </cell>
          <cell r="B40" t="str">
            <v>Opening Stock - CRF</v>
          </cell>
          <cell r="C40">
            <v>0</v>
          </cell>
          <cell r="D40">
            <v>3000.68</v>
          </cell>
          <cell r="E40">
            <v>0</v>
          </cell>
          <cell r="F40">
            <v>3000.68</v>
          </cell>
          <cell r="G40">
            <v>0</v>
          </cell>
          <cell r="H40">
            <v>3000.68</v>
          </cell>
        </row>
        <row r="41">
          <cell r="A41">
            <v>41010040</v>
          </cell>
          <cell r="B41" t="str">
            <v>Opening Stock - RMC Aggregates</v>
          </cell>
          <cell r="C41">
            <v>0</v>
          </cell>
          <cell r="D41">
            <v>27838.25</v>
          </cell>
          <cell r="E41">
            <v>0.3</v>
          </cell>
          <cell r="F41">
            <v>27837.95</v>
          </cell>
          <cell r="G41">
            <v>0</v>
          </cell>
          <cell r="H41">
            <v>27837.95</v>
          </cell>
        </row>
        <row r="42">
          <cell r="A42">
            <v>41010050</v>
          </cell>
          <cell r="B42" t="str">
            <v>Opening Stock - Admixtures</v>
          </cell>
          <cell r="C42">
            <v>0</v>
          </cell>
          <cell r="D42">
            <v>225077.83</v>
          </cell>
          <cell r="E42">
            <v>504.32</v>
          </cell>
          <cell r="F42">
            <v>224573.51</v>
          </cell>
          <cell r="G42">
            <v>0</v>
          </cell>
          <cell r="H42">
            <v>224573.51</v>
          </cell>
        </row>
        <row r="43">
          <cell r="A43">
            <v>41010070</v>
          </cell>
          <cell r="B43" t="str">
            <v>Opening Stock - Flyash</v>
          </cell>
          <cell r="C43">
            <v>0</v>
          </cell>
          <cell r="D43">
            <v>14252.54</v>
          </cell>
          <cell r="E43">
            <v>0</v>
          </cell>
          <cell r="F43">
            <v>14252.54</v>
          </cell>
          <cell r="G43">
            <v>0</v>
          </cell>
          <cell r="H43">
            <v>14252.54</v>
          </cell>
        </row>
        <row r="44">
          <cell r="A44">
            <v>41010080</v>
          </cell>
          <cell r="B44" t="str">
            <v>Opening Stock - Diesel</v>
          </cell>
          <cell r="C44">
            <v>0</v>
          </cell>
          <cell r="D44">
            <v>15066.42</v>
          </cell>
          <cell r="E44">
            <v>0</v>
          </cell>
          <cell r="F44">
            <v>15066.42</v>
          </cell>
          <cell r="G44">
            <v>0</v>
          </cell>
          <cell r="H44">
            <v>15066.42</v>
          </cell>
        </row>
        <row r="45">
          <cell r="A45">
            <v>41010110</v>
          </cell>
          <cell r="B45" t="str">
            <v>Opening Stock GGBS</v>
          </cell>
          <cell r="C45">
            <v>0</v>
          </cell>
          <cell r="D45">
            <v>1931.93</v>
          </cell>
          <cell r="E45">
            <v>0</v>
          </cell>
          <cell r="F45">
            <v>1931.93</v>
          </cell>
          <cell r="G45">
            <v>0</v>
          </cell>
          <cell r="H45">
            <v>1931.93</v>
          </cell>
        </row>
        <row r="46">
          <cell r="A46">
            <v>41020010</v>
          </cell>
          <cell r="B46" t="str">
            <v>Raw Material Purchase - Cement</v>
          </cell>
          <cell r="C46">
            <v>0</v>
          </cell>
          <cell r="D46">
            <v>4024148.01</v>
          </cell>
          <cell r="E46">
            <v>4883743.25</v>
          </cell>
          <cell r="F46">
            <v>-859595.24</v>
          </cell>
          <cell r="G46">
            <v>0</v>
          </cell>
          <cell r="H46">
            <v>-859595.24</v>
          </cell>
        </row>
        <row r="47">
          <cell r="A47">
            <v>41020015</v>
          </cell>
          <cell r="B47" t="str">
            <v>Interim account cement received</v>
          </cell>
          <cell r="C47">
            <v>0</v>
          </cell>
          <cell r="D47">
            <v>4024147.98</v>
          </cell>
          <cell r="E47">
            <v>4024148.01</v>
          </cell>
          <cell r="F47">
            <v>-0.03</v>
          </cell>
          <cell r="G47">
            <v>0</v>
          </cell>
          <cell r="H47">
            <v>-0.03</v>
          </cell>
        </row>
        <row r="48">
          <cell r="A48">
            <v>41020020</v>
          </cell>
          <cell r="B48" t="str">
            <v>Cement Consumption account</v>
          </cell>
          <cell r="C48">
            <v>0</v>
          </cell>
          <cell r="D48">
            <v>4756578.58</v>
          </cell>
          <cell r="E48">
            <v>0</v>
          </cell>
          <cell r="F48">
            <v>4756578.58</v>
          </cell>
          <cell r="G48">
            <v>0</v>
          </cell>
          <cell r="H48">
            <v>4756578.58</v>
          </cell>
        </row>
        <row r="49">
          <cell r="A49">
            <v>41020030</v>
          </cell>
          <cell r="B49" t="str">
            <v>Raw Material Purchase - Aggregates</v>
          </cell>
          <cell r="C49">
            <v>0</v>
          </cell>
          <cell r="D49">
            <v>3152072.39</v>
          </cell>
          <cell r="E49">
            <v>3325573.59</v>
          </cell>
          <cell r="F49">
            <v>-173501.2</v>
          </cell>
          <cell r="G49">
            <v>0</v>
          </cell>
          <cell r="H49">
            <v>-173501.2</v>
          </cell>
        </row>
        <row r="50">
          <cell r="A50">
            <v>41020035</v>
          </cell>
          <cell r="B50" t="str">
            <v>Interim account Aggregate received</v>
          </cell>
          <cell r="C50">
            <v>0</v>
          </cell>
          <cell r="D50">
            <v>3311706.75</v>
          </cell>
          <cell r="E50">
            <v>2982413.25</v>
          </cell>
          <cell r="F50">
            <v>329293.5</v>
          </cell>
          <cell r="G50">
            <v>0</v>
          </cell>
          <cell r="H50">
            <v>329293.5</v>
          </cell>
        </row>
        <row r="51">
          <cell r="A51">
            <v>41020040</v>
          </cell>
          <cell r="B51" t="str">
            <v>Aggregate Consumption account</v>
          </cell>
          <cell r="C51">
            <v>0</v>
          </cell>
          <cell r="D51">
            <v>3294997.1</v>
          </cell>
          <cell r="E51">
            <v>6579</v>
          </cell>
          <cell r="F51">
            <v>3288418.1</v>
          </cell>
          <cell r="G51">
            <v>0</v>
          </cell>
          <cell r="H51">
            <v>3288418.1</v>
          </cell>
        </row>
        <row r="52">
          <cell r="A52">
            <v>41020050</v>
          </cell>
          <cell r="B52" t="str">
            <v>Raw Material Purchase - Sand</v>
          </cell>
          <cell r="C52">
            <v>0</v>
          </cell>
          <cell r="D52">
            <v>1500856.5</v>
          </cell>
          <cell r="E52">
            <v>1490619.99</v>
          </cell>
          <cell r="F52">
            <v>10236.51</v>
          </cell>
          <cell r="G52">
            <v>0</v>
          </cell>
          <cell r="H52">
            <v>10236.51</v>
          </cell>
        </row>
        <row r="53">
          <cell r="A53">
            <v>41020055</v>
          </cell>
          <cell r="B53" t="str">
            <v>Interim account Sand Received</v>
          </cell>
          <cell r="C53">
            <v>0</v>
          </cell>
          <cell r="D53">
            <v>1458418</v>
          </cell>
          <cell r="E53">
            <v>1458418</v>
          </cell>
          <cell r="F53">
            <v>0</v>
          </cell>
          <cell r="G53">
            <v>0</v>
          </cell>
          <cell r="H53">
            <v>0</v>
          </cell>
        </row>
        <row r="54">
          <cell r="A54">
            <v>41020060</v>
          </cell>
          <cell r="B54" t="str">
            <v>Sand Consumption account</v>
          </cell>
          <cell r="C54">
            <v>0</v>
          </cell>
          <cell r="D54">
            <v>1451562.43</v>
          </cell>
          <cell r="E54">
            <v>0</v>
          </cell>
          <cell r="F54">
            <v>1451562.43</v>
          </cell>
          <cell r="G54">
            <v>0</v>
          </cell>
          <cell r="H54">
            <v>1451562.43</v>
          </cell>
        </row>
        <row r="55">
          <cell r="A55">
            <v>41020070</v>
          </cell>
          <cell r="B55" t="str">
            <v>Raw Material Purchase - Admixture</v>
          </cell>
          <cell r="C55">
            <v>0</v>
          </cell>
          <cell r="D55">
            <v>265828.98</v>
          </cell>
          <cell r="E55">
            <v>336695.99</v>
          </cell>
          <cell r="F55">
            <v>-70867.009999999995</v>
          </cell>
          <cell r="G55">
            <v>0</v>
          </cell>
          <cell r="H55">
            <v>-70867.009999999995</v>
          </cell>
        </row>
        <row r="56">
          <cell r="A56">
            <v>41020075</v>
          </cell>
          <cell r="B56" t="str">
            <v>Interim account Admixture received</v>
          </cell>
          <cell r="C56">
            <v>0</v>
          </cell>
          <cell r="D56">
            <v>256500</v>
          </cell>
          <cell r="E56">
            <v>256500</v>
          </cell>
          <cell r="F56">
            <v>0</v>
          </cell>
          <cell r="G56">
            <v>0</v>
          </cell>
          <cell r="H56">
            <v>0</v>
          </cell>
        </row>
        <row r="57">
          <cell r="A57">
            <v>41020080</v>
          </cell>
          <cell r="B57" t="str">
            <v>Admixture Consumption account</v>
          </cell>
          <cell r="C57">
            <v>0</v>
          </cell>
          <cell r="D57">
            <v>304848.71000000002</v>
          </cell>
          <cell r="E57">
            <v>0</v>
          </cell>
          <cell r="F57">
            <v>304848.71000000002</v>
          </cell>
          <cell r="G57">
            <v>0</v>
          </cell>
          <cell r="H57">
            <v>304848.71000000002</v>
          </cell>
        </row>
        <row r="58">
          <cell r="A58">
            <v>41020090</v>
          </cell>
          <cell r="B58" t="str">
            <v>Raw Material  Purchase - Fly Ash</v>
          </cell>
          <cell r="C58">
            <v>0</v>
          </cell>
          <cell r="D58">
            <v>150856.21</v>
          </cell>
          <cell r="E58">
            <v>157551.94</v>
          </cell>
          <cell r="F58">
            <v>-6695.73</v>
          </cell>
          <cell r="G58">
            <v>0</v>
          </cell>
          <cell r="H58">
            <v>-6695.73</v>
          </cell>
        </row>
        <row r="59">
          <cell r="A59">
            <v>41020095</v>
          </cell>
          <cell r="B59" t="str">
            <v>Interim account fly ash received</v>
          </cell>
          <cell r="C59">
            <v>0</v>
          </cell>
          <cell r="D59">
            <v>146578.35999999999</v>
          </cell>
          <cell r="E59">
            <v>146578.35999999999</v>
          </cell>
          <cell r="F59">
            <v>0</v>
          </cell>
          <cell r="G59">
            <v>0</v>
          </cell>
          <cell r="H59">
            <v>0</v>
          </cell>
        </row>
        <row r="60">
          <cell r="A60">
            <v>41020100</v>
          </cell>
          <cell r="B60" t="str">
            <v>Fly Ash Consumption account</v>
          </cell>
          <cell r="C60">
            <v>0</v>
          </cell>
          <cell r="D60">
            <v>150483.82</v>
          </cell>
          <cell r="E60">
            <v>0</v>
          </cell>
          <cell r="F60">
            <v>150483.82</v>
          </cell>
          <cell r="G60">
            <v>0</v>
          </cell>
          <cell r="H60">
            <v>150483.82</v>
          </cell>
        </row>
        <row r="61">
          <cell r="A61">
            <v>41020110</v>
          </cell>
          <cell r="B61" t="str">
            <v>Raw Material Purchase GGBS</v>
          </cell>
          <cell r="C61">
            <v>0</v>
          </cell>
          <cell r="D61">
            <v>734020.25</v>
          </cell>
          <cell r="E61">
            <v>601238.52</v>
          </cell>
          <cell r="F61">
            <v>132781.73000000001</v>
          </cell>
          <cell r="G61">
            <v>0</v>
          </cell>
          <cell r="H61">
            <v>132781.73000000001</v>
          </cell>
        </row>
        <row r="62">
          <cell r="A62">
            <v>41020115</v>
          </cell>
          <cell r="B62" t="str">
            <v>Interim account for GGBS received</v>
          </cell>
          <cell r="C62">
            <v>0</v>
          </cell>
          <cell r="D62">
            <v>653847.19999999995</v>
          </cell>
          <cell r="E62">
            <v>653847.19999999995</v>
          </cell>
          <cell r="F62">
            <v>0</v>
          </cell>
          <cell r="G62">
            <v>0</v>
          </cell>
          <cell r="H62">
            <v>0</v>
          </cell>
        </row>
        <row r="63">
          <cell r="A63">
            <v>41020120</v>
          </cell>
          <cell r="B63" t="str">
            <v>GGBS Consumption account</v>
          </cell>
          <cell r="C63">
            <v>0</v>
          </cell>
          <cell r="D63">
            <v>601238.52</v>
          </cell>
          <cell r="E63">
            <v>0</v>
          </cell>
          <cell r="F63">
            <v>601238.52</v>
          </cell>
          <cell r="G63">
            <v>0</v>
          </cell>
          <cell r="H63">
            <v>601238.52</v>
          </cell>
        </row>
        <row r="64">
          <cell r="A64">
            <v>41020130</v>
          </cell>
          <cell r="B64" t="str">
            <v>Raw Materials Purchase - CRF</v>
          </cell>
          <cell r="C64">
            <v>0</v>
          </cell>
          <cell r="D64">
            <v>122352.5</v>
          </cell>
          <cell r="E64">
            <v>112535.22</v>
          </cell>
          <cell r="F64">
            <v>9817.2800000000007</v>
          </cell>
          <cell r="G64">
            <v>0</v>
          </cell>
          <cell r="H64">
            <v>9817.2800000000007</v>
          </cell>
        </row>
        <row r="65">
          <cell r="A65">
            <v>41020135</v>
          </cell>
          <cell r="B65" t="str">
            <v>Interim account for CRF received</v>
          </cell>
          <cell r="C65">
            <v>0</v>
          </cell>
          <cell r="D65">
            <v>116267.5</v>
          </cell>
          <cell r="E65">
            <v>116267.5</v>
          </cell>
          <cell r="F65">
            <v>0</v>
          </cell>
          <cell r="G65">
            <v>0</v>
          </cell>
          <cell r="H65">
            <v>0</v>
          </cell>
        </row>
        <row r="66">
          <cell r="A66">
            <v>41020140</v>
          </cell>
          <cell r="B66" t="str">
            <v>CRF Consumption account</v>
          </cell>
          <cell r="C66">
            <v>0</v>
          </cell>
          <cell r="D66">
            <v>107282.74</v>
          </cell>
          <cell r="E66">
            <v>0</v>
          </cell>
          <cell r="F66">
            <v>107282.74</v>
          </cell>
          <cell r="G66">
            <v>0</v>
          </cell>
          <cell r="H66">
            <v>107282.74</v>
          </cell>
        </row>
        <row r="67">
          <cell r="A67">
            <v>41020150</v>
          </cell>
          <cell r="B67" t="str">
            <v>Loss/ gain on Stock</v>
          </cell>
          <cell r="C67">
            <v>0</v>
          </cell>
          <cell r="D67">
            <v>240966.6</v>
          </cell>
          <cell r="E67">
            <v>305383.52</v>
          </cell>
          <cell r="F67">
            <v>-64416.92</v>
          </cell>
          <cell r="G67">
            <v>0</v>
          </cell>
          <cell r="H67">
            <v>-64416.92</v>
          </cell>
        </row>
        <row r="68">
          <cell r="A68">
            <v>41020175</v>
          </cell>
          <cell r="B68" t="str">
            <v>Purchase of Concrete</v>
          </cell>
          <cell r="C68">
            <v>0</v>
          </cell>
          <cell r="D68">
            <v>42666.6</v>
          </cell>
          <cell r="E68">
            <v>0</v>
          </cell>
          <cell r="F68">
            <v>42666.6</v>
          </cell>
          <cell r="G68">
            <v>0</v>
          </cell>
          <cell r="H68">
            <v>42666.6</v>
          </cell>
        </row>
        <row r="69">
          <cell r="A69">
            <v>41020180</v>
          </cell>
          <cell r="B69" t="str">
            <v>Interim account for Concrete purchased</v>
          </cell>
          <cell r="C69">
            <v>0</v>
          </cell>
          <cell r="D69">
            <v>42666.6</v>
          </cell>
          <cell r="E69">
            <v>42666.6</v>
          </cell>
          <cell r="F69">
            <v>0</v>
          </cell>
          <cell r="G69">
            <v>0</v>
          </cell>
          <cell r="H69">
            <v>0</v>
          </cell>
        </row>
        <row r="70">
          <cell r="A70">
            <v>41020195</v>
          </cell>
          <cell r="B70" t="str">
            <v>Purchase of Diesel</v>
          </cell>
          <cell r="C70">
            <v>0</v>
          </cell>
          <cell r="D70">
            <v>642916</v>
          </cell>
          <cell r="E70">
            <v>650708.18000000005</v>
          </cell>
          <cell r="F70">
            <v>-7792.18</v>
          </cell>
          <cell r="G70">
            <v>0</v>
          </cell>
          <cell r="H70">
            <v>-7792.18</v>
          </cell>
        </row>
        <row r="71">
          <cell r="A71">
            <v>41020200</v>
          </cell>
          <cell r="B71" t="str">
            <v>Interim account for diesel received</v>
          </cell>
          <cell r="C71">
            <v>0</v>
          </cell>
          <cell r="D71">
            <v>642916</v>
          </cell>
          <cell r="E71">
            <v>642916</v>
          </cell>
          <cell r="F71">
            <v>0</v>
          </cell>
          <cell r="G71">
            <v>0</v>
          </cell>
          <cell r="H71">
            <v>0</v>
          </cell>
        </row>
        <row r="72">
          <cell r="A72">
            <v>41030010</v>
          </cell>
          <cell r="B72" t="str">
            <v>Input Tax Credit on Exempted Sales</v>
          </cell>
          <cell r="C72">
            <v>0</v>
          </cell>
          <cell r="D72">
            <v>14029</v>
          </cell>
          <cell r="E72">
            <v>0</v>
          </cell>
          <cell r="F72">
            <v>14029</v>
          </cell>
          <cell r="G72">
            <v>0</v>
          </cell>
          <cell r="H72">
            <v>14029</v>
          </cell>
        </row>
        <row r="73">
          <cell r="A73">
            <v>41050010</v>
          </cell>
          <cell r="B73" t="str">
            <v>Closing Stock - Cement</v>
          </cell>
          <cell r="C73">
            <v>0</v>
          </cell>
          <cell r="D73">
            <v>0</v>
          </cell>
          <cell r="E73">
            <v>164602.79999999999</v>
          </cell>
          <cell r="F73">
            <v>-164602.79999999999</v>
          </cell>
          <cell r="G73">
            <v>0</v>
          </cell>
          <cell r="H73">
            <v>-164602.79999999999</v>
          </cell>
        </row>
        <row r="74">
          <cell r="A74">
            <v>41050020</v>
          </cell>
          <cell r="B74" t="str">
            <v>Closing Stock - Sand</v>
          </cell>
          <cell r="C74">
            <v>0</v>
          </cell>
          <cell r="D74">
            <v>0</v>
          </cell>
          <cell r="E74">
            <v>99159.71</v>
          </cell>
          <cell r="F74">
            <v>-99159.71</v>
          </cell>
          <cell r="G74">
            <v>0</v>
          </cell>
          <cell r="H74">
            <v>-99159.71</v>
          </cell>
        </row>
        <row r="75">
          <cell r="A75">
            <v>41050030</v>
          </cell>
          <cell r="B75" t="str">
            <v>Closing Stock - CRF</v>
          </cell>
          <cell r="C75">
            <v>0</v>
          </cell>
          <cell r="D75">
            <v>0</v>
          </cell>
          <cell r="E75">
            <v>12817.96</v>
          </cell>
          <cell r="F75">
            <v>-12817.96</v>
          </cell>
          <cell r="G75">
            <v>0</v>
          </cell>
          <cell r="H75">
            <v>-12817.96</v>
          </cell>
        </row>
        <row r="76">
          <cell r="A76">
            <v>41050040</v>
          </cell>
          <cell r="B76" t="str">
            <v>Closing Stock - RMC Aggregates</v>
          </cell>
          <cell r="C76">
            <v>0</v>
          </cell>
          <cell r="D76">
            <v>0</v>
          </cell>
          <cell r="E76">
            <v>183630.25</v>
          </cell>
          <cell r="F76">
            <v>-183630.25</v>
          </cell>
          <cell r="G76">
            <v>0</v>
          </cell>
          <cell r="H76">
            <v>-183630.25</v>
          </cell>
        </row>
        <row r="77">
          <cell r="A77">
            <v>41050050</v>
          </cell>
          <cell r="B77" t="str">
            <v>Closing Stock - Admixtures</v>
          </cell>
          <cell r="C77">
            <v>0</v>
          </cell>
          <cell r="D77">
            <v>0</v>
          </cell>
          <cell r="E77">
            <v>153706.5</v>
          </cell>
          <cell r="F77">
            <v>-153706.5</v>
          </cell>
          <cell r="G77">
            <v>0</v>
          </cell>
          <cell r="H77">
            <v>-153706.5</v>
          </cell>
        </row>
        <row r="78">
          <cell r="A78">
            <v>41050070</v>
          </cell>
          <cell r="B78" t="str">
            <v>Closing Stock - Flyash</v>
          </cell>
          <cell r="C78">
            <v>0</v>
          </cell>
          <cell r="D78">
            <v>0</v>
          </cell>
          <cell r="E78">
            <v>7556.81</v>
          </cell>
          <cell r="F78">
            <v>-7556.81</v>
          </cell>
          <cell r="G78">
            <v>0</v>
          </cell>
          <cell r="H78">
            <v>-7556.81</v>
          </cell>
        </row>
        <row r="79">
          <cell r="A79">
            <v>41050080</v>
          </cell>
          <cell r="B79" t="str">
            <v>Closing Stock - Diesel</v>
          </cell>
          <cell r="C79">
            <v>0</v>
          </cell>
          <cell r="D79">
            <v>0</v>
          </cell>
          <cell r="E79">
            <v>7274.24</v>
          </cell>
          <cell r="F79">
            <v>-7274.24</v>
          </cell>
          <cell r="G79">
            <v>0</v>
          </cell>
          <cell r="H79">
            <v>-7274.24</v>
          </cell>
        </row>
        <row r="80">
          <cell r="A80">
            <v>41050110</v>
          </cell>
          <cell r="B80" t="str">
            <v>Closing Stock GGBS</v>
          </cell>
          <cell r="C80">
            <v>0</v>
          </cell>
          <cell r="D80">
            <v>0</v>
          </cell>
          <cell r="E80">
            <v>134713.66</v>
          </cell>
          <cell r="F80">
            <v>-134713.66</v>
          </cell>
          <cell r="G80">
            <v>0</v>
          </cell>
          <cell r="H80">
            <v>-134713.66</v>
          </cell>
        </row>
        <row r="81">
          <cell r="A81">
            <v>42010010</v>
          </cell>
          <cell r="B81" t="str">
            <v>Salary - Basic</v>
          </cell>
          <cell r="C81">
            <v>0</v>
          </cell>
          <cell r="D81">
            <v>255640</v>
          </cell>
          <cell r="E81">
            <v>0</v>
          </cell>
          <cell r="F81">
            <v>255640</v>
          </cell>
          <cell r="G81">
            <v>0</v>
          </cell>
          <cell r="H81">
            <v>255640</v>
          </cell>
        </row>
        <row r="82">
          <cell r="A82">
            <v>42010020</v>
          </cell>
          <cell r="B82" t="str">
            <v>House Rent Allowance</v>
          </cell>
          <cell r="C82">
            <v>0</v>
          </cell>
          <cell r="D82">
            <v>127700</v>
          </cell>
          <cell r="E82">
            <v>0</v>
          </cell>
          <cell r="F82">
            <v>127700</v>
          </cell>
          <cell r="G82">
            <v>0</v>
          </cell>
          <cell r="H82">
            <v>127700</v>
          </cell>
        </row>
        <row r="83">
          <cell r="A83">
            <v>42010030</v>
          </cell>
          <cell r="B83" t="str">
            <v>Education Allowance</v>
          </cell>
          <cell r="C83">
            <v>0</v>
          </cell>
          <cell r="D83">
            <v>18000</v>
          </cell>
          <cell r="E83">
            <v>0</v>
          </cell>
          <cell r="F83">
            <v>18000</v>
          </cell>
          <cell r="G83">
            <v>0</v>
          </cell>
          <cell r="H83">
            <v>18000</v>
          </cell>
        </row>
        <row r="84">
          <cell r="A84">
            <v>42010040</v>
          </cell>
          <cell r="B84" t="str">
            <v>Special Allowance</v>
          </cell>
          <cell r="C84">
            <v>0</v>
          </cell>
          <cell r="D84">
            <v>40826</v>
          </cell>
          <cell r="E84">
            <v>0</v>
          </cell>
          <cell r="F84">
            <v>40826</v>
          </cell>
          <cell r="G84">
            <v>0</v>
          </cell>
          <cell r="H84">
            <v>40826</v>
          </cell>
        </row>
        <row r="85">
          <cell r="A85">
            <v>42010050</v>
          </cell>
          <cell r="B85" t="str">
            <v>Medical Expense Reimbursement</v>
          </cell>
          <cell r="C85">
            <v>0</v>
          </cell>
          <cell r="D85">
            <v>33998</v>
          </cell>
          <cell r="E85">
            <v>0</v>
          </cell>
          <cell r="F85">
            <v>33998</v>
          </cell>
          <cell r="G85">
            <v>0</v>
          </cell>
          <cell r="H85">
            <v>33998</v>
          </cell>
        </row>
        <row r="86">
          <cell r="A86">
            <v>42010060</v>
          </cell>
          <cell r="B86" t="str">
            <v>Leave Travel Allowance</v>
          </cell>
          <cell r="C86">
            <v>0</v>
          </cell>
          <cell r="D86">
            <v>21729</v>
          </cell>
          <cell r="E86">
            <v>0</v>
          </cell>
          <cell r="F86">
            <v>21729</v>
          </cell>
          <cell r="G86">
            <v>0</v>
          </cell>
          <cell r="H86">
            <v>21729</v>
          </cell>
        </row>
        <row r="87">
          <cell r="A87">
            <v>42010090</v>
          </cell>
          <cell r="B87" t="str">
            <v>Overtime Payment</v>
          </cell>
          <cell r="C87">
            <v>0</v>
          </cell>
          <cell r="D87">
            <v>11663</v>
          </cell>
          <cell r="E87">
            <v>0</v>
          </cell>
          <cell r="F87">
            <v>11663</v>
          </cell>
          <cell r="G87">
            <v>0</v>
          </cell>
          <cell r="H87">
            <v>11663</v>
          </cell>
        </row>
        <row r="88">
          <cell r="A88">
            <v>42010100</v>
          </cell>
          <cell r="B88" t="str">
            <v>Transport Allowance</v>
          </cell>
          <cell r="C88">
            <v>0</v>
          </cell>
          <cell r="D88">
            <v>36160</v>
          </cell>
          <cell r="E88">
            <v>0</v>
          </cell>
          <cell r="F88">
            <v>36160</v>
          </cell>
          <cell r="G88">
            <v>0</v>
          </cell>
          <cell r="H88">
            <v>36160</v>
          </cell>
        </row>
        <row r="89">
          <cell r="A89">
            <v>42010110</v>
          </cell>
          <cell r="B89" t="str">
            <v>Lunch Allowance</v>
          </cell>
          <cell r="C89">
            <v>0</v>
          </cell>
          <cell r="D89">
            <v>200</v>
          </cell>
          <cell r="E89">
            <v>0</v>
          </cell>
          <cell r="F89">
            <v>200</v>
          </cell>
          <cell r="G89">
            <v>0</v>
          </cell>
          <cell r="H89">
            <v>200</v>
          </cell>
        </row>
        <row r="90">
          <cell r="A90">
            <v>42010130</v>
          </cell>
          <cell r="B90" t="str">
            <v>Production Linked Incentive</v>
          </cell>
          <cell r="C90">
            <v>0</v>
          </cell>
          <cell r="D90">
            <v>60155.32</v>
          </cell>
          <cell r="E90">
            <v>0</v>
          </cell>
          <cell r="F90">
            <v>60155.32</v>
          </cell>
          <cell r="G90">
            <v>0</v>
          </cell>
          <cell r="H90">
            <v>60155.32</v>
          </cell>
        </row>
        <row r="91">
          <cell r="A91">
            <v>42010220</v>
          </cell>
          <cell r="B91" t="str">
            <v>Adhoc Allowance</v>
          </cell>
          <cell r="C91">
            <v>0</v>
          </cell>
          <cell r="D91">
            <v>10400</v>
          </cell>
          <cell r="E91">
            <v>0</v>
          </cell>
          <cell r="F91">
            <v>10400</v>
          </cell>
          <cell r="G91">
            <v>0</v>
          </cell>
          <cell r="H91">
            <v>10400</v>
          </cell>
        </row>
        <row r="92">
          <cell r="A92">
            <v>42010230</v>
          </cell>
          <cell r="B92" t="str">
            <v>Car Allowance</v>
          </cell>
          <cell r="C92">
            <v>0</v>
          </cell>
          <cell r="D92">
            <v>18000</v>
          </cell>
          <cell r="E92">
            <v>0</v>
          </cell>
          <cell r="F92">
            <v>18000</v>
          </cell>
          <cell r="G92">
            <v>0</v>
          </cell>
          <cell r="H92">
            <v>18000</v>
          </cell>
        </row>
        <row r="93">
          <cell r="A93">
            <v>42010240</v>
          </cell>
          <cell r="B93" t="str">
            <v>Driver Allowance</v>
          </cell>
          <cell r="C93">
            <v>0</v>
          </cell>
          <cell r="D93">
            <v>12000</v>
          </cell>
          <cell r="E93">
            <v>0</v>
          </cell>
          <cell r="F93">
            <v>12000</v>
          </cell>
          <cell r="G93">
            <v>0</v>
          </cell>
          <cell r="H93">
            <v>12000</v>
          </cell>
        </row>
        <row r="94">
          <cell r="A94">
            <v>42010260</v>
          </cell>
          <cell r="B94" t="str">
            <v>Dearness Allowance</v>
          </cell>
          <cell r="C94">
            <v>0</v>
          </cell>
          <cell r="D94">
            <v>2500</v>
          </cell>
          <cell r="E94">
            <v>0</v>
          </cell>
          <cell r="F94">
            <v>2500</v>
          </cell>
          <cell r="G94">
            <v>0</v>
          </cell>
          <cell r="H94">
            <v>2500</v>
          </cell>
        </row>
        <row r="95">
          <cell r="A95">
            <v>42020010</v>
          </cell>
          <cell r="B95" t="str">
            <v>Provident Funds - Employer's Conribution</v>
          </cell>
          <cell r="C95">
            <v>0</v>
          </cell>
          <cell r="D95">
            <v>30976</v>
          </cell>
          <cell r="E95">
            <v>0</v>
          </cell>
          <cell r="F95">
            <v>30976</v>
          </cell>
          <cell r="G95">
            <v>0</v>
          </cell>
          <cell r="H95">
            <v>30976</v>
          </cell>
        </row>
        <row r="96">
          <cell r="A96">
            <v>42020070</v>
          </cell>
          <cell r="B96" t="str">
            <v>E.S.I.S. - Employer's Contribution</v>
          </cell>
          <cell r="C96">
            <v>0</v>
          </cell>
          <cell r="D96">
            <v>5358</v>
          </cell>
          <cell r="E96">
            <v>0</v>
          </cell>
          <cell r="F96">
            <v>5358</v>
          </cell>
          <cell r="G96">
            <v>0</v>
          </cell>
          <cell r="H96">
            <v>5358</v>
          </cell>
        </row>
        <row r="97">
          <cell r="A97">
            <v>42030050</v>
          </cell>
          <cell r="B97" t="str">
            <v>Staff Welfare Expenses</v>
          </cell>
          <cell r="C97">
            <v>0</v>
          </cell>
          <cell r="D97">
            <v>50235</v>
          </cell>
          <cell r="E97">
            <v>6000</v>
          </cell>
          <cell r="F97">
            <v>44235</v>
          </cell>
          <cell r="G97">
            <v>0</v>
          </cell>
          <cell r="H97">
            <v>44235</v>
          </cell>
        </row>
        <row r="98">
          <cell r="A98">
            <v>42030060</v>
          </cell>
          <cell r="B98" t="str">
            <v>Food &amp; Beverage Exps - FBT</v>
          </cell>
          <cell r="C98">
            <v>0</v>
          </cell>
          <cell r="D98">
            <v>2781</v>
          </cell>
          <cell r="E98">
            <v>0</v>
          </cell>
          <cell r="F98">
            <v>2781</v>
          </cell>
          <cell r="G98">
            <v>0</v>
          </cell>
          <cell r="H98">
            <v>2781</v>
          </cell>
        </row>
        <row r="99">
          <cell r="A99">
            <v>42030070</v>
          </cell>
          <cell r="B99" t="str">
            <v>Food &amp; Beverage Exps</v>
          </cell>
          <cell r="C99">
            <v>0</v>
          </cell>
          <cell r="D99">
            <v>282</v>
          </cell>
          <cell r="E99">
            <v>0</v>
          </cell>
          <cell r="F99">
            <v>282</v>
          </cell>
          <cell r="G99">
            <v>0</v>
          </cell>
          <cell r="H99">
            <v>282</v>
          </cell>
        </row>
        <row r="100">
          <cell r="A100">
            <v>42030080</v>
          </cell>
          <cell r="B100" t="str">
            <v>Washing Allowance</v>
          </cell>
          <cell r="C100">
            <v>0</v>
          </cell>
          <cell r="D100">
            <v>1100</v>
          </cell>
          <cell r="E100">
            <v>0</v>
          </cell>
          <cell r="F100">
            <v>1100</v>
          </cell>
          <cell r="G100">
            <v>0</v>
          </cell>
          <cell r="H100">
            <v>1100</v>
          </cell>
        </row>
        <row r="101">
          <cell r="A101">
            <v>43001010</v>
          </cell>
          <cell r="B101" t="str">
            <v>Electricity Charges</v>
          </cell>
          <cell r="C101">
            <v>0</v>
          </cell>
          <cell r="D101">
            <v>109739</v>
          </cell>
          <cell r="E101">
            <v>26000</v>
          </cell>
          <cell r="F101">
            <v>83739</v>
          </cell>
          <cell r="G101">
            <v>0</v>
          </cell>
          <cell r="H101">
            <v>83739</v>
          </cell>
        </row>
        <row r="102">
          <cell r="A102">
            <v>43001020</v>
          </cell>
          <cell r="B102" t="str">
            <v>Water Charges</v>
          </cell>
          <cell r="C102">
            <v>0</v>
          </cell>
          <cell r="D102">
            <v>22050</v>
          </cell>
          <cell r="E102">
            <v>0</v>
          </cell>
          <cell r="F102">
            <v>22050</v>
          </cell>
          <cell r="G102">
            <v>0</v>
          </cell>
          <cell r="H102">
            <v>22050</v>
          </cell>
        </row>
        <row r="103">
          <cell r="A103">
            <v>43001030</v>
          </cell>
          <cell r="B103" t="str">
            <v>Fuel For Diesel Generator Set</v>
          </cell>
          <cell r="C103">
            <v>0</v>
          </cell>
          <cell r="D103">
            <v>45402.37</v>
          </cell>
          <cell r="E103">
            <v>0</v>
          </cell>
          <cell r="F103">
            <v>45402.37</v>
          </cell>
          <cell r="G103">
            <v>0</v>
          </cell>
          <cell r="H103">
            <v>45402.37</v>
          </cell>
        </row>
        <row r="104">
          <cell r="A104">
            <v>43010010</v>
          </cell>
          <cell r="B104" t="str">
            <v>Consumables</v>
          </cell>
          <cell r="C104">
            <v>0</v>
          </cell>
          <cell r="D104">
            <v>24818</v>
          </cell>
          <cell r="E104">
            <v>0</v>
          </cell>
          <cell r="F104">
            <v>24818</v>
          </cell>
          <cell r="G104">
            <v>0</v>
          </cell>
          <cell r="H104">
            <v>24818</v>
          </cell>
        </row>
        <row r="105">
          <cell r="A105">
            <v>43012010</v>
          </cell>
          <cell r="B105" t="str">
            <v>Lab Consumables</v>
          </cell>
          <cell r="C105">
            <v>0</v>
          </cell>
          <cell r="D105">
            <v>1734.72</v>
          </cell>
          <cell r="E105">
            <v>0</v>
          </cell>
          <cell r="F105">
            <v>1734.72</v>
          </cell>
          <cell r="G105">
            <v>0</v>
          </cell>
          <cell r="H105">
            <v>1734.72</v>
          </cell>
        </row>
        <row r="106">
          <cell r="A106">
            <v>43012020</v>
          </cell>
          <cell r="B106" t="str">
            <v>Labour / sub contractor for - Pumping Expenses Incurred</v>
          </cell>
          <cell r="C106">
            <v>0</v>
          </cell>
          <cell r="D106">
            <v>304332</v>
          </cell>
          <cell r="E106">
            <v>0</v>
          </cell>
          <cell r="F106">
            <v>304332</v>
          </cell>
          <cell r="G106">
            <v>0</v>
          </cell>
          <cell r="H106">
            <v>304332</v>
          </cell>
        </row>
        <row r="107">
          <cell r="A107">
            <v>43018010</v>
          </cell>
          <cell r="B107" t="str">
            <v>Repairs &amp; Maintenance</v>
          </cell>
          <cell r="C107">
            <v>0</v>
          </cell>
          <cell r="D107">
            <v>221595.14</v>
          </cell>
          <cell r="E107">
            <v>4880</v>
          </cell>
          <cell r="F107">
            <v>216715.14</v>
          </cell>
          <cell r="G107">
            <v>0</v>
          </cell>
          <cell r="H107">
            <v>216715.14</v>
          </cell>
        </row>
        <row r="108">
          <cell r="A108">
            <v>43020030</v>
          </cell>
          <cell r="B108" t="str">
            <v>Tyres</v>
          </cell>
          <cell r="C108">
            <v>0</v>
          </cell>
          <cell r="D108">
            <v>65289.06</v>
          </cell>
          <cell r="E108">
            <v>0</v>
          </cell>
          <cell r="F108">
            <v>65289.06</v>
          </cell>
          <cell r="G108">
            <v>0</v>
          </cell>
          <cell r="H108">
            <v>65289.06</v>
          </cell>
        </row>
        <row r="109">
          <cell r="A109">
            <v>43020040</v>
          </cell>
          <cell r="B109" t="str">
            <v>Repairs &amp; Maintenance - Vehicles - FBT</v>
          </cell>
          <cell r="C109">
            <v>0</v>
          </cell>
          <cell r="D109">
            <v>5265</v>
          </cell>
          <cell r="E109">
            <v>0</v>
          </cell>
          <cell r="F109">
            <v>5265</v>
          </cell>
          <cell r="G109">
            <v>0</v>
          </cell>
          <cell r="H109">
            <v>5265</v>
          </cell>
        </row>
        <row r="110">
          <cell r="A110">
            <v>43022010</v>
          </cell>
          <cell r="B110" t="str">
            <v>Plant / Office Up Keep Exps</v>
          </cell>
          <cell r="C110">
            <v>0</v>
          </cell>
          <cell r="D110">
            <v>8960</v>
          </cell>
          <cell r="E110">
            <v>2200</v>
          </cell>
          <cell r="F110">
            <v>6760</v>
          </cell>
          <cell r="G110">
            <v>0</v>
          </cell>
          <cell r="H110">
            <v>6760</v>
          </cell>
        </row>
        <row r="111">
          <cell r="A111">
            <v>43030010</v>
          </cell>
          <cell r="B111" t="str">
            <v>Transportation Exps-Labour</v>
          </cell>
          <cell r="C111">
            <v>0</v>
          </cell>
          <cell r="D111">
            <v>191616</v>
          </cell>
          <cell r="E111">
            <v>0</v>
          </cell>
          <cell r="F111">
            <v>191616</v>
          </cell>
          <cell r="G111">
            <v>0</v>
          </cell>
          <cell r="H111">
            <v>191616</v>
          </cell>
        </row>
        <row r="112">
          <cell r="A112">
            <v>43032010</v>
          </cell>
          <cell r="B112" t="str">
            <v>Rent - Plant</v>
          </cell>
          <cell r="C112">
            <v>0</v>
          </cell>
          <cell r="D112">
            <v>110000</v>
          </cell>
          <cell r="E112">
            <v>0</v>
          </cell>
          <cell r="F112">
            <v>110000</v>
          </cell>
          <cell r="G112">
            <v>0</v>
          </cell>
          <cell r="H112">
            <v>110000</v>
          </cell>
        </row>
        <row r="113">
          <cell r="A113">
            <v>43032040</v>
          </cell>
          <cell r="B113" t="str">
            <v>Lease Rentals- Machinery</v>
          </cell>
          <cell r="C113">
            <v>0</v>
          </cell>
          <cell r="D113">
            <v>318456</v>
          </cell>
          <cell r="E113">
            <v>0</v>
          </cell>
          <cell r="F113">
            <v>318456</v>
          </cell>
          <cell r="G113">
            <v>0</v>
          </cell>
          <cell r="H113">
            <v>318456</v>
          </cell>
        </row>
        <row r="114">
          <cell r="A114">
            <v>43032045</v>
          </cell>
          <cell r="B114" t="str">
            <v>Towing Expenses</v>
          </cell>
          <cell r="C114">
            <v>0</v>
          </cell>
          <cell r="D114">
            <v>56530</v>
          </cell>
          <cell r="E114">
            <v>0</v>
          </cell>
          <cell r="F114">
            <v>56530</v>
          </cell>
          <cell r="G114">
            <v>0</v>
          </cell>
          <cell r="H114">
            <v>56530</v>
          </cell>
        </row>
        <row r="115">
          <cell r="A115">
            <v>43036010</v>
          </cell>
          <cell r="B115" t="str">
            <v>Insurance Expenses</v>
          </cell>
          <cell r="C115">
            <v>0</v>
          </cell>
          <cell r="D115">
            <v>21592.68</v>
          </cell>
          <cell r="E115">
            <v>0</v>
          </cell>
          <cell r="F115">
            <v>21592.68</v>
          </cell>
          <cell r="G115">
            <v>0</v>
          </cell>
          <cell r="H115">
            <v>21592.68</v>
          </cell>
        </row>
        <row r="116">
          <cell r="A116">
            <v>43038020</v>
          </cell>
          <cell r="B116" t="str">
            <v>Courier Expenses</v>
          </cell>
          <cell r="C116">
            <v>0</v>
          </cell>
          <cell r="D116">
            <v>2551</v>
          </cell>
          <cell r="E116">
            <v>600</v>
          </cell>
          <cell r="F116">
            <v>1951</v>
          </cell>
          <cell r="G116">
            <v>0</v>
          </cell>
          <cell r="H116">
            <v>1951</v>
          </cell>
        </row>
        <row r="117">
          <cell r="A117">
            <v>43038030</v>
          </cell>
          <cell r="B117" t="str">
            <v>Telephone Expenses</v>
          </cell>
          <cell r="C117">
            <v>0</v>
          </cell>
          <cell r="D117">
            <v>13469</v>
          </cell>
          <cell r="E117">
            <v>8050</v>
          </cell>
          <cell r="F117">
            <v>5419</v>
          </cell>
          <cell r="G117">
            <v>0</v>
          </cell>
          <cell r="H117">
            <v>5419</v>
          </cell>
        </row>
        <row r="118">
          <cell r="A118">
            <v>43038050</v>
          </cell>
          <cell r="B118" t="str">
            <v>Telephone Chgs - Mobile  FBT</v>
          </cell>
          <cell r="C118">
            <v>0</v>
          </cell>
          <cell r="D118">
            <v>15000</v>
          </cell>
          <cell r="E118">
            <v>0</v>
          </cell>
          <cell r="F118">
            <v>15000</v>
          </cell>
          <cell r="G118">
            <v>0</v>
          </cell>
          <cell r="H118">
            <v>15000</v>
          </cell>
        </row>
        <row r="119">
          <cell r="A119">
            <v>43040010</v>
          </cell>
          <cell r="B119" t="str">
            <v>Conveyance Expenses - FBT</v>
          </cell>
          <cell r="C119">
            <v>0</v>
          </cell>
          <cell r="D119">
            <v>151507.5</v>
          </cell>
          <cell r="E119">
            <v>39500</v>
          </cell>
          <cell r="F119">
            <v>112007.5</v>
          </cell>
          <cell r="G119">
            <v>0</v>
          </cell>
          <cell r="H119">
            <v>112007.5</v>
          </cell>
        </row>
        <row r="120">
          <cell r="A120">
            <v>43040080</v>
          </cell>
          <cell r="B120" t="str">
            <v>Travelling Expenses - Domestic - FBT</v>
          </cell>
          <cell r="C120">
            <v>0</v>
          </cell>
          <cell r="D120">
            <v>12905</v>
          </cell>
          <cell r="E120">
            <v>2985</v>
          </cell>
          <cell r="F120">
            <v>9920</v>
          </cell>
          <cell r="G120">
            <v>0</v>
          </cell>
          <cell r="H120">
            <v>9920</v>
          </cell>
        </row>
        <row r="121">
          <cell r="A121">
            <v>43042010</v>
          </cell>
          <cell r="B121" t="str">
            <v>Fuel - Truck Mixers</v>
          </cell>
          <cell r="C121">
            <v>0</v>
          </cell>
          <cell r="D121">
            <v>757317.49</v>
          </cell>
          <cell r="E121">
            <v>378657.64</v>
          </cell>
          <cell r="F121">
            <v>378659.85</v>
          </cell>
          <cell r="G121">
            <v>0</v>
          </cell>
          <cell r="H121">
            <v>378659.85</v>
          </cell>
        </row>
        <row r="122">
          <cell r="A122">
            <v>43042020</v>
          </cell>
          <cell r="B122" t="str">
            <v>Fuel - Loader</v>
          </cell>
          <cell r="C122">
            <v>0</v>
          </cell>
          <cell r="D122">
            <v>46727.74</v>
          </cell>
          <cell r="E122">
            <v>0</v>
          </cell>
          <cell r="F122">
            <v>46727.74</v>
          </cell>
          <cell r="G122">
            <v>0</v>
          </cell>
          <cell r="H122">
            <v>46727.74</v>
          </cell>
        </row>
        <row r="123">
          <cell r="A123">
            <v>43042030</v>
          </cell>
          <cell r="B123" t="str">
            <v>Fuel - Others</v>
          </cell>
          <cell r="C123">
            <v>0</v>
          </cell>
          <cell r="D123">
            <v>1193.05</v>
          </cell>
          <cell r="E123">
            <v>0</v>
          </cell>
          <cell r="F123">
            <v>1193.05</v>
          </cell>
          <cell r="G123">
            <v>0</v>
          </cell>
          <cell r="H123">
            <v>1193.05</v>
          </cell>
        </row>
        <row r="124">
          <cell r="A124">
            <v>43042050</v>
          </cell>
          <cell r="B124" t="str">
            <v>Fuel -  External Trucks/Pumps</v>
          </cell>
          <cell r="C124">
            <v>0</v>
          </cell>
          <cell r="D124">
            <v>325634.7</v>
          </cell>
          <cell r="E124">
            <v>162816.82</v>
          </cell>
          <cell r="F124">
            <v>162817.88</v>
          </cell>
          <cell r="G124">
            <v>0</v>
          </cell>
          <cell r="H124">
            <v>162817.88</v>
          </cell>
        </row>
        <row r="125">
          <cell r="A125">
            <v>43042060</v>
          </cell>
          <cell r="B125" t="str">
            <v>Fuel - Concrete Pumps</v>
          </cell>
          <cell r="C125">
            <v>0</v>
          </cell>
          <cell r="D125">
            <v>31814.49</v>
          </cell>
          <cell r="E125">
            <v>15907.2</v>
          </cell>
          <cell r="F125">
            <v>15907.29</v>
          </cell>
          <cell r="G125">
            <v>0</v>
          </cell>
          <cell r="H125">
            <v>15907.29</v>
          </cell>
        </row>
        <row r="126">
          <cell r="A126">
            <v>43046010</v>
          </cell>
          <cell r="B126" t="str">
            <v>Rates &amp; Taxes</v>
          </cell>
          <cell r="C126">
            <v>0</v>
          </cell>
          <cell r="D126">
            <v>58986.34</v>
          </cell>
          <cell r="E126">
            <v>34500</v>
          </cell>
          <cell r="F126">
            <v>24486.34</v>
          </cell>
          <cell r="G126">
            <v>0</v>
          </cell>
          <cell r="H126">
            <v>24486.34</v>
          </cell>
        </row>
        <row r="127">
          <cell r="A127">
            <v>43046020</v>
          </cell>
          <cell r="B127" t="str">
            <v>Toll Charges- Truck Mixer</v>
          </cell>
          <cell r="C127">
            <v>0</v>
          </cell>
          <cell r="D127">
            <v>13483</v>
          </cell>
          <cell r="E127">
            <v>0</v>
          </cell>
          <cell r="F127">
            <v>13483</v>
          </cell>
          <cell r="G127">
            <v>0</v>
          </cell>
          <cell r="H127">
            <v>13483</v>
          </cell>
        </row>
        <row r="128">
          <cell r="A128">
            <v>43046030</v>
          </cell>
          <cell r="B128" t="str">
            <v>Fines &amp; Penalties</v>
          </cell>
          <cell r="C128">
            <v>0</v>
          </cell>
          <cell r="D128">
            <v>5550</v>
          </cell>
          <cell r="E128">
            <v>0</v>
          </cell>
          <cell r="F128">
            <v>5550</v>
          </cell>
          <cell r="G128">
            <v>0</v>
          </cell>
          <cell r="H128">
            <v>5550</v>
          </cell>
        </row>
        <row r="129">
          <cell r="A129">
            <v>43052010</v>
          </cell>
          <cell r="B129" t="str">
            <v>Security Service Charges</v>
          </cell>
          <cell r="C129">
            <v>0</v>
          </cell>
          <cell r="D129">
            <v>44334</v>
          </cell>
          <cell r="E129">
            <v>0</v>
          </cell>
          <cell r="F129">
            <v>44334</v>
          </cell>
          <cell r="G129">
            <v>0</v>
          </cell>
          <cell r="H129">
            <v>44334</v>
          </cell>
        </row>
        <row r="130">
          <cell r="A130">
            <v>43054020</v>
          </cell>
          <cell r="B130" t="str">
            <v>Concrete Carrying Charges - TM</v>
          </cell>
          <cell r="C130">
            <v>0</v>
          </cell>
          <cell r="D130">
            <v>503557</v>
          </cell>
          <cell r="E130">
            <v>0</v>
          </cell>
          <cell r="F130">
            <v>503557</v>
          </cell>
          <cell r="G130">
            <v>0</v>
          </cell>
          <cell r="H130">
            <v>503557</v>
          </cell>
        </row>
        <row r="131">
          <cell r="A131">
            <v>43054030</v>
          </cell>
          <cell r="B131" t="str">
            <v>Concrete Placing Charges Pump</v>
          </cell>
          <cell r="C131">
            <v>0</v>
          </cell>
          <cell r="D131">
            <v>368000</v>
          </cell>
          <cell r="E131">
            <v>0</v>
          </cell>
          <cell r="F131">
            <v>368000</v>
          </cell>
          <cell r="G131">
            <v>0</v>
          </cell>
          <cell r="H131">
            <v>368000</v>
          </cell>
        </row>
        <row r="132">
          <cell r="A132">
            <v>43054040</v>
          </cell>
          <cell r="B132" t="str">
            <v>Hire Charges - Vehicle</v>
          </cell>
          <cell r="C132">
            <v>0</v>
          </cell>
          <cell r="D132">
            <v>63004</v>
          </cell>
          <cell r="E132">
            <v>0</v>
          </cell>
          <cell r="F132">
            <v>63004</v>
          </cell>
          <cell r="G132">
            <v>0</v>
          </cell>
          <cell r="H132">
            <v>63004</v>
          </cell>
        </row>
        <row r="133">
          <cell r="A133">
            <v>43066020</v>
          </cell>
          <cell r="B133" t="str">
            <v>Printing &amp; Stationery</v>
          </cell>
          <cell r="C133">
            <v>0</v>
          </cell>
          <cell r="D133">
            <v>24475</v>
          </cell>
          <cell r="E133">
            <v>13500</v>
          </cell>
          <cell r="F133">
            <v>10975</v>
          </cell>
          <cell r="G133">
            <v>0</v>
          </cell>
          <cell r="H133">
            <v>10975</v>
          </cell>
        </row>
        <row r="134">
          <cell r="A134">
            <v>43072010</v>
          </cell>
          <cell r="B134" t="str">
            <v>Bad Debts</v>
          </cell>
          <cell r="C134">
            <v>0</v>
          </cell>
          <cell r="D134">
            <v>93840.73</v>
          </cell>
          <cell r="E134">
            <v>0</v>
          </cell>
          <cell r="F134">
            <v>93840.73</v>
          </cell>
          <cell r="G134">
            <v>0</v>
          </cell>
          <cell r="H134">
            <v>93840.73</v>
          </cell>
        </row>
        <row r="135">
          <cell r="A135">
            <v>43074010</v>
          </cell>
          <cell r="B135" t="str">
            <v>Provision For Bad &amp; Doubtful Debts W/Off</v>
          </cell>
          <cell r="C135">
            <v>0</v>
          </cell>
          <cell r="D135">
            <v>50000</v>
          </cell>
          <cell r="E135">
            <v>93838</v>
          </cell>
          <cell r="F135">
            <v>-43838</v>
          </cell>
          <cell r="G135">
            <v>0</v>
          </cell>
          <cell r="H135">
            <v>-43838</v>
          </cell>
        </row>
        <row r="136">
          <cell r="A136">
            <v>43084020</v>
          </cell>
          <cell r="B136" t="str">
            <v>Testing Charges</v>
          </cell>
          <cell r="C136">
            <v>0</v>
          </cell>
          <cell r="D136">
            <v>9460</v>
          </cell>
          <cell r="E136">
            <v>0</v>
          </cell>
          <cell r="F136">
            <v>9460</v>
          </cell>
          <cell r="G136">
            <v>0</v>
          </cell>
          <cell r="H136">
            <v>9460</v>
          </cell>
        </row>
        <row r="137">
          <cell r="A137">
            <v>43084030</v>
          </cell>
          <cell r="B137" t="str">
            <v>Rounding Off</v>
          </cell>
          <cell r="C137">
            <v>0</v>
          </cell>
          <cell r="D137">
            <v>31.11</v>
          </cell>
          <cell r="E137">
            <v>37.869999999999997</v>
          </cell>
          <cell r="F137">
            <v>-6.76</v>
          </cell>
          <cell r="G137">
            <v>0</v>
          </cell>
          <cell r="H137">
            <v>-6.76</v>
          </cell>
        </row>
        <row r="138">
          <cell r="A138">
            <v>44010040</v>
          </cell>
          <cell r="B138" t="str">
            <v>Bank Charges</v>
          </cell>
          <cell r="C138">
            <v>0</v>
          </cell>
          <cell r="D138">
            <v>600</v>
          </cell>
          <cell r="E138">
            <v>0</v>
          </cell>
          <cell r="F138">
            <v>600</v>
          </cell>
          <cell r="G138">
            <v>0</v>
          </cell>
          <cell r="H138">
            <v>600</v>
          </cell>
        </row>
        <row r="139">
          <cell r="A139">
            <v>45010010</v>
          </cell>
          <cell r="B139" t="str">
            <v>Depreciation</v>
          </cell>
          <cell r="C139">
            <v>0</v>
          </cell>
          <cell r="D139">
            <v>585918</v>
          </cell>
          <cell r="E139">
            <v>0</v>
          </cell>
          <cell r="F139">
            <v>585918</v>
          </cell>
          <cell r="G139">
            <v>0</v>
          </cell>
          <cell r="H139">
            <v>585918</v>
          </cell>
        </row>
        <row r="140">
          <cell r="A140">
            <v>52000000</v>
          </cell>
          <cell r="B140" t="str">
            <v>Inter Branch Control Account</v>
          </cell>
          <cell r="C140">
            <v>-39072961.299999997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-39072961.299999997</v>
          </cell>
        </row>
        <row r="141">
          <cell r="A141">
            <v>52000809</v>
          </cell>
          <cell r="B141" t="str">
            <v>Inter branch control account for 08-09</v>
          </cell>
          <cell r="C141">
            <v>5334224.8</v>
          </cell>
          <cell r="D141">
            <v>12487104</v>
          </cell>
          <cell r="E141">
            <v>10414186</v>
          </cell>
          <cell r="F141">
            <v>2072918</v>
          </cell>
          <cell r="G141">
            <v>0</v>
          </cell>
          <cell r="H141">
            <v>7407142.7999999998</v>
          </cell>
        </row>
        <row r="142">
          <cell r="A142">
            <v>61000400</v>
          </cell>
          <cell r="B142" t="str">
            <v>Control Account Haulage Income</v>
          </cell>
          <cell r="C142">
            <v>0</v>
          </cell>
          <cell r="D142">
            <v>4389023</v>
          </cell>
          <cell r="E142">
            <v>4389023</v>
          </cell>
          <cell r="F142">
            <v>0</v>
          </cell>
          <cell r="G142">
            <v>0</v>
          </cell>
          <cell r="H142">
            <v>0</v>
          </cell>
        </row>
        <row r="143">
          <cell r="A143">
            <v>61000500</v>
          </cell>
          <cell r="B143" t="str">
            <v>Control Account for Pumping</v>
          </cell>
          <cell r="C143">
            <v>0</v>
          </cell>
          <cell r="D143">
            <v>825700</v>
          </cell>
          <cell r="E143">
            <v>825700</v>
          </cell>
          <cell r="F143">
            <v>0</v>
          </cell>
          <cell r="G143">
            <v>0</v>
          </cell>
          <cell r="H143">
            <v>0</v>
          </cell>
        </row>
        <row r="144">
          <cell r="A144">
            <v>62000000</v>
          </cell>
          <cell r="B144" t="str">
            <v>Inter branch Clearing account</v>
          </cell>
          <cell r="C144">
            <v>0</v>
          </cell>
          <cell r="D144">
            <v>7847491</v>
          </cell>
          <cell r="E144">
            <v>7847491</v>
          </cell>
          <cell r="F144">
            <v>0</v>
          </cell>
          <cell r="G144">
            <v>0</v>
          </cell>
          <cell r="H144">
            <v>0</v>
          </cell>
        </row>
        <row r="145">
          <cell r="B145" t="str">
            <v>Total</v>
          </cell>
          <cell r="D145">
            <v>0</v>
          </cell>
          <cell r="E145">
            <v>141701232.28</v>
          </cell>
          <cell r="F145">
            <v>141701232.28</v>
          </cell>
          <cell r="G145">
            <v>0</v>
          </cell>
          <cell r="H14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annex"/>
      <sheetName val="comp"/>
      <sheetName val="ltcg"/>
      <sheetName val="form "/>
      <sheetName val="Ann1,2,3,"/>
      <sheetName val="Ann6"/>
      <sheetName val="Ann7"/>
      <sheetName val="Ann8"/>
      <sheetName val="ann 9"/>
      <sheetName val="ann10,11"/>
      <sheetName val="ann 12"/>
      <sheetName val="ann 13"/>
      <sheetName val="ann 14"/>
      <sheetName val="ann  14"/>
      <sheetName val="ann 15"/>
      <sheetName val="ann  15"/>
      <sheetName val="ann 16"/>
      <sheetName val="ann 17"/>
      <sheetName val="ann  18"/>
      <sheetName val="ann19"/>
      <sheetName val="ann 20"/>
      <sheetName val="Workings"/>
      <sheetName val="145Aad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L96-97"/>
      <sheetName val="BAL96_97"/>
      <sheetName val="trial bal"/>
    </sheetNames>
    <sheetDataSet>
      <sheetData sheetId="0"/>
      <sheetData sheetId="1"/>
      <sheetData sheetId="2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R"/>
      <sheetName val="MAY"/>
      <sheetName val="JUNE"/>
      <sheetName val="APR-JUNE"/>
      <sheetName val="JULY"/>
      <sheetName val="AUG"/>
      <sheetName val="Sheet1"/>
      <sheetName val="SEP"/>
      <sheetName val="JULY-SEP"/>
      <sheetName val="APR - SEP"/>
      <sheetName val="OCT"/>
      <sheetName val="Dewas Wall"/>
      <sheetName val="tb"/>
    </sheetNames>
    <sheetDataSet>
      <sheetData sheetId="0" refreshError="1">
        <row r="1">
          <cell r="A1" t="str">
            <v xml:space="preserve">BRITANNIA INDUSTRIES LIMITED </v>
          </cell>
        </row>
        <row r="2">
          <cell r="A2" t="str">
            <v>NBD - CALCUTTA</v>
          </cell>
        </row>
        <row r="3">
          <cell r="A3" t="str">
            <v xml:space="preserve">NSV FOR THE MONTH OF APRIL' 2000 </v>
          </cell>
        </row>
        <row r="5">
          <cell r="A5" t="str">
            <v>STOCK CODE</v>
          </cell>
          <cell r="B5" t="str">
            <v>SKU</v>
          </cell>
          <cell r="C5" t="str">
            <v>CBB WEIGHT</v>
          </cell>
          <cell r="D5" t="str">
            <v>JADAVPORE</v>
          </cell>
          <cell r="G5" t="str">
            <v>BURDWAN</v>
          </cell>
          <cell r="J5" t="str">
            <v>SILIGURI</v>
          </cell>
          <cell r="M5" t="str">
            <v>PATNA</v>
          </cell>
          <cell r="P5" t="str">
            <v>ROURKELA</v>
          </cell>
          <cell r="S5" t="str">
            <v>CUTTACK</v>
          </cell>
          <cell r="V5" t="str">
            <v>GUWAHATI</v>
          </cell>
          <cell r="Y5" t="str">
            <v>AGARTALA</v>
          </cell>
          <cell r="AB5" t="str">
            <v>A.K.SAHU</v>
          </cell>
          <cell r="AE5" t="str">
            <v>BUXARA</v>
          </cell>
          <cell r="AH5" t="str">
            <v>PORTBLAIR</v>
          </cell>
          <cell r="AK5" t="str">
            <v>NEPAL</v>
          </cell>
          <cell r="AN5" t="str">
            <v>TOTAL BRANCH</v>
          </cell>
        </row>
        <row r="6">
          <cell r="A6" t="str">
            <v>stock_no</v>
          </cell>
          <cell r="B6" t="str">
            <v>descrip</v>
          </cell>
          <cell r="C6" t="str">
            <v>weight</v>
          </cell>
          <cell r="D6" t="str">
            <v>jdv_cbb</v>
          </cell>
          <cell r="E6" t="str">
            <v>Tes</v>
          </cell>
          <cell r="F6" t="str">
            <v>jdv_value</v>
          </cell>
          <cell r="G6" t="str">
            <v>bdn_cbb</v>
          </cell>
          <cell r="H6" t="str">
            <v>Tes</v>
          </cell>
          <cell r="I6" t="str">
            <v>bdn_value</v>
          </cell>
          <cell r="J6" t="str">
            <v>slg_cbb</v>
          </cell>
          <cell r="K6" t="str">
            <v>Tes</v>
          </cell>
          <cell r="L6" t="str">
            <v>slg_value</v>
          </cell>
          <cell r="M6" t="str">
            <v>ptn_cbb</v>
          </cell>
          <cell r="N6" t="str">
            <v>Tes</v>
          </cell>
          <cell r="O6" t="str">
            <v>ptn_value</v>
          </cell>
          <cell r="P6" t="str">
            <v>rkl_cbb</v>
          </cell>
          <cell r="Q6" t="str">
            <v>Tes</v>
          </cell>
          <cell r="R6" t="str">
            <v>rkl_value</v>
          </cell>
          <cell r="S6" t="str">
            <v>ctk_cbb</v>
          </cell>
          <cell r="T6" t="str">
            <v>Tes</v>
          </cell>
          <cell r="U6" t="str">
            <v>ctk_value</v>
          </cell>
          <cell r="V6" t="str">
            <v>ght_cbb</v>
          </cell>
          <cell r="W6" t="str">
            <v>Tes</v>
          </cell>
          <cell r="X6" t="str">
            <v>ght_value</v>
          </cell>
          <cell r="Y6" t="str">
            <v>agt_cbb</v>
          </cell>
          <cell r="Z6" t="str">
            <v>Tes</v>
          </cell>
          <cell r="AA6" t="str">
            <v>agt_value</v>
          </cell>
          <cell r="AB6" t="str">
            <v>aks_cbb</v>
          </cell>
          <cell r="AC6" t="str">
            <v>Tes</v>
          </cell>
          <cell r="AD6" t="str">
            <v>aks_value</v>
          </cell>
          <cell r="AE6" t="str">
            <v>bux_cbb</v>
          </cell>
          <cell r="AF6" t="str">
            <v>Tes</v>
          </cell>
          <cell r="AG6" t="str">
            <v>bux_value</v>
          </cell>
          <cell r="AH6" t="str">
            <v>prt_cbb</v>
          </cell>
          <cell r="AI6" t="str">
            <v>Tes</v>
          </cell>
          <cell r="AJ6" t="str">
            <v>prt_value</v>
          </cell>
          <cell r="AK6" t="str">
            <v>nep_cbb</v>
          </cell>
          <cell r="AL6" t="str">
            <v>Tes</v>
          </cell>
          <cell r="AM6" t="str">
            <v>nep_value</v>
          </cell>
          <cell r="AN6" t="str">
            <v>tot_cbb</v>
          </cell>
          <cell r="AO6" t="str">
            <v>Tes</v>
          </cell>
          <cell r="AP6" t="str">
            <v>tot_value</v>
          </cell>
        </row>
        <row r="7">
          <cell r="A7" t="str">
            <v>20017101</v>
          </cell>
          <cell r="B7" t="str">
            <v>MIXED FRUIT</v>
          </cell>
          <cell r="C7">
            <v>8.4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8.4000000000000012E-3</v>
          </cell>
          <cell r="I7">
            <v>886.8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1</v>
          </cell>
          <cell r="AO7">
            <v>8.4000000000000012E-3</v>
          </cell>
          <cell r="AP7">
            <v>886.8</v>
          </cell>
        </row>
        <row r="8">
          <cell r="A8" t="str">
            <v>20027101</v>
          </cell>
          <cell r="B8" t="str">
            <v>TRIO</v>
          </cell>
          <cell r="C8">
            <v>8.4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</row>
        <row r="9">
          <cell r="A9" t="str">
            <v>20037101</v>
          </cell>
          <cell r="B9" t="str">
            <v>DUET</v>
          </cell>
          <cell r="C9">
            <v>8.4</v>
          </cell>
          <cell r="D9">
            <v>0</v>
          </cell>
          <cell r="E9">
            <v>0</v>
          </cell>
          <cell r="F9">
            <v>0</v>
          </cell>
          <cell r="G9">
            <v>5</v>
          </cell>
          <cell r="H9">
            <v>4.2000000000000003E-2</v>
          </cell>
          <cell r="I9">
            <v>4434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5</v>
          </cell>
          <cell r="AO9">
            <v>4.2000000000000003E-2</v>
          </cell>
          <cell r="AP9">
            <v>4434</v>
          </cell>
        </row>
        <row r="10">
          <cell r="A10" t="str">
            <v>20047001</v>
          </cell>
          <cell r="B10" t="str">
            <v>FRUIT</v>
          </cell>
          <cell r="C10">
            <v>12</v>
          </cell>
          <cell r="D10">
            <v>0</v>
          </cell>
          <cell r="E10">
            <v>0</v>
          </cell>
          <cell r="F10">
            <v>0</v>
          </cell>
          <cell r="G10">
            <v>412</v>
          </cell>
          <cell r="H10">
            <v>4.944</v>
          </cell>
          <cell r="I10">
            <v>435176.13</v>
          </cell>
          <cell r="J10">
            <v>433</v>
          </cell>
          <cell r="K10">
            <v>5.1959999999999997</v>
          </cell>
          <cell r="L10">
            <v>456858.3</v>
          </cell>
          <cell r="M10">
            <v>865</v>
          </cell>
          <cell r="N10">
            <v>10.38</v>
          </cell>
          <cell r="O10">
            <v>902489.1</v>
          </cell>
          <cell r="P10">
            <v>63</v>
          </cell>
          <cell r="Q10">
            <v>0.75600000000000001</v>
          </cell>
          <cell r="R10">
            <v>65284.38</v>
          </cell>
          <cell r="S10">
            <v>29</v>
          </cell>
          <cell r="T10">
            <v>0.34799999999999998</v>
          </cell>
          <cell r="U10">
            <v>30016.880000000001</v>
          </cell>
          <cell r="V10">
            <v>1688</v>
          </cell>
          <cell r="W10">
            <v>20.256</v>
          </cell>
          <cell r="X10">
            <v>1789902.12</v>
          </cell>
          <cell r="Y10">
            <v>326</v>
          </cell>
          <cell r="Z10">
            <v>3.9119999999999999</v>
          </cell>
          <cell r="AA10">
            <v>332637.36</v>
          </cell>
          <cell r="AB10">
            <v>173</v>
          </cell>
          <cell r="AC10">
            <v>2.0760000000000001</v>
          </cell>
          <cell r="AD10">
            <v>143922.16</v>
          </cell>
          <cell r="AE10">
            <v>200</v>
          </cell>
          <cell r="AF10">
            <v>2.4</v>
          </cell>
          <cell r="AG10">
            <v>166384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4189</v>
          </cell>
          <cell r="AO10">
            <v>50.268000000000001</v>
          </cell>
          <cell r="AP10">
            <v>4322670.43</v>
          </cell>
        </row>
        <row r="11">
          <cell r="A11" t="str">
            <v>20057001</v>
          </cell>
          <cell r="B11" t="str">
            <v>CHOCOLATE</v>
          </cell>
          <cell r="C11">
            <v>12</v>
          </cell>
          <cell r="D11">
            <v>65</v>
          </cell>
          <cell r="E11">
            <v>0.78</v>
          </cell>
          <cell r="F11">
            <v>68581.5</v>
          </cell>
          <cell r="G11">
            <v>11</v>
          </cell>
          <cell r="H11">
            <v>0.13200000000000001</v>
          </cell>
          <cell r="I11">
            <v>11218.68</v>
          </cell>
          <cell r="J11">
            <v>0</v>
          </cell>
          <cell r="K11">
            <v>0</v>
          </cell>
          <cell r="L11">
            <v>0</v>
          </cell>
          <cell r="M11">
            <v>12</v>
          </cell>
          <cell r="N11">
            <v>0.14399999999999999</v>
          </cell>
          <cell r="O11">
            <v>12520.08</v>
          </cell>
          <cell r="P11">
            <v>2</v>
          </cell>
          <cell r="Q11">
            <v>2.4E-2</v>
          </cell>
          <cell r="R11">
            <v>2072.52</v>
          </cell>
          <cell r="S11">
            <v>0</v>
          </cell>
          <cell r="T11">
            <v>0</v>
          </cell>
          <cell r="U11">
            <v>0</v>
          </cell>
          <cell r="V11">
            <v>48</v>
          </cell>
          <cell r="W11">
            <v>0.57599999999999996</v>
          </cell>
          <cell r="X11">
            <v>50773.32</v>
          </cell>
          <cell r="Y11">
            <v>2</v>
          </cell>
          <cell r="Z11">
            <v>2.4E-2</v>
          </cell>
          <cell r="AA11">
            <v>2040.72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140</v>
          </cell>
          <cell r="AO11">
            <v>1.68</v>
          </cell>
          <cell r="AP11">
            <v>147206.82</v>
          </cell>
        </row>
        <row r="12">
          <cell r="A12" t="str">
            <v>20067001</v>
          </cell>
          <cell r="B12" t="str">
            <v>ORANGE</v>
          </cell>
          <cell r="C12">
            <v>12</v>
          </cell>
          <cell r="D12">
            <v>0</v>
          </cell>
          <cell r="E12">
            <v>0</v>
          </cell>
          <cell r="F12">
            <v>0</v>
          </cell>
          <cell r="G12">
            <v>11</v>
          </cell>
          <cell r="H12">
            <v>0.13200000000000001</v>
          </cell>
          <cell r="I12">
            <v>11465.22</v>
          </cell>
          <cell r="J12">
            <v>0</v>
          </cell>
          <cell r="K12">
            <v>0</v>
          </cell>
          <cell r="L12">
            <v>0</v>
          </cell>
          <cell r="M12">
            <v>5</v>
          </cell>
          <cell r="N12">
            <v>0.06</v>
          </cell>
          <cell r="O12">
            <v>5216.7</v>
          </cell>
          <cell r="P12">
            <v>2</v>
          </cell>
          <cell r="Q12">
            <v>2.4E-2</v>
          </cell>
          <cell r="R12">
            <v>2072.52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18</v>
          </cell>
          <cell r="AO12">
            <v>0.216</v>
          </cell>
          <cell r="AP12">
            <v>18754.439999999999</v>
          </cell>
        </row>
        <row r="13">
          <cell r="A13" t="str">
            <v>20077001</v>
          </cell>
          <cell r="B13" t="str">
            <v>VANILLA CHOCOLATE</v>
          </cell>
          <cell r="C13">
            <v>12</v>
          </cell>
          <cell r="D13">
            <v>0</v>
          </cell>
          <cell r="E13">
            <v>0</v>
          </cell>
          <cell r="F13">
            <v>0</v>
          </cell>
          <cell r="G13">
            <v>3</v>
          </cell>
          <cell r="H13">
            <v>3.5999999999999997E-2</v>
          </cell>
          <cell r="I13">
            <v>3059.64</v>
          </cell>
          <cell r="J13">
            <v>3</v>
          </cell>
          <cell r="K13">
            <v>3.5999999999999997E-2</v>
          </cell>
          <cell r="L13">
            <v>3165.3</v>
          </cell>
          <cell r="M13">
            <v>5</v>
          </cell>
          <cell r="N13">
            <v>0.06</v>
          </cell>
          <cell r="O13">
            <v>5216.7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11</v>
          </cell>
          <cell r="AO13">
            <v>0.13200000000000001</v>
          </cell>
          <cell r="AP13">
            <v>11441.64</v>
          </cell>
        </row>
        <row r="14">
          <cell r="A14" t="str">
            <v>20087001</v>
          </cell>
          <cell r="B14" t="str">
            <v>ORANGE CHOCOLATE</v>
          </cell>
          <cell r="C14">
            <v>12</v>
          </cell>
          <cell r="D14">
            <v>20</v>
          </cell>
          <cell r="E14">
            <v>0.24</v>
          </cell>
          <cell r="F14">
            <v>21102</v>
          </cell>
          <cell r="G14">
            <v>14</v>
          </cell>
          <cell r="H14">
            <v>0.16800000000000001</v>
          </cell>
          <cell r="I14">
            <v>14278.32</v>
          </cell>
          <cell r="J14">
            <v>0</v>
          </cell>
          <cell r="K14">
            <v>0</v>
          </cell>
          <cell r="L14">
            <v>0</v>
          </cell>
          <cell r="M14">
            <v>2</v>
          </cell>
          <cell r="N14">
            <v>2.4E-2</v>
          </cell>
          <cell r="O14">
            <v>2086.6799999999998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9</v>
          </cell>
          <cell r="W14">
            <v>0.108</v>
          </cell>
          <cell r="X14">
            <v>9600.66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45</v>
          </cell>
          <cell r="AO14">
            <v>0.54</v>
          </cell>
          <cell r="AP14">
            <v>47067.66</v>
          </cell>
        </row>
        <row r="15">
          <cell r="A15" t="str">
            <v>20097001</v>
          </cell>
          <cell r="B15" t="str">
            <v>PLUM</v>
          </cell>
          <cell r="C15">
            <v>18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</row>
        <row r="16">
          <cell r="A16" t="str">
            <v>20107001</v>
          </cell>
          <cell r="B16" t="str">
            <v>MILK</v>
          </cell>
          <cell r="C16">
            <v>12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</row>
        <row r="17">
          <cell r="A17" t="str">
            <v>20117001</v>
          </cell>
          <cell r="B17" t="str">
            <v>BUTTER SPONGE</v>
          </cell>
          <cell r="C17">
            <v>12</v>
          </cell>
          <cell r="D17">
            <v>11</v>
          </cell>
          <cell r="E17">
            <v>0.13200000000000001</v>
          </cell>
          <cell r="F17">
            <v>11606.1</v>
          </cell>
          <cell r="G17">
            <v>6</v>
          </cell>
          <cell r="H17">
            <v>7.1999999999999995E-2</v>
          </cell>
          <cell r="I17">
            <v>6119.28</v>
          </cell>
          <cell r="J17">
            <v>0</v>
          </cell>
          <cell r="K17">
            <v>0</v>
          </cell>
          <cell r="L17">
            <v>0</v>
          </cell>
          <cell r="M17">
            <v>5</v>
          </cell>
          <cell r="N17">
            <v>0.06</v>
          </cell>
          <cell r="O17">
            <v>5216.7</v>
          </cell>
          <cell r="P17">
            <v>2</v>
          </cell>
          <cell r="Q17">
            <v>2.4E-2</v>
          </cell>
          <cell r="R17">
            <v>2072.52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24</v>
          </cell>
          <cell r="AO17">
            <v>0.28799999999999998</v>
          </cell>
          <cell r="AP17">
            <v>25014.6</v>
          </cell>
        </row>
        <row r="18">
          <cell r="A18" t="str">
            <v>20227101</v>
          </cell>
          <cell r="B18" t="str">
            <v>GOODDAY S SL VANILLA</v>
          </cell>
          <cell r="C18">
            <v>8.4</v>
          </cell>
          <cell r="D18">
            <v>31</v>
          </cell>
          <cell r="E18">
            <v>0.26040000000000002</v>
          </cell>
          <cell r="F18">
            <v>28443.119999999999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2</v>
          </cell>
          <cell r="Q18">
            <v>1.6800000000000002E-2</v>
          </cell>
          <cell r="R18">
            <v>1802.4</v>
          </cell>
          <cell r="S18">
            <v>3</v>
          </cell>
          <cell r="T18">
            <v>2.5200000000000004E-2</v>
          </cell>
          <cell r="U18">
            <v>2703.6</v>
          </cell>
          <cell r="V18">
            <v>15</v>
          </cell>
          <cell r="W18">
            <v>0.126</v>
          </cell>
          <cell r="X18">
            <v>13914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51</v>
          </cell>
          <cell r="AO18">
            <v>0.42840000000000006</v>
          </cell>
          <cell r="AP18">
            <v>46863.12</v>
          </cell>
        </row>
        <row r="19">
          <cell r="A19" t="str">
            <v>20237101</v>
          </cell>
          <cell r="B19" t="str">
            <v>GOODDAY S SL RICH FRUIT</v>
          </cell>
          <cell r="C19">
            <v>8.4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2</v>
          </cell>
          <cell r="Q19">
            <v>1.6800000000000002E-2</v>
          </cell>
          <cell r="R19">
            <v>1802.4</v>
          </cell>
          <cell r="S19">
            <v>2</v>
          </cell>
          <cell r="T19">
            <v>1.6800000000000002E-2</v>
          </cell>
          <cell r="U19">
            <v>1802.4</v>
          </cell>
          <cell r="V19">
            <v>80</v>
          </cell>
          <cell r="W19">
            <v>0.67200000000000004</v>
          </cell>
          <cell r="X19">
            <v>74208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84</v>
          </cell>
          <cell r="AO19">
            <v>0.7056</v>
          </cell>
          <cell r="AP19">
            <v>77812.800000000003</v>
          </cell>
        </row>
        <row r="20">
          <cell r="A20" t="str">
            <v>20247101</v>
          </cell>
          <cell r="B20" t="str">
            <v>GOODDAY S SL MAZZA MIX</v>
          </cell>
          <cell r="C20">
            <v>8.4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2</v>
          </cell>
          <cell r="Q20">
            <v>1.6800000000000002E-2</v>
          </cell>
          <cell r="R20">
            <v>1802.4</v>
          </cell>
          <cell r="S20">
            <v>3</v>
          </cell>
          <cell r="T20">
            <v>2.5200000000000004E-2</v>
          </cell>
          <cell r="U20">
            <v>2703.6</v>
          </cell>
          <cell r="V20">
            <v>9</v>
          </cell>
          <cell r="W20">
            <v>7.5600000000000014E-2</v>
          </cell>
          <cell r="X20">
            <v>8348.4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14</v>
          </cell>
          <cell r="AO20">
            <v>0.11760000000000001</v>
          </cell>
          <cell r="AP20">
            <v>12854.4</v>
          </cell>
        </row>
        <row r="21">
          <cell r="A21" t="str">
            <v>20307001</v>
          </cell>
          <cell r="B21" t="str">
            <v>FRUIT CAKE      (CAL-CP)</v>
          </cell>
          <cell r="C21">
            <v>12</v>
          </cell>
          <cell r="D21">
            <v>1043</v>
          </cell>
          <cell r="E21">
            <v>12.516</v>
          </cell>
          <cell r="F21">
            <v>1205551.98</v>
          </cell>
          <cell r="G21">
            <v>0</v>
          </cell>
          <cell r="H21">
            <v>0</v>
          </cell>
          <cell r="I21">
            <v>0</v>
          </cell>
          <cell r="J21">
            <v>564</v>
          </cell>
          <cell r="K21">
            <v>6.7679999999999998</v>
          </cell>
          <cell r="L21">
            <v>654600.95999999996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1607</v>
          </cell>
          <cell r="AO21">
            <v>19.283999999999999</v>
          </cell>
          <cell r="AP21">
            <v>1860152.94</v>
          </cell>
        </row>
        <row r="22">
          <cell r="A22" t="str">
            <v>20317001</v>
          </cell>
          <cell r="B22" t="str">
            <v>CHOCOLATE   (FROM CAL CP)</v>
          </cell>
          <cell r="C22">
            <v>12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</row>
        <row r="23">
          <cell r="A23" t="str">
            <v>21017601</v>
          </cell>
          <cell r="B23" t="str">
            <v>HALF-HALF CHOC/VAN TWINPK</v>
          </cell>
          <cell r="C23">
            <v>4.8</v>
          </cell>
          <cell r="D23">
            <v>140</v>
          </cell>
          <cell r="E23">
            <v>0.67200000000000004</v>
          </cell>
          <cell r="F23">
            <v>102748.8</v>
          </cell>
          <cell r="G23">
            <v>14</v>
          </cell>
          <cell r="H23">
            <v>6.720000000000001E-2</v>
          </cell>
          <cell r="I23">
            <v>10274.879999999999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28</v>
          </cell>
          <cell r="W23">
            <v>0.13440000000000002</v>
          </cell>
          <cell r="X23">
            <v>20778.240000000002</v>
          </cell>
          <cell r="Y23">
            <v>3</v>
          </cell>
          <cell r="Z23">
            <v>1.4399999999999998E-2</v>
          </cell>
          <cell r="AA23">
            <v>2226.2399999999998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185</v>
          </cell>
          <cell r="AO23">
            <v>0.88800000000000001</v>
          </cell>
          <cell r="AP23">
            <v>136028.16</v>
          </cell>
        </row>
        <row r="24">
          <cell r="A24" t="str">
            <v>21017701</v>
          </cell>
          <cell r="B24" t="str">
            <v>HALF HALF CHOC/VAN FMLYPK</v>
          </cell>
          <cell r="C24">
            <v>3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</row>
        <row r="25">
          <cell r="A25" t="str">
            <v>21027601</v>
          </cell>
          <cell r="B25" t="str">
            <v>HALF HALF OR/CHOC  TWINPK</v>
          </cell>
          <cell r="C25">
            <v>4.8</v>
          </cell>
          <cell r="D25">
            <v>168</v>
          </cell>
          <cell r="E25">
            <v>0.80640000000000001</v>
          </cell>
          <cell r="F25">
            <v>123298.56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168</v>
          </cell>
          <cell r="AO25">
            <v>0.80640000000000001</v>
          </cell>
          <cell r="AP25">
            <v>123298.56</v>
          </cell>
        </row>
        <row r="26">
          <cell r="A26" t="str">
            <v>21027701</v>
          </cell>
          <cell r="B26" t="str">
            <v>HALF HALF OR/CHOC  FMLYPK</v>
          </cell>
          <cell r="C26">
            <v>3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</row>
        <row r="27">
          <cell r="A27" t="str">
            <v>22017801</v>
          </cell>
          <cell r="B27" t="str">
            <v>CUP CAKE TWIN BUTTER</v>
          </cell>
          <cell r="C27">
            <v>4.8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</row>
        <row r="28">
          <cell r="A28" t="str">
            <v>22027801</v>
          </cell>
          <cell r="B28" t="str">
            <v>CUP CAKE TWIN ORANGE</v>
          </cell>
          <cell r="C28">
            <v>4.8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</row>
        <row r="29">
          <cell r="A29" t="str">
            <v>22037801</v>
          </cell>
          <cell r="B29" t="str">
            <v>CUP CAKE TWIN PINEAPPLE</v>
          </cell>
          <cell r="C29">
            <v>4.8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</row>
        <row r="30">
          <cell r="A30" t="str">
            <v>22047901</v>
          </cell>
          <cell r="B30" t="str">
            <v>CUP CAKE FAMILY BUTTER</v>
          </cell>
          <cell r="C30">
            <v>3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</row>
        <row r="31">
          <cell r="A31" t="str">
            <v>22057901</v>
          </cell>
          <cell r="B31" t="str">
            <v>CUP CAKE FAMILY ORANGE</v>
          </cell>
          <cell r="C31">
            <v>3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</row>
        <row r="32">
          <cell r="A32" t="str">
            <v>22067901</v>
          </cell>
          <cell r="B32" t="str">
            <v>CUP CAKE FAMILY PINEAPPLE</v>
          </cell>
          <cell r="C32">
            <v>3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</row>
        <row r="33">
          <cell r="A33" t="str">
            <v>40018001</v>
          </cell>
          <cell r="B33" t="str">
            <v>PROCESSED CHEESE 400G TIN</v>
          </cell>
          <cell r="C33">
            <v>9.6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</row>
        <row r="34">
          <cell r="A34" t="str">
            <v>40018002</v>
          </cell>
          <cell r="B34" t="str">
            <v>PROCESSED CHEESE 200G TIN</v>
          </cell>
          <cell r="C34">
            <v>9.6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</row>
        <row r="35">
          <cell r="A35" t="str">
            <v>40018101</v>
          </cell>
          <cell r="B35" t="str">
            <v>CHEESE SINGLES 100G IWS</v>
          </cell>
          <cell r="C35">
            <v>12</v>
          </cell>
          <cell r="D35">
            <v>27</v>
          </cell>
          <cell r="E35">
            <v>0.32400000000000001</v>
          </cell>
          <cell r="F35">
            <v>65444.4</v>
          </cell>
          <cell r="G35">
            <v>0</v>
          </cell>
          <cell r="H35">
            <v>0</v>
          </cell>
          <cell r="I35">
            <v>0</v>
          </cell>
          <cell r="J35">
            <v>19</v>
          </cell>
          <cell r="K35">
            <v>0.22800000000000001</v>
          </cell>
          <cell r="L35">
            <v>43273.2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12</v>
          </cell>
          <cell r="W35">
            <v>0.14399999999999999</v>
          </cell>
          <cell r="X35">
            <v>28022.400000000001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58</v>
          </cell>
          <cell r="AO35">
            <v>0.69599999999999995</v>
          </cell>
          <cell r="AP35">
            <v>136740</v>
          </cell>
        </row>
        <row r="36">
          <cell r="A36" t="str">
            <v>40018102</v>
          </cell>
          <cell r="B36" t="str">
            <v>CHEESE SINGLES 200G IWS</v>
          </cell>
          <cell r="C36">
            <v>12</v>
          </cell>
          <cell r="D36">
            <v>167</v>
          </cell>
          <cell r="E36">
            <v>2.004</v>
          </cell>
          <cell r="F36">
            <v>366720.48</v>
          </cell>
          <cell r="G36">
            <v>0</v>
          </cell>
          <cell r="H36">
            <v>0</v>
          </cell>
          <cell r="I36">
            <v>1102.8</v>
          </cell>
          <cell r="J36">
            <v>11</v>
          </cell>
          <cell r="K36">
            <v>0.13200000000000001</v>
          </cell>
          <cell r="L36">
            <v>23876.400000000001</v>
          </cell>
          <cell r="M36">
            <v>44</v>
          </cell>
          <cell r="N36">
            <v>0.52800000000000002</v>
          </cell>
          <cell r="O36">
            <v>90271.2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12</v>
          </cell>
          <cell r="W36">
            <v>0.14399999999999999</v>
          </cell>
          <cell r="X36">
            <v>26272.799999999999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234</v>
          </cell>
          <cell r="AO36">
            <v>2.8079999999999998</v>
          </cell>
          <cell r="AP36">
            <v>508243.68</v>
          </cell>
        </row>
        <row r="37">
          <cell r="A37" t="str">
            <v>40018301</v>
          </cell>
          <cell r="B37" t="str">
            <v>PROCESSED CHEESE 200G CHP</v>
          </cell>
          <cell r="C37">
            <v>12</v>
          </cell>
          <cell r="D37">
            <v>81</v>
          </cell>
          <cell r="E37">
            <v>0.97199999999999998</v>
          </cell>
          <cell r="F37">
            <v>179434</v>
          </cell>
          <cell r="G37">
            <v>1</v>
          </cell>
          <cell r="H37">
            <v>1.2E-2</v>
          </cell>
          <cell r="I37">
            <v>4411.2</v>
          </cell>
          <cell r="J37">
            <v>0</v>
          </cell>
          <cell r="K37">
            <v>0</v>
          </cell>
          <cell r="L37">
            <v>0</v>
          </cell>
          <cell r="M37">
            <v>32</v>
          </cell>
          <cell r="N37">
            <v>0.38400000000000001</v>
          </cell>
          <cell r="O37">
            <v>67197.600000000006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114</v>
          </cell>
          <cell r="AO37">
            <v>1.3680000000000001</v>
          </cell>
          <cell r="AP37">
            <v>251042.8</v>
          </cell>
        </row>
        <row r="38">
          <cell r="A38" t="str">
            <v>40018801</v>
          </cell>
          <cell r="B38" t="str">
            <v>PROCESSED CHEESE 400GCEKA</v>
          </cell>
          <cell r="C38">
            <v>12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</row>
        <row r="39">
          <cell r="A39" t="str">
            <v>40019001</v>
          </cell>
          <cell r="B39" t="str">
            <v>PROCESSED CHEESE I. PACK</v>
          </cell>
          <cell r="C39">
            <v>12</v>
          </cell>
          <cell r="D39">
            <v>12</v>
          </cell>
          <cell r="E39">
            <v>0.14399999999999999</v>
          </cell>
          <cell r="F39">
            <v>21653.919999999998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2</v>
          </cell>
          <cell r="W39">
            <v>2.4E-2</v>
          </cell>
          <cell r="X39">
            <v>3393.6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14</v>
          </cell>
          <cell r="AO39">
            <v>0.16800000000000001</v>
          </cell>
          <cell r="AP39">
            <v>25047.52</v>
          </cell>
        </row>
        <row r="40">
          <cell r="A40" t="str">
            <v>40019401</v>
          </cell>
          <cell r="B40" t="str">
            <v>N F T - CHEESE 400G TIN</v>
          </cell>
          <cell r="C40">
            <v>9.6</v>
          </cell>
          <cell r="D40">
            <v>177</v>
          </cell>
          <cell r="E40">
            <v>1.6992</v>
          </cell>
          <cell r="F40">
            <v>261220.74</v>
          </cell>
          <cell r="G40">
            <v>0</v>
          </cell>
          <cell r="H40">
            <v>0</v>
          </cell>
          <cell r="I40">
            <v>0</v>
          </cell>
          <cell r="J40">
            <v>81</v>
          </cell>
          <cell r="K40">
            <v>0.77760000000000007</v>
          </cell>
          <cell r="L40">
            <v>115721.28</v>
          </cell>
          <cell r="M40">
            <v>80</v>
          </cell>
          <cell r="N40">
            <v>0.76800000000000002</v>
          </cell>
          <cell r="O40">
            <v>114552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55</v>
          </cell>
          <cell r="W40">
            <v>0.52800000000000002</v>
          </cell>
          <cell r="X40">
            <v>80269.2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393</v>
          </cell>
          <cell r="AO40">
            <v>3.7727999999999997</v>
          </cell>
          <cell r="AP40">
            <v>571763.22</v>
          </cell>
        </row>
        <row r="41">
          <cell r="A41" t="str">
            <v>40019501</v>
          </cell>
          <cell r="B41" t="str">
            <v>CHEESE BLOCK 1 KG</v>
          </cell>
          <cell r="C41">
            <v>12</v>
          </cell>
          <cell r="D41">
            <v>2</v>
          </cell>
          <cell r="E41">
            <v>2.4E-2</v>
          </cell>
          <cell r="F41">
            <v>4002.1</v>
          </cell>
          <cell r="G41">
            <v>0</v>
          </cell>
          <cell r="H41">
            <v>0</v>
          </cell>
          <cell r="I41">
            <v>0</v>
          </cell>
          <cell r="J41">
            <v>10</v>
          </cell>
          <cell r="K41">
            <v>0.12</v>
          </cell>
          <cell r="L41">
            <v>15356.64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12</v>
          </cell>
          <cell r="AO41">
            <v>0.14399999999999999</v>
          </cell>
          <cell r="AP41">
            <v>19358.740000000002</v>
          </cell>
        </row>
        <row r="42">
          <cell r="A42" t="str">
            <v>40019601</v>
          </cell>
          <cell r="B42" t="str">
            <v>CHIPLET 120G ONION</v>
          </cell>
          <cell r="C42">
            <v>12</v>
          </cell>
          <cell r="D42">
            <v>4</v>
          </cell>
          <cell r="E42">
            <v>4.8000000000000001E-2</v>
          </cell>
          <cell r="F42">
            <v>9148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11</v>
          </cell>
          <cell r="N42">
            <v>0.13200000000000001</v>
          </cell>
          <cell r="O42">
            <v>26070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15</v>
          </cell>
          <cell r="AO42">
            <v>0.18</v>
          </cell>
          <cell r="AP42">
            <v>35218</v>
          </cell>
        </row>
        <row r="43">
          <cell r="A43" t="str">
            <v>40028401</v>
          </cell>
          <cell r="B43" t="str">
            <v>DAIRY WHITENER 200G REFIL</v>
          </cell>
          <cell r="C43">
            <v>12</v>
          </cell>
          <cell r="D43">
            <v>3</v>
          </cell>
          <cell r="E43">
            <v>3.5999999999999997E-2</v>
          </cell>
          <cell r="F43">
            <v>5092.83</v>
          </cell>
          <cell r="G43">
            <v>0</v>
          </cell>
          <cell r="H43">
            <v>0</v>
          </cell>
          <cell r="I43">
            <v>0</v>
          </cell>
          <cell r="J43">
            <v>8</v>
          </cell>
          <cell r="K43">
            <v>9.6000000000000002E-2</v>
          </cell>
          <cell r="L43">
            <v>11476.8</v>
          </cell>
          <cell r="M43">
            <v>166</v>
          </cell>
          <cell r="N43">
            <v>1.992</v>
          </cell>
          <cell r="O43">
            <v>226907.06</v>
          </cell>
          <cell r="P43">
            <v>27</v>
          </cell>
          <cell r="Q43">
            <v>0.32400000000000001</v>
          </cell>
          <cell r="R43">
            <v>37002.959999999999</v>
          </cell>
          <cell r="S43">
            <v>52</v>
          </cell>
          <cell r="T43">
            <v>0.624</v>
          </cell>
          <cell r="U43">
            <v>71356.33</v>
          </cell>
          <cell r="V43">
            <v>902</v>
          </cell>
          <cell r="W43">
            <v>10.824</v>
          </cell>
          <cell r="X43">
            <v>1272361.2</v>
          </cell>
          <cell r="Y43">
            <v>50</v>
          </cell>
          <cell r="Z43">
            <v>0.6</v>
          </cell>
          <cell r="AA43">
            <v>70530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1208</v>
          </cell>
          <cell r="AO43">
            <v>14.496</v>
          </cell>
          <cell r="AP43">
            <v>1694727.18</v>
          </cell>
        </row>
        <row r="44">
          <cell r="A44" t="str">
            <v>40028402</v>
          </cell>
          <cell r="B44" t="str">
            <v>DAIRY WHITENER 500G REFIL</v>
          </cell>
          <cell r="C44">
            <v>12</v>
          </cell>
          <cell r="D44">
            <v>1</v>
          </cell>
          <cell r="E44">
            <v>1.2E-2</v>
          </cell>
          <cell r="F44">
            <v>1325.76</v>
          </cell>
          <cell r="G44">
            <v>0</v>
          </cell>
          <cell r="H44">
            <v>0</v>
          </cell>
          <cell r="I44">
            <v>0</v>
          </cell>
          <cell r="J44">
            <v>35</v>
          </cell>
          <cell r="K44">
            <v>0.42</v>
          </cell>
          <cell r="L44">
            <v>46401.599999999999</v>
          </cell>
          <cell r="M44">
            <v>317</v>
          </cell>
          <cell r="N44">
            <v>3.8039999999999998</v>
          </cell>
          <cell r="O44">
            <v>400440.74</v>
          </cell>
          <cell r="P44">
            <v>61</v>
          </cell>
          <cell r="Q44">
            <v>0.73199999999999998</v>
          </cell>
          <cell r="R44">
            <v>77257.11</v>
          </cell>
          <cell r="S44">
            <v>116</v>
          </cell>
          <cell r="T44">
            <v>1.3919999999999999</v>
          </cell>
          <cell r="U44">
            <v>148091.19</v>
          </cell>
          <cell r="V44">
            <v>1733</v>
          </cell>
          <cell r="W44">
            <v>20.795999999999999</v>
          </cell>
          <cell r="X44">
            <v>2259277.44</v>
          </cell>
          <cell r="Y44">
            <v>80</v>
          </cell>
          <cell r="Z44">
            <v>0.96</v>
          </cell>
          <cell r="AA44">
            <v>104294.39999999999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2343</v>
          </cell>
          <cell r="AO44">
            <v>28.116</v>
          </cell>
          <cell r="AP44">
            <v>3037088.24</v>
          </cell>
        </row>
        <row r="45">
          <cell r="A45" t="str">
            <v>40028501</v>
          </cell>
          <cell r="B45" t="str">
            <v>DAIRY WHITENER 200G POUCH</v>
          </cell>
          <cell r="C45">
            <v>12</v>
          </cell>
          <cell r="D45">
            <v>182</v>
          </cell>
          <cell r="E45">
            <v>2.1840000000000002</v>
          </cell>
          <cell r="F45">
            <v>240500.4</v>
          </cell>
          <cell r="G45">
            <v>250</v>
          </cell>
          <cell r="H45">
            <v>3</v>
          </cell>
          <cell r="I45">
            <v>330600</v>
          </cell>
          <cell r="J45">
            <v>219</v>
          </cell>
          <cell r="K45">
            <v>2.6280000000000001</v>
          </cell>
          <cell r="L45">
            <v>292496.40000000002</v>
          </cell>
          <cell r="M45">
            <v>306</v>
          </cell>
          <cell r="N45">
            <v>3.6720000000000002</v>
          </cell>
          <cell r="O45">
            <v>389427.84</v>
          </cell>
          <cell r="P45">
            <v>34</v>
          </cell>
          <cell r="Q45">
            <v>0.40799999999999997</v>
          </cell>
          <cell r="R45">
            <v>43382.64</v>
          </cell>
          <cell r="S45">
            <v>69</v>
          </cell>
          <cell r="T45">
            <v>0.82799999999999996</v>
          </cell>
          <cell r="U45">
            <v>87333.84</v>
          </cell>
          <cell r="V45">
            <v>1190</v>
          </cell>
          <cell r="W45">
            <v>14.28</v>
          </cell>
          <cell r="X45">
            <v>1562946</v>
          </cell>
          <cell r="Y45">
            <v>49</v>
          </cell>
          <cell r="Z45">
            <v>0.58799999999999997</v>
          </cell>
          <cell r="AA45">
            <v>65604.33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2299</v>
          </cell>
          <cell r="AO45">
            <v>27.588000000000001</v>
          </cell>
          <cell r="AP45">
            <v>3012291.45</v>
          </cell>
        </row>
        <row r="46">
          <cell r="A46" t="str">
            <v>40028502</v>
          </cell>
          <cell r="B46" t="str">
            <v>DAIRY WHITENER 500G POUCH</v>
          </cell>
          <cell r="C46">
            <v>12</v>
          </cell>
          <cell r="D46">
            <v>1035</v>
          </cell>
          <cell r="E46">
            <v>12.42</v>
          </cell>
          <cell r="F46">
            <v>1281562.3600000001</v>
          </cell>
          <cell r="G46">
            <v>633</v>
          </cell>
          <cell r="H46">
            <v>7.5960000000000001</v>
          </cell>
          <cell r="I46">
            <v>781324.56</v>
          </cell>
          <cell r="J46">
            <v>755</v>
          </cell>
          <cell r="K46">
            <v>9.06</v>
          </cell>
          <cell r="L46">
            <v>937081.2</v>
          </cell>
          <cell r="M46">
            <v>1345</v>
          </cell>
          <cell r="N46">
            <v>16.14</v>
          </cell>
          <cell r="O46">
            <v>1598527</v>
          </cell>
          <cell r="P46">
            <v>569</v>
          </cell>
          <cell r="Q46">
            <v>6.8280000000000003</v>
          </cell>
          <cell r="R46">
            <v>674208.72</v>
          </cell>
          <cell r="S46">
            <v>276</v>
          </cell>
          <cell r="T46">
            <v>3.3119999999999998</v>
          </cell>
          <cell r="U46">
            <v>328912.44</v>
          </cell>
          <cell r="V46">
            <v>3785</v>
          </cell>
          <cell r="W46">
            <v>45.42</v>
          </cell>
          <cell r="X46">
            <v>4640107.2</v>
          </cell>
          <cell r="Y46">
            <v>179</v>
          </cell>
          <cell r="Z46">
            <v>2.1480000000000001</v>
          </cell>
          <cell r="AA46">
            <v>220410.2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8577</v>
          </cell>
          <cell r="AO46">
            <v>102.92400000000001</v>
          </cell>
          <cell r="AP46">
            <v>10462133.699999999</v>
          </cell>
        </row>
        <row r="47">
          <cell r="A47" t="str">
            <v>40028503</v>
          </cell>
          <cell r="B47" t="str">
            <v>DAIRY WHITENER 50G POUCH</v>
          </cell>
          <cell r="C47">
            <v>9.6</v>
          </cell>
          <cell r="D47">
            <v>55</v>
          </cell>
          <cell r="E47">
            <v>0.52800000000000002</v>
          </cell>
          <cell r="F47">
            <v>57938.400000000001</v>
          </cell>
          <cell r="G47">
            <v>21</v>
          </cell>
          <cell r="H47">
            <v>0.2016</v>
          </cell>
          <cell r="I47">
            <v>21924</v>
          </cell>
          <cell r="J47">
            <v>217</v>
          </cell>
          <cell r="K47">
            <v>2.0831999999999997</v>
          </cell>
          <cell r="L47">
            <v>228891.6</v>
          </cell>
          <cell r="M47">
            <v>166</v>
          </cell>
          <cell r="N47">
            <v>1.5935999999999999</v>
          </cell>
          <cell r="O47">
            <v>166863.20000000001</v>
          </cell>
          <cell r="P47">
            <v>173</v>
          </cell>
          <cell r="Q47">
            <v>1.6608000000000001</v>
          </cell>
          <cell r="R47">
            <v>175080.6</v>
          </cell>
          <cell r="S47">
            <v>47</v>
          </cell>
          <cell r="T47">
            <v>0.45119999999999999</v>
          </cell>
          <cell r="U47">
            <v>47369.7</v>
          </cell>
          <cell r="V47">
            <v>459</v>
          </cell>
          <cell r="W47">
            <v>4.4063999999999997</v>
          </cell>
          <cell r="X47">
            <v>475891.20000000001</v>
          </cell>
          <cell r="Y47">
            <v>9</v>
          </cell>
          <cell r="Z47">
            <v>8.6399999999999991E-2</v>
          </cell>
          <cell r="AA47">
            <v>10091.52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1147</v>
          </cell>
          <cell r="AO47">
            <v>11.011199999999999</v>
          </cell>
          <cell r="AP47">
            <v>1184050.22</v>
          </cell>
        </row>
        <row r="48">
          <cell r="A48" t="str">
            <v>40028504</v>
          </cell>
          <cell r="B48" t="str">
            <v>DAIRY WHITENER 100G POUCH</v>
          </cell>
          <cell r="C48">
            <v>12</v>
          </cell>
          <cell r="D48">
            <v>59</v>
          </cell>
          <cell r="E48">
            <v>0.70799999999999996</v>
          </cell>
          <cell r="F48">
            <v>81544.800000000003</v>
          </cell>
          <cell r="G48">
            <v>23</v>
          </cell>
          <cell r="H48">
            <v>0.27600000000000002</v>
          </cell>
          <cell r="I48">
            <v>31599.599999999999</v>
          </cell>
          <cell r="J48">
            <v>1</v>
          </cell>
          <cell r="K48">
            <v>1.2E-2</v>
          </cell>
          <cell r="L48">
            <v>1384.8</v>
          </cell>
          <cell r="M48">
            <v>67</v>
          </cell>
          <cell r="N48">
            <v>0.80400000000000005</v>
          </cell>
          <cell r="O48">
            <v>88425.26</v>
          </cell>
          <cell r="P48">
            <v>52</v>
          </cell>
          <cell r="Q48">
            <v>0.624</v>
          </cell>
          <cell r="R48">
            <v>68808.2</v>
          </cell>
          <cell r="S48">
            <v>25</v>
          </cell>
          <cell r="T48">
            <v>0.3</v>
          </cell>
          <cell r="U48">
            <v>33080.879999999997</v>
          </cell>
          <cell r="V48">
            <v>65</v>
          </cell>
          <cell r="W48">
            <v>0.78</v>
          </cell>
          <cell r="X48">
            <v>88530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292</v>
          </cell>
          <cell r="AO48">
            <v>3.504</v>
          </cell>
          <cell r="AP48">
            <v>393373.54</v>
          </cell>
        </row>
        <row r="49">
          <cell r="A49" t="str">
            <v>40028505</v>
          </cell>
          <cell r="B49" t="str">
            <v>D-WHITENER 1000G POUCH</v>
          </cell>
          <cell r="C49">
            <v>12</v>
          </cell>
          <cell r="D49">
            <v>5</v>
          </cell>
          <cell r="E49">
            <v>0.06</v>
          </cell>
          <cell r="F49">
            <v>6459</v>
          </cell>
          <cell r="G49">
            <v>9</v>
          </cell>
          <cell r="H49">
            <v>0.108</v>
          </cell>
          <cell r="I49">
            <v>10857.24</v>
          </cell>
          <cell r="J49">
            <v>100</v>
          </cell>
          <cell r="K49">
            <v>1.2</v>
          </cell>
          <cell r="L49">
            <v>121692</v>
          </cell>
          <cell r="M49">
            <v>20</v>
          </cell>
          <cell r="N49">
            <v>0.24</v>
          </cell>
          <cell r="O49">
            <v>23190.400000000001</v>
          </cell>
          <cell r="P49">
            <v>47</v>
          </cell>
          <cell r="Q49">
            <v>0.56399999999999995</v>
          </cell>
          <cell r="R49">
            <v>54639.38</v>
          </cell>
          <cell r="S49">
            <v>108</v>
          </cell>
          <cell r="T49">
            <v>1.296</v>
          </cell>
          <cell r="U49">
            <v>125554.32</v>
          </cell>
          <cell r="V49">
            <v>343</v>
          </cell>
          <cell r="W49">
            <v>4.1159999999999997</v>
          </cell>
          <cell r="X49">
            <v>410488.68</v>
          </cell>
          <cell r="Y49">
            <v>30</v>
          </cell>
          <cell r="Z49">
            <v>0.36</v>
          </cell>
          <cell r="AA49">
            <v>35902.800000000003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662</v>
          </cell>
          <cell r="AO49">
            <v>7.944</v>
          </cell>
          <cell r="AP49">
            <v>788783.82</v>
          </cell>
        </row>
        <row r="50">
          <cell r="A50" t="str">
            <v>40028901</v>
          </cell>
          <cell r="B50" t="str">
            <v>DAIRY WHITENER BULK PACK</v>
          </cell>
          <cell r="C50">
            <v>10</v>
          </cell>
          <cell r="D50">
            <v>325</v>
          </cell>
          <cell r="E50">
            <v>3.25</v>
          </cell>
          <cell r="F50">
            <v>281868.5</v>
          </cell>
          <cell r="G50">
            <v>631</v>
          </cell>
          <cell r="H50">
            <v>6.31</v>
          </cell>
          <cell r="I50">
            <v>552548.86</v>
          </cell>
          <cell r="J50">
            <v>60</v>
          </cell>
          <cell r="K50">
            <v>0.6</v>
          </cell>
          <cell r="L50">
            <v>52710</v>
          </cell>
          <cell r="M50">
            <v>65</v>
          </cell>
          <cell r="N50">
            <v>0.65</v>
          </cell>
          <cell r="O50">
            <v>54864.3</v>
          </cell>
          <cell r="P50">
            <v>369</v>
          </cell>
          <cell r="Q50">
            <v>3.69</v>
          </cell>
          <cell r="R50">
            <v>307500.51</v>
          </cell>
          <cell r="S50">
            <v>1685</v>
          </cell>
          <cell r="T50">
            <v>16.850000000000001</v>
          </cell>
          <cell r="U50">
            <v>1414203.65</v>
          </cell>
          <cell r="V50">
            <v>2548</v>
          </cell>
          <cell r="W50">
            <v>25.48</v>
          </cell>
          <cell r="X50">
            <v>2189678.7400000002</v>
          </cell>
          <cell r="Y50">
            <v>5</v>
          </cell>
          <cell r="Z50">
            <v>0.05</v>
          </cell>
          <cell r="AA50">
            <v>4227.95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5688</v>
          </cell>
          <cell r="AO50">
            <v>56.88</v>
          </cell>
          <cell r="AP50">
            <v>4857602.51</v>
          </cell>
        </row>
        <row r="51">
          <cell r="A51" t="str">
            <v>40029902</v>
          </cell>
          <cell r="B51" t="str">
            <v>DAIRY WHITENER 30GM</v>
          </cell>
          <cell r="C51">
            <v>9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</row>
        <row r="52">
          <cell r="A52" t="str">
            <v>40038601</v>
          </cell>
          <cell r="B52" t="str">
            <v>BUTTER 500G</v>
          </cell>
          <cell r="C52">
            <v>15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</row>
        <row r="53">
          <cell r="A53" t="str">
            <v>40038602</v>
          </cell>
          <cell r="B53" t="str">
            <v>BUTTER 1 KG</v>
          </cell>
          <cell r="C53">
            <v>18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</row>
        <row r="54">
          <cell r="A54" t="str">
            <v>40038701</v>
          </cell>
          <cell r="B54" t="str">
            <v>BUTTER 100G</v>
          </cell>
          <cell r="C54">
            <v>15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</row>
        <row r="55">
          <cell r="A55" t="str">
            <v>40048801</v>
          </cell>
          <cell r="B55" t="str">
            <v>CHEESE SPREAD-PLAIN</v>
          </cell>
          <cell r="C55">
            <v>7.2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</row>
        <row r="56">
          <cell r="A56" t="str">
            <v>40058801</v>
          </cell>
          <cell r="B56" t="str">
            <v>CHEESE SPREAD-BLK PEPPER</v>
          </cell>
          <cell r="C56">
            <v>7.2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</row>
        <row r="57">
          <cell r="A57" t="str">
            <v>40068801</v>
          </cell>
          <cell r="B57" t="str">
            <v>CHEESE SPREAD-JEERA</v>
          </cell>
          <cell r="C57">
            <v>7.2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</row>
        <row r="58">
          <cell r="A58" t="str">
            <v>40078801</v>
          </cell>
          <cell r="B58" t="str">
            <v>CHEESE SPREAD-CHILLI CAPC</v>
          </cell>
          <cell r="C58">
            <v>7.2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</row>
        <row r="59">
          <cell r="A59" t="str">
            <v>40099601</v>
          </cell>
          <cell r="B59" t="str">
            <v>CHIPLET 120G PLAIN REGULR</v>
          </cell>
          <cell r="C59">
            <v>12</v>
          </cell>
          <cell r="D59">
            <v>6</v>
          </cell>
          <cell r="E59">
            <v>7.1999999999999995E-2</v>
          </cell>
          <cell r="F59">
            <v>12744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5</v>
          </cell>
          <cell r="N59">
            <v>0.06</v>
          </cell>
          <cell r="O59">
            <v>10305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1</v>
          </cell>
          <cell r="W59">
            <v>1.2E-2</v>
          </cell>
          <cell r="X59">
            <v>2108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12</v>
          </cell>
          <cell r="AO59">
            <v>0.14399999999999999</v>
          </cell>
          <cell r="AP59">
            <v>25157</v>
          </cell>
        </row>
        <row r="60">
          <cell r="A60" t="str">
            <v>40109601</v>
          </cell>
          <cell r="B60" t="str">
            <v>CHIPLET 120G PEPPER</v>
          </cell>
          <cell r="C60">
            <v>12</v>
          </cell>
          <cell r="D60">
            <v>4</v>
          </cell>
          <cell r="E60">
            <v>4.8000000000000001E-2</v>
          </cell>
          <cell r="F60">
            <v>9148</v>
          </cell>
          <cell r="G60">
            <v>0</v>
          </cell>
          <cell r="H60">
            <v>0</v>
          </cell>
          <cell r="I60">
            <v>1143.5</v>
          </cell>
          <cell r="J60">
            <v>10</v>
          </cell>
          <cell r="K60">
            <v>0.12</v>
          </cell>
          <cell r="L60">
            <v>22736</v>
          </cell>
          <cell r="M60">
            <v>8</v>
          </cell>
          <cell r="N60">
            <v>9.6000000000000002E-2</v>
          </cell>
          <cell r="O60">
            <v>18960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22</v>
          </cell>
          <cell r="AO60">
            <v>0.26400000000000001</v>
          </cell>
          <cell r="AP60">
            <v>51987.5</v>
          </cell>
        </row>
        <row r="61">
          <cell r="A61" t="str">
            <v>40119601</v>
          </cell>
          <cell r="B61" t="str">
            <v>CHIPLET 120G GARLIC</v>
          </cell>
          <cell r="C61">
            <v>12</v>
          </cell>
          <cell r="D61">
            <v>2</v>
          </cell>
          <cell r="E61">
            <v>2.4E-2</v>
          </cell>
          <cell r="F61">
            <v>4574</v>
          </cell>
          <cell r="G61">
            <v>0</v>
          </cell>
          <cell r="H61">
            <v>0</v>
          </cell>
          <cell r="I61">
            <v>0</v>
          </cell>
          <cell r="J61">
            <v>3</v>
          </cell>
          <cell r="K61">
            <v>3.5999999999999997E-2</v>
          </cell>
          <cell r="L61">
            <v>6861</v>
          </cell>
          <cell r="M61">
            <v>2</v>
          </cell>
          <cell r="N61">
            <v>2.4E-2</v>
          </cell>
          <cell r="O61">
            <v>4440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7</v>
          </cell>
          <cell r="AO61">
            <v>8.4000000000000005E-2</v>
          </cell>
          <cell r="AP61">
            <v>15875</v>
          </cell>
        </row>
        <row r="62">
          <cell r="A62" t="str">
            <v>40129601</v>
          </cell>
          <cell r="B62" t="str">
            <v>CHIPLET 120G PL.SOFT SPRD</v>
          </cell>
          <cell r="C62">
            <v>12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</row>
        <row r="63">
          <cell r="A63" t="str">
            <v>40139801</v>
          </cell>
          <cell r="B63" t="str">
            <v>SPREAD 150G PLAIN</v>
          </cell>
          <cell r="C63">
            <v>9</v>
          </cell>
          <cell r="D63">
            <v>10</v>
          </cell>
          <cell r="E63">
            <v>0.09</v>
          </cell>
          <cell r="F63">
            <v>13743.9</v>
          </cell>
          <cell r="G63">
            <v>0</v>
          </cell>
          <cell r="H63">
            <v>0</v>
          </cell>
          <cell r="I63">
            <v>0</v>
          </cell>
          <cell r="J63">
            <v>12</v>
          </cell>
          <cell r="K63">
            <v>0.108</v>
          </cell>
          <cell r="L63">
            <v>14883.6</v>
          </cell>
          <cell r="M63">
            <v>15</v>
          </cell>
          <cell r="N63">
            <v>0.13500000000000001</v>
          </cell>
          <cell r="O63">
            <v>18549</v>
          </cell>
          <cell r="P63">
            <v>2</v>
          </cell>
          <cell r="Q63">
            <v>1.7999999999999999E-2</v>
          </cell>
          <cell r="R63">
            <v>2457.6</v>
          </cell>
          <cell r="S63">
            <v>3</v>
          </cell>
          <cell r="T63">
            <v>2.7E-2</v>
          </cell>
          <cell r="U63">
            <v>3686.4</v>
          </cell>
          <cell r="V63">
            <v>26</v>
          </cell>
          <cell r="W63">
            <v>0.23400000000000001</v>
          </cell>
          <cell r="X63">
            <v>32884.800000000003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68</v>
          </cell>
          <cell r="AO63">
            <v>0.61199999999999999</v>
          </cell>
          <cell r="AP63">
            <v>86205.3</v>
          </cell>
        </row>
        <row r="64">
          <cell r="A64" t="str">
            <v>40149801</v>
          </cell>
          <cell r="B64" t="str">
            <v>SPREAD 150G PEPPER</v>
          </cell>
          <cell r="C64">
            <v>9</v>
          </cell>
          <cell r="D64">
            <v>16</v>
          </cell>
          <cell r="E64">
            <v>0.14399999999999999</v>
          </cell>
          <cell r="F64">
            <v>23028</v>
          </cell>
          <cell r="G64">
            <v>0</v>
          </cell>
          <cell r="H64">
            <v>0</v>
          </cell>
          <cell r="I64">
            <v>0</v>
          </cell>
          <cell r="J64">
            <v>5</v>
          </cell>
          <cell r="K64">
            <v>4.4999999999999998E-2</v>
          </cell>
          <cell r="L64">
            <v>6591</v>
          </cell>
          <cell r="M64">
            <v>4</v>
          </cell>
          <cell r="N64">
            <v>3.5999999999999997E-2</v>
          </cell>
          <cell r="O64">
            <v>4946.3999999999996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6</v>
          </cell>
          <cell r="W64">
            <v>5.3999999999999999E-2</v>
          </cell>
          <cell r="X64">
            <v>8172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31</v>
          </cell>
          <cell r="AO64">
            <v>0.27900000000000003</v>
          </cell>
          <cell r="AP64">
            <v>42737.4</v>
          </cell>
        </row>
        <row r="65">
          <cell r="A65" t="str">
            <v>40159801</v>
          </cell>
          <cell r="B65" t="str">
            <v>SPREAD 150G MASALA GARLIC</v>
          </cell>
          <cell r="C65">
            <v>9</v>
          </cell>
          <cell r="D65">
            <v>25</v>
          </cell>
          <cell r="E65">
            <v>0.22500000000000001</v>
          </cell>
          <cell r="F65">
            <v>35377.800000000003</v>
          </cell>
          <cell r="G65">
            <v>0</v>
          </cell>
          <cell r="H65">
            <v>0</v>
          </cell>
          <cell r="I65">
            <v>0</v>
          </cell>
          <cell r="J65">
            <v>5</v>
          </cell>
          <cell r="K65">
            <v>4.4999999999999998E-2</v>
          </cell>
          <cell r="L65">
            <v>6726</v>
          </cell>
          <cell r="M65">
            <v>6</v>
          </cell>
          <cell r="N65">
            <v>5.3999999999999999E-2</v>
          </cell>
          <cell r="O65">
            <v>7419.6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6</v>
          </cell>
          <cell r="W65">
            <v>5.3999999999999999E-2</v>
          </cell>
          <cell r="X65">
            <v>8172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42</v>
          </cell>
          <cell r="AO65">
            <v>0.378</v>
          </cell>
          <cell r="AP65">
            <v>57695.4</v>
          </cell>
        </row>
        <row r="66">
          <cell r="A66" t="str">
            <v>40169801</v>
          </cell>
          <cell r="B66" t="str">
            <v>SPREAD 150G MASALA ONION</v>
          </cell>
          <cell r="C66">
            <v>9</v>
          </cell>
          <cell r="D66">
            <v>20</v>
          </cell>
          <cell r="E66">
            <v>0.18</v>
          </cell>
          <cell r="F66">
            <v>28516.799999999999</v>
          </cell>
          <cell r="G66">
            <v>0</v>
          </cell>
          <cell r="H66">
            <v>0</v>
          </cell>
          <cell r="I66">
            <v>0</v>
          </cell>
          <cell r="J66">
            <v>6</v>
          </cell>
          <cell r="K66">
            <v>5.3999999999999999E-2</v>
          </cell>
          <cell r="L66">
            <v>8098.2</v>
          </cell>
          <cell r="M66">
            <v>3</v>
          </cell>
          <cell r="N66">
            <v>2.7E-2</v>
          </cell>
          <cell r="O66">
            <v>3709.8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6</v>
          </cell>
          <cell r="W66">
            <v>5.3999999999999999E-2</v>
          </cell>
          <cell r="X66">
            <v>8172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35</v>
          </cell>
          <cell r="AO66">
            <v>0.315</v>
          </cell>
          <cell r="AP66">
            <v>48496.800000000003</v>
          </cell>
        </row>
        <row r="67">
          <cell r="A67" t="str">
            <v>41019101</v>
          </cell>
          <cell r="B67" t="str">
            <v>FLAVOURED MILK-MANGO</v>
          </cell>
          <cell r="C67">
            <v>5.4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</row>
        <row r="68">
          <cell r="A68" t="str">
            <v>41029101</v>
          </cell>
          <cell r="B68" t="str">
            <v>FLAVOURED MILK-PINEAPPLE</v>
          </cell>
          <cell r="C68">
            <v>5.4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</row>
        <row r="69">
          <cell r="A69" t="str">
            <v>41039101</v>
          </cell>
          <cell r="B69" t="str">
            <v>FLAVOURED MILK-STRAWBERRY</v>
          </cell>
          <cell r="C69">
            <v>5.4</v>
          </cell>
          <cell r="D69">
            <v>296</v>
          </cell>
          <cell r="E69">
            <v>1.5984</v>
          </cell>
          <cell r="F69">
            <v>56583.360000000001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25</v>
          </cell>
          <cell r="N69">
            <v>0.13500000000000001</v>
          </cell>
          <cell r="O69">
            <v>4846.5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321</v>
          </cell>
          <cell r="AO69">
            <v>1.7334000000000001</v>
          </cell>
          <cell r="AP69">
            <v>61429.86</v>
          </cell>
        </row>
        <row r="70">
          <cell r="A70" t="str">
            <v>41039201</v>
          </cell>
          <cell r="B70" t="str">
            <v>F M - STRAWBERRY -1 LITRE</v>
          </cell>
          <cell r="C70">
            <v>12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</row>
        <row r="71">
          <cell r="A71" t="str">
            <v>41049101</v>
          </cell>
          <cell r="B71" t="str">
            <v>FLAVOURED MILK-CHOCOLATE</v>
          </cell>
          <cell r="C71">
            <v>5.4</v>
          </cell>
          <cell r="D71">
            <v>718</v>
          </cell>
          <cell r="E71">
            <v>3.8772000000000002</v>
          </cell>
          <cell r="F71">
            <v>137252.88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170</v>
          </cell>
          <cell r="N71">
            <v>0.91800000000000015</v>
          </cell>
          <cell r="O71">
            <v>32956.199999999997</v>
          </cell>
          <cell r="P71">
            <v>0</v>
          </cell>
          <cell r="Q71">
            <v>0</v>
          </cell>
          <cell r="R71">
            <v>0</v>
          </cell>
          <cell r="S71">
            <v>100</v>
          </cell>
          <cell r="T71">
            <v>0.54</v>
          </cell>
          <cell r="U71">
            <v>19952.46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988</v>
          </cell>
          <cell r="AO71">
            <v>5.3352000000000004</v>
          </cell>
          <cell r="AP71">
            <v>190161.54</v>
          </cell>
        </row>
        <row r="72">
          <cell r="A72" t="str">
            <v>41049201</v>
          </cell>
          <cell r="B72" t="str">
            <v>F M - CHOCOLATE - 1 LITRE</v>
          </cell>
          <cell r="C72">
            <v>12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</row>
        <row r="73">
          <cell r="A73" t="str">
            <v>41059101</v>
          </cell>
          <cell r="B73" t="str">
            <v>FLAVOURED MILK-ELAICHI</v>
          </cell>
          <cell r="C73">
            <v>5.4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</row>
        <row r="74">
          <cell r="A74" t="str">
            <v>42019201</v>
          </cell>
          <cell r="B74" t="str">
            <v>UHT-MILK 1 LTR</v>
          </cell>
          <cell r="C74">
            <v>12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</row>
        <row r="75">
          <cell r="A75" t="str">
            <v>42019301</v>
          </cell>
          <cell r="B75" t="str">
            <v>UHT-MILK 250ML</v>
          </cell>
          <cell r="C75">
            <v>6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</row>
        <row r="76">
          <cell r="A76" t="str">
            <v>50016001</v>
          </cell>
          <cell r="B76" t="str">
            <v>GHEE TIN 1 LTR. - BUF</v>
          </cell>
          <cell r="C76">
            <v>18</v>
          </cell>
          <cell r="D76">
            <v>23</v>
          </cell>
          <cell r="E76">
            <v>0.41399999999999998</v>
          </cell>
          <cell r="F76">
            <v>51564.42</v>
          </cell>
          <cell r="G76">
            <v>20</v>
          </cell>
          <cell r="H76">
            <v>0.36</v>
          </cell>
          <cell r="I76">
            <v>45955.8</v>
          </cell>
          <cell r="J76">
            <v>39</v>
          </cell>
          <cell r="K76">
            <v>0.70199999999999996</v>
          </cell>
          <cell r="L76">
            <v>84933</v>
          </cell>
          <cell r="M76">
            <v>151</v>
          </cell>
          <cell r="N76">
            <v>2.718</v>
          </cell>
          <cell r="O76">
            <v>327922.92</v>
          </cell>
          <cell r="P76">
            <v>15</v>
          </cell>
          <cell r="Q76">
            <v>0.27</v>
          </cell>
          <cell r="R76">
            <v>32143.5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248</v>
          </cell>
          <cell r="AO76">
            <v>4.4640000000000004</v>
          </cell>
          <cell r="AP76">
            <v>542519.64</v>
          </cell>
        </row>
        <row r="77">
          <cell r="A77" t="str">
            <v>50026101</v>
          </cell>
          <cell r="B77" t="str">
            <v>GHEE CEKA PACK 1 LTR -BUF</v>
          </cell>
          <cell r="C77">
            <v>18</v>
          </cell>
          <cell r="D77">
            <v>19</v>
          </cell>
          <cell r="E77">
            <v>0.34200000000000003</v>
          </cell>
          <cell r="F77">
            <v>41747.4</v>
          </cell>
          <cell r="G77">
            <v>10</v>
          </cell>
          <cell r="H77">
            <v>0.18</v>
          </cell>
          <cell r="I77">
            <v>22475.16</v>
          </cell>
          <cell r="J77">
            <v>7</v>
          </cell>
          <cell r="K77">
            <v>0.126</v>
          </cell>
          <cell r="L77">
            <v>15070.14</v>
          </cell>
          <cell r="M77">
            <v>48</v>
          </cell>
          <cell r="N77">
            <v>0.86399999999999999</v>
          </cell>
          <cell r="O77">
            <v>103312.44</v>
          </cell>
          <cell r="P77">
            <v>0</v>
          </cell>
          <cell r="Q77">
            <v>0</v>
          </cell>
          <cell r="R77">
            <v>0</v>
          </cell>
          <cell r="S77">
            <v>15</v>
          </cell>
          <cell r="T77">
            <v>0.27</v>
          </cell>
          <cell r="U77">
            <v>31444.2</v>
          </cell>
          <cell r="V77">
            <v>2</v>
          </cell>
          <cell r="W77">
            <v>3.5999999999999997E-2</v>
          </cell>
          <cell r="X77">
            <v>4559.3999999999996</v>
          </cell>
          <cell r="Y77">
            <v>4</v>
          </cell>
          <cell r="Z77">
            <v>7.1999999999999995E-2</v>
          </cell>
          <cell r="AA77">
            <v>8631.36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105</v>
          </cell>
          <cell r="AO77">
            <v>1.89</v>
          </cell>
          <cell r="AP77">
            <v>227240.1</v>
          </cell>
        </row>
        <row r="78">
          <cell r="A78" t="str">
            <v>50036201</v>
          </cell>
          <cell r="B78" t="str">
            <v>GHEE CEKA PACK 1/2LTR-BUF</v>
          </cell>
          <cell r="C78">
            <v>18</v>
          </cell>
          <cell r="D78">
            <v>7</v>
          </cell>
          <cell r="E78">
            <v>0.126</v>
          </cell>
          <cell r="F78">
            <v>16506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2</v>
          </cell>
          <cell r="W78">
            <v>3.5999999999999997E-2</v>
          </cell>
          <cell r="X78">
            <v>4681.4399999999996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9</v>
          </cell>
          <cell r="AO78">
            <v>0.16200000000000001</v>
          </cell>
          <cell r="AP78">
            <v>21187.439999999999</v>
          </cell>
        </row>
        <row r="79">
          <cell r="A79" t="str">
            <v>50046301</v>
          </cell>
          <cell r="B79" t="str">
            <v>GHEE POUCH 1 LTR. - BUF</v>
          </cell>
          <cell r="C79">
            <v>18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</row>
        <row r="80">
          <cell r="A80" t="str">
            <v>50066001</v>
          </cell>
          <cell r="B80" t="str">
            <v>GHEE 1 LTR TIN - COW</v>
          </cell>
          <cell r="C80">
            <v>18</v>
          </cell>
          <cell r="D80">
            <v>23</v>
          </cell>
          <cell r="E80">
            <v>0.41399999999999998</v>
          </cell>
          <cell r="F80">
            <v>51058.62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7</v>
          </cell>
          <cell r="T80">
            <v>0.126</v>
          </cell>
          <cell r="U80">
            <v>14983.92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30</v>
          </cell>
          <cell r="AO80">
            <v>0.54</v>
          </cell>
          <cell r="AP80">
            <v>66042.539999999994</v>
          </cell>
        </row>
        <row r="81">
          <cell r="A81" t="str">
            <v>50067101</v>
          </cell>
          <cell r="B81" t="str">
            <v>GHEE COW 200ML CEKA</v>
          </cell>
          <cell r="C81">
            <v>12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</row>
        <row r="82">
          <cell r="A82" t="str">
            <v>50076101</v>
          </cell>
          <cell r="B82" t="str">
            <v>GHEE 1 LTR CEKA PACK -COW</v>
          </cell>
          <cell r="C82">
            <v>18</v>
          </cell>
          <cell r="D82">
            <v>24</v>
          </cell>
          <cell r="E82">
            <v>0.432</v>
          </cell>
          <cell r="F82">
            <v>51438.239999999998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4</v>
          </cell>
          <cell r="T82">
            <v>7.1999999999999995E-2</v>
          </cell>
          <cell r="U82">
            <v>10218.98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28</v>
          </cell>
          <cell r="AO82">
            <v>0.504</v>
          </cell>
          <cell r="AP82">
            <v>61657.22</v>
          </cell>
        </row>
        <row r="83">
          <cell r="A83" t="str">
            <v>50086201</v>
          </cell>
          <cell r="B83" t="str">
            <v>GHEE 1/2LTR CEKA PACK-COW</v>
          </cell>
          <cell r="C83">
            <v>18</v>
          </cell>
          <cell r="D83">
            <v>31</v>
          </cell>
          <cell r="E83">
            <v>0.55800000000000005</v>
          </cell>
          <cell r="F83">
            <v>68812.56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10</v>
          </cell>
          <cell r="T83">
            <v>0.18</v>
          </cell>
          <cell r="U83">
            <v>21405.599999999999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41</v>
          </cell>
          <cell r="AO83">
            <v>0.73799999999999999</v>
          </cell>
          <cell r="AP83">
            <v>90218.16</v>
          </cell>
        </row>
        <row r="84">
          <cell r="A84" t="str">
            <v>50096301</v>
          </cell>
          <cell r="B84" t="str">
            <v>GHEE 1 LTR POUCH -COW</v>
          </cell>
          <cell r="C84">
            <v>18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</row>
        <row r="86">
          <cell r="B86" t="str">
            <v>TOTAL</v>
          </cell>
          <cell r="D86">
            <v>4837</v>
          </cell>
          <cell r="E86">
            <v>48.36460000000001</v>
          </cell>
          <cell r="F86">
            <v>5027343.7300000004</v>
          </cell>
          <cell r="G86">
            <v>2075</v>
          </cell>
          <cell r="H86">
            <v>23.645199999999996</v>
          </cell>
          <cell r="I86">
            <v>2300855.67</v>
          </cell>
          <cell r="J86">
            <v>2603</v>
          </cell>
          <cell r="K86">
            <v>30.5928</v>
          </cell>
          <cell r="L86">
            <v>3170885.4200000004</v>
          </cell>
          <cell r="M86">
            <v>3950</v>
          </cell>
          <cell r="N86">
            <v>46.502600000000008</v>
          </cell>
          <cell r="O86">
            <v>4716850.42</v>
          </cell>
          <cell r="P86">
            <v>1424</v>
          </cell>
          <cell r="Q86">
            <v>15.997200000000001</v>
          </cell>
          <cell r="R86">
            <v>1549390.3599999999</v>
          </cell>
          <cell r="S86">
            <v>2554</v>
          </cell>
          <cell r="T86">
            <v>26.683400000000002</v>
          </cell>
          <cell r="U86">
            <v>2394820.39</v>
          </cell>
          <cell r="V86">
            <v>13032</v>
          </cell>
          <cell r="W86">
            <v>149.37040000000002</v>
          </cell>
          <cell r="X86">
            <v>15073512.840000002</v>
          </cell>
          <cell r="Y86">
            <v>737</v>
          </cell>
          <cell r="Z86">
            <v>8.8147999999999982</v>
          </cell>
          <cell r="AA86">
            <v>856596.88</v>
          </cell>
          <cell r="AB86">
            <v>173</v>
          </cell>
          <cell r="AC86">
            <v>2.0760000000000001</v>
          </cell>
          <cell r="AD86">
            <v>143922.16</v>
          </cell>
          <cell r="AE86">
            <v>200</v>
          </cell>
          <cell r="AF86">
            <v>2.4</v>
          </cell>
          <cell r="AG86">
            <v>166384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31585</v>
          </cell>
          <cell r="AO86">
            <v>354.44700000000006</v>
          </cell>
          <cell r="AP86">
            <v>35400561.889999978</v>
          </cell>
        </row>
        <row r="88">
          <cell r="B88" t="str">
            <v>AS PER TRIAL</v>
          </cell>
          <cell r="AP88">
            <v>35400561.869999997</v>
          </cell>
        </row>
        <row r="89">
          <cell r="B89" t="str">
            <v>Difference</v>
          </cell>
          <cell r="AP89">
            <v>-1.9999980926513672E-2</v>
          </cell>
        </row>
      </sheetData>
      <sheetData sheetId="1" refreshError="1">
        <row r="1">
          <cell r="A1" t="str">
            <v xml:space="preserve">BRITANNIA INDUSTRIES LIMITED </v>
          </cell>
        </row>
        <row r="2">
          <cell r="A2" t="str">
            <v>NBD - CALCUTTA</v>
          </cell>
        </row>
        <row r="3">
          <cell r="A3" t="str">
            <v xml:space="preserve">NSV FOR THE MONTH OF MAY' 2000 </v>
          </cell>
        </row>
        <row r="5">
          <cell r="A5" t="str">
            <v>STOCK CODE</v>
          </cell>
          <cell r="B5" t="str">
            <v>SKU</v>
          </cell>
          <cell r="C5" t="str">
            <v xml:space="preserve"> WEIGHT</v>
          </cell>
          <cell r="D5" t="str">
            <v>JADAVPORE</v>
          </cell>
          <cell r="G5" t="str">
            <v>BURDWAN</v>
          </cell>
          <cell r="J5" t="str">
            <v>SILIGURI</v>
          </cell>
          <cell r="M5" t="str">
            <v>PATNA</v>
          </cell>
          <cell r="P5" t="str">
            <v>ROURKELA</v>
          </cell>
          <cell r="S5" t="str">
            <v>CUTTACK</v>
          </cell>
          <cell r="V5" t="str">
            <v>GUWAHATI</v>
          </cell>
          <cell r="Y5" t="str">
            <v>AGARTALA</v>
          </cell>
          <cell r="AB5" t="str">
            <v>A.K.SAHU</v>
          </cell>
          <cell r="AE5" t="str">
            <v>BUXARA</v>
          </cell>
          <cell r="AH5" t="str">
            <v>PORTBLAIR</v>
          </cell>
          <cell r="AK5" t="str">
            <v>NEPAL</v>
          </cell>
          <cell r="AN5" t="str">
            <v>TOTAL BRANCH</v>
          </cell>
        </row>
        <row r="6">
          <cell r="A6" t="str">
            <v>stock_no</v>
          </cell>
          <cell r="B6" t="str">
            <v>descrip</v>
          </cell>
          <cell r="C6" t="str">
            <v>weight</v>
          </cell>
          <cell r="D6" t="str">
            <v>jdv_cbb</v>
          </cell>
          <cell r="E6" t="str">
            <v>Tes</v>
          </cell>
          <cell r="F6" t="str">
            <v>jdv_value</v>
          </cell>
          <cell r="G6" t="str">
            <v>bdn_cbb</v>
          </cell>
          <cell r="H6" t="str">
            <v>Tes</v>
          </cell>
          <cell r="I6" t="str">
            <v>bdn_value</v>
          </cell>
          <cell r="J6" t="str">
            <v>slg_cbb</v>
          </cell>
          <cell r="K6" t="str">
            <v>Tes</v>
          </cell>
          <cell r="L6" t="str">
            <v>slg_value</v>
          </cell>
          <cell r="M6" t="str">
            <v>ptn_cbb</v>
          </cell>
          <cell r="N6" t="str">
            <v>Tes</v>
          </cell>
          <cell r="O6" t="str">
            <v>ptn_value</v>
          </cell>
          <cell r="P6" t="str">
            <v>rkl_cbb</v>
          </cell>
          <cell r="Q6" t="str">
            <v>Tes</v>
          </cell>
          <cell r="R6" t="str">
            <v>rkl_value</v>
          </cell>
          <cell r="S6" t="str">
            <v>ctk_cbb</v>
          </cell>
          <cell r="T6" t="str">
            <v>Tes</v>
          </cell>
          <cell r="U6" t="str">
            <v>ctk_value</v>
          </cell>
          <cell r="V6" t="str">
            <v>ght_cbb</v>
          </cell>
          <cell r="W6" t="str">
            <v>Tes</v>
          </cell>
          <cell r="X6" t="str">
            <v>ght_value</v>
          </cell>
          <cell r="Y6" t="str">
            <v>agt_cbb</v>
          </cell>
          <cell r="Z6" t="str">
            <v>Tes</v>
          </cell>
          <cell r="AA6" t="str">
            <v>agt_value</v>
          </cell>
          <cell r="AB6" t="str">
            <v>aks_cbb</v>
          </cell>
          <cell r="AC6" t="str">
            <v>Tes</v>
          </cell>
          <cell r="AD6" t="str">
            <v>aks_value</v>
          </cell>
          <cell r="AE6" t="str">
            <v>bux_cbb</v>
          </cell>
          <cell r="AF6" t="str">
            <v>Tes</v>
          </cell>
          <cell r="AG6" t="str">
            <v>bux_value</v>
          </cell>
          <cell r="AH6" t="str">
            <v>prt_cbb</v>
          </cell>
          <cell r="AI6" t="str">
            <v>Tes</v>
          </cell>
          <cell r="AJ6" t="str">
            <v>prt_value</v>
          </cell>
          <cell r="AK6" t="str">
            <v>nep_cbb</v>
          </cell>
          <cell r="AL6" t="str">
            <v>Tes</v>
          </cell>
          <cell r="AM6" t="str">
            <v>nep_value</v>
          </cell>
          <cell r="AN6" t="str">
            <v>tot_cbb</v>
          </cell>
          <cell r="AO6" t="str">
            <v>Tes</v>
          </cell>
          <cell r="AP6" t="str">
            <v>tot_value</v>
          </cell>
        </row>
        <row r="7">
          <cell r="A7" t="str">
            <v>20017101</v>
          </cell>
          <cell r="B7" t="str">
            <v>MIXED FRUIT</v>
          </cell>
          <cell r="C7">
            <v>8.4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</row>
        <row r="8">
          <cell r="A8" t="str">
            <v>20027101</v>
          </cell>
          <cell r="B8" t="str">
            <v>TRIO</v>
          </cell>
          <cell r="C8">
            <v>8.4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</row>
        <row r="9">
          <cell r="A9" t="str">
            <v>20037101</v>
          </cell>
          <cell r="B9" t="str">
            <v>DUET</v>
          </cell>
          <cell r="C9">
            <v>8.4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</row>
        <row r="10">
          <cell r="A10" t="str">
            <v>20047001</v>
          </cell>
          <cell r="B10" t="str">
            <v>FRUIT</v>
          </cell>
          <cell r="C10">
            <v>12</v>
          </cell>
          <cell r="D10">
            <v>0</v>
          </cell>
          <cell r="E10">
            <v>0</v>
          </cell>
          <cell r="F10">
            <v>0</v>
          </cell>
          <cell r="G10">
            <v>549</v>
          </cell>
          <cell r="H10">
            <v>6.5880000000000001</v>
          </cell>
          <cell r="I10">
            <v>638158.21</v>
          </cell>
          <cell r="J10">
            <v>181</v>
          </cell>
          <cell r="K10">
            <v>2.1720000000000002</v>
          </cell>
          <cell r="L10">
            <v>190973.1</v>
          </cell>
          <cell r="M10">
            <v>1742</v>
          </cell>
          <cell r="N10">
            <v>20.904</v>
          </cell>
          <cell r="O10">
            <v>1817498.28</v>
          </cell>
          <cell r="P10">
            <v>140</v>
          </cell>
          <cell r="Q10">
            <v>1.68</v>
          </cell>
          <cell r="R10">
            <v>145076.4</v>
          </cell>
          <cell r="S10">
            <v>285</v>
          </cell>
          <cell r="T10">
            <v>3.42</v>
          </cell>
          <cell r="U10">
            <v>295334.09999999998</v>
          </cell>
          <cell r="V10">
            <v>2016</v>
          </cell>
          <cell r="W10">
            <v>24.192</v>
          </cell>
          <cell r="X10">
            <v>2115271.44</v>
          </cell>
          <cell r="Y10">
            <v>250</v>
          </cell>
          <cell r="Z10">
            <v>3</v>
          </cell>
          <cell r="AA10">
            <v>255090</v>
          </cell>
          <cell r="AB10">
            <v>372</v>
          </cell>
          <cell r="AC10">
            <v>4.4640000000000004</v>
          </cell>
          <cell r="AD10">
            <v>309474.24</v>
          </cell>
          <cell r="AE10">
            <v>305</v>
          </cell>
          <cell r="AF10">
            <v>3.66</v>
          </cell>
          <cell r="AG10">
            <v>253735.6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5840</v>
          </cell>
          <cell r="AO10">
            <v>70.08</v>
          </cell>
          <cell r="AP10">
            <v>6020611.3699999992</v>
          </cell>
        </row>
        <row r="11">
          <cell r="A11" t="str">
            <v>20057001</v>
          </cell>
          <cell r="B11" t="str">
            <v>CHOCOLATE</v>
          </cell>
          <cell r="C11">
            <v>12</v>
          </cell>
          <cell r="D11">
            <v>177</v>
          </cell>
          <cell r="E11">
            <v>2.1240000000000001</v>
          </cell>
          <cell r="F11">
            <v>186752.7</v>
          </cell>
          <cell r="G11">
            <v>9</v>
          </cell>
          <cell r="H11">
            <v>0.108</v>
          </cell>
          <cell r="I11">
            <v>9495.9</v>
          </cell>
          <cell r="J11">
            <v>21</v>
          </cell>
          <cell r="K11">
            <v>0.252</v>
          </cell>
          <cell r="L11">
            <v>22157.1</v>
          </cell>
          <cell r="M11">
            <v>50</v>
          </cell>
          <cell r="N11">
            <v>0.6</v>
          </cell>
          <cell r="O11">
            <v>52167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60</v>
          </cell>
          <cell r="W11">
            <v>0.72</v>
          </cell>
          <cell r="X11">
            <v>63746.28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317</v>
          </cell>
          <cell r="AO11">
            <v>3.8040000000000003</v>
          </cell>
          <cell r="AP11">
            <v>334318.98</v>
          </cell>
        </row>
        <row r="12">
          <cell r="A12" t="str">
            <v>20067001</v>
          </cell>
          <cell r="B12" t="str">
            <v>ORANGE</v>
          </cell>
          <cell r="C12">
            <v>12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1.2E-2</v>
          </cell>
          <cell r="I12">
            <v>1055.0999999999999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1</v>
          </cell>
          <cell r="AO12">
            <v>1.2E-2</v>
          </cell>
          <cell r="AP12">
            <v>1055.0999999999999</v>
          </cell>
        </row>
        <row r="13">
          <cell r="A13" t="str">
            <v>20077001</v>
          </cell>
          <cell r="B13" t="str">
            <v>VANILLA CHOCOLATE</v>
          </cell>
          <cell r="C13">
            <v>12</v>
          </cell>
          <cell r="D13">
            <v>63</v>
          </cell>
          <cell r="E13">
            <v>0.75600000000000001</v>
          </cell>
          <cell r="F13">
            <v>66471.3</v>
          </cell>
          <cell r="G13">
            <v>5</v>
          </cell>
          <cell r="H13">
            <v>0.06</v>
          </cell>
          <cell r="I13">
            <v>5275.5</v>
          </cell>
          <cell r="J13">
            <v>18</v>
          </cell>
          <cell r="K13">
            <v>0.216</v>
          </cell>
          <cell r="L13">
            <v>18991.8</v>
          </cell>
          <cell r="M13">
            <v>46</v>
          </cell>
          <cell r="N13">
            <v>0.55200000000000005</v>
          </cell>
          <cell r="O13">
            <v>47993.64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132</v>
          </cell>
          <cell r="AO13">
            <v>1.5840000000000001</v>
          </cell>
          <cell r="AP13">
            <v>138732.24</v>
          </cell>
        </row>
        <row r="14">
          <cell r="A14" t="str">
            <v>20087001</v>
          </cell>
          <cell r="B14" t="str">
            <v>ORANGE CHOCOLATE</v>
          </cell>
          <cell r="C14">
            <v>12</v>
          </cell>
          <cell r="D14">
            <v>58</v>
          </cell>
          <cell r="E14">
            <v>0.69599999999999995</v>
          </cell>
          <cell r="F14">
            <v>61195.8</v>
          </cell>
          <cell r="G14">
            <v>4</v>
          </cell>
          <cell r="H14">
            <v>4.8000000000000001E-2</v>
          </cell>
          <cell r="I14">
            <v>4220.3999999999996</v>
          </cell>
          <cell r="J14">
            <v>17</v>
          </cell>
          <cell r="K14">
            <v>0.20399999999999999</v>
          </cell>
          <cell r="L14">
            <v>17936.7</v>
          </cell>
          <cell r="M14">
            <v>34</v>
          </cell>
          <cell r="N14">
            <v>0.40799999999999997</v>
          </cell>
          <cell r="O14">
            <v>35473.56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113</v>
          </cell>
          <cell r="AO14">
            <v>1.3559999999999999</v>
          </cell>
          <cell r="AP14">
            <v>118826.46</v>
          </cell>
        </row>
        <row r="15">
          <cell r="A15" t="str">
            <v>20097001</v>
          </cell>
          <cell r="B15" t="str">
            <v>PLUM</v>
          </cell>
          <cell r="C15">
            <v>18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</row>
        <row r="16">
          <cell r="A16" t="str">
            <v>20107001</v>
          </cell>
          <cell r="B16" t="str">
            <v>MILK</v>
          </cell>
          <cell r="C16">
            <v>12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</row>
        <row r="17">
          <cell r="A17" t="str">
            <v>20117001</v>
          </cell>
          <cell r="B17" t="str">
            <v>BUTTER SPONGE</v>
          </cell>
          <cell r="C17">
            <v>12</v>
          </cell>
          <cell r="D17">
            <v>29</v>
          </cell>
          <cell r="E17">
            <v>0.34799999999999998</v>
          </cell>
          <cell r="F17">
            <v>30597.9</v>
          </cell>
          <cell r="G17">
            <v>1</v>
          </cell>
          <cell r="H17">
            <v>1.2E-2</v>
          </cell>
          <cell r="I17">
            <v>1055.0999999999999</v>
          </cell>
          <cell r="J17">
            <v>17</v>
          </cell>
          <cell r="K17">
            <v>0.20399999999999999</v>
          </cell>
          <cell r="L17">
            <v>17936.7</v>
          </cell>
          <cell r="M17">
            <v>22</v>
          </cell>
          <cell r="N17">
            <v>0.26400000000000001</v>
          </cell>
          <cell r="O17">
            <v>22953.48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69</v>
          </cell>
          <cell r="AO17">
            <v>0.82799999999999996</v>
          </cell>
          <cell r="AP17">
            <v>72543.179999999993</v>
          </cell>
        </row>
        <row r="18">
          <cell r="A18" t="str">
            <v>20227101</v>
          </cell>
          <cell r="B18" t="str">
            <v>GOODDAY S SL VANILLA</v>
          </cell>
          <cell r="C18">
            <v>8.4</v>
          </cell>
          <cell r="D18">
            <v>15</v>
          </cell>
          <cell r="E18">
            <v>0.126</v>
          </cell>
          <cell r="F18">
            <v>13762.8</v>
          </cell>
          <cell r="G18">
            <v>5</v>
          </cell>
          <cell r="H18">
            <v>4.2000000000000003E-2</v>
          </cell>
          <cell r="I18">
            <v>4587.6000000000004</v>
          </cell>
          <cell r="J18">
            <v>42</v>
          </cell>
          <cell r="K18">
            <v>0.3528</v>
          </cell>
          <cell r="L18">
            <v>38535.839999999997</v>
          </cell>
          <cell r="M18">
            <v>14</v>
          </cell>
          <cell r="N18">
            <v>0.11760000000000001</v>
          </cell>
          <cell r="O18">
            <v>12700.8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9</v>
          </cell>
          <cell r="W18">
            <v>7.5600000000000014E-2</v>
          </cell>
          <cell r="X18">
            <v>8348.4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85</v>
          </cell>
          <cell r="AO18">
            <v>0.71400000000000008</v>
          </cell>
          <cell r="AP18">
            <v>77935.439999999988</v>
          </cell>
        </row>
        <row r="19">
          <cell r="A19" t="str">
            <v>20237101</v>
          </cell>
          <cell r="B19" t="str">
            <v>GOODDAY S SL RICH FRUIT</v>
          </cell>
          <cell r="C19">
            <v>8.4</v>
          </cell>
          <cell r="D19">
            <v>35</v>
          </cell>
          <cell r="E19">
            <v>0.29399999999999998</v>
          </cell>
          <cell r="F19">
            <v>32113.200000000001</v>
          </cell>
          <cell r="G19">
            <v>10</v>
          </cell>
          <cell r="H19">
            <v>8.4000000000000005E-2</v>
          </cell>
          <cell r="I19">
            <v>9175.2000000000007</v>
          </cell>
          <cell r="J19">
            <v>43</v>
          </cell>
          <cell r="K19">
            <v>0.36119999999999997</v>
          </cell>
          <cell r="L19">
            <v>39453.360000000001</v>
          </cell>
          <cell r="M19">
            <v>47</v>
          </cell>
          <cell r="N19">
            <v>0.39479999999999998</v>
          </cell>
          <cell r="O19">
            <v>42638.400000000001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11</v>
          </cell>
          <cell r="W19">
            <v>9.240000000000001E-2</v>
          </cell>
          <cell r="X19">
            <v>10203.6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146</v>
          </cell>
          <cell r="AO19">
            <v>1.2263999999999999</v>
          </cell>
          <cell r="AP19">
            <v>133583.76</v>
          </cell>
        </row>
        <row r="20">
          <cell r="A20" t="str">
            <v>20247101</v>
          </cell>
          <cell r="B20" t="str">
            <v>GOODDAY S SL MAZZA MIX</v>
          </cell>
          <cell r="C20">
            <v>8.4</v>
          </cell>
          <cell r="D20">
            <v>14</v>
          </cell>
          <cell r="E20">
            <v>0.11760000000000001</v>
          </cell>
          <cell r="F20">
            <v>12845.28</v>
          </cell>
          <cell r="G20">
            <v>5</v>
          </cell>
          <cell r="H20">
            <v>4.2000000000000003E-2</v>
          </cell>
          <cell r="I20">
            <v>4587.6000000000004</v>
          </cell>
          <cell r="J20">
            <v>40</v>
          </cell>
          <cell r="K20">
            <v>0.33600000000000002</v>
          </cell>
          <cell r="L20">
            <v>36700.800000000003</v>
          </cell>
          <cell r="M20">
            <v>11</v>
          </cell>
          <cell r="N20">
            <v>9.240000000000001E-2</v>
          </cell>
          <cell r="O20">
            <v>9979.2000000000007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9</v>
          </cell>
          <cell r="W20">
            <v>7.5600000000000014E-2</v>
          </cell>
          <cell r="X20">
            <v>8348.4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79</v>
          </cell>
          <cell r="AO20">
            <v>0.66360000000000008</v>
          </cell>
          <cell r="AP20">
            <v>72461.279999999999</v>
          </cell>
        </row>
        <row r="21">
          <cell r="A21" t="str">
            <v>20307001</v>
          </cell>
          <cell r="B21" t="str">
            <v>FRUIT CAKE      (CAL-CP)</v>
          </cell>
          <cell r="C21">
            <v>12</v>
          </cell>
          <cell r="D21">
            <v>762</v>
          </cell>
          <cell r="E21">
            <v>9.1440000000000001</v>
          </cell>
          <cell r="F21">
            <v>887792.88</v>
          </cell>
          <cell r="G21">
            <v>0</v>
          </cell>
          <cell r="H21">
            <v>0</v>
          </cell>
          <cell r="I21">
            <v>0</v>
          </cell>
          <cell r="J21">
            <v>855</v>
          </cell>
          <cell r="K21">
            <v>10.26</v>
          </cell>
          <cell r="L21">
            <v>992347.2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1617</v>
          </cell>
          <cell r="AO21">
            <v>19.404</v>
          </cell>
          <cell r="AP21">
            <v>1880140.08</v>
          </cell>
        </row>
        <row r="22">
          <cell r="A22" t="str">
            <v>20317001</v>
          </cell>
          <cell r="B22" t="str">
            <v>CHOCOLATE   (FROM CAL CP)</v>
          </cell>
          <cell r="C22">
            <v>12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</row>
        <row r="23">
          <cell r="A23" t="str">
            <v>21017601</v>
          </cell>
          <cell r="B23" t="str">
            <v>HALF-HALF CHOC/VAN TWINPK</v>
          </cell>
          <cell r="C23">
            <v>4.8</v>
          </cell>
          <cell r="D23">
            <v>132</v>
          </cell>
          <cell r="E23">
            <v>0.63360000000000005</v>
          </cell>
          <cell r="F23">
            <v>96877.440000000002</v>
          </cell>
          <cell r="G23">
            <v>26</v>
          </cell>
          <cell r="H23">
            <v>0.12479999999999999</v>
          </cell>
          <cell r="I23">
            <v>19081.919999999998</v>
          </cell>
          <cell r="J23">
            <v>68</v>
          </cell>
          <cell r="K23">
            <v>0.32639999999999997</v>
          </cell>
          <cell r="L23">
            <v>49906.559999999998</v>
          </cell>
          <cell r="M23">
            <v>75</v>
          </cell>
          <cell r="N23">
            <v>0.36</v>
          </cell>
          <cell r="O23">
            <v>54432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16</v>
          </cell>
          <cell r="W23">
            <v>7.6799999999999993E-2</v>
          </cell>
          <cell r="X23">
            <v>11873.28</v>
          </cell>
          <cell r="Y23">
            <v>7</v>
          </cell>
          <cell r="Z23">
            <v>3.3600000000000005E-2</v>
          </cell>
          <cell r="AA23">
            <v>5194.5600000000004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324</v>
          </cell>
          <cell r="AO23">
            <v>1.5551999999999999</v>
          </cell>
          <cell r="AP23">
            <v>237365.75999999998</v>
          </cell>
        </row>
        <row r="24">
          <cell r="A24" t="str">
            <v>21017701</v>
          </cell>
          <cell r="B24" t="str">
            <v>HALF HALF CHOC/VAN FMLYPK</v>
          </cell>
          <cell r="C24">
            <v>3</v>
          </cell>
          <cell r="D24">
            <v>0</v>
          </cell>
          <cell r="E24">
            <v>0</v>
          </cell>
          <cell r="F24">
            <v>246.19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246.19</v>
          </cell>
        </row>
        <row r="25">
          <cell r="A25" t="str">
            <v>21027601</v>
          </cell>
          <cell r="B25" t="str">
            <v>HALF HALF OR/CHOC  TWINPK</v>
          </cell>
          <cell r="C25">
            <v>4.8</v>
          </cell>
          <cell r="D25">
            <v>66</v>
          </cell>
          <cell r="E25">
            <v>0.31680000000000003</v>
          </cell>
          <cell r="F25">
            <v>48438.720000000001</v>
          </cell>
          <cell r="G25">
            <v>13</v>
          </cell>
          <cell r="H25">
            <v>6.2399999999999997E-2</v>
          </cell>
          <cell r="I25">
            <v>9540.9599999999991</v>
          </cell>
          <cell r="J25">
            <v>68</v>
          </cell>
          <cell r="K25">
            <v>0.32639999999999997</v>
          </cell>
          <cell r="L25">
            <v>49906.559999999998</v>
          </cell>
          <cell r="M25">
            <v>62</v>
          </cell>
          <cell r="N25">
            <v>0.29759999999999998</v>
          </cell>
          <cell r="O25">
            <v>44997.120000000003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17</v>
          </cell>
          <cell r="W25">
            <v>8.1599999999999992E-2</v>
          </cell>
          <cell r="X25">
            <v>12615.36</v>
          </cell>
          <cell r="Y25">
            <v>8</v>
          </cell>
          <cell r="Z25">
            <v>3.8399999999999997E-2</v>
          </cell>
          <cell r="AA25">
            <v>5936.64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234</v>
          </cell>
          <cell r="AO25">
            <v>1.1232</v>
          </cell>
          <cell r="AP25">
            <v>171435.36</v>
          </cell>
        </row>
        <row r="26">
          <cell r="A26" t="str">
            <v>21027701</v>
          </cell>
          <cell r="B26" t="str">
            <v>HALF HALF OR/CHOC  FMLYPK</v>
          </cell>
          <cell r="C26">
            <v>3</v>
          </cell>
          <cell r="D26">
            <v>4</v>
          </cell>
          <cell r="E26">
            <v>1.2E-2</v>
          </cell>
          <cell r="F26">
            <v>2055.17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4</v>
          </cell>
          <cell r="AO26">
            <v>1.2E-2</v>
          </cell>
          <cell r="AP26">
            <v>2055.17</v>
          </cell>
        </row>
        <row r="27">
          <cell r="A27" t="str">
            <v>22017801</v>
          </cell>
          <cell r="B27" t="str">
            <v>CUP CAKE TWIN BUTTER</v>
          </cell>
          <cell r="C27">
            <v>4.8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</row>
        <row r="28">
          <cell r="A28" t="str">
            <v>22027801</v>
          </cell>
          <cell r="B28" t="str">
            <v>CUP CAKE TWIN ORANGE</v>
          </cell>
          <cell r="C28">
            <v>4.8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</row>
        <row r="29">
          <cell r="A29" t="str">
            <v>22037801</v>
          </cell>
          <cell r="B29" t="str">
            <v>CUP CAKE TWIN PINEAPPLE</v>
          </cell>
          <cell r="C29">
            <v>4.8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</row>
        <row r="30">
          <cell r="A30" t="str">
            <v>22047901</v>
          </cell>
          <cell r="B30" t="str">
            <v>CUP CAKE FAMILY BUTTER</v>
          </cell>
          <cell r="C30">
            <v>3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</row>
        <row r="31">
          <cell r="A31" t="str">
            <v>22057901</v>
          </cell>
          <cell r="B31" t="str">
            <v>CUP CAKE FAMILY ORANGE</v>
          </cell>
          <cell r="C31">
            <v>3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</row>
        <row r="32">
          <cell r="A32" t="str">
            <v>22067901</v>
          </cell>
          <cell r="B32" t="str">
            <v>CUP CAKE FAMILY PINEAPPLE</v>
          </cell>
          <cell r="C32">
            <v>3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</row>
        <row r="33">
          <cell r="A33" t="str">
            <v>40018001</v>
          </cell>
          <cell r="B33" t="str">
            <v>PROCESSED CHEESE 400G TIN</v>
          </cell>
          <cell r="C33">
            <v>9.6</v>
          </cell>
          <cell r="D33">
            <v>0</v>
          </cell>
          <cell r="E33">
            <v>0</v>
          </cell>
          <cell r="F33">
            <v>0</v>
          </cell>
          <cell r="G33">
            <v>2</v>
          </cell>
          <cell r="H33">
            <v>1.9199999999999998E-2</v>
          </cell>
          <cell r="I33">
            <v>3136.32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2</v>
          </cell>
          <cell r="AO33">
            <v>1.9199999999999998E-2</v>
          </cell>
          <cell r="AP33">
            <v>3136.32</v>
          </cell>
        </row>
        <row r="34">
          <cell r="A34" t="str">
            <v>40018002</v>
          </cell>
          <cell r="B34" t="str">
            <v>PROCESSED CHEESE 200G TIN</v>
          </cell>
          <cell r="C34">
            <v>9.6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</row>
        <row r="35">
          <cell r="A35" t="str">
            <v>40018101</v>
          </cell>
          <cell r="B35" t="str">
            <v>CHEESE SINGLES 100G IWS</v>
          </cell>
          <cell r="C35">
            <v>12</v>
          </cell>
          <cell r="D35">
            <v>9</v>
          </cell>
          <cell r="E35">
            <v>0.108</v>
          </cell>
          <cell r="F35">
            <v>21952</v>
          </cell>
          <cell r="G35">
            <v>0</v>
          </cell>
          <cell r="H35">
            <v>0</v>
          </cell>
          <cell r="I35">
            <v>0</v>
          </cell>
          <cell r="J35">
            <v>1</v>
          </cell>
          <cell r="K35">
            <v>1.2E-2</v>
          </cell>
          <cell r="L35">
            <v>2352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10</v>
          </cell>
          <cell r="AO35">
            <v>0.12</v>
          </cell>
          <cell r="AP35">
            <v>24304</v>
          </cell>
        </row>
        <row r="36">
          <cell r="A36" t="str">
            <v>40018102</v>
          </cell>
          <cell r="B36" t="str">
            <v>CHEESE SINGLES 200G IWS</v>
          </cell>
          <cell r="C36">
            <v>12</v>
          </cell>
          <cell r="D36">
            <v>106</v>
          </cell>
          <cell r="E36">
            <v>1.272</v>
          </cell>
          <cell r="F36">
            <v>238770</v>
          </cell>
          <cell r="G36">
            <v>4</v>
          </cell>
          <cell r="H36">
            <v>4.8000000000000001E-2</v>
          </cell>
          <cell r="I36">
            <v>11028</v>
          </cell>
          <cell r="J36">
            <v>17</v>
          </cell>
          <cell r="K36">
            <v>0.20399999999999999</v>
          </cell>
          <cell r="L36">
            <v>37174.199999999997</v>
          </cell>
          <cell r="M36">
            <v>154</v>
          </cell>
          <cell r="N36">
            <v>1.8480000000000001</v>
          </cell>
          <cell r="O36">
            <v>312548.40000000002</v>
          </cell>
          <cell r="P36">
            <v>1</v>
          </cell>
          <cell r="Q36">
            <v>1.2E-2</v>
          </cell>
          <cell r="R36">
            <v>2126.4</v>
          </cell>
          <cell r="S36">
            <v>5</v>
          </cell>
          <cell r="T36">
            <v>0.06</v>
          </cell>
          <cell r="U36">
            <v>12758.4</v>
          </cell>
          <cell r="V36">
            <v>0</v>
          </cell>
          <cell r="W36">
            <v>0</v>
          </cell>
          <cell r="X36">
            <v>0</v>
          </cell>
          <cell r="Y36">
            <v>1</v>
          </cell>
          <cell r="Z36">
            <v>1.2E-2</v>
          </cell>
          <cell r="AA36">
            <v>2189.4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1.8333333333333335</v>
          </cell>
          <cell r="AI36">
            <v>2.1999999999999999E-2</v>
          </cell>
          <cell r="AJ36">
            <v>4043.6000000000004</v>
          </cell>
          <cell r="AK36">
            <v>0</v>
          </cell>
          <cell r="AL36">
            <v>0</v>
          </cell>
          <cell r="AM36">
            <v>0</v>
          </cell>
          <cell r="AN36">
            <v>289.83333333333331</v>
          </cell>
          <cell r="AO36">
            <v>3.4779999999999998</v>
          </cell>
          <cell r="AP36">
            <v>620638.40000000014</v>
          </cell>
        </row>
        <row r="37">
          <cell r="A37" t="str">
            <v>40018301</v>
          </cell>
          <cell r="B37" t="str">
            <v>PROCESSED CHEESE 200G CHP</v>
          </cell>
          <cell r="C37">
            <v>12</v>
          </cell>
          <cell r="D37">
            <v>99</v>
          </cell>
          <cell r="E37">
            <v>1.1879999999999999</v>
          </cell>
          <cell r="F37">
            <v>220022.39999999999</v>
          </cell>
          <cell r="G37">
            <v>0</v>
          </cell>
          <cell r="H37">
            <v>0</v>
          </cell>
          <cell r="I37">
            <v>2205.6</v>
          </cell>
          <cell r="J37">
            <v>39</v>
          </cell>
          <cell r="K37">
            <v>0.46800000000000003</v>
          </cell>
          <cell r="L37">
            <v>85248</v>
          </cell>
          <cell r="M37">
            <v>54</v>
          </cell>
          <cell r="N37">
            <v>0.64800000000000002</v>
          </cell>
          <cell r="O37">
            <v>112333.2</v>
          </cell>
          <cell r="P37">
            <v>1</v>
          </cell>
          <cell r="Q37">
            <v>1.2E-2</v>
          </cell>
          <cell r="R37">
            <v>4252.8</v>
          </cell>
          <cell r="S37">
            <v>1</v>
          </cell>
          <cell r="T37">
            <v>1.2E-2</v>
          </cell>
          <cell r="U37">
            <v>4252.8</v>
          </cell>
          <cell r="V37">
            <v>40</v>
          </cell>
          <cell r="W37">
            <v>0.48</v>
          </cell>
          <cell r="X37">
            <v>87576</v>
          </cell>
          <cell r="Y37">
            <v>5</v>
          </cell>
          <cell r="Z37">
            <v>0.06</v>
          </cell>
          <cell r="AA37">
            <v>10947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2</v>
          </cell>
          <cell r="AI37">
            <v>2.4E-2</v>
          </cell>
          <cell r="AJ37">
            <v>4411.2</v>
          </cell>
          <cell r="AK37">
            <v>0</v>
          </cell>
          <cell r="AL37">
            <v>0</v>
          </cell>
          <cell r="AM37">
            <v>0</v>
          </cell>
          <cell r="AN37">
            <v>241</v>
          </cell>
          <cell r="AO37">
            <v>2.8919999999999999</v>
          </cell>
          <cell r="AP37">
            <v>531249</v>
          </cell>
        </row>
        <row r="38">
          <cell r="A38" t="str">
            <v>40018801</v>
          </cell>
          <cell r="B38" t="str">
            <v>PROCESSED CHEESE 400GCEKA</v>
          </cell>
          <cell r="C38">
            <v>12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</row>
        <row r="39">
          <cell r="A39" t="str">
            <v>40019001</v>
          </cell>
          <cell r="B39" t="str">
            <v>PROCESSED CHEESE I. PACK</v>
          </cell>
          <cell r="C39">
            <v>12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</row>
        <row r="40">
          <cell r="A40" t="str">
            <v>40019401</v>
          </cell>
          <cell r="B40" t="str">
            <v>N F T - CHEESE 400G TIN</v>
          </cell>
          <cell r="C40">
            <v>9.6</v>
          </cell>
          <cell r="D40">
            <v>254</v>
          </cell>
          <cell r="E40">
            <v>2.4384000000000001</v>
          </cell>
          <cell r="F40">
            <v>376141.26</v>
          </cell>
          <cell r="G40">
            <v>0</v>
          </cell>
          <cell r="H40">
            <v>0</v>
          </cell>
          <cell r="I40">
            <v>0</v>
          </cell>
          <cell r="J40">
            <v>49</v>
          </cell>
          <cell r="K40">
            <v>0.47039999999999998</v>
          </cell>
          <cell r="L40">
            <v>70491.839999999997</v>
          </cell>
          <cell r="M40">
            <v>49</v>
          </cell>
          <cell r="N40">
            <v>0.47039999999999998</v>
          </cell>
          <cell r="O40">
            <v>70248.960000000006</v>
          </cell>
          <cell r="P40">
            <v>1</v>
          </cell>
          <cell r="Q40">
            <v>9.5999999999999992E-3</v>
          </cell>
          <cell r="R40">
            <v>2835.36</v>
          </cell>
          <cell r="S40">
            <v>7</v>
          </cell>
          <cell r="T40">
            <v>6.720000000000001E-2</v>
          </cell>
          <cell r="U40">
            <v>10987.02</v>
          </cell>
          <cell r="V40">
            <v>50</v>
          </cell>
          <cell r="W40">
            <v>0.48</v>
          </cell>
          <cell r="X40">
            <v>72972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410</v>
          </cell>
          <cell r="AO40">
            <v>3.9360000000000004</v>
          </cell>
          <cell r="AP40">
            <v>603676.43999999994</v>
          </cell>
        </row>
        <row r="41">
          <cell r="A41" t="str">
            <v>40019501</v>
          </cell>
          <cell r="B41" t="str">
            <v>CHEESE BLOCK 1 KG</v>
          </cell>
          <cell r="C41">
            <v>12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</row>
        <row r="42">
          <cell r="A42" t="str">
            <v>40019601</v>
          </cell>
          <cell r="B42" t="str">
            <v>CHIPLET 120G ONION</v>
          </cell>
          <cell r="C42">
            <v>12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1</v>
          </cell>
          <cell r="T42">
            <v>1.2E-2</v>
          </cell>
          <cell r="U42">
            <v>4410</v>
          </cell>
          <cell r="V42">
            <v>9</v>
          </cell>
          <cell r="W42">
            <v>0.108</v>
          </cell>
          <cell r="X42">
            <v>20430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10</v>
          </cell>
          <cell r="AO42">
            <v>0.12</v>
          </cell>
          <cell r="AP42">
            <v>24840</v>
          </cell>
        </row>
        <row r="43">
          <cell r="A43" t="str">
            <v>40028401</v>
          </cell>
          <cell r="B43" t="str">
            <v>DAIRY WHITENER 200G REFIL</v>
          </cell>
          <cell r="C43">
            <v>12</v>
          </cell>
          <cell r="D43">
            <v>0</v>
          </cell>
          <cell r="E43">
            <v>0</v>
          </cell>
          <cell r="F43">
            <v>0</v>
          </cell>
          <cell r="G43">
            <v>1</v>
          </cell>
          <cell r="H43">
            <v>1.2E-2</v>
          </cell>
          <cell r="I43">
            <v>1434.6</v>
          </cell>
          <cell r="J43">
            <v>12</v>
          </cell>
          <cell r="K43">
            <v>0.14399999999999999</v>
          </cell>
          <cell r="L43">
            <v>17313.96</v>
          </cell>
          <cell r="M43">
            <v>47</v>
          </cell>
          <cell r="N43">
            <v>0.56399999999999995</v>
          </cell>
          <cell r="O43">
            <v>66460.350000000006</v>
          </cell>
          <cell r="P43">
            <v>27</v>
          </cell>
          <cell r="Q43">
            <v>0.32400000000000001</v>
          </cell>
          <cell r="R43">
            <v>37002.959999999999</v>
          </cell>
          <cell r="S43">
            <v>53</v>
          </cell>
          <cell r="T43">
            <v>0.63600000000000001</v>
          </cell>
          <cell r="U43">
            <v>75045.19</v>
          </cell>
          <cell r="V43">
            <v>1097</v>
          </cell>
          <cell r="W43">
            <v>13.164</v>
          </cell>
          <cell r="X43">
            <v>1563297.95</v>
          </cell>
          <cell r="Y43">
            <v>30</v>
          </cell>
          <cell r="Z43">
            <v>0.36</v>
          </cell>
          <cell r="AA43">
            <v>43782.9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28</v>
          </cell>
          <cell r="AI43">
            <v>0.33600000000000002</v>
          </cell>
          <cell r="AJ43">
            <v>40286.400000000001</v>
          </cell>
          <cell r="AK43">
            <v>0</v>
          </cell>
          <cell r="AL43">
            <v>0</v>
          </cell>
          <cell r="AM43">
            <v>0</v>
          </cell>
          <cell r="AN43">
            <v>1295</v>
          </cell>
          <cell r="AO43">
            <v>15.54</v>
          </cell>
          <cell r="AP43">
            <v>1844624.3099999998</v>
          </cell>
        </row>
        <row r="44">
          <cell r="A44" t="str">
            <v>40028402</v>
          </cell>
          <cell r="B44" t="str">
            <v>DAIRY WHITENER 500G REFIL</v>
          </cell>
          <cell r="C44">
            <v>12</v>
          </cell>
          <cell r="D44">
            <v>37</v>
          </cell>
          <cell r="E44">
            <v>0.44400000000000001</v>
          </cell>
          <cell r="F44">
            <v>49053.120000000003</v>
          </cell>
          <cell r="G44">
            <v>1</v>
          </cell>
          <cell r="H44">
            <v>1.2E-2</v>
          </cell>
          <cell r="I44">
            <v>1312.8</v>
          </cell>
          <cell r="J44">
            <v>25</v>
          </cell>
          <cell r="K44">
            <v>0.3</v>
          </cell>
          <cell r="L44">
            <v>33081.35</v>
          </cell>
          <cell r="M44">
            <v>116</v>
          </cell>
          <cell r="N44">
            <v>1.3919999999999999</v>
          </cell>
          <cell r="O44">
            <v>150907.88</v>
          </cell>
          <cell r="P44">
            <v>70</v>
          </cell>
          <cell r="Q44">
            <v>0.84</v>
          </cell>
          <cell r="R44">
            <v>88655.7</v>
          </cell>
          <cell r="S44">
            <v>168</v>
          </cell>
          <cell r="T44">
            <v>2.016</v>
          </cell>
          <cell r="U44">
            <v>218859.48</v>
          </cell>
          <cell r="V44">
            <v>1680</v>
          </cell>
          <cell r="W44">
            <v>20.16</v>
          </cell>
          <cell r="X44">
            <v>2190182.3999999999</v>
          </cell>
          <cell r="Y44">
            <v>30</v>
          </cell>
          <cell r="Z44">
            <v>0.36</v>
          </cell>
          <cell r="AA44">
            <v>40280.400000000001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238</v>
          </cell>
          <cell r="AI44">
            <v>2.8559999999999999</v>
          </cell>
          <cell r="AJ44">
            <v>317071.68</v>
          </cell>
          <cell r="AK44">
            <v>0</v>
          </cell>
          <cell r="AL44">
            <v>0</v>
          </cell>
          <cell r="AM44">
            <v>0</v>
          </cell>
          <cell r="AN44">
            <v>2365</v>
          </cell>
          <cell r="AO44">
            <v>28.380000000000003</v>
          </cell>
          <cell r="AP44">
            <v>3089404.81</v>
          </cell>
        </row>
        <row r="45">
          <cell r="A45" t="str">
            <v>40028501</v>
          </cell>
          <cell r="B45" t="str">
            <v>DAIRY WHITENER 200G POUCH</v>
          </cell>
          <cell r="C45">
            <v>12</v>
          </cell>
          <cell r="D45">
            <v>279</v>
          </cell>
          <cell r="E45">
            <v>3.3479999999999999</v>
          </cell>
          <cell r="F45">
            <v>377910.95</v>
          </cell>
          <cell r="G45">
            <v>193</v>
          </cell>
          <cell r="H45">
            <v>2.3159999999999998</v>
          </cell>
          <cell r="I45">
            <v>257185.89</v>
          </cell>
          <cell r="J45">
            <v>238</v>
          </cell>
          <cell r="K45">
            <v>2.8559999999999999</v>
          </cell>
          <cell r="L45">
            <v>318185.55</v>
          </cell>
          <cell r="M45">
            <v>160</v>
          </cell>
          <cell r="N45">
            <v>1.92</v>
          </cell>
          <cell r="O45">
            <v>212374.6</v>
          </cell>
          <cell r="P45">
            <v>92</v>
          </cell>
          <cell r="Q45">
            <v>1.1040000000000001</v>
          </cell>
          <cell r="R45">
            <v>117388.32</v>
          </cell>
          <cell r="S45">
            <v>100</v>
          </cell>
          <cell r="T45">
            <v>1.2</v>
          </cell>
          <cell r="U45">
            <v>132322</v>
          </cell>
          <cell r="V45">
            <v>1275</v>
          </cell>
          <cell r="W45">
            <v>15.3</v>
          </cell>
          <cell r="X45">
            <v>1678240.5</v>
          </cell>
          <cell r="Y45">
            <v>25</v>
          </cell>
          <cell r="Z45">
            <v>0.3</v>
          </cell>
          <cell r="AA45">
            <v>34053.5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71</v>
          </cell>
          <cell r="AI45">
            <v>0.85199999999999998</v>
          </cell>
          <cell r="AJ45">
            <v>97072.8</v>
          </cell>
          <cell r="AK45">
            <v>0</v>
          </cell>
          <cell r="AL45">
            <v>0</v>
          </cell>
          <cell r="AM45">
            <v>0</v>
          </cell>
          <cell r="AN45">
            <v>2433</v>
          </cell>
          <cell r="AO45">
            <v>29.196000000000002</v>
          </cell>
          <cell r="AP45">
            <v>3224734.1100000003</v>
          </cell>
        </row>
        <row r="46">
          <cell r="A46" t="str">
            <v>40028502</v>
          </cell>
          <cell r="B46" t="str">
            <v>DAIRY WHITENER 500G POUCH</v>
          </cell>
          <cell r="C46">
            <v>12</v>
          </cell>
          <cell r="D46">
            <v>1221</v>
          </cell>
          <cell r="E46">
            <v>14.651999999999999</v>
          </cell>
          <cell r="F46">
            <v>1563975.54</v>
          </cell>
          <cell r="G46">
            <v>672</v>
          </cell>
          <cell r="H46">
            <v>8.0640000000000001</v>
          </cell>
          <cell r="I46">
            <v>832474.08</v>
          </cell>
          <cell r="J46">
            <v>626</v>
          </cell>
          <cell r="K46">
            <v>7.5119999999999996</v>
          </cell>
          <cell r="L46">
            <v>780171.36</v>
          </cell>
          <cell r="M46">
            <v>1340</v>
          </cell>
          <cell r="N46">
            <v>16.079999999999998</v>
          </cell>
          <cell r="O46">
            <v>1642168.3</v>
          </cell>
          <cell r="P46">
            <v>330</v>
          </cell>
          <cell r="Q46">
            <v>3.96</v>
          </cell>
          <cell r="R46">
            <v>407058.07</v>
          </cell>
          <cell r="S46">
            <v>443</v>
          </cell>
          <cell r="T46">
            <v>5.3159999999999998</v>
          </cell>
          <cell r="U46">
            <v>544314.1</v>
          </cell>
          <cell r="V46">
            <v>3975</v>
          </cell>
          <cell r="W46">
            <v>47.7</v>
          </cell>
          <cell r="X46">
            <v>5027349.8</v>
          </cell>
          <cell r="Y46">
            <v>50</v>
          </cell>
          <cell r="Z46">
            <v>0.6</v>
          </cell>
          <cell r="AA46">
            <v>63242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8657</v>
          </cell>
          <cell r="AO46">
            <v>103.884</v>
          </cell>
          <cell r="AP46">
            <v>10860753.25</v>
          </cell>
        </row>
        <row r="47">
          <cell r="A47" t="str">
            <v>40028503</v>
          </cell>
          <cell r="B47" t="str">
            <v>DAIRY WHITENER 50G POUCH</v>
          </cell>
          <cell r="C47">
            <v>9.6</v>
          </cell>
          <cell r="D47">
            <v>40</v>
          </cell>
          <cell r="E47">
            <v>0.38400000000000001</v>
          </cell>
          <cell r="F47">
            <v>42196.32</v>
          </cell>
          <cell r="G47">
            <v>15</v>
          </cell>
          <cell r="H47">
            <v>0.14399999999999999</v>
          </cell>
          <cell r="I47">
            <v>15670.8</v>
          </cell>
          <cell r="J47">
            <v>264</v>
          </cell>
          <cell r="K47">
            <v>2.5344000000000002</v>
          </cell>
          <cell r="L47">
            <v>278467.20000000001</v>
          </cell>
          <cell r="M47">
            <v>159</v>
          </cell>
          <cell r="N47">
            <v>1.5263999999999998</v>
          </cell>
          <cell r="O47">
            <v>159826.79999999999</v>
          </cell>
          <cell r="P47">
            <v>149</v>
          </cell>
          <cell r="Q47">
            <v>1.4303999999999999</v>
          </cell>
          <cell r="R47">
            <v>150971.44</v>
          </cell>
          <cell r="S47">
            <v>50</v>
          </cell>
          <cell r="T47">
            <v>0.48</v>
          </cell>
          <cell r="U47">
            <v>50391</v>
          </cell>
          <cell r="V47">
            <v>271</v>
          </cell>
          <cell r="W47">
            <v>2.6015999999999999</v>
          </cell>
          <cell r="X47">
            <v>281154.37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948</v>
          </cell>
          <cell r="AO47">
            <v>9.1007999999999996</v>
          </cell>
          <cell r="AP47">
            <v>978677.93</v>
          </cell>
        </row>
        <row r="48">
          <cell r="A48" t="str">
            <v>40028504</v>
          </cell>
          <cell r="B48" t="str">
            <v>DAIRY WHITENER 100G POUCH</v>
          </cell>
          <cell r="C48">
            <v>12</v>
          </cell>
          <cell r="D48">
            <v>45</v>
          </cell>
          <cell r="E48">
            <v>0.54</v>
          </cell>
          <cell r="F48">
            <v>64993.86</v>
          </cell>
          <cell r="G48">
            <v>31</v>
          </cell>
          <cell r="H48">
            <v>0.372</v>
          </cell>
          <cell r="I48">
            <v>44092.56</v>
          </cell>
          <cell r="J48">
            <v>353</v>
          </cell>
          <cell r="K48">
            <v>4.2359999999999998</v>
          </cell>
          <cell r="L48">
            <v>517461.2</v>
          </cell>
          <cell r="M48">
            <v>100</v>
          </cell>
          <cell r="N48">
            <v>1.2</v>
          </cell>
          <cell r="O48">
            <v>141405</v>
          </cell>
          <cell r="P48">
            <v>66</v>
          </cell>
          <cell r="Q48">
            <v>0.79200000000000004</v>
          </cell>
          <cell r="R48">
            <v>91042.11</v>
          </cell>
          <cell r="S48">
            <v>53</v>
          </cell>
          <cell r="T48">
            <v>0.63600000000000001</v>
          </cell>
          <cell r="U48">
            <v>75139.69</v>
          </cell>
          <cell r="V48">
            <v>330</v>
          </cell>
          <cell r="W48">
            <v>3.96</v>
          </cell>
          <cell r="X48">
            <v>487730.44</v>
          </cell>
          <cell r="Y48">
            <v>15</v>
          </cell>
          <cell r="Z48">
            <v>0.18</v>
          </cell>
          <cell r="AA48">
            <v>21891.45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993</v>
          </cell>
          <cell r="AO48">
            <v>11.916</v>
          </cell>
          <cell r="AP48">
            <v>1443756.3099999998</v>
          </cell>
        </row>
        <row r="49">
          <cell r="A49" t="str">
            <v>40028505</v>
          </cell>
          <cell r="B49" t="str">
            <v>D-WHITENER 1000G POUCH</v>
          </cell>
          <cell r="C49">
            <v>12</v>
          </cell>
          <cell r="D49">
            <v>5</v>
          </cell>
          <cell r="E49">
            <v>0.06</v>
          </cell>
          <cell r="F49">
            <v>6257.12</v>
          </cell>
          <cell r="G49">
            <v>9</v>
          </cell>
          <cell r="H49">
            <v>0.108</v>
          </cell>
          <cell r="I49">
            <v>10845.36</v>
          </cell>
          <cell r="J49">
            <v>148</v>
          </cell>
          <cell r="K49">
            <v>1.776</v>
          </cell>
          <cell r="L49">
            <v>180104.16</v>
          </cell>
          <cell r="M49">
            <v>0</v>
          </cell>
          <cell r="N49">
            <v>0</v>
          </cell>
          <cell r="O49">
            <v>0</v>
          </cell>
          <cell r="P49">
            <v>10</v>
          </cell>
          <cell r="Q49">
            <v>0.12</v>
          </cell>
          <cell r="R49">
            <v>11719.9</v>
          </cell>
          <cell r="S49">
            <v>57</v>
          </cell>
          <cell r="T49">
            <v>0.68400000000000005</v>
          </cell>
          <cell r="U49">
            <v>67342.080000000002</v>
          </cell>
          <cell r="V49">
            <v>1040</v>
          </cell>
          <cell r="W49">
            <v>12.48</v>
          </cell>
          <cell r="X49">
            <v>1246767.7</v>
          </cell>
          <cell r="Y49">
            <v>10</v>
          </cell>
          <cell r="Z49">
            <v>0.12</v>
          </cell>
          <cell r="AA49">
            <v>12161.9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1279</v>
          </cell>
          <cell r="AO49">
            <v>15.348000000000001</v>
          </cell>
          <cell r="AP49">
            <v>1535198.2199999997</v>
          </cell>
        </row>
        <row r="50">
          <cell r="A50" t="str">
            <v>40028901</v>
          </cell>
          <cell r="B50" t="str">
            <v>DAIRY WHITENER BULK PACK</v>
          </cell>
          <cell r="C50">
            <v>10</v>
          </cell>
          <cell r="D50">
            <v>249</v>
          </cell>
          <cell r="E50">
            <v>2.4900000000000002</v>
          </cell>
          <cell r="F50">
            <v>218746.5</v>
          </cell>
          <cell r="G50">
            <v>274</v>
          </cell>
          <cell r="H50">
            <v>2.74</v>
          </cell>
          <cell r="I50">
            <v>240573.8</v>
          </cell>
          <cell r="J50">
            <v>173</v>
          </cell>
          <cell r="K50">
            <v>1.73</v>
          </cell>
          <cell r="L50">
            <v>151980.5</v>
          </cell>
          <cell r="M50">
            <v>99</v>
          </cell>
          <cell r="N50">
            <v>0.99</v>
          </cell>
          <cell r="O50">
            <v>84531.15</v>
          </cell>
          <cell r="P50">
            <v>539</v>
          </cell>
          <cell r="Q50">
            <v>5.39</v>
          </cell>
          <cell r="R50">
            <v>452377.31</v>
          </cell>
          <cell r="S50">
            <v>1300</v>
          </cell>
          <cell r="T50">
            <v>13</v>
          </cell>
          <cell r="U50">
            <v>1091077</v>
          </cell>
          <cell r="V50">
            <v>2905</v>
          </cell>
          <cell r="W50">
            <v>29.05</v>
          </cell>
          <cell r="X50">
            <v>2514134.85</v>
          </cell>
          <cell r="Y50">
            <v>5</v>
          </cell>
          <cell r="Z50">
            <v>0.05</v>
          </cell>
          <cell r="AA50">
            <v>4351.8500000000004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5544</v>
          </cell>
          <cell r="AO50">
            <v>55.44</v>
          </cell>
          <cell r="AP50">
            <v>4757772.959999999</v>
          </cell>
        </row>
        <row r="51">
          <cell r="A51" t="str">
            <v>40029902</v>
          </cell>
          <cell r="B51" t="str">
            <v>DAIRY WHITENER 30GM</v>
          </cell>
          <cell r="C51">
            <v>9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</row>
        <row r="52">
          <cell r="A52" t="str">
            <v>40038601</v>
          </cell>
          <cell r="B52" t="str">
            <v>BUTTER 500G</v>
          </cell>
          <cell r="C52">
            <v>15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</row>
        <row r="53">
          <cell r="A53" t="str">
            <v>40038602</v>
          </cell>
          <cell r="B53" t="str">
            <v>BUTTER 1 KG</v>
          </cell>
          <cell r="C53">
            <v>18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</row>
        <row r="54">
          <cell r="A54" t="str">
            <v>40038701</v>
          </cell>
          <cell r="B54" t="str">
            <v>BUTTER 100G</v>
          </cell>
          <cell r="C54">
            <v>15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</row>
        <row r="55">
          <cell r="A55" t="str">
            <v>40048801</v>
          </cell>
          <cell r="B55" t="str">
            <v>CHEESE SPREAD-PLAIN</v>
          </cell>
          <cell r="C55">
            <v>7.2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</row>
        <row r="56">
          <cell r="A56" t="str">
            <v>40058801</v>
          </cell>
          <cell r="B56" t="str">
            <v>CHEESE SPREAD-BLK PEPPER</v>
          </cell>
          <cell r="C56">
            <v>7.2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</row>
        <row r="57">
          <cell r="A57" t="str">
            <v>40068801</v>
          </cell>
          <cell r="B57" t="str">
            <v>CHEESE SPREAD-JEERA</v>
          </cell>
          <cell r="C57">
            <v>7.2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</row>
        <row r="58">
          <cell r="A58" t="str">
            <v>40078801</v>
          </cell>
          <cell r="B58" t="str">
            <v>CHEESE SPREAD-CHILLI CAPC</v>
          </cell>
          <cell r="C58">
            <v>7.2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</row>
        <row r="59">
          <cell r="A59" t="str">
            <v>40099601</v>
          </cell>
          <cell r="B59" t="str">
            <v>CHIPLET 120G PLAIN REGULR</v>
          </cell>
          <cell r="C59">
            <v>12</v>
          </cell>
          <cell r="D59">
            <v>4</v>
          </cell>
          <cell r="E59">
            <v>4.8000000000000001E-2</v>
          </cell>
          <cell r="F59">
            <v>9133.2000000000007</v>
          </cell>
          <cell r="G59">
            <v>0</v>
          </cell>
          <cell r="H59">
            <v>0</v>
          </cell>
          <cell r="I59">
            <v>0</v>
          </cell>
          <cell r="J59">
            <v>7</v>
          </cell>
          <cell r="K59">
            <v>8.4000000000000005E-2</v>
          </cell>
          <cell r="L59">
            <v>14806</v>
          </cell>
          <cell r="M59">
            <v>4</v>
          </cell>
          <cell r="N59">
            <v>4.8000000000000001E-2</v>
          </cell>
          <cell r="O59">
            <v>8244</v>
          </cell>
          <cell r="P59">
            <v>0</v>
          </cell>
          <cell r="Q59">
            <v>0</v>
          </cell>
          <cell r="R59">
            <v>0</v>
          </cell>
          <cell r="S59">
            <v>1</v>
          </cell>
          <cell r="T59">
            <v>1.2E-2</v>
          </cell>
          <cell r="U59">
            <v>2048</v>
          </cell>
          <cell r="V59">
            <v>19</v>
          </cell>
          <cell r="W59">
            <v>0.22800000000000001</v>
          </cell>
          <cell r="X59">
            <v>40052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35</v>
          </cell>
          <cell r="AO59">
            <v>0.42000000000000004</v>
          </cell>
          <cell r="AP59">
            <v>74283.199999999997</v>
          </cell>
        </row>
        <row r="60">
          <cell r="A60" t="str">
            <v>40109601</v>
          </cell>
          <cell r="B60" t="str">
            <v>CHIPLET 120G PEPPER</v>
          </cell>
          <cell r="C60">
            <v>12</v>
          </cell>
          <cell r="D60">
            <v>1</v>
          </cell>
          <cell r="E60">
            <v>1.2E-2</v>
          </cell>
          <cell r="F60">
            <v>2287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1</v>
          </cell>
          <cell r="N60">
            <v>1.2E-2</v>
          </cell>
          <cell r="O60">
            <v>2220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2</v>
          </cell>
          <cell r="AO60">
            <v>2.4E-2</v>
          </cell>
          <cell r="AP60">
            <v>4507</v>
          </cell>
        </row>
        <row r="61">
          <cell r="A61" t="str">
            <v>40119601</v>
          </cell>
          <cell r="B61" t="str">
            <v>CHIPLET 120G GARLIC</v>
          </cell>
          <cell r="C61">
            <v>12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1786.05</v>
          </cell>
          <cell r="V61">
            <v>8</v>
          </cell>
          <cell r="W61">
            <v>9.6000000000000002E-2</v>
          </cell>
          <cell r="X61">
            <v>18160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8</v>
          </cell>
          <cell r="AO61">
            <v>9.6000000000000002E-2</v>
          </cell>
          <cell r="AP61">
            <v>19946.05</v>
          </cell>
        </row>
        <row r="62">
          <cell r="A62" t="str">
            <v>40129601</v>
          </cell>
          <cell r="B62" t="str">
            <v>CHIPLET 120G PL.SOFT SPRD</v>
          </cell>
          <cell r="C62">
            <v>12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</row>
        <row r="63">
          <cell r="A63" t="str">
            <v>40139801</v>
          </cell>
          <cell r="B63" t="str">
            <v>SPREAD 150G PLAIN</v>
          </cell>
          <cell r="C63">
            <v>9</v>
          </cell>
          <cell r="D63">
            <v>34</v>
          </cell>
          <cell r="E63">
            <v>0.30599999999999999</v>
          </cell>
          <cell r="F63">
            <v>44541.9</v>
          </cell>
          <cell r="G63">
            <v>0</v>
          </cell>
          <cell r="H63">
            <v>0</v>
          </cell>
          <cell r="I63">
            <v>0</v>
          </cell>
          <cell r="J63">
            <v>20</v>
          </cell>
          <cell r="K63">
            <v>0.18</v>
          </cell>
          <cell r="L63">
            <v>25488</v>
          </cell>
          <cell r="M63">
            <v>86</v>
          </cell>
          <cell r="N63">
            <v>0.77400000000000002</v>
          </cell>
          <cell r="O63">
            <v>112269</v>
          </cell>
          <cell r="P63">
            <v>0</v>
          </cell>
          <cell r="Q63">
            <v>0</v>
          </cell>
          <cell r="R63">
            <v>1228.8</v>
          </cell>
          <cell r="S63">
            <v>6</v>
          </cell>
          <cell r="T63">
            <v>5.3999999999999999E-2</v>
          </cell>
          <cell r="U63">
            <v>7372.8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146</v>
          </cell>
          <cell r="AO63">
            <v>1.3140000000000001</v>
          </cell>
          <cell r="AP63">
            <v>190900.49999999997</v>
          </cell>
        </row>
        <row r="64">
          <cell r="A64" t="str">
            <v>40149801</v>
          </cell>
          <cell r="B64" t="str">
            <v>SPREAD 150G PEPPER</v>
          </cell>
          <cell r="C64">
            <v>9</v>
          </cell>
          <cell r="D64">
            <v>25</v>
          </cell>
          <cell r="E64">
            <v>0.22500000000000001</v>
          </cell>
          <cell r="F64">
            <v>35897.54</v>
          </cell>
          <cell r="G64">
            <v>2</v>
          </cell>
          <cell r="H64">
            <v>1.7999999999999999E-2</v>
          </cell>
          <cell r="I64">
            <v>4139.47</v>
          </cell>
          <cell r="J64">
            <v>5</v>
          </cell>
          <cell r="K64">
            <v>4.4999999999999998E-2</v>
          </cell>
          <cell r="L64">
            <v>6861</v>
          </cell>
          <cell r="M64">
            <v>1</v>
          </cell>
          <cell r="N64">
            <v>8.9999999999999993E-3</v>
          </cell>
          <cell r="O64">
            <v>1332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33</v>
          </cell>
          <cell r="AO64">
            <v>0.29699999999999999</v>
          </cell>
          <cell r="AP64">
            <v>48230.01</v>
          </cell>
        </row>
        <row r="65">
          <cell r="A65" t="str">
            <v>40159801</v>
          </cell>
          <cell r="B65" t="str">
            <v>SPREAD 150G MASALA GARLIC</v>
          </cell>
          <cell r="C65">
            <v>9</v>
          </cell>
          <cell r="D65">
            <v>17</v>
          </cell>
          <cell r="E65">
            <v>0.153</v>
          </cell>
          <cell r="F65">
            <v>25094.62</v>
          </cell>
          <cell r="G65">
            <v>1</v>
          </cell>
          <cell r="H65">
            <v>8.9999999999999993E-3</v>
          </cell>
          <cell r="I65">
            <v>2447.09</v>
          </cell>
          <cell r="J65">
            <v>3</v>
          </cell>
          <cell r="K65">
            <v>2.7E-2</v>
          </cell>
          <cell r="L65">
            <v>4116.6000000000004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1228.8</v>
          </cell>
          <cell r="S65">
            <v>4</v>
          </cell>
          <cell r="T65">
            <v>3.5999999999999997E-2</v>
          </cell>
          <cell r="U65">
            <v>4915.2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25</v>
          </cell>
          <cell r="AO65">
            <v>0.22500000000000001</v>
          </cell>
          <cell r="AP65">
            <v>37802.31</v>
          </cell>
        </row>
        <row r="66">
          <cell r="A66" t="str">
            <v>40169801</v>
          </cell>
          <cell r="B66" t="str">
            <v>SPREAD 150G MASALA ONION</v>
          </cell>
          <cell r="C66">
            <v>9</v>
          </cell>
          <cell r="D66">
            <v>8</v>
          </cell>
          <cell r="E66">
            <v>7.1999999999999995E-2</v>
          </cell>
          <cell r="F66">
            <v>12794.7</v>
          </cell>
          <cell r="G66">
            <v>0</v>
          </cell>
          <cell r="H66">
            <v>0</v>
          </cell>
          <cell r="I66">
            <v>0</v>
          </cell>
          <cell r="J66">
            <v>3</v>
          </cell>
          <cell r="K66">
            <v>2.7E-2</v>
          </cell>
          <cell r="L66">
            <v>4116.6000000000004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1228.8</v>
          </cell>
          <cell r="S66">
            <v>4</v>
          </cell>
          <cell r="T66">
            <v>3.5999999999999997E-2</v>
          </cell>
          <cell r="U66">
            <v>4915.2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15</v>
          </cell>
          <cell r="AO66">
            <v>0.13499999999999998</v>
          </cell>
          <cell r="AP66">
            <v>23055.300000000003</v>
          </cell>
        </row>
        <row r="67">
          <cell r="A67" t="str">
            <v>41019101</v>
          </cell>
          <cell r="B67" t="str">
            <v>FLAVOURED MILK-MANGO</v>
          </cell>
          <cell r="C67">
            <v>5.4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</row>
        <row r="68">
          <cell r="A68" t="str">
            <v>41029101</v>
          </cell>
          <cell r="B68" t="str">
            <v>FLAVOURED MILK-PINEAPPLE</v>
          </cell>
          <cell r="C68">
            <v>5.4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</row>
        <row r="69">
          <cell r="A69" t="str">
            <v>41039101</v>
          </cell>
          <cell r="B69" t="str">
            <v>FLAVOURED MILK-STRAWBERRY</v>
          </cell>
          <cell r="C69">
            <v>5.4</v>
          </cell>
          <cell r="D69">
            <v>585</v>
          </cell>
          <cell r="E69">
            <v>3.1589999999999998</v>
          </cell>
          <cell r="F69">
            <v>111821.04</v>
          </cell>
          <cell r="G69">
            <v>0</v>
          </cell>
          <cell r="H69">
            <v>0</v>
          </cell>
          <cell r="I69">
            <v>0</v>
          </cell>
          <cell r="J69">
            <v>155</v>
          </cell>
          <cell r="K69">
            <v>0.83699999999999997</v>
          </cell>
          <cell r="L69">
            <v>30213</v>
          </cell>
          <cell r="M69">
            <v>100</v>
          </cell>
          <cell r="N69">
            <v>0.54</v>
          </cell>
          <cell r="O69">
            <v>19386</v>
          </cell>
          <cell r="P69">
            <v>30</v>
          </cell>
          <cell r="Q69">
            <v>0.16200000000000001</v>
          </cell>
          <cell r="R69">
            <v>5985.9</v>
          </cell>
          <cell r="S69">
            <v>50</v>
          </cell>
          <cell r="T69">
            <v>0.27</v>
          </cell>
          <cell r="U69">
            <v>9976.5</v>
          </cell>
          <cell r="V69">
            <v>123</v>
          </cell>
          <cell r="W69">
            <v>0.66420000000000001</v>
          </cell>
          <cell r="X69">
            <v>25272.81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1043</v>
          </cell>
          <cell r="AO69">
            <v>5.6322000000000001</v>
          </cell>
          <cell r="AP69">
            <v>202655.24999999997</v>
          </cell>
        </row>
        <row r="70">
          <cell r="A70" t="str">
            <v>41039201</v>
          </cell>
          <cell r="B70" t="str">
            <v>F M - STRAWBERRY -1 LITRE</v>
          </cell>
          <cell r="C70">
            <v>12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</row>
        <row r="71">
          <cell r="A71" t="str">
            <v>41049101</v>
          </cell>
          <cell r="B71" t="str">
            <v>FLAVOURED MILK-CHOCOLATE</v>
          </cell>
          <cell r="C71">
            <v>5.4</v>
          </cell>
          <cell r="D71">
            <v>1122</v>
          </cell>
          <cell r="E71">
            <v>6.0587999999999997</v>
          </cell>
          <cell r="F71">
            <v>214427.7</v>
          </cell>
          <cell r="G71">
            <v>0</v>
          </cell>
          <cell r="H71">
            <v>0</v>
          </cell>
          <cell r="I71">
            <v>0</v>
          </cell>
          <cell r="J71">
            <v>400</v>
          </cell>
          <cell r="K71">
            <v>2.16</v>
          </cell>
          <cell r="L71">
            <v>77922</v>
          </cell>
          <cell r="M71">
            <v>150</v>
          </cell>
          <cell r="N71">
            <v>0.81</v>
          </cell>
          <cell r="O71">
            <v>29079</v>
          </cell>
          <cell r="P71">
            <v>20</v>
          </cell>
          <cell r="Q71">
            <v>0.108</v>
          </cell>
          <cell r="R71">
            <v>3990.6</v>
          </cell>
          <cell r="S71">
            <v>250</v>
          </cell>
          <cell r="T71">
            <v>1.35</v>
          </cell>
          <cell r="U71">
            <v>49882.5</v>
          </cell>
          <cell r="V71">
            <v>338</v>
          </cell>
          <cell r="W71">
            <v>1.8252000000000002</v>
          </cell>
          <cell r="X71">
            <v>69161.58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2280</v>
          </cell>
          <cell r="AO71">
            <v>12.312000000000001</v>
          </cell>
          <cell r="AP71">
            <v>444463.38</v>
          </cell>
        </row>
        <row r="72">
          <cell r="A72" t="str">
            <v>41049201</v>
          </cell>
          <cell r="B72" t="str">
            <v>F M - CHOCOLATE - 1 LITRE</v>
          </cell>
          <cell r="C72">
            <v>12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</row>
        <row r="73">
          <cell r="A73" t="str">
            <v>41059101</v>
          </cell>
          <cell r="B73" t="str">
            <v>FLAVOURED MILK-ELAICHI</v>
          </cell>
          <cell r="C73">
            <v>5.4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</row>
        <row r="74">
          <cell r="A74" t="str">
            <v>42019201</v>
          </cell>
          <cell r="B74" t="str">
            <v>UHT-MILK 1 LTR</v>
          </cell>
          <cell r="C74">
            <v>12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</row>
        <row r="75">
          <cell r="A75" t="str">
            <v>42019301</v>
          </cell>
          <cell r="B75" t="str">
            <v>UHT-MILK 250ML</v>
          </cell>
          <cell r="C75">
            <v>6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</row>
        <row r="76">
          <cell r="A76" t="str">
            <v>50016001</v>
          </cell>
          <cell r="B76" t="str">
            <v>GHEE TIN 1 LTR. - BUF</v>
          </cell>
          <cell r="C76">
            <v>18</v>
          </cell>
          <cell r="D76">
            <v>27</v>
          </cell>
          <cell r="E76">
            <v>0.48599999999999999</v>
          </cell>
          <cell r="F76">
            <v>60001.56</v>
          </cell>
          <cell r="G76">
            <v>5</v>
          </cell>
          <cell r="H76">
            <v>0.09</v>
          </cell>
          <cell r="I76">
            <v>11111.4</v>
          </cell>
          <cell r="J76">
            <v>17</v>
          </cell>
          <cell r="K76">
            <v>0.30599999999999999</v>
          </cell>
          <cell r="L76">
            <v>37778.76</v>
          </cell>
          <cell r="M76">
            <v>112</v>
          </cell>
          <cell r="N76">
            <v>2.016</v>
          </cell>
          <cell r="O76">
            <v>241597.44</v>
          </cell>
          <cell r="P76">
            <v>30</v>
          </cell>
          <cell r="Q76">
            <v>0.54</v>
          </cell>
          <cell r="R76">
            <v>66310.850000000006</v>
          </cell>
          <cell r="S76">
            <v>35</v>
          </cell>
          <cell r="T76">
            <v>0.63</v>
          </cell>
          <cell r="U76">
            <v>75001.5</v>
          </cell>
          <cell r="V76">
            <v>21</v>
          </cell>
          <cell r="W76">
            <v>0.378</v>
          </cell>
          <cell r="X76">
            <v>47073.599999999999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247</v>
          </cell>
          <cell r="AO76">
            <v>4.4459999999999997</v>
          </cell>
          <cell r="AP76">
            <v>538875.11</v>
          </cell>
        </row>
        <row r="77">
          <cell r="A77" t="str">
            <v>50026101</v>
          </cell>
          <cell r="B77" t="str">
            <v>GHEE CEKA PACK 1 LTR -BUF</v>
          </cell>
          <cell r="C77">
            <v>18</v>
          </cell>
          <cell r="D77">
            <v>23</v>
          </cell>
          <cell r="E77">
            <v>0.41399999999999998</v>
          </cell>
          <cell r="F77">
            <v>51085.71</v>
          </cell>
          <cell r="G77">
            <v>0</v>
          </cell>
          <cell r="H77">
            <v>0</v>
          </cell>
          <cell r="I77">
            <v>0</v>
          </cell>
          <cell r="J77">
            <v>6</v>
          </cell>
          <cell r="K77">
            <v>0.108</v>
          </cell>
          <cell r="L77">
            <v>13043.16</v>
          </cell>
          <cell r="M77">
            <v>50</v>
          </cell>
          <cell r="N77">
            <v>0.9</v>
          </cell>
          <cell r="O77">
            <v>105507</v>
          </cell>
          <cell r="P77">
            <v>9</v>
          </cell>
          <cell r="Q77">
            <v>0.16200000000000001</v>
          </cell>
          <cell r="R77">
            <v>20846.34</v>
          </cell>
          <cell r="S77">
            <v>19</v>
          </cell>
          <cell r="T77">
            <v>0.34200000000000003</v>
          </cell>
          <cell r="U77">
            <v>39829.32</v>
          </cell>
          <cell r="V77">
            <v>20</v>
          </cell>
          <cell r="W77">
            <v>0.36</v>
          </cell>
          <cell r="X77">
            <v>43156.800000000003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127</v>
          </cell>
          <cell r="AO77">
            <v>2.286</v>
          </cell>
          <cell r="AP77">
            <v>273468.33</v>
          </cell>
        </row>
        <row r="78">
          <cell r="A78" t="str">
            <v>50036201</v>
          </cell>
          <cell r="B78" t="str">
            <v>GHEE CEKA PACK 1/2LTR-BUF</v>
          </cell>
          <cell r="C78">
            <v>18</v>
          </cell>
          <cell r="D78">
            <v>35</v>
          </cell>
          <cell r="E78">
            <v>0.63</v>
          </cell>
          <cell r="F78">
            <v>78890.94</v>
          </cell>
          <cell r="G78">
            <v>3</v>
          </cell>
          <cell r="H78">
            <v>5.3999999999999999E-2</v>
          </cell>
          <cell r="I78">
            <v>6762.96</v>
          </cell>
          <cell r="J78">
            <v>3</v>
          </cell>
          <cell r="K78">
            <v>5.3999999999999999E-2</v>
          </cell>
          <cell r="L78">
            <v>6666.84</v>
          </cell>
          <cell r="M78">
            <v>137</v>
          </cell>
          <cell r="N78">
            <v>2.4660000000000002</v>
          </cell>
          <cell r="O78">
            <v>295525.44</v>
          </cell>
          <cell r="P78">
            <v>20</v>
          </cell>
          <cell r="Q78">
            <v>0.36</v>
          </cell>
          <cell r="R78">
            <v>44766.559999999998</v>
          </cell>
          <cell r="S78">
            <v>0</v>
          </cell>
          <cell r="T78">
            <v>0</v>
          </cell>
          <cell r="U78">
            <v>0</v>
          </cell>
          <cell r="V78">
            <v>21</v>
          </cell>
          <cell r="W78">
            <v>0.378</v>
          </cell>
          <cell r="X78">
            <v>46327.68</v>
          </cell>
          <cell r="Y78">
            <v>1</v>
          </cell>
          <cell r="Z78">
            <v>1.7999999999999999E-2</v>
          </cell>
          <cell r="AA78">
            <v>2206.08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220</v>
          </cell>
          <cell r="AO78">
            <v>3.96</v>
          </cell>
          <cell r="AP78">
            <v>481146.5</v>
          </cell>
        </row>
        <row r="79">
          <cell r="A79" t="str">
            <v>50046301</v>
          </cell>
          <cell r="B79" t="str">
            <v>GHEE POUCH 1 LTR. - BUF</v>
          </cell>
          <cell r="C79">
            <v>18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</row>
        <row r="80">
          <cell r="A80" t="str">
            <v>50066001</v>
          </cell>
          <cell r="B80" t="str">
            <v>GHEE 1 LTR TIN - COW</v>
          </cell>
          <cell r="C80">
            <v>18</v>
          </cell>
          <cell r="D80">
            <v>54</v>
          </cell>
          <cell r="E80">
            <v>0.97199999999999998</v>
          </cell>
          <cell r="F80">
            <v>119876.76</v>
          </cell>
          <cell r="G80">
            <v>47</v>
          </cell>
          <cell r="H80">
            <v>0.84599999999999997</v>
          </cell>
          <cell r="I80">
            <v>104337.18</v>
          </cell>
          <cell r="J80">
            <v>32</v>
          </cell>
          <cell r="K80">
            <v>0.57599999999999996</v>
          </cell>
          <cell r="L80">
            <v>69752.88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162</v>
          </cell>
          <cell r="T80">
            <v>2.9159999999999999</v>
          </cell>
          <cell r="U80">
            <v>346770.72</v>
          </cell>
          <cell r="V80">
            <v>50</v>
          </cell>
          <cell r="W80">
            <v>0.9</v>
          </cell>
          <cell r="X80">
            <v>102681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345</v>
          </cell>
          <cell r="AO80">
            <v>6.2100000000000009</v>
          </cell>
          <cell r="AP80">
            <v>743418.54</v>
          </cell>
        </row>
        <row r="81">
          <cell r="A81" t="str">
            <v>50067101</v>
          </cell>
          <cell r="B81" t="str">
            <v>GHEE COW 200ML CEKA</v>
          </cell>
          <cell r="C81">
            <v>12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</row>
        <row r="82">
          <cell r="A82" t="str">
            <v>50076101</v>
          </cell>
          <cell r="B82" t="str">
            <v>GHEE 1 LTR CEKA PACK -COW</v>
          </cell>
          <cell r="C82">
            <v>18</v>
          </cell>
          <cell r="D82">
            <v>62</v>
          </cell>
          <cell r="E82">
            <v>1.1160000000000001</v>
          </cell>
          <cell r="F82">
            <v>133953.75</v>
          </cell>
          <cell r="G82">
            <v>6</v>
          </cell>
          <cell r="H82">
            <v>0.108</v>
          </cell>
          <cell r="I82">
            <v>12859.56</v>
          </cell>
          <cell r="J82">
            <v>15</v>
          </cell>
          <cell r="K82">
            <v>0.27</v>
          </cell>
          <cell r="L82">
            <v>31512.42</v>
          </cell>
          <cell r="M82">
            <v>0</v>
          </cell>
          <cell r="N82">
            <v>0</v>
          </cell>
          <cell r="O82">
            <v>0</v>
          </cell>
          <cell r="P82">
            <v>6</v>
          </cell>
          <cell r="Q82">
            <v>0.108</v>
          </cell>
          <cell r="R82">
            <v>12400.56</v>
          </cell>
          <cell r="S82">
            <v>48</v>
          </cell>
          <cell r="T82">
            <v>0.86399999999999999</v>
          </cell>
          <cell r="U82">
            <v>99204.479999999996</v>
          </cell>
          <cell r="V82">
            <v>43</v>
          </cell>
          <cell r="W82">
            <v>0.77400000000000002</v>
          </cell>
          <cell r="X82">
            <v>85031.64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180</v>
          </cell>
          <cell r="AO82">
            <v>3.24</v>
          </cell>
          <cell r="AP82">
            <v>374962.41</v>
          </cell>
        </row>
        <row r="83">
          <cell r="A83" t="str">
            <v>50086201</v>
          </cell>
          <cell r="B83" t="str">
            <v>GHEE 1/2LTR CEKA PACK-COW</v>
          </cell>
          <cell r="C83">
            <v>18</v>
          </cell>
          <cell r="D83">
            <v>96</v>
          </cell>
          <cell r="E83">
            <v>1.728</v>
          </cell>
          <cell r="F83">
            <v>215378.38</v>
          </cell>
          <cell r="G83">
            <v>28</v>
          </cell>
          <cell r="H83">
            <v>0.504</v>
          </cell>
          <cell r="I83">
            <v>62153.279999999999</v>
          </cell>
          <cell r="J83">
            <v>18</v>
          </cell>
          <cell r="K83">
            <v>0.32400000000000001</v>
          </cell>
          <cell r="L83">
            <v>39470.04</v>
          </cell>
          <cell r="M83">
            <v>29</v>
          </cell>
          <cell r="N83">
            <v>0.52200000000000002</v>
          </cell>
          <cell r="O83">
            <v>62493.84</v>
          </cell>
          <cell r="P83">
            <v>0</v>
          </cell>
          <cell r="Q83">
            <v>0</v>
          </cell>
          <cell r="R83">
            <v>0</v>
          </cell>
          <cell r="S83">
            <v>50</v>
          </cell>
          <cell r="T83">
            <v>0.9</v>
          </cell>
          <cell r="U83">
            <v>107028</v>
          </cell>
          <cell r="V83">
            <v>46</v>
          </cell>
          <cell r="W83">
            <v>0.82799999999999996</v>
          </cell>
          <cell r="X83">
            <v>94817.1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267</v>
          </cell>
          <cell r="AO83">
            <v>4.806</v>
          </cell>
          <cell r="AP83">
            <v>581340.64</v>
          </cell>
        </row>
        <row r="84">
          <cell r="A84" t="str">
            <v>50096301</v>
          </cell>
          <cell r="B84" t="str">
            <v>GHEE 1 LTR POUCH -COW</v>
          </cell>
          <cell r="C84">
            <v>18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</row>
        <row r="86">
          <cell r="B86" t="str">
            <v>TOTAL</v>
          </cell>
          <cell r="D86">
            <v>5792</v>
          </cell>
          <cell r="E86">
            <v>56.872200000000007</v>
          </cell>
          <cell r="F86">
            <v>5734353.2500000019</v>
          </cell>
          <cell r="G86">
            <v>1922</v>
          </cell>
          <cell r="H86">
            <v>22.647399999999994</v>
          </cell>
          <cell r="I86">
            <v>2330004.2399999998</v>
          </cell>
          <cell r="J86">
            <v>3999</v>
          </cell>
          <cell r="K86">
            <v>42.251600000000018</v>
          </cell>
          <cell r="L86">
            <v>4308624.3400000008</v>
          </cell>
          <cell r="M86">
            <v>5051</v>
          </cell>
          <cell r="N86">
            <v>58.726200000000006</v>
          </cell>
          <cell r="O86">
            <v>5971291.8400000008</v>
          </cell>
          <cell r="P86">
            <v>1541</v>
          </cell>
          <cell r="Q86">
            <v>17.114000000000001</v>
          </cell>
          <cell r="R86">
            <v>1668493.9800000004</v>
          </cell>
          <cell r="S86">
            <v>3152</v>
          </cell>
          <cell r="T86">
            <v>34.949199999999998</v>
          </cell>
          <cell r="U86">
            <v>3330963.1299999994</v>
          </cell>
          <cell r="V86">
            <v>15499</v>
          </cell>
          <cell r="W86">
            <v>177.22900000000001</v>
          </cell>
          <cell r="X86">
            <v>17971976.98</v>
          </cell>
          <cell r="Y86">
            <v>437</v>
          </cell>
          <cell r="Z86">
            <v>5.1319999999999988</v>
          </cell>
          <cell r="AA86">
            <v>501327.68000000011</v>
          </cell>
          <cell r="AB86">
            <v>372</v>
          </cell>
          <cell r="AC86">
            <v>4.4640000000000004</v>
          </cell>
          <cell r="AD86">
            <v>309474.24</v>
          </cell>
          <cell r="AE86">
            <v>305</v>
          </cell>
          <cell r="AF86">
            <v>3.66</v>
          </cell>
          <cell r="AG86">
            <v>253735.6</v>
          </cell>
          <cell r="AH86">
            <v>340.83333333333331</v>
          </cell>
          <cell r="AI86">
            <v>4.09</v>
          </cell>
          <cell r="AJ86">
            <v>462885.68</v>
          </cell>
          <cell r="AK86">
            <v>0</v>
          </cell>
          <cell r="AL86">
            <v>0</v>
          </cell>
          <cell r="AM86">
            <v>0</v>
          </cell>
          <cell r="AN86">
            <v>38410.833333333336</v>
          </cell>
          <cell r="AO86">
            <v>427.13560000000007</v>
          </cell>
          <cell r="AP86">
            <v>42843130.959999993</v>
          </cell>
        </row>
        <row r="88">
          <cell r="B88" t="str">
            <v>AS PER TRIAL</v>
          </cell>
          <cell r="AP88">
            <v>42843131.060000002</v>
          </cell>
        </row>
        <row r="89">
          <cell r="B89" t="str">
            <v>Difference</v>
          </cell>
        </row>
        <row r="90">
          <cell r="AP90">
            <v>0.10000000894069672</v>
          </cell>
        </row>
      </sheetData>
      <sheetData sheetId="2" refreshError="1">
        <row r="1">
          <cell r="A1" t="str">
            <v xml:space="preserve">BRITANNIA INDUSTRIES LIMITED </v>
          </cell>
        </row>
        <row r="2">
          <cell r="A2" t="str">
            <v>NBD - CALCUTTA</v>
          </cell>
        </row>
        <row r="3">
          <cell r="A3" t="str">
            <v xml:space="preserve">NSV FOR THE MONTH OF JUNE' 2000 </v>
          </cell>
        </row>
        <row r="5">
          <cell r="A5" t="str">
            <v>STOCK CODE</v>
          </cell>
          <cell r="B5" t="str">
            <v>SKU</v>
          </cell>
          <cell r="C5" t="str">
            <v xml:space="preserve"> WEIGHT</v>
          </cell>
          <cell r="D5" t="str">
            <v>JADAVPORE</v>
          </cell>
          <cell r="G5" t="str">
            <v>BURDWAN</v>
          </cell>
          <cell r="J5" t="str">
            <v>SILIGURI</v>
          </cell>
          <cell r="M5" t="str">
            <v>PATNA</v>
          </cell>
          <cell r="P5" t="str">
            <v>ROURKELA</v>
          </cell>
          <cell r="S5" t="str">
            <v>CUTTACK</v>
          </cell>
          <cell r="V5" t="str">
            <v>GUWAHATI</v>
          </cell>
          <cell r="Y5" t="str">
            <v>AGARTALA</v>
          </cell>
          <cell r="AB5" t="str">
            <v>A.K.SAHU</v>
          </cell>
          <cell r="AE5" t="str">
            <v>BUXARA</v>
          </cell>
          <cell r="AH5" t="str">
            <v>PORTBLAIR</v>
          </cell>
          <cell r="AK5" t="str">
            <v>NEPAL</v>
          </cell>
          <cell r="AN5" t="str">
            <v>TOTAL BRANCH</v>
          </cell>
        </row>
        <row r="6">
          <cell r="A6" t="str">
            <v>stock_no</v>
          </cell>
          <cell r="B6" t="str">
            <v>descrip</v>
          </cell>
          <cell r="C6" t="str">
            <v>weight</v>
          </cell>
          <cell r="D6" t="str">
            <v>jdv_cbb</v>
          </cell>
          <cell r="E6" t="str">
            <v>Tes</v>
          </cell>
          <cell r="F6" t="str">
            <v>jdv_value</v>
          </cell>
          <cell r="G6" t="str">
            <v>bdn_cbb</v>
          </cell>
          <cell r="H6" t="str">
            <v>Tes</v>
          </cell>
          <cell r="I6" t="str">
            <v>bdn_value</v>
          </cell>
          <cell r="J6" t="str">
            <v>slg_cbb</v>
          </cell>
          <cell r="K6" t="str">
            <v>Tes</v>
          </cell>
          <cell r="L6" t="str">
            <v>slg_value</v>
          </cell>
          <cell r="M6" t="str">
            <v>ptn_cbb</v>
          </cell>
          <cell r="N6" t="str">
            <v>Tes</v>
          </cell>
          <cell r="O6" t="str">
            <v>ptn_value</v>
          </cell>
          <cell r="P6" t="str">
            <v>rkl_cbb</v>
          </cell>
          <cell r="Q6" t="str">
            <v>Tes</v>
          </cell>
          <cell r="R6" t="str">
            <v>rkl_value</v>
          </cell>
          <cell r="S6" t="str">
            <v>ctk_cbb</v>
          </cell>
          <cell r="T6" t="str">
            <v>Tes</v>
          </cell>
          <cell r="U6" t="str">
            <v>ctk_value</v>
          </cell>
          <cell r="V6" t="str">
            <v>ght_cbb</v>
          </cell>
          <cell r="W6" t="str">
            <v>Tes</v>
          </cell>
          <cell r="X6" t="str">
            <v>ght_value</v>
          </cell>
          <cell r="Y6" t="str">
            <v>agt_cbb</v>
          </cell>
          <cell r="Z6" t="str">
            <v>Tes</v>
          </cell>
          <cell r="AA6" t="str">
            <v>agt_value</v>
          </cell>
          <cell r="AB6" t="str">
            <v>aks_cbb</v>
          </cell>
          <cell r="AC6" t="str">
            <v>Tes</v>
          </cell>
          <cell r="AD6" t="str">
            <v>aks_value</v>
          </cell>
          <cell r="AE6" t="str">
            <v>bux_cbb</v>
          </cell>
          <cell r="AF6" t="str">
            <v>Tes</v>
          </cell>
          <cell r="AG6" t="str">
            <v>bux_value</v>
          </cell>
          <cell r="AH6" t="str">
            <v>prt_cbb</v>
          </cell>
          <cell r="AI6" t="str">
            <v>Tes</v>
          </cell>
          <cell r="AJ6" t="str">
            <v>prt_value</v>
          </cell>
          <cell r="AK6" t="str">
            <v>nep_cbb</v>
          </cell>
          <cell r="AL6" t="str">
            <v>Tes</v>
          </cell>
          <cell r="AM6" t="str">
            <v>nep_value</v>
          </cell>
          <cell r="AN6" t="str">
            <v>tot_cbb</v>
          </cell>
          <cell r="AO6" t="str">
            <v>Tes</v>
          </cell>
          <cell r="AP6" t="str">
            <v>tot_value</v>
          </cell>
        </row>
        <row r="7">
          <cell r="A7" t="str">
            <v>20017101</v>
          </cell>
          <cell r="B7" t="str">
            <v>MIXED FRUIT</v>
          </cell>
          <cell r="C7">
            <v>8.4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</row>
        <row r="8">
          <cell r="A8" t="str">
            <v>20027101</v>
          </cell>
          <cell r="B8" t="str">
            <v>TRIO</v>
          </cell>
          <cell r="C8">
            <v>8.4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</row>
        <row r="9">
          <cell r="A9" t="str">
            <v>20037101</v>
          </cell>
          <cell r="B9" t="str">
            <v>DUET</v>
          </cell>
          <cell r="C9">
            <v>8.4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</row>
        <row r="10">
          <cell r="A10" t="str">
            <v>20047001</v>
          </cell>
          <cell r="B10" t="str">
            <v>FRUIT</v>
          </cell>
          <cell r="C10">
            <v>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255</v>
          </cell>
          <cell r="K10">
            <v>3.06</v>
          </cell>
          <cell r="L10">
            <v>269050.5</v>
          </cell>
          <cell r="M10">
            <v>1380</v>
          </cell>
          <cell r="N10">
            <v>16.559999999999999</v>
          </cell>
          <cell r="O10">
            <v>1439809.2</v>
          </cell>
          <cell r="P10">
            <v>150</v>
          </cell>
          <cell r="Q10">
            <v>1.8</v>
          </cell>
          <cell r="R10">
            <v>155439</v>
          </cell>
          <cell r="S10">
            <v>275</v>
          </cell>
          <cell r="T10">
            <v>3.3</v>
          </cell>
          <cell r="U10">
            <v>284971.5</v>
          </cell>
          <cell r="V10">
            <v>1132</v>
          </cell>
          <cell r="W10">
            <v>13.584</v>
          </cell>
          <cell r="X10">
            <v>1190341.68</v>
          </cell>
          <cell r="Y10">
            <v>200</v>
          </cell>
          <cell r="Z10">
            <v>2.4</v>
          </cell>
          <cell r="AA10">
            <v>204072</v>
          </cell>
          <cell r="AB10">
            <v>325</v>
          </cell>
          <cell r="AC10">
            <v>3.9</v>
          </cell>
          <cell r="AD10">
            <v>270374</v>
          </cell>
          <cell r="AE10">
            <v>250</v>
          </cell>
          <cell r="AF10">
            <v>3</v>
          </cell>
          <cell r="AG10">
            <v>207980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3967</v>
          </cell>
          <cell r="AO10">
            <v>47.603999999999999</v>
          </cell>
          <cell r="AP10">
            <v>4022037.88</v>
          </cell>
        </row>
        <row r="11">
          <cell r="A11" t="str">
            <v>20057001</v>
          </cell>
          <cell r="B11" t="str">
            <v>CHOCOLATE</v>
          </cell>
          <cell r="C11">
            <v>12</v>
          </cell>
          <cell r="D11">
            <v>50</v>
          </cell>
          <cell r="E11">
            <v>0.6</v>
          </cell>
          <cell r="F11">
            <v>52755</v>
          </cell>
          <cell r="G11">
            <v>4</v>
          </cell>
          <cell r="H11">
            <v>4.8000000000000001E-2</v>
          </cell>
          <cell r="I11">
            <v>4220.3999999999996</v>
          </cell>
          <cell r="J11">
            <v>0</v>
          </cell>
          <cell r="K11">
            <v>0</v>
          </cell>
          <cell r="L11">
            <v>0</v>
          </cell>
          <cell r="M11">
            <v>29</v>
          </cell>
          <cell r="N11">
            <v>0.34799999999999998</v>
          </cell>
          <cell r="O11">
            <v>30256.86</v>
          </cell>
          <cell r="P11">
            <v>5</v>
          </cell>
          <cell r="Q11">
            <v>0.06</v>
          </cell>
          <cell r="R11">
            <v>5181.3</v>
          </cell>
          <cell r="S11">
            <v>0</v>
          </cell>
          <cell r="T11">
            <v>0</v>
          </cell>
          <cell r="U11">
            <v>0</v>
          </cell>
          <cell r="V11">
            <v>18</v>
          </cell>
          <cell r="W11">
            <v>0.216</v>
          </cell>
          <cell r="X11">
            <v>19201.32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106</v>
          </cell>
          <cell r="AO11">
            <v>1.272</v>
          </cell>
          <cell r="AP11">
            <v>111614.88</v>
          </cell>
        </row>
        <row r="12">
          <cell r="A12" t="str">
            <v>20067001</v>
          </cell>
          <cell r="B12" t="str">
            <v>ORANGE</v>
          </cell>
          <cell r="C12">
            <v>12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</row>
        <row r="13">
          <cell r="A13" t="str">
            <v>20077001</v>
          </cell>
          <cell r="B13" t="str">
            <v>VANILLA CHOCOLATE</v>
          </cell>
          <cell r="C13">
            <v>12</v>
          </cell>
          <cell r="D13">
            <v>45</v>
          </cell>
          <cell r="E13">
            <v>0.54</v>
          </cell>
          <cell r="F13">
            <v>47479.5</v>
          </cell>
          <cell r="G13">
            <v>4</v>
          </cell>
          <cell r="H13">
            <v>4.8000000000000001E-2</v>
          </cell>
          <cell r="I13">
            <v>4220.3999999999996</v>
          </cell>
          <cell r="J13">
            <v>0</v>
          </cell>
          <cell r="K13">
            <v>0</v>
          </cell>
          <cell r="L13">
            <v>0</v>
          </cell>
          <cell r="M13">
            <v>31</v>
          </cell>
          <cell r="N13">
            <v>0.372</v>
          </cell>
          <cell r="O13">
            <v>32343.54</v>
          </cell>
          <cell r="P13">
            <v>2</v>
          </cell>
          <cell r="Q13">
            <v>2.4E-2</v>
          </cell>
          <cell r="R13">
            <v>2072.52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82</v>
          </cell>
          <cell r="AO13">
            <v>0.98399999999999999</v>
          </cell>
          <cell r="AP13">
            <v>86115.96</v>
          </cell>
        </row>
        <row r="14">
          <cell r="A14" t="str">
            <v>20087001</v>
          </cell>
          <cell r="B14" t="str">
            <v>ORANGE CHOCOLATE</v>
          </cell>
          <cell r="C14">
            <v>12</v>
          </cell>
          <cell r="D14">
            <v>39</v>
          </cell>
          <cell r="E14">
            <v>0.46800000000000003</v>
          </cell>
          <cell r="F14">
            <v>41148.9</v>
          </cell>
          <cell r="G14">
            <v>1</v>
          </cell>
          <cell r="H14">
            <v>1.2E-2</v>
          </cell>
          <cell r="I14">
            <v>1055.0999999999999</v>
          </cell>
          <cell r="J14">
            <v>0</v>
          </cell>
          <cell r="K14">
            <v>0</v>
          </cell>
          <cell r="L14">
            <v>0</v>
          </cell>
          <cell r="M14">
            <v>28</v>
          </cell>
          <cell r="N14">
            <v>0.33600000000000002</v>
          </cell>
          <cell r="O14">
            <v>29213.52</v>
          </cell>
          <cell r="P14">
            <v>4</v>
          </cell>
          <cell r="Q14">
            <v>4.8000000000000001E-2</v>
          </cell>
          <cell r="R14">
            <v>3964.8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72</v>
          </cell>
          <cell r="AO14">
            <v>0.86399999999999999</v>
          </cell>
          <cell r="AP14">
            <v>75382.320000000007</v>
          </cell>
        </row>
        <row r="15">
          <cell r="A15" t="str">
            <v>20097001</v>
          </cell>
          <cell r="B15" t="str">
            <v>PLUM</v>
          </cell>
          <cell r="C15">
            <v>18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</row>
        <row r="16">
          <cell r="A16" t="str">
            <v>20107001</v>
          </cell>
          <cell r="B16" t="str">
            <v>MILK</v>
          </cell>
          <cell r="C16">
            <v>12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</row>
        <row r="17">
          <cell r="A17" t="str">
            <v>20117001</v>
          </cell>
          <cell r="B17" t="str">
            <v>BUTTER SPONGE</v>
          </cell>
          <cell r="C17">
            <v>12</v>
          </cell>
          <cell r="D17">
            <v>18</v>
          </cell>
          <cell r="E17">
            <v>0.216</v>
          </cell>
          <cell r="F17">
            <v>18991.8</v>
          </cell>
          <cell r="G17">
            <v>4</v>
          </cell>
          <cell r="H17">
            <v>4.8000000000000001E-2</v>
          </cell>
          <cell r="I17">
            <v>4220.3999999999996</v>
          </cell>
          <cell r="J17">
            <v>8</v>
          </cell>
          <cell r="K17">
            <v>9.6000000000000002E-2</v>
          </cell>
          <cell r="L17">
            <v>8440.7999999999993</v>
          </cell>
          <cell r="M17">
            <v>19</v>
          </cell>
          <cell r="N17">
            <v>0.22800000000000001</v>
          </cell>
          <cell r="O17">
            <v>19823.46</v>
          </cell>
          <cell r="P17">
            <v>4</v>
          </cell>
          <cell r="Q17">
            <v>4.8000000000000001E-2</v>
          </cell>
          <cell r="R17">
            <v>4145.04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53</v>
          </cell>
          <cell r="AO17">
            <v>0.63600000000000001</v>
          </cell>
          <cell r="AP17">
            <v>55621.5</v>
          </cell>
        </row>
        <row r="18">
          <cell r="A18" t="str">
            <v>20227101</v>
          </cell>
          <cell r="B18" t="str">
            <v>GOODDAY S SL VANILLA</v>
          </cell>
          <cell r="C18">
            <v>8.4</v>
          </cell>
          <cell r="D18">
            <v>6</v>
          </cell>
          <cell r="E18">
            <v>5.0400000000000007E-2</v>
          </cell>
          <cell r="F18">
            <v>5505.12</v>
          </cell>
          <cell r="G18">
            <v>2</v>
          </cell>
          <cell r="H18">
            <v>1.6800000000000002E-2</v>
          </cell>
          <cell r="I18">
            <v>1835.04</v>
          </cell>
          <cell r="J18">
            <v>3</v>
          </cell>
          <cell r="K18">
            <v>2.5200000000000004E-2</v>
          </cell>
          <cell r="L18">
            <v>2752.56</v>
          </cell>
          <cell r="M18">
            <v>11</v>
          </cell>
          <cell r="N18">
            <v>9.240000000000001E-2</v>
          </cell>
          <cell r="O18">
            <v>9979.2000000000007</v>
          </cell>
          <cell r="P18">
            <v>3</v>
          </cell>
          <cell r="Q18">
            <v>2.5200000000000004E-2</v>
          </cell>
          <cell r="R18">
            <v>2703.6</v>
          </cell>
          <cell r="S18">
            <v>0</v>
          </cell>
          <cell r="T18">
            <v>0</v>
          </cell>
          <cell r="U18">
            <v>0</v>
          </cell>
          <cell r="V18">
            <v>16</v>
          </cell>
          <cell r="W18">
            <v>0.13440000000000002</v>
          </cell>
          <cell r="X18">
            <v>14841.6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41</v>
          </cell>
          <cell r="AO18">
            <v>0.34440000000000004</v>
          </cell>
          <cell r="AP18">
            <v>37617.120000000003</v>
          </cell>
        </row>
        <row r="19">
          <cell r="A19" t="str">
            <v>20237101</v>
          </cell>
          <cell r="B19" t="str">
            <v>GOODDAY S SL RICH FRUIT</v>
          </cell>
          <cell r="C19">
            <v>8.4</v>
          </cell>
          <cell r="D19">
            <v>13</v>
          </cell>
          <cell r="E19">
            <v>0.10920000000000001</v>
          </cell>
          <cell r="F19">
            <v>11927.76</v>
          </cell>
          <cell r="G19">
            <v>3</v>
          </cell>
          <cell r="H19">
            <v>2.5200000000000004E-2</v>
          </cell>
          <cell r="I19">
            <v>2752.56</v>
          </cell>
          <cell r="J19">
            <v>2</v>
          </cell>
          <cell r="K19">
            <v>1.6800000000000002E-2</v>
          </cell>
          <cell r="L19">
            <v>1835.04</v>
          </cell>
          <cell r="M19">
            <v>26</v>
          </cell>
          <cell r="N19">
            <v>0.21840000000000001</v>
          </cell>
          <cell r="O19">
            <v>23587.200000000001</v>
          </cell>
          <cell r="P19">
            <v>3</v>
          </cell>
          <cell r="Q19">
            <v>2.5200000000000004E-2</v>
          </cell>
          <cell r="R19">
            <v>2703.6</v>
          </cell>
          <cell r="S19">
            <v>0</v>
          </cell>
          <cell r="T19">
            <v>0</v>
          </cell>
          <cell r="U19">
            <v>0</v>
          </cell>
          <cell r="V19">
            <v>64</v>
          </cell>
          <cell r="W19">
            <v>0.53760000000000008</v>
          </cell>
          <cell r="X19">
            <v>59366.400000000001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111</v>
          </cell>
          <cell r="AO19">
            <v>0.93240000000000012</v>
          </cell>
          <cell r="AP19">
            <v>102172.56</v>
          </cell>
        </row>
        <row r="20">
          <cell r="A20" t="str">
            <v>20247101</v>
          </cell>
          <cell r="B20" t="str">
            <v>GOODDAY S SL MAZZA MIX</v>
          </cell>
          <cell r="C20">
            <v>8.4</v>
          </cell>
          <cell r="D20">
            <v>8</v>
          </cell>
          <cell r="E20">
            <v>6.720000000000001E-2</v>
          </cell>
          <cell r="F20">
            <v>7340.16</v>
          </cell>
          <cell r="G20">
            <v>2</v>
          </cell>
          <cell r="H20">
            <v>1.6800000000000002E-2</v>
          </cell>
          <cell r="I20">
            <v>1835.04</v>
          </cell>
          <cell r="J20">
            <v>0</v>
          </cell>
          <cell r="K20">
            <v>0</v>
          </cell>
          <cell r="L20">
            <v>0</v>
          </cell>
          <cell r="M20">
            <v>8</v>
          </cell>
          <cell r="N20">
            <v>6.720000000000001E-2</v>
          </cell>
          <cell r="O20">
            <v>7257.6</v>
          </cell>
          <cell r="P20">
            <v>5</v>
          </cell>
          <cell r="Q20">
            <v>4.2000000000000003E-2</v>
          </cell>
          <cell r="R20">
            <v>4506</v>
          </cell>
          <cell r="S20">
            <v>0</v>
          </cell>
          <cell r="T20">
            <v>0</v>
          </cell>
          <cell r="U20">
            <v>0</v>
          </cell>
          <cell r="V20">
            <v>6</v>
          </cell>
          <cell r="W20">
            <v>5.0400000000000007E-2</v>
          </cell>
          <cell r="X20">
            <v>6299.95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29</v>
          </cell>
          <cell r="AO20">
            <v>0.24360000000000001</v>
          </cell>
          <cell r="AP20">
            <v>27238.75</v>
          </cell>
        </row>
        <row r="21">
          <cell r="A21" t="str">
            <v>20307001</v>
          </cell>
          <cell r="B21" t="str">
            <v>FRUIT CAKE      (CAL-CP)</v>
          </cell>
          <cell r="C21">
            <v>12</v>
          </cell>
          <cell r="D21">
            <v>547</v>
          </cell>
          <cell r="E21">
            <v>6.5640000000000001</v>
          </cell>
          <cell r="F21">
            <v>634870.07999999996</v>
          </cell>
          <cell r="G21">
            <v>516</v>
          </cell>
          <cell r="H21">
            <v>6.1920000000000002</v>
          </cell>
          <cell r="I21">
            <v>598884.76</v>
          </cell>
          <cell r="J21">
            <v>595</v>
          </cell>
          <cell r="K21">
            <v>7.14</v>
          </cell>
          <cell r="L21">
            <v>690580.8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1658</v>
          </cell>
          <cell r="AO21">
            <v>19.896000000000001</v>
          </cell>
          <cell r="AP21">
            <v>1924335.64</v>
          </cell>
        </row>
        <row r="22">
          <cell r="A22" t="str">
            <v>20317001</v>
          </cell>
          <cell r="B22" t="str">
            <v>CHOCOLATE   (FROM CAL CP)</v>
          </cell>
          <cell r="C22">
            <v>12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</row>
        <row r="23">
          <cell r="A23" t="str">
            <v>21017601</v>
          </cell>
          <cell r="B23" t="str">
            <v>HALF-HALF CHOC/VAN TWINPK</v>
          </cell>
          <cell r="C23">
            <v>4.8</v>
          </cell>
          <cell r="D23">
            <v>59</v>
          </cell>
          <cell r="E23">
            <v>0.28320000000000001</v>
          </cell>
          <cell r="F23">
            <v>44035.199999999997</v>
          </cell>
          <cell r="G23">
            <v>12</v>
          </cell>
          <cell r="H23">
            <v>5.7599999999999991E-2</v>
          </cell>
          <cell r="I23">
            <v>8807.0400000000009</v>
          </cell>
          <cell r="J23">
            <v>27</v>
          </cell>
          <cell r="K23">
            <v>0.12959999999999999</v>
          </cell>
          <cell r="L23">
            <v>20540.59</v>
          </cell>
          <cell r="M23">
            <v>43</v>
          </cell>
          <cell r="N23">
            <v>0.2064</v>
          </cell>
          <cell r="O23">
            <v>31207.68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3</v>
          </cell>
          <cell r="W23">
            <v>1.4399999999999998E-2</v>
          </cell>
          <cell r="X23">
            <v>2226.2399999999998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144</v>
          </cell>
          <cell r="AO23">
            <v>0.69119999999999993</v>
          </cell>
          <cell r="AP23">
            <v>106816.75</v>
          </cell>
        </row>
        <row r="24">
          <cell r="A24" t="str">
            <v>21017701</v>
          </cell>
          <cell r="B24" t="str">
            <v>HALF HALF CHOC/VAN FMLYPK</v>
          </cell>
          <cell r="C24">
            <v>3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</row>
        <row r="25">
          <cell r="A25" t="str">
            <v>21027601</v>
          </cell>
          <cell r="B25" t="str">
            <v>HALF HALF OR/CHOC  TWINPK</v>
          </cell>
          <cell r="C25">
            <v>4.8</v>
          </cell>
          <cell r="D25">
            <v>69</v>
          </cell>
          <cell r="E25">
            <v>0.33119999999999999</v>
          </cell>
          <cell r="F25">
            <v>50640.480000000003</v>
          </cell>
          <cell r="G25">
            <v>0</v>
          </cell>
          <cell r="H25">
            <v>0</v>
          </cell>
          <cell r="I25">
            <v>0</v>
          </cell>
          <cell r="J25">
            <v>26</v>
          </cell>
          <cell r="K25">
            <v>0.12479999999999999</v>
          </cell>
          <cell r="L25">
            <v>19081.919999999998</v>
          </cell>
          <cell r="M25">
            <v>38</v>
          </cell>
          <cell r="N25">
            <v>0.18240000000000001</v>
          </cell>
          <cell r="O25">
            <v>27578.880000000001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133</v>
          </cell>
          <cell r="AO25">
            <v>0.63839999999999997</v>
          </cell>
          <cell r="AP25">
            <v>97301.28</v>
          </cell>
        </row>
        <row r="26">
          <cell r="A26" t="str">
            <v>21027701</v>
          </cell>
          <cell r="B26" t="str">
            <v>HALF HALF OR/CHOC  FMLYPK</v>
          </cell>
          <cell r="C26">
            <v>3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</row>
        <row r="27">
          <cell r="A27" t="str">
            <v>22017801</v>
          </cell>
          <cell r="B27" t="str">
            <v>CUP CAKE TWIN BUTTER</v>
          </cell>
          <cell r="C27">
            <v>4.8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</row>
        <row r="28">
          <cell r="A28" t="str">
            <v>22027801</v>
          </cell>
          <cell r="B28" t="str">
            <v>CUP CAKE TWIN ORANGE</v>
          </cell>
          <cell r="C28">
            <v>4.8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</row>
        <row r="29">
          <cell r="A29" t="str">
            <v>22037801</v>
          </cell>
          <cell r="B29" t="str">
            <v>CUP CAKE TWIN PINEAPPLE</v>
          </cell>
          <cell r="C29">
            <v>4.8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</row>
        <row r="30">
          <cell r="A30" t="str">
            <v>22047901</v>
          </cell>
          <cell r="B30" t="str">
            <v>CUP CAKE FAMILY BUTTER</v>
          </cell>
          <cell r="C30">
            <v>3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</row>
        <row r="31">
          <cell r="A31" t="str">
            <v>22057901</v>
          </cell>
          <cell r="B31" t="str">
            <v>CUP CAKE FAMILY ORANGE</v>
          </cell>
          <cell r="C31">
            <v>3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</row>
        <row r="32">
          <cell r="A32" t="str">
            <v>22067901</v>
          </cell>
          <cell r="B32" t="str">
            <v>CUP CAKE FAMILY PINEAPPLE</v>
          </cell>
          <cell r="C32">
            <v>3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</row>
        <row r="33">
          <cell r="A33" t="str">
            <v>40018001</v>
          </cell>
          <cell r="B33" t="str">
            <v>PROCESSED CHEESE 400G TIN</v>
          </cell>
          <cell r="C33">
            <v>9.6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</row>
        <row r="34">
          <cell r="A34" t="str">
            <v>40018002</v>
          </cell>
          <cell r="B34" t="str">
            <v>PROCESSED CHEESE 200G TIN</v>
          </cell>
          <cell r="C34">
            <v>9.6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</row>
        <row r="35">
          <cell r="A35" t="str">
            <v>40018101</v>
          </cell>
          <cell r="B35" t="str">
            <v>CHEESE SINGLES 100G IWS</v>
          </cell>
          <cell r="C35">
            <v>12</v>
          </cell>
          <cell r="D35">
            <v>27</v>
          </cell>
          <cell r="E35">
            <v>0.32400000000000001</v>
          </cell>
          <cell r="F35">
            <v>63504</v>
          </cell>
          <cell r="G35">
            <v>0</v>
          </cell>
          <cell r="H35">
            <v>0</v>
          </cell>
          <cell r="I35">
            <v>0</v>
          </cell>
          <cell r="J35">
            <v>7</v>
          </cell>
          <cell r="K35">
            <v>8.4000000000000005E-2</v>
          </cell>
          <cell r="L35">
            <v>16395.599999999999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8</v>
          </cell>
          <cell r="W35">
            <v>9.6000000000000002E-2</v>
          </cell>
          <cell r="X35">
            <v>18681.599999999999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42</v>
          </cell>
          <cell r="AO35">
            <v>0.504</v>
          </cell>
          <cell r="AP35">
            <v>98581.2</v>
          </cell>
        </row>
        <row r="36">
          <cell r="A36" t="str">
            <v>40018102</v>
          </cell>
          <cell r="B36" t="str">
            <v>CHEESE SINGLES 200G IWS</v>
          </cell>
          <cell r="C36">
            <v>12</v>
          </cell>
          <cell r="D36">
            <v>140</v>
          </cell>
          <cell r="E36">
            <v>1.68</v>
          </cell>
          <cell r="F36">
            <v>309886.8</v>
          </cell>
          <cell r="G36">
            <v>1</v>
          </cell>
          <cell r="H36">
            <v>1.2E-2</v>
          </cell>
          <cell r="I36">
            <v>4411.2</v>
          </cell>
          <cell r="J36">
            <v>40</v>
          </cell>
          <cell r="K36">
            <v>0.48</v>
          </cell>
          <cell r="L36">
            <v>85861.2</v>
          </cell>
          <cell r="M36">
            <v>21</v>
          </cell>
          <cell r="N36">
            <v>0.252</v>
          </cell>
          <cell r="O36">
            <v>44956.800000000003</v>
          </cell>
          <cell r="P36">
            <v>1</v>
          </cell>
          <cell r="Q36">
            <v>1.2E-2</v>
          </cell>
          <cell r="R36">
            <v>2126.4</v>
          </cell>
          <cell r="S36">
            <v>0</v>
          </cell>
          <cell r="T36">
            <v>0</v>
          </cell>
          <cell r="U36">
            <v>0</v>
          </cell>
          <cell r="V36">
            <v>20</v>
          </cell>
          <cell r="W36">
            <v>0.24</v>
          </cell>
          <cell r="X36">
            <v>43788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50</v>
          </cell>
          <cell r="AL36">
            <v>0.6</v>
          </cell>
          <cell r="AM36">
            <v>100500</v>
          </cell>
          <cell r="AN36">
            <v>273</v>
          </cell>
          <cell r="AO36">
            <v>3.2759999999999998</v>
          </cell>
          <cell r="AP36">
            <v>591530.4</v>
          </cell>
        </row>
        <row r="37">
          <cell r="A37" t="str">
            <v>40018301</v>
          </cell>
          <cell r="B37" t="str">
            <v>PROCESSED CHEESE 200G CHP</v>
          </cell>
          <cell r="C37">
            <v>12</v>
          </cell>
          <cell r="D37">
            <v>68</v>
          </cell>
          <cell r="E37">
            <v>0.81599999999999995</v>
          </cell>
          <cell r="F37">
            <v>151083.6</v>
          </cell>
          <cell r="G37">
            <v>1</v>
          </cell>
          <cell r="H37">
            <v>1.2E-2</v>
          </cell>
          <cell r="I37">
            <v>4411.2</v>
          </cell>
          <cell r="J37">
            <v>41</v>
          </cell>
          <cell r="K37">
            <v>0.49199999999999999</v>
          </cell>
          <cell r="L37">
            <v>88910.399999999994</v>
          </cell>
          <cell r="M37">
            <v>23</v>
          </cell>
          <cell r="N37">
            <v>0.27600000000000002</v>
          </cell>
          <cell r="O37">
            <v>49238.400000000001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30</v>
          </cell>
          <cell r="W37">
            <v>0.36</v>
          </cell>
          <cell r="X37">
            <v>65682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163</v>
          </cell>
          <cell r="AO37">
            <v>1.956</v>
          </cell>
          <cell r="AP37">
            <v>359325.6</v>
          </cell>
        </row>
        <row r="38">
          <cell r="A38" t="str">
            <v>40018801</v>
          </cell>
          <cell r="B38" t="str">
            <v>PROCESSED CHEESE 400GCEKA</v>
          </cell>
          <cell r="C38">
            <v>12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</row>
        <row r="39">
          <cell r="A39" t="str">
            <v>40019001</v>
          </cell>
          <cell r="B39" t="str">
            <v>PROCESSED CHEESE I. PACK</v>
          </cell>
          <cell r="C39">
            <v>12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</row>
        <row r="40">
          <cell r="A40" t="str">
            <v>40019401</v>
          </cell>
          <cell r="B40" t="str">
            <v>N F T - CHEESE 400G TIN</v>
          </cell>
          <cell r="C40">
            <v>9.6</v>
          </cell>
          <cell r="D40">
            <v>209</v>
          </cell>
          <cell r="E40">
            <v>2.0063999999999997</v>
          </cell>
          <cell r="F40">
            <v>307280.15999999997</v>
          </cell>
          <cell r="G40">
            <v>0</v>
          </cell>
          <cell r="H40">
            <v>0</v>
          </cell>
          <cell r="I40">
            <v>0</v>
          </cell>
          <cell r="J40">
            <v>76</v>
          </cell>
          <cell r="K40">
            <v>0.72960000000000003</v>
          </cell>
          <cell r="L40">
            <v>109137.36</v>
          </cell>
          <cell r="M40">
            <v>47</v>
          </cell>
          <cell r="N40">
            <v>0.45119999999999999</v>
          </cell>
          <cell r="O40">
            <v>67070.880000000005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21</v>
          </cell>
          <cell r="W40">
            <v>0.2016</v>
          </cell>
          <cell r="X40">
            <v>31377.96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29</v>
          </cell>
          <cell r="AL40">
            <v>0.27839999999999998</v>
          </cell>
          <cell r="AM40">
            <v>41760</v>
          </cell>
          <cell r="AN40">
            <v>382</v>
          </cell>
          <cell r="AO40">
            <v>3.6671999999999998</v>
          </cell>
          <cell r="AP40">
            <v>556626.36</v>
          </cell>
        </row>
        <row r="41">
          <cell r="A41" t="str">
            <v>40019501</v>
          </cell>
          <cell r="B41" t="str">
            <v>CHEESE BLOCK 1 KG</v>
          </cell>
          <cell r="C41">
            <v>12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</row>
        <row r="42">
          <cell r="A42" t="str">
            <v>40019601</v>
          </cell>
          <cell r="B42" t="str">
            <v>CHIPLET 120G ONION</v>
          </cell>
          <cell r="C42">
            <v>12</v>
          </cell>
          <cell r="D42">
            <v>2</v>
          </cell>
          <cell r="E42">
            <v>2.4E-2</v>
          </cell>
          <cell r="F42">
            <v>4574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1455.3</v>
          </cell>
          <cell r="S42">
            <v>0</v>
          </cell>
          <cell r="T42">
            <v>0</v>
          </cell>
          <cell r="U42">
            <v>0</v>
          </cell>
          <cell r="V42">
            <v>1</v>
          </cell>
          <cell r="W42">
            <v>1.2E-2</v>
          </cell>
          <cell r="X42">
            <v>2270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3</v>
          </cell>
          <cell r="AO42">
            <v>3.5999999999999997E-2</v>
          </cell>
          <cell r="AP42">
            <v>8299.2999999999993</v>
          </cell>
        </row>
        <row r="43">
          <cell r="A43" t="str">
            <v>40028401</v>
          </cell>
          <cell r="B43" t="str">
            <v>DAIRY WHITENER 200G REFIL</v>
          </cell>
          <cell r="C43">
            <v>12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29</v>
          </cell>
          <cell r="K43">
            <v>0.34799999999999998</v>
          </cell>
          <cell r="L43">
            <v>41396.800000000003</v>
          </cell>
          <cell r="M43">
            <v>35</v>
          </cell>
          <cell r="N43">
            <v>0.42</v>
          </cell>
          <cell r="O43">
            <v>49491.75</v>
          </cell>
          <cell r="P43">
            <v>19</v>
          </cell>
          <cell r="Q43">
            <v>0.22800000000000001</v>
          </cell>
          <cell r="R43">
            <v>27411.17</v>
          </cell>
          <cell r="S43">
            <v>16</v>
          </cell>
          <cell r="T43">
            <v>0.192</v>
          </cell>
          <cell r="U43">
            <v>22683.68</v>
          </cell>
          <cell r="V43">
            <v>45</v>
          </cell>
          <cell r="W43">
            <v>0.54</v>
          </cell>
          <cell r="X43">
            <v>65674.350000000006</v>
          </cell>
          <cell r="Y43">
            <v>31</v>
          </cell>
          <cell r="Z43">
            <v>0.372</v>
          </cell>
          <cell r="AA43">
            <v>45242.33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175</v>
          </cell>
          <cell r="AO43">
            <v>2.1</v>
          </cell>
          <cell r="AP43">
            <v>251900.08</v>
          </cell>
        </row>
        <row r="44">
          <cell r="A44" t="str">
            <v>40028402</v>
          </cell>
          <cell r="B44" t="str">
            <v>DAIRY WHITENER 500G REFIL</v>
          </cell>
          <cell r="C44">
            <v>12</v>
          </cell>
          <cell r="D44">
            <v>43</v>
          </cell>
          <cell r="E44">
            <v>0.51600000000000001</v>
          </cell>
          <cell r="F44">
            <v>57205.18</v>
          </cell>
          <cell r="G44">
            <v>0</v>
          </cell>
          <cell r="H44">
            <v>0</v>
          </cell>
          <cell r="I44">
            <v>0</v>
          </cell>
          <cell r="J44">
            <v>15</v>
          </cell>
          <cell r="K44">
            <v>0.18</v>
          </cell>
          <cell r="L44">
            <v>19698.45</v>
          </cell>
          <cell r="M44">
            <v>101</v>
          </cell>
          <cell r="N44">
            <v>1.212</v>
          </cell>
          <cell r="O44">
            <v>131393.93</v>
          </cell>
          <cell r="P44">
            <v>41</v>
          </cell>
          <cell r="Q44">
            <v>0.49199999999999999</v>
          </cell>
          <cell r="R44">
            <v>51964.71</v>
          </cell>
          <cell r="S44">
            <v>126</v>
          </cell>
          <cell r="T44">
            <v>1.512</v>
          </cell>
          <cell r="U44">
            <v>164343.06</v>
          </cell>
          <cell r="V44">
            <v>50</v>
          </cell>
          <cell r="W44">
            <v>0.6</v>
          </cell>
          <cell r="X44">
            <v>67134</v>
          </cell>
          <cell r="Y44">
            <v>11</v>
          </cell>
          <cell r="Z44">
            <v>0.13200000000000001</v>
          </cell>
          <cell r="AA44">
            <v>14769.48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387</v>
          </cell>
          <cell r="AO44">
            <v>4.6440000000000001</v>
          </cell>
          <cell r="AP44">
            <v>506508.81</v>
          </cell>
        </row>
        <row r="45">
          <cell r="A45" t="str">
            <v>40028501</v>
          </cell>
          <cell r="B45" t="str">
            <v>DAIRY WHITENER 200G POUCH</v>
          </cell>
          <cell r="C45">
            <v>12</v>
          </cell>
          <cell r="D45">
            <v>132</v>
          </cell>
          <cell r="E45">
            <v>1.5840000000000001</v>
          </cell>
          <cell r="F45">
            <v>182332.1</v>
          </cell>
          <cell r="G45">
            <v>157</v>
          </cell>
          <cell r="H45">
            <v>1.8839999999999999</v>
          </cell>
          <cell r="I45">
            <v>214782.55</v>
          </cell>
          <cell r="J45">
            <v>92</v>
          </cell>
          <cell r="K45">
            <v>1.1040000000000001</v>
          </cell>
          <cell r="L45">
            <v>126264.8</v>
          </cell>
          <cell r="M45">
            <v>198</v>
          </cell>
          <cell r="N45">
            <v>2.3759999999999999</v>
          </cell>
          <cell r="O45">
            <v>261316.44</v>
          </cell>
          <cell r="P45">
            <v>117</v>
          </cell>
          <cell r="Q45">
            <v>1.4039999999999999</v>
          </cell>
          <cell r="R45">
            <v>151444.68</v>
          </cell>
          <cell r="S45">
            <v>0</v>
          </cell>
          <cell r="T45">
            <v>0</v>
          </cell>
          <cell r="U45">
            <v>0</v>
          </cell>
          <cell r="V45">
            <v>935</v>
          </cell>
          <cell r="W45">
            <v>11.22</v>
          </cell>
          <cell r="X45">
            <v>1233777.74</v>
          </cell>
          <cell r="Y45">
            <v>50</v>
          </cell>
          <cell r="Z45">
            <v>0.6</v>
          </cell>
          <cell r="AA45">
            <v>68107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1681</v>
          </cell>
          <cell r="AO45">
            <v>20.172000000000001</v>
          </cell>
          <cell r="AP45">
            <v>2238025.31</v>
          </cell>
        </row>
        <row r="46">
          <cell r="A46" t="str">
            <v>40028502</v>
          </cell>
          <cell r="B46" t="str">
            <v>DAIRY WHITENER 500G POUCH</v>
          </cell>
          <cell r="C46">
            <v>12</v>
          </cell>
          <cell r="D46">
            <v>897</v>
          </cell>
          <cell r="E46">
            <v>10.763999999999999</v>
          </cell>
          <cell r="F46">
            <v>1153649.6399999999</v>
          </cell>
          <cell r="G46">
            <v>584</v>
          </cell>
          <cell r="H46">
            <v>7.008</v>
          </cell>
          <cell r="I46">
            <v>728925.96</v>
          </cell>
          <cell r="J46">
            <v>652</v>
          </cell>
          <cell r="K46">
            <v>7.8239999999999998</v>
          </cell>
          <cell r="L46">
            <v>832574.84</v>
          </cell>
          <cell r="M46">
            <v>966</v>
          </cell>
          <cell r="N46">
            <v>11.592000000000001</v>
          </cell>
          <cell r="O46">
            <v>1183842.6599999999</v>
          </cell>
          <cell r="P46">
            <v>580</v>
          </cell>
          <cell r="Q46">
            <v>6.96</v>
          </cell>
          <cell r="R46">
            <v>713055.57</v>
          </cell>
          <cell r="S46">
            <v>234</v>
          </cell>
          <cell r="T46">
            <v>2.8079999999999998</v>
          </cell>
          <cell r="U46">
            <v>287515.8</v>
          </cell>
          <cell r="V46">
            <v>3643</v>
          </cell>
          <cell r="W46">
            <v>43.716000000000001</v>
          </cell>
          <cell r="X46">
            <v>4607812.12</v>
          </cell>
          <cell r="Y46">
            <v>65</v>
          </cell>
          <cell r="Z46">
            <v>0.78</v>
          </cell>
          <cell r="AA46">
            <v>82214.600000000006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7621</v>
          </cell>
          <cell r="AO46">
            <v>91.451999999999998</v>
          </cell>
          <cell r="AP46">
            <v>9589591.1899999995</v>
          </cell>
        </row>
        <row r="47">
          <cell r="A47" t="str">
            <v>40028503</v>
          </cell>
          <cell r="B47" t="str">
            <v>DAIRY WHITENER 50G POUCH</v>
          </cell>
          <cell r="C47">
            <v>9.6</v>
          </cell>
          <cell r="D47">
            <v>104</v>
          </cell>
          <cell r="E47">
            <v>0.99839999999999995</v>
          </cell>
          <cell r="F47">
            <v>109711.67999999999</v>
          </cell>
          <cell r="G47">
            <v>8</v>
          </cell>
          <cell r="H47">
            <v>7.6799999999999993E-2</v>
          </cell>
          <cell r="I47">
            <v>8438.4</v>
          </cell>
          <cell r="J47">
            <v>409</v>
          </cell>
          <cell r="K47">
            <v>3.9263999999999997</v>
          </cell>
          <cell r="L47">
            <v>428442.69</v>
          </cell>
          <cell r="M47">
            <v>127</v>
          </cell>
          <cell r="N47">
            <v>1.2192000000000001</v>
          </cell>
          <cell r="O47">
            <v>162216.91</v>
          </cell>
          <cell r="P47">
            <v>151</v>
          </cell>
          <cell r="Q47">
            <v>1.4496</v>
          </cell>
          <cell r="R47">
            <v>152180.82</v>
          </cell>
          <cell r="S47">
            <v>186</v>
          </cell>
          <cell r="T47">
            <v>1.7855999999999999</v>
          </cell>
          <cell r="U47">
            <v>187454.52</v>
          </cell>
          <cell r="V47">
            <v>1230</v>
          </cell>
          <cell r="W47">
            <v>11.808</v>
          </cell>
          <cell r="X47">
            <v>1276088.1000000001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2215</v>
          </cell>
          <cell r="AO47">
            <v>21.263999999999999</v>
          </cell>
          <cell r="AP47">
            <v>2324533.12</v>
          </cell>
        </row>
        <row r="48">
          <cell r="A48" t="str">
            <v>40028504</v>
          </cell>
          <cell r="B48" t="str">
            <v>DAIRY WHITENER 100G POUCH</v>
          </cell>
          <cell r="C48">
            <v>12</v>
          </cell>
          <cell r="D48">
            <v>98</v>
          </cell>
          <cell r="E48">
            <v>1.1759999999999999</v>
          </cell>
          <cell r="F48">
            <v>145430.04</v>
          </cell>
          <cell r="G48">
            <v>29</v>
          </cell>
          <cell r="H48">
            <v>0.34799999999999998</v>
          </cell>
          <cell r="I48">
            <v>43035.42</v>
          </cell>
          <cell r="J48">
            <v>215</v>
          </cell>
          <cell r="K48">
            <v>2.58</v>
          </cell>
          <cell r="L48">
            <v>316793.3</v>
          </cell>
          <cell r="M48">
            <v>57</v>
          </cell>
          <cell r="N48">
            <v>0.68400000000000005</v>
          </cell>
          <cell r="O48">
            <v>136255.54</v>
          </cell>
          <cell r="P48">
            <v>45</v>
          </cell>
          <cell r="Q48">
            <v>0.54</v>
          </cell>
          <cell r="R48">
            <v>63797.85</v>
          </cell>
          <cell r="S48">
            <v>39</v>
          </cell>
          <cell r="T48">
            <v>0.46800000000000003</v>
          </cell>
          <cell r="U48">
            <v>55291.47</v>
          </cell>
          <cell r="V48">
            <v>214</v>
          </cell>
          <cell r="W48">
            <v>2.5680000000000001</v>
          </cell>
          <cell r="X48">
            <v>312318.02</v>
          </cell>
          <cell r="Y48">
            <v>10</v>
          </cell>
          <cell r="Z48">
            <v>0.12</v>
          </cell>
          <cell r="AA48">
            <v>14594.3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707</v>
          </cell>
          <cell r="AO48">
            <v>8.484</v>
          </cell>
          <cell r="AP48">
            <v>1087515.94</v>
          </cell>
        </row>
        <row r="49">
          <cell r="A49" t="str">
            <v>40028505</v>
          </cell>
          <cell r="B49" t="str">
            <v>D-WHITENER 1000G POUCH</v>
          </cell>
          <cell r="C49">
            <v>12</v>
          </cell>
          <cell r="D49">
            <v>3</v>
          </cell>
          <cell r="E49">
            <v>3.5999999999999997E-2</v>
          </cell>
          <cell r="F49">
            <v>3709.95</v>
          </cell>
          <cell r="G49">
            <v>9</v>
          </cell>
          <cell r="H49">
            <v>0.108</v>
          </cell>
          <cell r="I49">
            <v>11129.85</v>
          </cell>
          <cell r="J49">
            <v>135</v>
          </cell>
          <cell r="K49">
            <v>1.62</v>
          </cell>
          <cell r="L49">
            <v>164245.85</v>
          </cell>
          <cell r="M49">
            <v>10</v>
          </cell>
          <cell r="N49">
            <v>0.12</v>
          </cell>
          <cell r="O49">
            <v>11783.7</v>
          </cell>
          <cell r="P49">
            <v>3</v>
          </cell>
          <cell r="Q49">
            <v>3.5999999999999997E-2</v>
          </cell>
          <cell r="R49">
            <v>3544.32</v>
          </cell>
          <cell r="S49">
            <v>10</v>
          </cell>
          <cell r="T49">
            <v>0.12</v>
          </cell>
          <cell r="U49">
            <v>11814.4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170</v>
          </cell>
          <cell r="AO49">
            <v>2.04</v>
          </cell>
          <cell r="AP49">
            <v>206228.07</v>
          </cell>
        </row>
        <row r="50">
          <cell r="A50" t="str">
            <v>40028901</v>
          </cell>
          <cell r="B50" t="str">
            <v>DAIRY WHITENER BULK PACK</v>
          </cell>
          <cell r="C50">
            <v>10</v>
          </cell>
          <cell r="D50">
            <v>471</v>
          </cell>
          <cell r="E50">
            <v>4.71</v>
          </cell>
          <cell r="F50">
            <v>413773.5</v>
          </cell>
          <cell r="G50">
            <v>428</v>
          </cell>
          <cell r="H50">
            <v>4.28</v>
          </cell>
          <cell r="I50">
            <v>375998</v>
          </cell>
          <cell r="J50">
            <v>32</v>
          </cell>
          <cell r="K50">
            <v>0.32</v>
          </cell>
          <cell r="L50">
            <v>28112</v>
          </cell>
          <cell r="M50">
            <v>135</v>
          </cell>
          <cell r="N50">
            <v>1.35</v>
          </cell>
          <cell r="O50">
            <v>115269.75</v>
          </cell>
          <cell r="P50">
            <v>402</v>
          </cell>
          <cell r="Q50">
            <v>4.0199999999999996</v>
          </cell>
          <cell r="R50">
            <v>337394.58</v>
          </cell>
          <cell r="S50">
            <v>800</v>
          </cell>
          <cell r="T50">
            <v>8</v>
          </cell>
          <cell r="U50">
            <v>671432</v>
          </cell>
          <cell r="V50">
            <v>1826</v>
          </cell>
          <cell r="W50">
            <v>18.260000000000002</v>
          </cell>
          <cell r="X50">
            <v>1578249.22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4094</v>
          </cell>
          <cell r="AO50">
            <v>40.94</v>
          </cell>
          <cell r="AP50">
            <v>3520229.05</v>
          </cell>
        </row>
        <row r="51">
          <cell r="A51" t="str">
            <v>40029902</v>
          </cell>
          <cell r="B51" t="str">
            <v>DAIRY WHITENER 30GM</v>
          </cell>
          <cell r="C51">
            <v>9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</row>
        <row r="52">
          <cell r="A52" t="str">
            <v>40038601</v>
          </cell>
          <cell r="B52" t="str">
            <v>BUTTER 500G</v>
          </cell>
          <cell r="C52">
            <v>15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</row>
        <row r="53">
          <cell r="A53" t="str">
            <v>40038602</v>
          </cell>
          <cell r="B53" t="str">
            <v>BUTTER 1 KG</v>
          </cell>
          <cell r="C53">
            <v>18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</row>
        <row r="54">
          <cell r="A54" t="str">
            <v>40038701</v>
          </cell>
          <cell r="B54" t="str">
            <v>BUTTER 100G</v>
          </cell>
          <cell r="C54">
            <v>15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</row>
        <row r="55">
          <cell r="A55" t="str">
            <v>40048801</v>
          </cell>
          <cell r="B55" t="str">
            <v>CHEESE SPREAD-PLAIN</v>
          </cell>
          <cell r="C55">
            <v>7.2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</row>
        <row r="56">
          <cell r="A56" t="str">
            <v>40058801</v>
          </cell>
          <cell r="B56" t="str">
            <v>CHEESE SPREAD-BLK PEPPER</v>
          </cell>
          <cell r="C56">
            <v>7.2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</row>
        <row r="57">
          <cell r="A57" t="str">
            <v>40068801</v>
          </cell>
          <cell r="B57" t="str">
            <v>CHEESE SPREAD-JEERA</v>
          </cell>
          <cell r="C57">
            <v>7.2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</row>
        <row r="58">
          <cell r="A58" t="str">
            <v>40078801</v>
          </cell>
          <cell r="B58" t="str">
            <v>CHEESE SPREAD-CHILLI CAPC</v>
          </cell>
          <cell r="C58">
            <v>7.2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</row>
        <row r="59">
          <cell r="A59" t="str">
            <v>40099601</v>
          </cell>
          <cell r="B59" t="str">
            <v>CHIPLET 120G PLAIN REGULR</v>
          </cell>
          <cell r="C59">
            <v>12</v>
          </cell>
          <cell r="D59">
            <v>5</v>
          </cell>
          <cell r="E59">
            <v>0.06</v>
          </cell>
          <cell r="F59">
            <v>10620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2</v>
          </cell>
          <cell r="N59">
            <v>2.4E-2</v>
          </cell>
          <cell r="O59">
            <v>4122</v>
          </cell>
          <cell r="P59">
            <v>0</v>
          </cell>
          <cell r="Q59">
            <v>0</v>
          </cell>
          <cell r="R59">
            <v>696.32</v>
          </cell>
          <cell r="S59">
            <v>0</v>
          </cell>
          <cell r="T59">
            <v>0</v>
          </cell>
          <cell r="U59">
            <v>0</v>
          </cell>
          <cell r="V59">
            <v>19</v>
          </cell>
          <cell r="W59">
            <v>0.22800000000000001</v>
          </cell>
          <cell r="X59">
            <v>40052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26</v>
          </cell>
          <cell r="AO59">
            <v>0.312</v>
          </cell>
          <cell r="AP59">
            <v>55490.32</v>
          </cell>
        </row>
        <row r="60">
          <cell r="A60" t="str">
            <v>40109601</v>
          </cell>
          <cell r="B60" t="str">
            <v>CHIPLET 120G PEPPER</v>
          </cell>
          <cell r="C60">
            <v>12</v>
          </cell>
          <cell r="D60">
            <v>2</v>
          </cell>
          <cell r="E60">
            <v>2.4E-2</v>
          </cell>
          <cell r="F60">
            <v>4574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1309.8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5</v>
          </cell>
          <cell r="W60">
            <v>0.06</v>
          </cell>
          <cell r="X60">
            <v>11350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7</v>
          </cell>
          <cell r="AO60">
            <v>8.4000000000000005E-2</v>
          </cell>
          <cell r="AP60">
            <v>17233.8</v>
          </cell>
        </row>
        <row r="61">
          <cell r="A61" t="str">
            <v>40119601</v>
          </cell>
          <cell r="B61" t="str">
            <v>CHIPLET 120G GARLIC</v>
          </cell>
          <cell r="C61">
            <v>12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2</v>
          </cell>
          <cell r="W61">
            <v>2.4E-2</v>
          </cell>
          <cell r="X61">
            <v>4540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2</v>
          </cell>
          <cell r="AO61">
            <v>2.4E-2</v>
          </cell>
          <cell r="AP61">
            <v>4540</v>
          </cell>
        </row>
        <row r="62">
          <cell r="A62" t="str">
            <v>40129601</v>
          </cell>
          <cell r="B62" t="str">
            <v>CHIPLET 120G PL.SOFT SPRD</v>
          </cell>
          <cell r="C62">
            <v>12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</row>
        <row r="63">
          <cell r="A63" t="str">
            <v>40139801</v>
          </cell>
          <cell r="B63" t="str">
            <v>SPREAD 150G PLAIN</v>
          </cell>
          <cell r="C63">
            <v>9</v>
          </cell>
          <cell r="D63">
            <v>27</v>
          </cell>
          <cell r="E63">
            <v>0.24299999999999999</v>
          </cell>
          <cell r="F63">
            <v>34408.800000000003</v>
          </cell>
          <cell r="G63">
            <v>0</v>
          </cell>
          <cell r="H63">
            <v>0</v>
          </cell>
          <cell r="I63">
            <v>0</v>
          </cell>
          <cell r="J63">
            <v>18</v>
          </cell>
          <cell r="K63">
            <v>0.16200000000000001</v>
          </cell>
          <cell r="L63">
            <v>22567.200000000001</v>
          </cell>
          <cell r="M63">
            <v>15</v>
          </cell>
          <cell r="N63">
            <v>0.13500000000000001</v>
          </cell>
          <cell r="O63">
            <v>18549</v>
          </cell>
          <cell r="P63">
            <v>0</v>
          </cell>
          <cell r="Q63">
            <v>0</v>
          </cell>
          <cell r="R63">
            <v>409.6</v>
          </cell>
          <cell r="S63">
            <v>0</v>
          </cell>
          <cell r="T63">
            <v>0</v>
          </cell>
          <cell r="U63">
            <v>0</v>
          </cell>
          <cell r="V63">
            <v>50</v>
          </cell>
          <cell r="W63">
            <v>0.45</v>
          </cell>
          <cell r="X63">
            <v>63240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50</v>
          </cell>
          <cell r="AL63">
            <v>0.45</v>
          </cell>
          <cell r="AM63">
            <v>66000</v>
          </cell>
          <cell r="AN63">
            <v>160</v>
          </cell>
          <cell r="AO63">
            <v>1.44</v>
          </cell>
          <cell r="AP63">
            <v>205174.6</v>
          </cell>
        </row>
        <row r="64">
          <cell r="A64" t="str">
            <v>40149801</v>
          </cell>
          <cell r="B64" t="str">
            <v>SPREAD 150G PEPPER</v>
          </cell>
          <cell r="C64">
            <v>9</v>
          </cell>
          <cell r="D64">
            <v>20</v>
          </cell>
          <cell r="E64">
            <v>0.18</v>
          </cell>
          <cell r="F64">
            <v>27444</v>
          </cell>
          <cell r="G64">
            <v>0</v>
          </cell>
          <cell r="H64">
            <v>0</v>
          </cell>
          <cell r="I64">
            <v>0</v>
          </cell>
          <cell r="J64">
            <v>6</v>
          </cell>
          <cell r="K64">
            <v>5.3999999999999999E-2</v>
          </cell>
          <cell r="L64">
            <v>7963.2</v>
          </cell>
          <cell r="M64">
            <v>5</v>
          </cell>
          <cell r="N64">
            <v>4.4999999999999998E-2</v>
          </cell>
          <cell r="O64">
            <v>6660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15</v>
          </cell>
          <cell r="W64">
            <v>0.13500000000000001</v>
          </cell>
          <cell r="X64">
            <v>20430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3</v>
          </cell>
          <cell r="AL64">
            <v>2.7E-2</v>
          </cell>
          <cell r="AM64">
            <v>4266</v>
          </cell>
          <cell r="AN64">
            <v>49</v>
          </cell>
          <cell r="AO64">
            <v>0.441</v>
          </cell>
          <cell r="AP64">
            <v>66763.199999999997</v>
          </cell>
        </row>
        <row r="65">
          <cell r="A65" t="str">
            <v>40159801</v>
          </cell>
          <cell r="B65" t="str">
            <v>SPREAD 150G MASALA GARLIC</v>
          </cell>
          <cell r="C65">
            <v>9</v>
          </cell>
          <cell r="D65">
            <v>14</v>
          </cell>
          <cell r="E65">
            <v>0.126</v>
          </cell>
          <cell r="F65">
            <v>19210.8</v>
          </cell>
          <cell r="G65">
            <v>0</v>
          </cell>
          <cell r="H65">
            <v>0</v>
          </cell>
          <cell r="I65">
            <v>0</v>
          </cell>
          <cell r="J65">
            <v>2</v>
          </cell>
          <cell r="K65">
            <v>1.7999999999999999E-2</v>
          </cell>
          <cell r="L65">
            <v>2609.4</v>
          </cell>
          <cell r="M65">
            <v>2</v>
          </cell>
          <cell r="N65">
            <v>1.7999999999999999E-2</v>
          </cell>
          <cell r="O65">
            <v>2664</v>
          </cell>
          <cell r="P65">
            <v>0</v>
          </cell>
          <cell r="Q65">
            <v>0</v>
          </cell>
          <cell r="R65">
            <v>441</v>
          </cell>
          <cell r="S65">
            <v>0</v>
          </cell>
          <cell r="T65">
            <v>0</v>
          </cell>
          <cell r="U65">
            <v>0</v>
          </cell>
          <cell r="V65">
            <v>15</v>
          </cell>
          <cell r="W65">
            <v>0.13500000000000001</v>
          </cell>
          <cell r="X65">
            <v>20430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33</v>
          </cell>
          <cell r="AO65">
            <v>0.29699999999999999</v>
          </cell>
          <cell r="AP65">
            <v>45355.199999999997</v>
          </cell>
        </row>
        <row r="66">
          <cell r="A66" t="str">
            <v>40169801</v>
          </cell>
          <cell r="B66" t="str">
            <v>SPREAD 150G MASALA ONION</v>
          </cell>
          <cell r="C66">
            <v>9</v>
          </cell>
          <cell r="D66">
            <v>22</v>
          </cell>
          <cell r="E66">
            <v>0.19800000000000001</v>
          </cell>
          <cell r="F66">
            <v>30188.400000000001</v>
          </cell>
          <cell r="G66">
            <v>0</v>
          </cell>
          <cell r="H66">
            <v>0</v>
          </cell>
          <cell r="I66">
            <v>0</v>
          </cell>
          <cell r="J66">
            <v>2</v>
          </cell>
          <cell r="K66">
            <v>1.7999999999999999E-2</v>
          </cell>
          <cell r="L66">
            <v>2609.4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441</v>
          </cell>
          <cell r="S66">
            <v>0</v>
          </cell>
          <cell r="T66">
            <v>0</v>
          </cell>
          <cell r="U66">
            <v>0</v>
          </cell>
          <cell r="V66">
            <v>13</v>
          </cell>
          <cell r="W66">
            <v>0.11700000000000001</v>
          </cell>
          <cell r="X66">
            <v>17706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37</v>
          </cell>
          <cell r="AO66">
            <v>0.33300000000000002</v>
          </cell>
          <cell r="AP66">
            <v>50944.800000000003</v>
          </cell>
        </row>
        <row r="67">
          <cell r="A67" t="str">
            <v>41019101</v>
          </cell>
          <cell r="B67" t="str">
            <v>FLAVOURED MILK-MANGO</v>
          </cell>
          <cell r="C67">
            <v>5.4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</row>
        <row r="68">
          <cell r="A68" t="str">
            <v>41029101</v>
          </cell>
          <cell r="B68" t="str">
            <v>FLAVOURED MILK-PINEAPPLE</v>
          </cell>
          <cell r="C68">
            <v>5.4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</row>
        <row r="69">
          <cell r="A69" t="str">
            <v>41039101</v>
          </cell>
          <cell r="B69" t="str">
            <v>FLAVOURED MILK-STRAWBERRY</v>
          </cell>
          <cell r="C69">
            <v>5.4</v>
          </cell>
          <cell r="D69">
            <v>491</v>
          </cell>
          <cell r="E69">
            <v>2.6514000000000002</v>
          </cell>
          <cell r="F69">
            <v>93859.56</v>
          </cell>
          <cell r="G69">
            <v>30</v>
          </cell>
          <cell r="H69">
            <v>0.16200000000000001</v>
          </cell>
          <cell r="I69">
            <v>5734.8</v>
          </cell>
          <cell r="J69">
            <v>106</v>
          </cell>
          <cell r="K69">
            <v>0.57240000000000013</v>
          </cell>
          <cell r="L69">
            <v>21089.16</v>
          </cell>
          <cell r="M69">
            <v>116</v>
          </cell>
          <cell r="N69">
            <v>0.62640000000000007</v>
          </cell>
          <cell r="O69">
            <v>22487.759999999998</v>
          </cell>
          <cell r="P69">
            <v>5</v>
          </cell>
          <cell r="Q69">
            <v>2.7E-2</v>
          </cell>
          <cell r="R69">
            <v>997.65</v>
          </cell>
          <cell r="S69">
            <v>52</v>
          </cell>
          <cell r="T69">
            <v>0.28079999999999999</v>
          </cell>
          <cell r="U69">
            <v>10375.56</v>
          </cell>
          <cell r="V69">
            <v>133</v>
          </cell>
          <cell r="W69">
            <v>0.71820000000000006</v>
          </cell>
          <cell r="X69">
            <v>26342.55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933</v>
          </cell>
          <cell r="AO69">
            <v>5.0382000000000007</v>
          </cell>
          <cell r="AP69">
            <v>180887.04000000001</v>
          </cell>
        </row>
        <row r="70">
          <cell r="A70" t="str">
            <v>41039201</v>
          </cell>
          <cell r="B70" t="str">
            <v>F M - STRAWBERRY -1 LITRE</v>
          </cell>
          <cell r="C70">
            <v>12</v>
          </cell>
          <cell r="D70">
            <v>19</v>
          </cell>
          <cell r="E70">
            <v>0.22800000000000001</v>
          </cell>
          <cell r="F70">
            <v>7261.8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19</v>
          </cell>
          <cell r="AO70">
            <v>0.22800000000000001</v>
          </cell>
          <cell r="AP70">
            <v>7261.8</v>
          </cell>
        </row>
        <row r="71">
          <cell r="A71" t="str">
            <v>41049101</v>
          </cell>
          <cell r="B71" t="str">
            <v>FLAVOURED MILK-CHOCOLATE</v>
          </cell>
          <cell r="C71">
            <v>5.4</v>
          </cell>
          <cell r="D71">
            <v>949</v>
          </cell>
          <cell r="E71">
            <v>5.1246</v>
          </cell>
          <cell r="F71">
            <v>181410.84</v>
          </cell>
          <cell r="G71">
            <v>55</v>
          </cell>
          <cell r="H71">
            <v>0.29699999999999999</v>
          </cell>
          <cell r="I71">
            <v>10513.8</v>
          </cell>
          <cell r="J71">
            <v>245</v>
          </cell>
          <cell r="K71">
            <v>1.323</v>
          </cell>
          <cell r="L71">
            <v>49069.8</v>
          </cell>
          <cell r="M71">
            <v>394</v>
          </cell>
          <cell r="N71">
            <v>2.1276000000000002</v>
          </cell>
          <cell r="O71">
            <v>76380.84</v>
          </cell>
          <cell r="P71">
            <v>10</v>
          </cell>
          <cell r="Q71">
            <v>5.3999999999999999E-2</v>
          </cell>
          <cell r="R71">
            <v>1995.3</v>
          </cell>
          <cell r="S71">
            <v>133</v>
          </cell>
          <cell r="T71">
            <v>0.71820000000000006</v>
          </cell>
          <cell r="U71">
            <v>26537.49</v>
          </cell>
          <cell r="V71">
            <v>250</v>
          </cell>
          <cell r="W71">
            <v>1.35</v>
          </cell>
          <cell r="X71">
            <v>51367.5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2036</v>
          </cell>
          <cell r="AO71">
            <v>10.994400000000001</v>
          </cell>
          <cell r="AP71">
            <v>397275.57</v>
          </cell>
        </row>
        <row r="72">
          <cell r="A72" t="str">
            <v>41049201</v>
          </cell>
          <cell r="B72" t="str">
            <v>F M - CHOCOLATE - 1 LITRE</v>
          </cell>
          <cell r="C72">
            <v>12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</row>
        <row r="73">
          <cell r="A73" t="str">
            <v>41059101</v>
          </cell>
          <cell r="B73" t="str">
            <v>FLAVOURED MILK-ELAICHI</v>
          </cell>
          <cell r="C73">
            <v>5.4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</row>
        <row r="74">
          <cell r="A74" t="str">
            <v>42019201</v>
          </cell>
          <cell r="B74" t="str">
            <v>UHT-MILK 1 LTR</v>
          </cell>
          <cell r="C74">
            <v>12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</row>
        <row r="75">
          <cell r="A75" t="str">
            <v>42019301</v>
          </cell>
          <cell r="B75" t="str">
            <v>UHT-MILK 250ML</v>
          </cell>
          <cell r="C75">
            <v>6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</row>
        <row r="76">
          <cell r="A76" t="str">
            <v>50016001</v>
          </cell>
          <cell r="B76" t="str">
            <v>GHEE TIN 1 LTR. - BUF</v>
          </cell>
          <cell r="C76">
            <v>18</v>
          </cell>
          <cell r="D76">
            <v>13</v>
          </cell>
          <cell r="E76">
            <v>0.23400000000000001</v>
          </cell>
          <cell r="F76">
            <v>28889.64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138</v>
          </cell>
          <cell r="N76">
            <v>2.484</v>
          </cell>
          <cell r="O76">
            <v>297682.56</v>
          </cell>
          <cell r="P76">
            <v>9</v>
          </cell>
          <cell r="Q76">
            <v>0.16200000000000001</v>
          </cell>
          <cell r="R76">
            <v>19286.099999999999</v>
          </cell>
          <cell r="S76">
            <v>0</v>
          </cell>
          <cell r="T76">
            <v>0</v>
          </cell>
          <cell r="U76">
            <v>0</v>
          </cell>
          <cell r="V76">
            <v>34</v>
          </cell>
          <cell r="W76">
            <v>0.61199999999999999</v>
          </cell>
          <cell r="X76">
            <v>75000.600000000006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194</v>
          </cell>
          <cell r="AO76">
            <v>3.492</v>
          </cell>
          <cell r="AP76">
            <v>420858.9</v>
          </cell>
        </row>
        <row r="77">
          <cell r="A77" t="str">
            <v>50026101</v>
          </cell>
          <cell r="B77" t="str">
            <v>GHEE CEKA PACK 1 LTR -BUF</v>
          </cell>
          <cell r="C77">
            <v>18</v>
          </cell>
          <cell r="D77">
            <v>13</v>
          </cell>
          <cell r="E77">
            <v>0.23400000000000001</v>
          </cell>
          <cell r="F77">
            <v>29347.11</v>
          </cell>
          <cell r="G77">
            <v>5</v>
          </cell>
          <cell r="H77">
            <v>0.09</v>
          </cell>
          <cell r="I77">
            <v>10869.3</v>
          </cell>
          <cell r="J77">
            <v>0</v>
          </cell>
          <cell r="K77">
            <v>0</v>
          </cell>
          <cell r="L77">
            <v>0</v>
          </cell>
          <cell r="M77">
            <v>100</v>
          </cell>
          <cell r="N77">
            <v>1.8</v>
          </cell>
          <cell r="O77">
            <v>211014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16</v>
          </cell>
          <cell r="W77">
            <v>0.28799999999999998</v>
          </cell>
          <cell r="X77">
            <v>34525.440000000002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134</v>
          </cell>
          <cell r="AO77">
            <v>2.4119999999999999</v>
          </cell>
          <cell r="AP77">
            <v>285755.84999999998</v>
          </cell>
        </row>
        <row r="78">
          <cell r="A78" t="str">
            <v>50036201</v>
          </cell>
          <cell r="B78" t="str">
            <v>GHEE CEKA PACK 1/2LTR-BUF</v>
          </cell>
          <cell r="C78">
            <v>18</v>
          </cell>
          <cell r="D78">
            <v>12</v>
          </cell>
          <cell r="E78">
            <v>0.216</v>
          </cell>
          <cell r="F78">
            <v>26667.360000000001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19</v>
          </cell>
          <cell r="N78">
            <v>0.34200000000000003</v>
          </cell>
          <cell r="O78">
            <v>40985.279999999999</v>
          </cell>
          <cell r="P78">
            <v>7</v>
          </cell>
          <cell r="Q78">
            <v>0.126</v>
          </cell>
          <cell r="R78">
            <v>15001.56</v>
          </cell>
          <cell r="S78">
            <v>0</v>
          </cell>
          <cell r="T78">
            <v>0</v>
          </cell>
          <cell r="U78">
            <v>0</v>
          </cell>
          <cell r="V78">
            <v>49</v>
          </cell>
          <cell r="W78">
            <v>0.88200000000000001</v>
          </cell>
          <cell r="X78">
            <v>108097.92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87</v>
          </cell>
          <cell r="AO78">
            <v>1.5660000000000001</v>
          </cell>
          <cell r="AP78">
            <v>190752.12</v>
          </cell>
        </row>
        <row r="79">
          <cell r="A79" t="str">
            <v>50046301</v>
          </cell>
          <cell r="B79" t="str">
            <v>GHEE POUCH 1 LTR. - BUF</v>
          </cell>
          <cell r="C79">
            <v>18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</row>
        <row r="80">
          <cell r="A80" t="str">
            <v>50066001</v>
          </cell>
          <cell r="B80" t="str">
            <v>GHEE 1 LTR TIN - COW</v>
          </cell>
          <cell r="C80">
            <v>18</v>
          </cell>
          <cell r="D80">
            <v>17</v>
          </cell>
          <cell r="E80">
            <v>0.30599999999999999</v>
          </cell>
          <cell r="F80">
            <v>37738.980000000003</v>
          </cell>
          <cell r="G80">
            <v>9</v>
          </cell>
          <cell r="H80">
            <v>0.16200000000000001</v>
          </cell>
          <cell r="I80">
            <v>19979.46</v>
          </cell>
          <cell r="J80">
            <v>3</v>
          </cell>
          <cell r="K80">
            <v>5.3999999999999999E-2</v>
          </cell>
          <cell r="L80">
            <v>6659.82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3</v>
          </cell>
          <cell r="T80">
            <v>5.3999999999999999E-2</v>
          </cell>
          <cell r="U80">
            <v>6421.68</v>
          </cell>
          <cell r="V80">
            <v>25</v>
          </cell>
          <cell r="W80">
            <v>0.45</v>
          </cell>
          <cell r="X80">
            <v>55089</v>
          </cell>
          <cell r="Y80">
            <v>2</v>
          </cell>
          <cell r="Z80">
            <v>3.5999999999999997E-2</v>
          </cell>
          <cell r="AA80">
            <v>4107.24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59</v>
          </cell>
          <cell r="AO80">
            <v>1.0620000000000001</v>
          </cell>
          <cell r="AP80">
            <v>129996.18</v>
          </cell>
        </row>
        <row r="81">
          <cell r="A81" t="str">
            <v>50067101</v>
          </cell>
          <cell r="B81" t="str">
            <v>GHEE COW 200ML CEKA</v>
          </cell>
          <cell r="C81">
            <v>12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</row>
        <row r="82">
          <cell r="A82" t="str">
            <v>50076101</v>
          </cell>
          <cell r="B82" t="str">
            <v>GHEE 1 LTR CEKA PACK -COW</v>
          </cell>
          <cell r="C82">
            <v>18</v>
          </cell>
          <cell r="D82">
            <v>15</v>
          </cell>
          <cell r="E82">
            <v>0.27</v>
          </cell>
          <cell r="F82">
            <v>33220.53</v>
          </cell>
          <cell r="G82">
            <v>1</v>
          </cell>
          <cell r="H82">
            <v>1.7999999999999999E-2</v>
          </cell>
          <cell r="I82">
            <v>2143.2600000000002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2</v>
          </cell>
          <cell r="Q82">
            <v>3.5999999999999997E-2</v>
          </cell>
          <cell r="R82">
            <v>4133.5200000000004</v>
          </cell>
          <cell r="S82">
            <v>2</v>
          </cell>
          <cell r="T82">
            <v>3.5999999999999997E-2</v>
          </cell>
          <cell r="U82">
            <v>4133.5200000000004</v>
          </cell>
          <cell r="V82">
            <v>19</v>
          </cell>
          <cell r="W82">
            <v>0.34200000000000003</v>
          </cell>
          <cell r="X82">
            <v>40420.980000000003</v>
          </cell>
          <cell r="Y82">
            <v>5</v>
          </cell>
          <cell r="Z82">
            <v>0.09</v>
          </cell>
          <cell r="AA82">
            <v>9887.4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44</v>
          </cell>
          <cell r="AO82">
            <v>0.79200000000000004</v>
          </cell>
          <cell r="AP82">
            <v>93939.21</v>
          </cell>
        </row>
        <row r="83">
          <cell r="A83" t="str">
            <v>50086201</v>
          </cell>
          <cell r="B83" t="str">
            <v>GHEE 1/2LTR CEKA PACK-COW</v>
          </cell>
          <cell r="C83">
            <v>18</v>
          </cell>
          <cell r="D83">
            <v>37</v>
          </cell>
          <cell r="E83">
            <v>0.66600000000000004</v>
          </cell>
          <cell r="F83">
            <v>83241</v>
          </cell>
          <cell r="G83">
            <v>11</v>
          </cell>
          <cell r="H83">
            <v>0.19800000000000001</v>
          </cell>
          <cell r="I83">
            <v>24417.360000000001</v>
          </cell>
          <cell r="J83">
            <v>7</v>
          </cell>
          <cell r="K83">
            <v>0.126</v>
          </cell>
          <cell r="L83">
            <v>15538.32</v>
          </cell>
          <cell r="M83">
            <v>20</v>
          </cell>
          <cell r="N83">
            <v>0.36</v>
          </cell>
          <cell r="O83">
            <v>43099.199999999997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13</v>
          </cell>
          <cell r="W83">
            <v>0.23400000000000001</v>
          </cell>
          <cell r="X83">
            <v>30360.16</v>
          </cell>
          <cell r="Y83">
            <v>7</v>
          </cell>
          <cell r="Z83">
            <v>0.126</v>
          </cell>
          <cell r="AA83">
            <v>14376.6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95</v>
          </cell>
          <cell r="AO83">
            <v>1.71</v>
          </cell>
          <cell r="AP83">
            <v>211032.64</v>
          </cell>
        </row>
        <row r="84">
          <cell r="A84" t="str">
            <v>50096301</v>
          </cell>
          <cell r="B84" t="str">
            <v>GHEE 1 LTR POUCH -COW</v>
          </cell>
          <cell r="C84">
            <v>18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</row>
        <row r="86">
          <cell r="B86" t="str">
            <v>TOTAL</v>
          </cell>
          <cell r="D86">
            <v>4704</v>
          </cell>
          <cell r="E86">
            <v>44.625000000000007</v>
          </cell>
          <cell r="F86">
            <v>4464917.4700000007</v>
          </cell>
          <cell r="G86">
            <v>1876</v>
          </cell>
          <cell r="H86">
            <v>21.120200000000001</v>
          </cell>
          <cell r="I86">
            <v>2092621.3</v>
          </cell>
          <cell r="J86">
            <v>3048</v>
          </cell>
          <cell r="K86">
            <v>32.607799999999997</v>
          </cell>
          <cell r="L86">
            <v>3398221.8</v>
          </cell>
          <cell r="M86">
            <v>4144</v>
          </cell>
          <cell r="N86">
            <v>46.525199999999991</v>
          </cell>
          <cell r="O86">
            <v>4588848.34</v>
          </cell>
          <cell r="P86">
            <v>1568</v>
          </cell>
          <cell r="Q86">
            <v>17.619</v>
          </cell>
          <cell r="R86">
            <v>1728493.3100000005</v>
          </cell>
          <cell r="S86">
            <v>1876</v>
          </cell>
          <cell r="T86">
            <v>19.2746</v>
          </cell>
          <cell r="U86">
            <v>1732974.6800000002</v>
          </cell>
          <cell r="V86">
            <v>9920</v>
          </cell>
          <cell r="W86">
            <v>110.1836</v>
          </cell>
          <cell r="X86">
            <v>11194082.450000001</v>
          </cell>
          <cell r="Y86">
            <v>381</v>
          </cell>
          <cell r="Z86">
            <v>4.6559999999999997</v>
          </cell>
          <cell r="AA86">
            <v>457370.95</v>
          </cell>
          <cell r="AB86">
            <v>325</v>
          </cell>
          <cell r="AC86">
            <v>3.9</v>
          </cell>
          <cell r="AD86">
            <v>270374</v>
          </cell>
          <cell r="AE86">
            <v>250</v>
          </cell>
          <cell r="AF86">
            <v>3</v>
          </cell>
          <cell r="AG86">
            <v>207980</v>
          </cell>
          <cell r="AH86">
            <v>0</v>
          </cell>
          <cell r="AI86">
            <v>0</v>
          </cell>
          <cell r="AJ86">
            <v>0</v>
          </cell>
          <cell r="AK86">
            <v>132</v>
          </cell>
          <cell r="AL86">
            <v>1.3553999999999999</v>
          </cell>
          <cell r="AM86">
            <v>212526</v>
          </cell>
          <cell r="AN86">
            <v>28224</v>
          </cell>
          <cell r="AO86">
            <v>304.86680000000001</v>
          </cell>
          <cell r="AP86">
            <v>30348410.300000008</v>
          </cell>
        </row>
        <row r="88">
          <cell r="B88" t="str">
            <v>AS PER TRIAL</v>
          </cell>
          <cell r="AP88">
            <v>30348410.300000001</v>
          </cell>
        </row>
        <row r="89">
          <cell r="B89" t="str">
            <v>Difference</v>
          </cell>
          <cell r="AP89">
            <v>0</v>
          </cell>
        </row>
      </sheetData>
      <sheetData sheetId="3" refreshError="1"/>
      <sheetData sheetId="4" refreshError="1">
        <row r="1">
          <cell r="A1" t="str">
            <v xml:space="preserve">BRITANNIA INDUSTRIES LIMITED </v>
          </cell>
        </row>
        <row r="2">
          <cell r="A2" t="str">
            <v>NBD - CALCUTTA</v>
          </cell>
        </row>
        <row r="3">
          <cell r="A3" t="str">
            <v xml:space="preserve">NSV FOR THE MONTH OF JULY' 2000 </v>
          </cell>
        </row>
        <row r="5">
          <cell r="A5" t="str">
            <v>STOCK CODE</v>
          </cell>
          <cell r="B5" t="str">
            <v>SKU</v>
          </cell>
          <cell r="C5" t="str">
            <v>WEIGHT</v>
          </cell>
          <cell r="D5" t="str">
            <v>JADAVPORE</v>
          </cell>
          <cell r="G5" t="str">
            <v>BURDWAN</v>
          </cell>
          <cell r="J5" t="str">
            <v>SILIGURI</v>
          </cell>
          <cell r="M5" t="str">
            <v>PATNA</v>
          </cell>
          <cell r="P5" t="str">
            <v>ROURKELA</v>
          </cell>
          <cell r="S5" t="str">
            <v>CUTTACK</v>
          </cell>
          <cell r="V5" t="str">
            <v>GUWAHATI</v>
          </cell>
          <cell r="Y5" t="str">
            <v>AGARTALA</v>
          </cell>
          <cell r="AB5" t="str">
            <v>A.K.SAHU</v>
          </cell>
          <cell r="AE5" t="str">
            <v>BUXARA</v>
          </cell>
          <cell r="AH5" t="str">
            <v>PORTBLAIR</v>
          </cell>
          <cell r="AK5" t="str">
            <v>NEPAL</v>
          </cell>
          <cell r="AN5" t="str">
            <v>TOTAL BRANCH</v>
          </cell>
        </row>
        <row r="6">
          <cell r="A6" t="str">
            <v>stock_no</v>
          </cell>
          <cell r="B6" t="str">
            <v>descrip</v>
          </cell>
          <cell r="C6" t="str">
            <v>weight</v>
          </cell>
          <cell r="D6" t="str">
            <v>jdv_cbb</v>
          </cell>
          <cell r="E6" t="str">
            <v>Tes</v>
          </cell>
          <cell r="F6" t="str">
            <v>jdv_value</v>
          </cell>
          <cell r="G6" t="str">
            <v>bdn_cbb</v>
          </cell>
          <cell r="H6" t="str">
            <v>Tes</v>
          </cell>
          <cell r="I6" t="str">
            <v>bdn_value</v>
          </cell>
          <cell r="J6" t="str">
            <v>slg_cbb</v>
          </cell>
          <cell r="K6" t="str">
            <v>Tes</v>
          </cell>
          <cell r="L6" t="str">
            <v>slg_value</v>
          </cell>
          <cell r="M6" t="str">
            <v>ptn_cbb</v>
          </cell>
          <cell r="N6" t="str">
            <v>Tes</v>
          </cell>
          <cell r="O6" t="str">
            <v>ptn_value</v>
          </cell>
          <cell r="P6" t="str">
            <v>rkl_cbb</v>
          </cell>
          <cell r="Q6" t="str">
            <v>Tes</v>
          </cell>
          <cell r="R6" t="str">
            <v>rkl_value</v>
          </cell>
          <cell r="S6" t="str">
            <v>ctk_cbb</v>
          </cell>
          <cell r="T6" t="str">
            <v>Tes</v>
          </cell>
          <cell r="U6" t="str">
            <v>ctk_value</v>
          </cell>
          <cell r="V6" t="str">
            <v>ght_cbb</v>
          </cell>
          <cell r="W6" t="str">
            <v>Tes</v>
          </cell>
          <cell r="X6" t="str">
            <v>ght_value</v>
          </cell>
          <cell r="Y6" t="str">
            <v>agt_cbb</v>
          </cell>
          <cell r="Z6" t="str">
            <v>Tes</v>
          </cell>
          <cell r="AA6" t="str">
            <v>agt_value</v>
          </cell>
          <cell r="AB6" t="str">
            <v>aks_cbb</v>
          </cell>
          <cell r="AC6" t="str">
            <v>Tes</v>
          </cell>
          <cell r="AD6" t="str">
            <v>aks_value</v>
          </cell>
          <cell r="AE6" t="str">
            <v>bux_cbb</v>
          </cell>
          <cell r="AF6" t="str">
            <v>Tes</v>
          </cell>
          <cell r="AG6" t="str">
            <v>bux_value</v>
          </cell>
          <cell r="AH6" t="str">
            <v>prt_cbb</v>
          </cell>
          <cell r="AI6" t="str">
            <v>Tes</v>
          </cell>
          <cell r="AJ6" t="str">
            <v>prt_value</v>
          </cell>
          <cell r="AK6" t="str">
            <v>nep_cbb</v>
          </cell>
          <cell r="AL6" t="str">
            <v>Tes</v>
          </cell>
          <cell r="AM6" t="str">
            <v>nep_value</v>
          </cell>
          <cell r="AN6" t="str">
            <v>tot_cbb</v>
          </cell>
          <cell r="AO6" t="str">
            <v>Tes</v>
          </cell>
          <cell r="AP6" t="str">
            <v>tot_value</v>
          </cell>
        </row>
        <row r="7">
          <cell r="A7" t="str">
            <v>20017101</v>
          </cell>
          <cell r="B7" t="str">
            <v>MIXED FRUIT</v>
          </cell>
          <cell r="C7">
            <v>8.4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</row>
        <row r="8">
          <cell r="A8" t="str">
            <v>20027101</v>
          </cell>
          <cell r="B8" t="str">
            <v>TRIO</v>
          </cell>
          <cell r="C8">
            <v>8.4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</row>
        <row r="9">
          <cell r="A9" t="str">
            <v>20037101</v>
          </cell>
          <cell r="B9" t="str">
            <v>DUET</v>
          </cell>
          <cell r="C9">
            <v>8.4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</row>
        <row r="10">
          <cell r="A10" t="str">
            <v>20047001</v>
          </cell>
          <cell r="B10" t="str">
            <v>FRUIT</v>
          </cell>
          <cell r="C10">
            <v>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164</v>
          </cell>
          <cell r="K10">
            <v>1.968</v>
          </cell>
          <cell r="L10">
            <v>173036.4</v>
          </cell>
          <cell r="M10">
            <v>927</v>
          </cell>
          <cell r="N10">
            <v>11.124000000000001</v>
          </cell>
          <cell r="O10">
            <v>967176.18</v>
          </cell>
          <cell r="P10">
            <v>150</v>
          </cell>
          <cell r="Q10">
            <v>1.8</v>
          </cell>
          <cell r="R10">
            <v>155439</v>
          </cell>
          <cell r="S10">
            <v>235</v>
          </cell>
          <cell r="T10">
            <v>2.82</v>
          </cell>
          <cell r="U10">
            <v>243521.1</v>
          </cell>
          <cell r="V10">
            <v>1073</v>
          </cell>
          <cell r="W10">
            <v>12.875999999999999</v>
          </cell>
          <cell r="X10">
            <v>1133455.3700000001</v>
          </cell>
          <cell r="Y10">
            <v>120</v>
          </cell>
          <cell r="Z10">
            <v>1.44</v>
          </cell>
          <cell r="AA10">
            <v>122443.2</v>
          </cell>
          <cell r="AB10">
            <v>164</v>
          </cell>
          <cell r="AC10">
            <v>1.968</v>
          </cell>
          <cell r="AD10">
            <v>149916.6</v>
          </cell>
          <cell r="AE10">
            <v>200</v>
          </cell>
          <cell r="AF10">
            <v>2.4</v>
          </cell>
          <cell r="AG10">
            <v>196680</v>
          </cell>
          <cell r="AH10">
            <v>20</v>
          </cell>
          <cell r="AI10">
            <v>0.24</v>
          </cell>
          <cell r="AJ10">
            <v>21102</v>
          </cell>
          <cell r="AK10">
            <v>0</v>
          </cell>
          <cell r="AL10">
            <v>0</v>
          </cell>
          <cell r="AM10">
            <v>0</v>
          </cell>
          <cell r="AN10">
            <v>3053</v>
          </cell>
          <cell r="AO10">
            <v>36.636000000000003</v>
          </cell>
          <cell r="AP10">
            <v>3162769.85</v>
          </cell>
        </row>
        <row r="11">
          <cell r="A11" t="str">
            <v>20057001</v>
          </cell>
          <cell r="B11" t="str">
            <v>CHOCOLATE</v>
          </cell>
          <cell r="C11">
            <v>12</v>
          </cell>
          <cell r="D11">
            <v>110</v>
          </cell>
          <cell r="E11">
            <v>1.32</v>
          </cell>
          <cell r="F11">
            <v>116940.25</v>
          </cell>
          <cell r="G11">
            <v>1</v>
          </cell>
          <cell r="H11">
            <v>1.2E-2</v>
          </cell>
          <cell r="I11">
            <v>1055.0999999999999</v>
          </cell>
          <cell r="J11">
            <v>12</v>
          </cell>
          <cell r="K11">
            <v>0.14399999999999999</v>
          </cell>
          <cell r="L11">
            <v>12661.2</v>
          </cell>
          <cell r="M11">
            <v>21</v>
          </cell>
          <cell r="N11">
            <v>0.252</v>
          </cell>
          <cell r="O11">
            <v>21910.14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50</v>
          </cell>
          <cell r="W11">
            <v>0.6</v>
          </cell>
          <cell r="X11">
            <v>53337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194</v>
          </cell>
          <cell r="AO11">
            <v>2.3279999999999998</v>
          </cell>
          <cell r="AP11">
            <v>205903.69</v>
          </cell>
        </row>
        <row r="12">
          <cell r="A12" t="str">
            <v>20067001</v>
          </cell>
          <cell r="B12" t="str">
            <v>ORANGE</v>
          </cell>
          <cell r="C12">
            <v>12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</row>
        <row r="13">
          <cell r="A13" t="str">
            <v>20077001</v>
          </cell>
          <cell r="B13" t="str">
            <v>VANILLA CHOCOLATE</v>
          </cell>
          <cell r="C13">
            <v>12</v>
          </cell>
          <cell r="D13">
            <v>47</v>
          </cell>
          <cell r="E13">
            <v>0.56399999999999995</v>
          </cell>
          <cell r="F13">
            <v>50627.22</v>
          </cell>
          <cell r="G13">
            <v>0</v>
          </cell>
          <cell r="H13">
            <v>0</v>
          </cell>
          <cell r="I13">
            <v>0</v>
          </cell>
          <cell r="J13">
            <v>13</v>
          </cell>
          <cell r="K13">
            <v>0.156</v>
          </cell>
          <cell r="L13">
            <v>13716.3</v>
          </cell>
          <cell r="M13">
            <v>16</v>
          </cell>
          <cell r="N13">
            <v>0.192</v>
          </cell>
          <cell r="O13">
            <v>16693.439999999999</v>
          </cell>
          <cell r="P13">
            <v>5</v>
          </cell>
          <cell r="Q13">
            <v>0.06</v>
          </cell>
          <cell r="R13">
            <v>5181.3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81</v>
          </cell>
          <cell r="AO13">
            <v>0.97199999999999998</v>
          </cell>
          <cell r="AP13">
            <v>86218.26</v>
          </cell>
        </row>
        <row r="14">
          <cell r="A14" t="str">
            <v>20087001</v>
          </cell>
          <cell r="B14" t="str">
            <v>ORANGE CHOCOLATE</v>
          </cell>
          <cell r="C14">
            <v>12</v>
          </cell>
          <cell r="D14">
            <v>41</v>
          </cell>
          <cell r="E14">
            <v>0.49199999999999999</v>
          </cell>
          <cell r="F14">
            <v>44314.2</v>
          </cell>
          <cell r="G14">
            <v>1</v>
          </cell>
          <cell r="H14">
            <v>1.2E-2</v>
          </cell>
          <cell r="I14">
            <v>1055.0999999999999</v>
          </cell>
          <cell r="J14">
            <v>9</v>
          </cell>
          <cell r="K14">
            <v>0.108</v>
          </cell>
          <cell r="L14">
            <v>9495.9</v>
          </cell>
          <cell r="M14">
            <v>16</v>
          </cell>
          <cell r="N14">
            <v>0.192</v>
          </cell>
          <cell r="O14">
            <v>16693.439999999999</v>
          </cell>
          <cell r="P14">
            <v>2</v>
          </cell>
          <cell r="Q14">
            <v>2.4E-2</v>
          </cell>
          <cell r="R14">
            <v>1982.4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69</v>
          </cell>
          <cell r="AO14">
            <v>0.82799999999999996</v>
          </cell>
          <cell r="AP14">
            <v>73541.039999999994</v>
          </cell>
        </row>
        <row r="15">
          <cell r="A15" t="str">
            <v>20097001</v>
          </cell>
          <cell r="B15" t="str">
            <v>PLUM</v>
          </cell>
          <cell r="C15">
            <v>18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</row>
        <row r="16">
          <cell r="A16" t="str">
            <v>20107001</v>
          </cell>
          <cell r="B16" t="str">
            <v>MILK</v>
          </cell>
          <cell r="C16">
            <v>12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</row>
        <row r="17">
          <cell r="A17" t="str">
            <v>20117001</v>
          </cell>
          <cell r="B17" t="str">
            <v>BUTTER SPONGE</v>
          </cell>
          <cell r="C17">
            <v>12</v>
          </cell>
          <cell r="D17">
            <v>22</v>
          </cell>
          <cell r="E17">
            <v>0.26400000000000001</v>
          </cell>
          <cell r="F17">
            <v>24249.72</v>
          </cell>
          <cell r="G17">
            <v>3</v>
          </cell>
          <cell r="H17">
            <v>3.5999999999999997E-2</v>
          </cell>
          <cell r="I17">
            <v>3165.3</v>
          </cell>
          <cell r="J17">
            <v>9</v>
          </cell>
          <cell r="K17">
            <v>0.108</v>
          </cell>
          <cell r="L17">
            <v>9495.9</v>
          </cell>
          <cell r="M17">
            <v>12</v>
          </cell>
          <cell r="N17">
            <v>0.14399999999999999</v>
          </cell>
          <cell r="O17">
            <v>12520.08</v>
          </cell>
          <cell r="P17">
            <v>6</v>
          </cell>
          <cell r="Q17">
            <v>7.1999999999999995E-2</v>
          </cell>
          <cell r="R17">
            <v>6217.56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52</v>
          </cell>
          <cell r="AO17">
            <v>0.624</v>
          </cell>
          <cell r="AP17">
            <v>55648.56</v>
          </cell>
        </row>
        <row r="18">
          <cell r="A18" t="str">
            <v>20227101</v>
          </cell>
          <cell r="B18" t="str">
            <v>GOODDAY S SL VANILLA</v>
          </cell>
          <cell r="C18">
            <v>8.4</v>
          </cell>
          <cell r="D18">
            <v>7</v>
          </cell>
          <cell r="E18">
            <v>5.8800000000000005E-2</v>
          </cell>
          <cell r="F18">
            <v>6984.62</v>
          </cell>
          <cell r="G18">
            <v>0</v>
          </cell>
          <cell r="H18">
            <v>0</v>
          </cell>
          <cell r="I18">
            <v>0</v>
          </cell>
          <cell r="J18">
            <v>13</v>
          </cell>
          <cell r="K18">
            <v>0.10920000000000001</v>
          </cell>
          <cell r="L18">
            <v>11927.76</v>
          </cell>
          <cell r="M18">
            <v>13</v>
          </cell>
          <cell r="N18">
            <v>0.10920000000000001</v>
          </cell>
          <cell r="O18">
            <v>11793.6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33</v>
          </cell>
          <cell r="AO18">
            <v>0.2772</v>
          </cell>
          <cell r="AP18">
            <v>30705.98</v>
          </cell>
        </row>
        <row r="19">
          <cell r="A19" t="str">
            <v>20237101</v>
          </cell>
          <cell r="B19" t="str">
            <v>GOODDAY S SL RICH FRUIT</v>
          </cell>
          <cell r="C19">
            <v>8.4</v>
          </cell>
          <cell r="D19">
            <v>11</v>
          </cell>
          <cell r="E19">
            <v>9.240000000000001E-2</v>
          </cell>
          <cell r="F19">
            <v>10310.629999999999</v>
          </cell>
          <cell r="G19">
            <v>4</v>
          </cell>
          <cell r="H19">
            <v>3.3600000000000005E-2</v>
          </cell>
          <cell r="I19">
            <v>3670.08</v>
          </cell>
          <cell r="J19">
            <v>13</v>
          </cell>
          <cell r="K19">
            <v>0.10920000000000001</v>
          </cell>
          <cell r="L19">
            <v>11927.76</v>
          </cell>
          <cell r="M19">
            <v>26</v>
          </cell>
          <cell r="N19">
            <v>0.21840000000000001</v>
          </cell>
          <cell r="O19">
            <v>23587.200000000001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54</v>
          </cell>
          <cell r="AO19">
            <v>0.4536</v>
          </cell>
          <cell r="AP19">
            <v>49495.67</v>
          </cell>
        </row>
        <row r="20">
          <cell r="A20" t="str">
            <v>20247101</v>
          </cell>
          <cell r="B20" t="str">
            <v>GOODDAY S SL MAZZA MIX</v>
          </cell>
          <cell r="C20">
            <v>8.4</v>
          </cell>
          <cell r="D20">
            <v>12</v>
          </cell>
          <cell r="E20">
            <v>0.10080000000000001</v>
          </cell>
          <cell r="F20">
            <v>11912.47</v>
          </cell>
          <cell r="G20">
            <v>1</v>
          </cell>
          <cell r="H20">
            <v>8.4000000000000012E-3</v>
          </cell>
          <cell r="I20">
            <v>917.52</v>
          </cell>
          <cell r="J20">
            <v>13</v>
          </cell>
          <cell r="K20">
            <v>0.10920000000000001</v>
          </cell>
          <cell r="L20">
            <v>11927.76</v>
          </cell>
          <cell r="M20">
            <v>4</v>
          </cell>
          <cell r="N20">
            <v>3.3600000000000005E-2</v>
          </cell>
          <cell r="O20">
            <v>3628.8</v>
          </cell>
          <cell r="P20">
            <v>4</v>
          </cell>
          <cell r="Q20">
            <v>3.3600000000000005E-2</v>
          </cell>
          <cell r="R20">
            <v>3604.8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34</v>
          </cell>
          <cell r="AO20">
            <v>0.28560000000000002</v>
          </cell>
          <cell r="AP20">
            <v>31991.35</v>
          </cell>
        </row>
        <row r="21">
          <cell r="A21" t="str">
            <v>20307001</v>
          </cell>
          <cell r="B21" t="str">
            <v>FRUIT CAKE      (CAL-CP)</v>
          </cell>
          <cell r="C21">
            <v>12</v>
          </cell>
          <cell r="D21">
            <v>771</v>
          </cell>
          <cell r="E21">
            <v>9.2520000000000007</v>
          </cell>
          <cell r="F21">
            <v>894853.44</v>
          </cell>
          <cell r="G21">
            <v>721</v>
          </cell>
          <cell r="H21">
            <v>8.6519999999999992</v>
          </cell>
          <cell r="I21">
            <v>838175.52</v>
          </cell>
          <cell r="J21">
            <v>684</v>
          </cell>
          <cell r="K21">
            <v>8.2080000000000002</v>
          </cell>
          <cell r="L21">
            <v>793877.76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2176</v>
          </cell>
          <cell r="AO21">
            <v>26.111999999999998</v>
          </cell>
          <cell r="AP21">
            <v>2526906.7200000002</v>
          </cell>
        </row>
        <row r="22">
          <cell r="A22" t="str">
            <v>20317001</v>
          </cell>
          <cell r="B22" t="str">
            <v>CHOCOLATE   (FROM CAL CP)</v>
          </cell>
          <cell r="C22">
            <v>12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</row>
        <row r="23">
          <cell r="A23" t="str">
            <v>21017601</v>
          </cell>
          <cell r="B23" t="str">
            <v>HALF-HALF CHOC/VAN TWINPK</v>
          </cell>
          <cell r="C23">
            <v>4.8</v>
          </cell>
          <cell r="D23">
            <v>96</v>
          </cell>
          <cell r="E23">
            <v>0.46079999999999993</v>
          </cell>
          <cell r="F23">
            <v>71497.570000000007</v>
          </cell>
          <cell r="G23">
            <v>0</v>
          </cell>
          <cell r="H23">
            <v>0</v>
          </cell>
          <cell r="I23">
            <v>0</v>
          </cell>
          <cell r="J23">
            <v>35</v>
          </cell>
          <cell r="K23">
            <v>0.16800000000000001</v>
          </cell>
          <cell r="L23">
            <v>25687.200000000001</v>
          </cell>
          <cell r="M23">
            <v>45</v>
          </cell>
          <cell r="N23">
            <v>0.216</v>
          </cell>
          <cell r="O23">
            <v>32659.200000000001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10</v>
          </cell>
          <cell r="W23">
            <v>4.8000000000000001E-2</v>
          </cell>
          <cell r="X23">
            <v>7420.8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186</v>
          </cell>
          <cell r="AO23">
            <v>0.89279999999999993</v>
          </cell>
          <cell r="AP23">
            <v>137264.76999999999</v>
          </cell>
        </row>
        <row r="24">
          <cell r="A24" t="str">
            <v>21017701</v>
          </cell>
          <cell r="B24" t="str">
            <v>HALF HALF CHOC/VAN FMLYPK</v>
          </cell>
          <cell r="C24">
            <v>3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</row>
        <row r="25">
          <cell r="A25" t="str">
            <v>21027601</v>
          </cell>
          <cell r="B25" t="str">
            <v>HALF HALF OR/CHOC  TWINPK</v>
          </cell>
          <cell r="C25">
            <v>4.8</v>
          </cell>
          <cell r="D25">
            <v>89</v>
          </cell>
          <cell r="E25">
            <v>0.42719999999999997</v>
          </cell>
          <cell r="F25">
            <v>65864.73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39</v>
          </cell>
          <cell r="N25">
            <v>0.18719999999999998</v>
          </cell>
          <cell r="O25">
            <v>28304.639999999999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128</v>
          </cell>
          <cell r="AO25">
            <v>0.61439999999999995</v>
          </cell>
          <cell r="AP25">
            <v>94169.37</v>
          </cell>
        </row>
        <row r="26">
          <cell r="A26" t="str">
            <v>21027701</v>
          </cell>
          <cell r="B26" t="str">
            <v>HALF HALF OR/CHOC  FMLYPK</v>
          </cell>
          <cell r="C26">
            <v>3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</row>
        <row r="27">
          <cell r="A27" t="str">
            <v>22017801</v>
          </cell>
          <cell r="B27" t="str">
            <v>CUP CAKE TWIN BUTTER</v>
          </cell>
          <cell r="C27">
            <v>4.8</v>
          </cell>
          <cell r="D27">
            <v>34</v>
          </cell>
          <cell r="E27">
            <v>0.16319999999999998</v>
          </cell>
          <cell r="F27">
            <v>24953.279999999999</v>
          </cell>
          <cell r="G27">
            <v>0</v>
          </cell>
          <cell r="H27">
            <v>0</v>
          </cell>
          <cell r="I27">
            <v>0</v>
          </cell>
          <cell r="J27">
            <v>30</v>
          </cell>
          <cell r="K27">
            <v>0.14399999999999999</v>
          </cell>
          <cell r="L27">
            <v>22017.599999999999</v>
          </cell>
          <cell r="M27">
            <v>46</v>
          </cell>
          <cell r="N27">
            <v>0.2208</v>
          </cell>
          <cell r="O27">
            <v>31812.48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13</v>
          </cell>
          <cell r="W27">
            <v>6.2399999999999997E-2</v>
          </cell>
          <cell r="X27">
            <v>9647.0400000000009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123</v>
          </cell>
          <cell r="AO27">
            <v>0.59039999999999992</v>
          </cell>
          <cell r="AP27">
            <v>88430.399999999994</v>
          </cell>
        </row>
        <row r="28">
          <cell r="A28" t="str">
            <v>22027801</v>
          </cell>
          <cell r="B28" t="str">
            <v>CUP CAKE TWIN ORANGE</v>
          </cell>
          <cell r="C28">
            <v>4.8</v>
          </cell>
          <cell r="D28">
            <v>35</v>
          </cell>
          <cell r="E28">
            <v>0.16800000000000001</v>
          </cell>
          <cell r="F28">
            <v>25687.200000000001</v>
          </cell>
          <cell r="G28">
            <v>0</v>
          </cell>
          <cell r="H28">
            <v>0</v>
          </cell>
          <cell r="I28">
            <v>0</v>
          </cell>
          <cell r="J28">
            <v>82</v>
          </cell>
          <cell r="K28">
            <v>0.39359999999999995</v>
          </cell>
          <cell r="L28">
            <v>53824.959999999999</v>
          </cell>
          <cell r="M28">
            <v>50</v>
          </cell>
          <cell r="N28">
            <v>0.24</v>
          </cell>
          <cell r="O28">
            <v>34836.480000000003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13</v>
          </cell>
          <cell r="W28">
            <v>6.2399999999999997E-2</v>
          </cell>
          <cell r="X28">
            <v>9647.0400000000009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180</v>
          </cell>
          <cell r="AO28">
            <v>0.86399999999999999</v>
          </cell>
          <cell r="AP28">
            <v>123995.68</v>
          </cell>
        </row>
        <row r="29">
          <cell r="A29" t="str">
            <v>22037801</v>
          </cell>
          <cell r="B29" t="str">
            <v>CUP CAKE TWIN PINEAPPLE</v>
          </cell>
          <cell r="C29">
            <v>4.8</v>
          </cell>
          <cell r="D29">
            <v>33</v>
          </cell>
          <cell r="E29">
            <v>0.15840000000000001</v>
          </cell>
          <cell r="F29">
            <v>24219.360000000001</v>
          </cell>
          <cell r="G29">
            <v>0</v>
          </cell>
          <cell r="H29">
            <v>0</v>
          </cell>
          <cell r="I29">
            <v>0</v>
          </cell>
          <cell r="J29">
            <v>29</v>
          </cell>
          <cell r="K29">
            <v>0.13919999999999999</v>
          </cell>
          <cell r="L29">
            <v>21283.68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13</v>
          </cell>
          <cell r="W29">
            <v>6.2399999999999997E-2</v>
          </cell>
          <cell r="X29">
            <v>9647.0400000000009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75</v>
          </cell>
          <cell r="AO29">
            <v>0.36</v>
          </cell>
          <cell r="AP29">
            <v>55150.080000000002</v>
          </cell>
        </row>
        <row r="30">
          <cell r="A30" t="str">
            <v>22047901</v>
          </cell>
          <cell r="B30" t="str">
            <v>CUP CAKE FAMILY BUTTER</v>
          </cell>
          <cell r="C30">
            <v>3</v>
          </cell>
          <cell r="D30">
            <v>20</v>
          </cell>
          <cell r="E30">
            <v>0.06</v>
          </cell>
          <cell r="F30">
            <v>7340</v>
          </cell>
          <cell r="G30">
            <v>0</v>
          </cell>
          <cell r="H30">
            <v>0</v>
          </cell>
          <cell r="I30">
            <v>0</v>
          </cell>
          <cell r="J30">
            <v>19</v>
          </cell>
          <cell r="K30">
            <v>5.7000000000000002E-2</v>
          </cell>
          <cell r="L30">
            <v>6973</v>
          </cell>
          <cell r="M30">
            <v>25</v>
          </cell>
          <cell r="N30">
            <v>7.4999999999999997E-2</v>
          </cell>
          <cell r="O30">
            <v>8649.36</v>
          </cell>
          <cell r="P30">
            <v>10</v>
          </cell>
          <cell r="Q30">
            <v>0.03</v>
          </cell>
          <cell r="R30">
            <v>3604.4</v>
          </cell>
          <cell r="S30">
            <v>0</v>
          </cell>
          <cell r="T30">
            <v>0</v>
          </cell>
          <cell r="U30">
            <v>0</v>
          </cell>
          <cell r="V30">
            <v>13</v>
          </cell>
          <cell r="W30">
            <v>3.9E-2</v>
          </cell>
          <cell r="X30">
            <v>4823.5200000000004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87</v>
          </cell>
          <cell r="AO30">
            <v>0.26100000000000001</v>
          </cell>
          <cell r="AP30">
            <v>31390.28</v>
          </cell>
        </row>
        <row r="31">
          <cell r="A31" t="str">
            <v>22057901</v>
          </cell>
          <cell r="B31" t="str">
            <v>CUP CAKE FAMILY ORANGE</v>
          </cell>
          <cell r="C31">
            <v>3</v>
          </cell>
          <cell r="D31">
            <v>24</v>
          </cell>
          <cell r="E31">
            <v>7.1999999999999995E-2</v>
          </cell>
          <cell r="F31">
            <v>8808</v>
          </cell>
          <cell r="G31">
            <v>0</v>
          </cell>
          <cell r="H31">
            <v>0</v>
          </cell>
          <cell r="I31">
            <v>0</v>
          </cell>
          <cell r="J31">
            <v>18</v>
          </cell>
          <cell r="K31">
            <v>5.3999999999999999E-2</v>
          </cell>
          <cell r="L31">
            <v>6606</v>
          </cell>
          <cell r="M31">
            <v>25</v>
          </cell>
          <cell r="N31">
            <v>7.4999999999999997E-2</v>
          </cell>
          <cell r="O31">
            <v>8709.8799999999992</v>
          </cell>
          <cell r="P31">
            <v>5</v>
          </cell>
          <cell r="Q31">
            <v>1.4999999999999999E-2</v>
          </cell>
          <cell r="R31">
            <v>1802.2</v>
          </cell>
          <cell r="S31">
            <v>0</v>
          </cell>
          <cell r="T31">
            <v>0</v>
          </cell>
          <cell r="U31">
            <v>0</v>
          </cell>
          <cell r="V31">
            <v>13</v>
          </cell>
          <cell r="W31">
            <v>3.9E-2</v>
          </cell>
          <cell r="X31">
            <v>4823.5200000000004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85</v>
          </cell>
          <cell r="AO31">
            <v>0.255</v>
          </cell>
          <cell r="AP31">
            <v>30749.599999999999</v>
          </cell>
        </row>
        <row r="32">
          <cell r="A32" t="str">
            <v>22067901</v>
          </cell>
          <cell r="B32" t="str">
            <v>CUP CAKE FAMILY PINEAPPLE</v>
          </cell>
          <cell r="C32">
            <v>3</v>
          </cell>
          <cell r="D32">
            <v>22</v>
          </cell>
          <cell r="E32">
            <v>6.6000000000000003E-2</v>
          </cell>
          <cell r="F32">
            <v>8074</v>
          </cell>
          <cell r="G32">
            <v>0</v>
          </cell>
          <cell r="H32">
            <v>0</v>
          </cell>
          <cell r="I32">
            <v>0</v>
          </cell>
          <cell r="J32">
            <v>18</v>
          </cell>
          <cell r="K32">
            <v>5.3999999999999999E-2</v>
          </cell>
          <cell r="L32">
            <v>6606</v>
          </cell>
          <cell r="M32">
            <v>25</v>
          </cell>
          <cell r="N32">
            <v>7.4999999999999997E-2</v>
          </cell>
          <cell r="O32">
            <v>8709.8799999999992</v>
          </cell>
          <cell r="P32">
            <v>10</v>
          </cell>
          <cell r="Q32">
            <v>0.03</v>
          </cell>
          <cell r="R32">
            <v>3604.4</v>
          </cell>
          <cell r="S32">
            <v>0</v>
          </cell>
          <cell r="T32">
            <v>0</v>
          </cell>
          <cell r="U32">
            <v>0</v>
          </cell>
          <cell r="V32">
            <v>13</v>
          </cell>
          <cell r="W32">
            <v>3.9E-2</v>
          </cell>
          <cell r="X32">
            <v>4823.5200000000004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88</v>
          </cell>
          <cell r="AO32">
            <v>0.26400000000000001</v>
          </cell>
          <cell r="AP32">
            <v>31817.8</v>
          </cell>
        </row>
        <row r="33">
          <cell r="A33" t="str">
            <v>40018001</v>
          </cell>
          <cell r="B33" t="str">
            <v>PROCESSED CHEESE 400G TIN</v>
          </cell>
          <cell r="C33">
            <v>9.6</v>
          </cell>
          <cell r="D33">
            <v>0</v>
          </cell>
          <cell r="E33">
            <v>0</v>
          </cell>
          <cell r="F33">
            <v>0</v>
          </cell>
          <cell r="G33">
            <v>6</v>
          </cell>
          <cell r="H33">
            <v>5.7599999999999991E-2</v>
          </cell>
          <cell r="I33">
            <v>9408.9599999999991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6</v>
          </cell>
          <cell r="AO33">
            <v>5.7599999999999991E-2</v>
          </cell>
          <cell r="AP33">
            <v>9408.9599999999991</v>
          </cell>
        </row>
        <row r="34">
          <cell r="A34" t="str">
            <v>40018002</v>
          </cell>
          <cell r="B34" t="str">
            <v>PROCESSED CHEESE 200G TIN</v>
          </cell>
          <cell r="C34">
            <v>9.6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</row>
        <row r="35">
          <cell r="A35" t="str">
            <v>40018101</v>
          </cell>
          <cell r="B35" t="str">
            <v>CHEESE SINGLES 100G IWS</v>
          </cell>
          <cell r="C35">
            <v>12</v>
          </cell>
          <cell r="D35">
            <v>30</v>
          </cell>
          <cell r="E35">
            <v>0.36</v>
          </cell>
          <cell r="F35">
            <v>71383.199999999997</v>
          </cell>
          <cell r="G35">
            <v>1</v>
          </cell>
          <cell r="H35">
            <v>1.2E-2</v>
          </cell>
          <cell r="I35">
            <v>2352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5</v>
          </cell>
          <cell r="W35">
            <v>0.06</v>
          </cell>
          <cell r="X35">
            <v>11676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36</v>
          </cell>
          <cell r="AO35">
            <v>0.432</v>
          </cell>
          <cell r="AP35">
            <v>85411.199999999997</v>
          </cell>
        </row>
        <row r="36">
          <cell r="A36" t="str">
            <v>40018102</v>
          </cell>
          <cell r="B36" t="str">
            <v>CHEESE SINGLES 200G IWS</v>
          </cell>
          <cell r="C36">
            <v>12</v>
          </cell>
          <cell r="D36">
            <v>132</v>
          </cell>
          <cell r="E36">
            <v>1.5840000000000001</v>
          </cell>
          <cell r="F36">
            <v>292713</v>
          </cell>
          <cell r="G36">
            <v>4</v>
          </cell>
          <cell r="H36">
            <v>4.8000000000000001E-2</v>
          </cell>
          <cell r="I36">
            <v>11028</v>
          </cell>
          <cell r="J36">
            <v>20</v>
          </cell>
          <cell r="K36">
            <v>0.24</v>
          </cell>
          <cell r="L36">
            <v>45463.32</v>
          </cell>
          <cell r="M36">
            <v>24</v>
          </cell>
          <cell r="N36">
            <v>0.28799999999999998</v>
          </cell>
          <cell r="O36">
            <v>53305.919999999998</v>
          </cell>
          <cell r="P36">
            <v>1</v>
          </cell>
          <cell r="Q36">
            <v>1.2E-2</v>
          </cell>
          <cell r="R36">
            <v>2126.4</v>
          </cell>
          <cell r="S36">
            <v>1</v>
          </cell>
          <cell r="T36">
            <v>1.2E-2</v>
          </cell>
          <cell r="U36">
            <v>2126.4</v>
          </cell>
          <cell r="V36">
            <v>13</v>
          </cell>
          <cell r="W36">
            <v>0.156</v>
          </cell>
          <cell r="X36">
            <v>28462.2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195</v>
          </cell>
          <cell r="AO36">
            <v>2.34</v>
          </cell>
          <cell r="AP36">
            <v>435225.24</v>
          </cell>
        </row>
        <row r="37">
          <cell r="A37" t="str">
            <v>40018301</v>
          </cell>
          <cell r="B37" t="str">
            <v>PROCESSED CHEESE 200G CHP</v>
          </cell>
          <cell r="C37">
            <v>12</v>
          </cell>
          <cell r="D37">
            <v>85</v>
          </cell>
          <cell r="E37">
            <v>1.02</v>
          </cell>
          <cell r="F37">
            <v>189049.8</v>
          </cell>
          <cell r="G37">
            <v>1</v>
          </cell>
          <cell r="H37">
            <v>1.2E-2</v>
          </cell>
          <cell r="I37">
            <v>6616.8</v>
          </cell>
          <cell r="J37">
            <v>26</v>
          </cell>
          <cell r="K37">
            <v>0.312</v>
          </cell>
          <cell r="L37">
            <v>57024.6</v>
          </cell>
          <cell r="M37">
            <v>37</v>
          </cell>
          <cell r="N37">
            <v>0.44400000000000001</v>
          </cell>
          <cell r="O37">
            <v>81136.320000000007</v>
          </cell>
          <cell r="P37">
            <v>1</v>
          </cell>
          <cell r="Q37">
            <v>1.2E-2</v>
          </cell>
          <cell r="R37">
            <v>2126.4</v>
          </cell>
          <cell r="S37">
            <v>1</v>
          </cell>
          <cell r="T37">
            <v>1.2E-2</v>
          </cell>
          <cell r="U37">
            <v>2126.4</v>
          </cell>
          <cell r="V37">
            <v>40</v>
          </cell>
          <cell r="W37">
            <v>0.48</v>
          </cell>
          <cell r="X37">
            <v>87576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30</v>
          </cell>
          <cell r="AL37">
            <v>0.36</v>
          </cell>
          <cell r="AM37">
            <v>60300</v>
          </cell>
          <cell r="AN37">
            <v>221</v>
          </cell>
          <cell r="AO37">
            <v>2.6520000000000001</v>
          </cell>
          <cell r="AP37">
            <v>485956.32</v>
          </cell>
        </row>
        <row r="38">
          <cell r="A38" t="str">
            <v>40018801</v>
          </cell>
          <cell r="B38" t="str">
            <v>PROCESSED CHEESE 400GCEKA</v>
          </cell>
          <cell r="C38">
            <v>12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</row>
        <row r="39">
          <cell r="A39" t="str">
            <v>40019001</v>
          </cell>
          <cell r="B39" t="str">
            <v>PROCESSED CHEESE I. PACK</v>
          </cell>
          <cell r="C39">
            <v>12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</row>
        <row r="40">
          <cell r="A40" t="str">
            <v>40019401</v>
          </cell>
          <cell r="B40" t="str">
            <v>N F T - CHEESE 400G TIN</v>
          </cell>
          <cell r="C40">
            <v>9.6</v>
          </cell>
          <cell r="D40">
            <v>238</v>
          </cell>
          <cell r="E40">
            <v>2.2847999999999997</v>
          </cell>
          <cell r="F40">
            <v>350471.7</v>
          </cell>
          <cell r="G40">
            <v>0</v>
          </cell>
          <cell r="H40">
            <v>0</v>
          </cell>
          <cell r="I40">
            <v>0</v>
          </cell>
          <cell r="J40">
            <v>83</v>
          </cell>
          <cell r="K40">
            <v>0.79679999999999995</v>
          </cell>
          <cell r="L40">
            <v>119771.7</v>
          </cell>
          <cell r="M40">
            <v>42</v>
          </cell>
          <cell r="N40">
            <v>0.4032</v>
          </cell>
          <cell r="O40">
            <v>60946.5</v>
          </cell>
          <cell r="P40">
            <v>0</v>
          </cell>
          <cell r="Q40">
            <v>0</v>
          </cell>
          <cell r="R40">
            <v>0</v>
          </cell>
          <cell r="S40">
            <v>1</v>
          </cell>
          <cell r="T40">
            <v>9.5999999999999992E-3</v>
          </cell>
          <cell r="U40">
            <v>1417.68</v>
          </cell>
          <cell r="V40">
            <v>53</v>
          </cell>
          <cell r="W40">
            <v>0.50879999999999992</v>
          </cell>
          <cell r="X40">
            <v>77350.320000000007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30</v>
          </cell>
          <cell r="AL40">
            <v>0.28799999999999998</v>
          </cell>
          <cell r="AM40">
            <v>43200</v>
          </cell>
          <cell r="AN40">
            <v>447</v>
          </cell>
          <cell r="AO40">
            <v>4.2911999999999999</v>
          </cell>
          <cell r="AP40">
            <v>653157.9</v>
          </cell>
        </row>
        <row r="41">
          <cell r="A41" t="str">
            <v>40019501</v>
          </cell>
          <cell r="B41" t="str">
            <v>CHEESE BLOCK 1 KG</v>
          </cell>
          <cell r="C41">
            <v>12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</row>
        <row r="42">
          <cell r="A42" t="str">
            <v>40019601</v>
          </cell>
          <cell r="B42" t="str">
            <v>CHIPLET 120G ONION</v>
          </cell>
          <cell r="C42">
            <v>12</v>
          </cell>
          <cell r="D42">
            <v>10</v>
          </cell>
          <cell r="E42">
            <v>0.12</v>
          </cell>
          <cell r="F42">
            <v>22870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4</v>
          </cell>
          <cell r="W42">
            <v>4.8000000000000001E-2</v>
          </cell>
          <cell r="X42">
            <v>9080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14</v>
          </cell>
          <cell r="AO42">
            <v>0.16800000000000001</v>
          </cell>
          <cell r="AP42">
            <v>31950</v>
          </cell>
        </row>
        <row r="43">
          <cell r="A43" t="str">
            <v>40028401</v>
          </cell>
          <cell r="B43" t="str">
            <v>DAIRY WHITENER 200G REFIL</v>
          </cell>
          <cell r="C43">
            <v>12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11</v>
          </cell>
          <cell r="K43">
            <v>0.13200000000000001</v>
          </cell>
          <cell r="L43">
            <v>15758.18</v>
          </cell>
          <cell r="M43">
            <v>89</v>
          </cell>
          <cell r="N43">
            <v>1.0680000000000001</v>
          </cell>
          <cell r="O43">
            <v>125850.45</v>
          </cell>
          <cell r="P43">
            <v>31</v>
          </cell>
          <cell r="Q43">
            <v>0.372</v>
          </cell>
          <cell r="R43">
            <v>43949.63</v>
          </cell>
          <cell r="S43">
            <v>59</v>
          </cell>
          <cell r="T43">
            <v>0.70799999999999996</v>
          </cell>
          <cell r="U43">
            <v>83646.070000000007</v>
          </cell>
          <cell r="V43">
            <v>535</v>
          </cell>
          <cell r="W43">
            <v>6.42</v>
          </cell>
          <cell r="X43">
            <v>780795.05</v>
          </cell>
          <cell r="Y43">
            <v>14</v>
          </cell>
          <cell r="Z43">
            <v>0.16800000000000001</v>
          </cell>
          <cell r="AA43">
            <v>20432.02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739</v>
          </cell>
          <cell r="AO43">
            <v>8.8680000000000003</v>
          </cell>
          <cell r="AP43">
            <v>1070431.3999999999</v>
          </cell>
        </row>
        <row r="44">
          <cell r="A44" t="str">
            <v>40028402</v>
          </cell>
          <cell r="B44" t="str">
            <v>DAIRY WHITENER 500G REFIL</v>
          </cell>
          <cell r="C44">
            <v>12</v>
          </cell>
          <cell r="D44">
            <v>27</v>
          </cell>
          <cell r="E44">
            <v>0.32400000000000001</v>
          </cell>
          <cell r="F44">
            <v>36975.79</v>
          </cell>
          <cell r="G44">
            <v>0</v>
          </cell>
          <cell r="H44">
            <v>0</v>
          </cell>
          <cell r="I44">
            <v>0</v>
          </cell>
          <cell r="J44">
            <v>11</v>
          </cell>
          <cell r="K44">
            <v>0.13200000000000001</v>
          </cell>
          <cell r="L44">
            <v>14497.56</v>
          </cell>
          <cell r="M44">
            <v>82</v>
          </cell>
          <cell r="N44">
            <v>0.98399999999999999</v>
          </cell>
          <cell r="O44">
            <v>106676.26</v>
          </cell>
          <cell r="P44">
            <v>68</v>
          </cell>
          <cell r="Q44">
            <v>0.81599999999999995</v>
          </cell>
          <cell r="R44">
            <v>88693.08</v>
          </cell>
          <cell r="S44">
            <v>37</v>
          </cell>
          <cell r="T44">
            <v>0.44400000000000001</v>
          </cell>
          <cell r="U44">
            <v>48259.47</v>
          </cell>
          <cell r="V44">
            <v>1340</v>
          </cell>
          <cell r="W44">
            <v>16.079999999999998</v>
          </cell>
          <cell r="X44">
            <v>1567141.2</v>
          </cell>
          <cell r="Y44">
            <v>9</v>
          </cell>
          <cell r="Z44">
            <v>0.108</v>
          </cell>
          <cell r="AA44">
            <v>12084.12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90</v>
          </cell>
          <cell r="AI44">
            <v>1.08</v>
          </cell>
          <cell r="AJ44">
            <v>122873.4</v>
          </cell>
          <cell r="AK44">
            <v>0</v>
          </cell>
          <cell r="AL44">
            <v>0</v>
          </cell>
          <cell r="AM44">
            <v>0</v>
          </cell>
          <cell r="AN44">
            <v>1339</v>
          </cell>
          <cell r="AO44">
            <v>16.068000000000001</v>
          </cell>
          <cell r="AP44">
            <v>1997200.88</v>
          </cell>
        </row>
        <row r="45">
          <cell r="A45" t="str">
            <v>40028501</v>
          </cell>
          <cell r="B45" t="str">
            <v>DAIRY WHITENER 200G POUCH</v>
          </cell>
          <cell r="C45">
            <v>12</v>
          </cell>
          <cell r="D45">
            <v>335</v>
          </cell>
          <cell r="E45">
            <v>4.0199999999999996</v>
          </cell>
          <cell r="F45">
            <v>464343.05</v>
          </cell>
          <cell r="G45">
            <v>309</v>
          </cell>
          <cell r="H45">
            <v>3.7080000000000002</v>
          </cell>
          <cell r="I45">
            <v>428280.54</v>
          </cell>
          <cell r="J45">
            <v>330</v>
          </cell>
          <cell r="K45">
            <v>3.96</v>
          </cell>
          <cell r="L45">
            <v>457372.67</v>
          </cell>
          <cell r="M45">
            <v>299</v>
          </cell>
          <cell r="N45">
            <v>3.5880000000000001</v>
          </cell>
          <cell r="O45">
            <v>394614.22</v>
          </cell>
          <cell r="P45">
            <v>120</v>
          </cell>
          <cell r="Q45">
            <v>1.44</v>
          </cell>
          <cell r="R45">
            <v>158786.4</v>
          </cell>
          <cell r="S45">
            <v>80</v>
          </cell>
          <cell r="T45">
            <v>0.96</v>
          </cell>
          <cell r="U45">
            <v>105857.60000000001</v>
          </cell>
          <cell r="V45">
            <v>1645</v>
          </cell>
          <cell r="W45">
            <v>19.739999999999998</v>
          </cell>
          <cell r="X45">
            <v>2234771.44</v>
          </cell>
          <cell r="Y45">
            <v>125</v>
          </cell>
          <cell r="Z45">
            <v>1.5</v>
          </cell>
          <cell r="AA45">
            <v>170267.5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25</v>
          </cell>
          <cell r="AI45">
            <v>0.3</v>
          </cell>
          <cell r="AJ45">
            <v>34626.25</v>
          </cell>
          <cell r="AK45">
            <v>0</v>
          </cell>
          <cell r="AL45">
            <v>0</v>
          </cell>
          <cell r="AM45">
            <v>0</v>
          </cell>
          <cell r="AN45">
            <v>3268</v>
          </cell>
          <cell r="AO45">
            <v>39.216000000000001</v>
          </cell>
          <cell r="AP45">
            <v>4448919.67</v>
          </cell>
        </row>
        <row r="46">
          <cell r="A46" t="str">
            <v>40028502</v>
          </cell>
          <cell r="B46" t="str">
            <v>DAIRY WHITENER 500G POUCH</v>
          </cell>
          <cell r="C46">
            <v>12</v>
          </cell>
          <cell r="D46">
            <v>2194</v>
          </cell>
          <cell r="E46">
            <v>26.327999999999999</v>
          </cell>
          <cell r="F46">
            <v>2822319.75</v>
          </cell>
          <cell r="G46">
            <v>1134</v>
          </cell>
          <cell r="H46">
            <v>13.608000000000001</v>
          </cell>
          <cell r="I46">
            <v>1415710.8</v>
          </cell>
          <cell r="J46">
            <v>1300</v>
          </cell>
          <cell r="K46">
            <v>15.6</v>
          </cell>
          <cell r="L46">
            <v>1667648</v>
          </cell>
          <cell r="M46">
            <v>1998</v>
          </cell>
          <cell r="N46">
            <v>23.975999999999999</v>
          </cell>
          <cell r="O46">
            <v>2449283.86</v>
          </cell>
          <cell r="P46">
            <v>1075</v>
          </cell>
          <cell r="Q46">
            <v>12.9</v>
          </cell>
          <cell r="R46">
            <v>1320852.5</v>
          </cell>
          <cell r="S46">
            <v>325</v>
          </cell>
          <cell r="T46">
            <v>3.9</v>
          </cell>
          <cell r="U46">
            <v>399327.5</v>
          </cell>
          <cell r="V46">
            <v>5966</v>
          </cell>
          <cell r="W46">
            <v>71.591999999999999</v>
          </cell>
          <cell r="X46">
            <v>7551727.2199999997</v>
          </cell>
          <cell r="Y46">
            <v>300</v>
          </cell>
          <cell r="Z46">
            <v>3.6</v>
          </cell>
          <cell r="AA46">
            <v>379452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60</v>
          </cell>
          <cell r="AI46">
            <v>0.72</v>
          </cell>
          <cell r="AJ46">
            <v>77167.199999999997</v>
          </cell>
          <cell r="AK46">
            <v>0</v>
          </cell>
          <cell r="AL46">
            <v>0</v>
          </cell>
          <cell r="AM46">
            <v>0</v>
          </cell>
          <cell r="AN46">
            <v>14352</v>
          </cell>
          <cell r="AO46">
            <v>172.22399999999999</v>
          </cell>
          <cell r="AP46">
            <v>18083488.800000001</v>
          </cell>
        </row>
        <row r="47">
          <cell r="A47" t="str">
            <v>40028503</v>
          </cell>
          <cell r="B47" t="str">
            <v>DAIRY WHITENER 50G POUCH</v>
          </cell>
          <cell r="C47">
            <v>9.6</v>
          </cell>
          <cell r="D47">
            <v>97</v>
          </cell>
          <cell r="E47">
            <v>0.93119999999999992</v>
          </cell>
          <cell r="F47">
            <v>102725.77</v>
          </cell>
          <cell r="G47">
            <v>0</v>
          </cell>
          <cell r="H47">
            <v>0</v>
          </cell>
          <cell r="I47">
            <v>0</v>
          </cell>
          <cell r="J47">
            <v>330</v>
          </cell>
          <cell r="K47">
            <v>3.1680000000000001</v>
          </cell>
          <cell r="L47">
            <v>348123.6</v>
          </cell>
          <cell r="M47">
            <v>231</v>
          </cell>
          <cell r="N47">
            <v>2.2176</v>
          </cell>
          <cell r="O47">
            <v>232201.2</v>
          </cell>
          <cell r="P47">
            <v>6</v>
          </cell>
          <cell r="Q47">
            <v>5.7599999999999991E-2</v>
          </cell>
          <cell r="R47">
            <v>6651.61</v>
          </cell>
          <cell r="S47">
            <v>44</v>
          </cell>
          <cell r="T47">
            <v>0.4224</v>
          </cell>
          <cell r="U47">
            <v>44344.08</v>
          </cell>
          <cell r="V47">
            <v>1087</v>
          </cell>
          <cell r="W47">
            <v>10.435199999999998</v>
          </cell>
          <cell r="X47">
            <v>1127729.8899999999</v>
          </cell>
          <cell r="Y47">
            <v>10</v>
          </cell>
          <cell r="Z47">
            <v>9.6000000000000002E-2</v>
          </cell>
          <cell r="AA47">
            <v>10374.700000000001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1805</v>
          </cell>
          <cell r="AO47">
            <v>17.327999999999999</v>
          </cell>
          <cell r="AP47">
            <v>1872150.85</v>
          </cell>
        </row>
        <row r="48">
          <cell r="A48" t="str">
            <v>40028504</v>
          </cell>
          <cell r="B48" t="str">
            <v>DAIRY WHITENER 100G POUCH</v>
          </cell>
          <cell r="C48">
            <v>12</v>
          </cell>
          <cell r="D48">
            <v>74</v>
          </cell>
          <cell r="E48">
            <v>0.88800000000000001</v>
          </cell>
          <cell r="F48">
            <v>111273.77</v>
          </cell>
          <cell r="G48">
            <v>21</v>
          </cell>
          <cell r="H48">
            <v>0.252</v>
          </cell>
          <cell r="I48">
            <v>31163.58</v>
          </cell>
          <cell r="J48">
            <v>234</v>
          </cell>
          <cell r="K48">
            <v>2.8079999999999998</v>
          </cell>
          <cell r="L48">
            <v>348500.34</v>
          </cell>
          <cell r="M48">
            <v>48</v>
          </cell>
          <cell r="N48">
            <v>0.57599999999999996</v>
          </cell>
          <cell r="O48">
            <v>67874.399999999994</v>
          </cell>
          <cell r="P48">
            <v>49</v>
          </cell>
          <cell r="Q48">
            <v>0.58799999999999997</v>
          </cell>
          <cell r="R48">
            <v>69468.77</v>
          </cell>
          <cell r="S48">
            <v>70</v>
          </cell>
          <cell r="T48">
            <v>0.84</v>
          </cell>
          <cell r="U48">
            <v>99241.1</v>
          </cell>
          <cell r="V48">
            <v>680</v>
          </cell>
          <cell r="W48">
            <v>8.16</v>
          </cell>
          <cell r="X48">
            <v>992412.4</v>
          </cell>
          <cell r="Y48">
            <v>25</v>
          </cell>
          <cell r="Z48">
            <v>0.3</v>
          </cell>
          <cell r="AA48">
            <v>36485.75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1201</v>
          </cell>
          <cell r="AO48">
            <v>14.412000000000001</v>
          </cell>
          <cell r="AP48">
            <v>1756420.11</v>
          </cell>
        </row>
        <row r="49">
          <cell r="A49" t="str">
            <v>40028505</v>
          </cell>
          <cell r="B49" t="str">
            <v>D-WHITENER 1000G POUCH</v>
          </cell>
          <cell r="C49">
            <v>12</v>
          </cell>
          <cell r="D49">
            <v>1</v>
          </cell>
          <cell r="E49">
            <v>1.2E-2</v>
          </cell>
          <cell r="F49">
            <v>1310.52</v>
          </cell>
          <cell r="G49">
            <v>5</v>
          </cell>
          <cell r="H49">
            <v>0.06</v>
          </cell>
          <cell r="I49">
            <v>6183.25</v>
          </cell>
          <cell r="J49">
            <v>122</v>
          </cell>
          <cell r="K49">
            <v>1.464</v>
          </cell>
          <cell r="L49">
            <v>148121.25</v>
          </cell>
          <cell r="M49">
            <v>5</v>
          </cell>
          <cell r="N49">
            <v>0.06</v>
          </cell>
          <cell r="O49">
            <v>5891.85</v>
          </cell>
          <cell r="P49">
            <v>72</v>
          </cell>
          <cell r="Q49">
            <v>0.86399999999999999</v>
          </cell>
          <cell r="R49">
            <v>85063.679999999993</v>
          </cell>
          <cell r="S49">
            <v>16</v>
          </cell>
          <cell r="T49">
            <v>0.192</v>
          </cell>
          <cell r="U49">
            <v>18903.04</v>
          </cell>
          <cell r="V49">
            <v>544</v>
          </cell>
          <cell r="W49">
            <v>6.5279999999999996</v>
          </cell>
          <cell r="X49">
            <v>661607.36</v>
          </cell>
          <cell r="Y49">
            <v>15</v>
          </cell>
          <cell r="Z49">
            <v>0.18</v>
          </cell>
          <cell r="AA49">
            <v>18242.849999999999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780</v>
          </cell>
          <cell r="AO49">
            <v>9.36</v>
          </cell>
          <cell r="AP49">
            <v>945323.8</v>
          </cell>
        </row>
        <row r="50">
          <cell r="A50" t="str">
            <v>40028901</v>
          </cell>
          <cell r="B50" t="str">
            <v>DAIRY WHITENER BULK PACK</v>
          </cell>
          <cell r="C50">
            <v>10</v>
          </cell>
          <cell r="D50">
            <v>178</v>
          </cell>
          <cell r="E50">
            <v>1.78</v>
          </cell>
          <cell r="F50">
            <v>156373</v>
          </cell>
          <cell r="G50">
            <v>288</v>
          </cell>
          <cell r="H50">
            <v>2.88</v>
          </cell>
          <cell r="I50">
            <v>253008</v>
          </cell>
          <cell r="J50">
            <v>31</v>
          </cell>
          <cell r="K50">
            <v>0.31</v>
          </cell>
          <cell r="L50">
            <v>27233.5</v>
          </cell>
          <cell r="M50">
            <v>105</v>
          </cell>
          <cell r="N50">
            <v>1.05</v>
          </cell>
          <cell r="O50">
            <v>89654.25</v>
          </cell>
          <cell r="P50">
            <v>420</v>
          </cell>
          <cell r="Q50">
            <v>4.2</v>
          </cell>
          <cell r="R50">
            <v>352501.8</v>
          </cell>
          <cell r="S50">
            <v>975</v>
          </cell>
          <cell r="T50">
            <v>9.75</v>
          </cell>
          <cell r="U50">
            <v>818307.75</v>
          </cell>
          <cell r="V50">
            <v>2993</v>
          </cell>
          <cell r="W50">
            <v>29.93</v>
          </cell>
          <cell r="X50">
            <v>2589126.21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4990</v>
          </cell>
          <cell r="AO50">
            <v>49.9</v>
          </cell>
          <cell r="AP50">
            <v>4286204.51</v>
          </cell>
        </row>
        <row r="51">
          <cell r="A51" t="str">
            <v>40029902</v>
          </cell>
          <cell r="B51" t="str">
            <v>DAIRY WHITENER 30GM</v>
          </cell>
          <cell r="C51">
            <v>9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</row>
        <row r="52">
          <cell r="A52" t="str">
            <v>40038601</v>
          </cell>
          <cell r="B52" t="str">
            <v>BUTTER 500G</v>
          </cell>
          <cell r="C52">
            <v>15</v>
          </cell>
          <cell r="D52">
            <v>217</v>
          </cell>
          <cell r="E52">
            <v>3.2549999999999999</v>
          </cell>
          <cell r="F52">
            <v>345121.07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217</v>
          </cell>
          <cell r="AO52">
            <v>3.2549999999999999</v>
          </cell>
          <cell r="AP52">
            <v>345121.07</v>
          </cell>
        </row>
        <row r="53">
          <cell r="A53" t="str">
            <v>40038602</v>
          </cell>
          <cell r="B53" t="str">
            <v>BUTTER 1 KG</v>
          </cell>
          <cell r="C53">
            <v>18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</row>
        <row r="54">
          <cell r="A54" t="str">
            <v>40038701</v>
          </cell>
          <cell r="B54" t="str">
            <v>BUTTER 100G</v>
          </cell>
          <cell r="C54">
            <v>15</v>
          </cell>
          <cell r="D54">
            <v>354</v>
          </cell>
          <cell r="E54">
            <v>5.31</v>
          </cell>
          <cell r="F54">
            <v>584627.67000000004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354</v>
          </cell>
          <cell r="AO54">
            <v>5.31</v>
          </cell>
          <cell r="AP54">
            <v>584627.67000000004</v>
          </cell>
        </row>
        <row r="55">
          <cell r="A55" t="str">
            <v>40048801</v>
          </cell>
          <cell r="B55" t="str">
            <v>CHEESE SPREAD-PLAIN</v>
          </cell>
          <cell r="C55">
            <v>7.2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</row>
        <row r="56">
          <cell r="A56" t="str">
            <v>40058801</v>
          </cell>
          <cell r="B56" t="str">
            <v>CHEESE SPREAD-BLK PEPPER</v>
          </cell>
          <cell r="C56">
            <v>7.2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</row>
        <row r="57">
          <cell r="A57" t="str">
            <v>40068801</v>
          </cell>
          <cell r="B57" t="str">
            <v>CHEESE SPREAD-JEERA</v>
          </cell>
          <cell r="C57">
            <v>7.2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</row>
        <row r="58">
          <cell r="A58" t="str">
            <v>40078801</v>
          </cell>
          <cell r="B58" t="str">
            <v>CHEESE SPREAD-CHILLI CAPC</v>
          </cell>
          <cell r="C58">
            <v>7.2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</row>
        <row r="59">
          <cell r="A59" t="str">
            <v>40099601</v>
          </cell>
          <cell r="B59" t="str">
            <v>CHIPLET 120G PLAIN REGULR</v>
          </cell>
          <cell r="C59">
            <v>12</v>
          </cell>
          <cell r="D59">
            <v>15</v>
          </cell>
          <cell r="E59">
            <v>0.18</v>
          </cell>
          <cell r="F59">
            <v>31860</v>
          </cell>
          <cell r="G59">
            <v>0</v>
          </cell>
          <cell r="H59">
            <v>0</v>
          </cell>
          <cell r="I59">
            <v>2124</v>
          </cell>
          <cell r="J59">
            <v>0</v>
          </cell>
          <cell r="K59">
            <v>0</v>
          </cell>
          <cell r="L59">
            <v>0</v>
          </cell>
          <cell r="M59">
            <v>2</v>
          </cell>
          <cell r="N59">
            <v>2.4E-2</v>
          </cell>
          <cell r="O59">
            <v>6141.78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8</v>
          </cell>
          <cell r="W59">
            <v>9.6000000000000002E-2</v>
          </cell>
          <cell r="X59">
            <v>16864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25</v>
          </cell>
          <cell r="AO59">
            <v>0.3</v>
          </cell>
          <cell r="AP59">
            <v>56989.78</v>
          </cell>
        </row>
        <row r="60">
          <cell r="A60" t="str">
            <v>40109601</v>
          </cell>
          <cell r="B60" t="str">
            <v>CHIPLET 120G PEPPER</v>
          </cell>
          <cell r="C60">
            <v>12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1</v>
          </cell>
          <cell r="N60">
            <v>1.2E-2</v>
          </cell>
          <cell r="O60">
            <v>2220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11</v>
          </cell>
          <cell r="W60">
            <v>0.13200000000000001</v>
          </cell>
          <cell r="X60">
            <v>24970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12</v>
          </cell>
          <cell r="AO60">
            <v>0.14399999999999999</v>
          </cell>
          <cell r="AP60">
            <v>27190</v>
          </cell>
        </row>
        <row r="61">
          <cell r="A61" t="str">
            <v>40119601</v>
          </cell>
          <cell r="B61" t="str">
            <v>CHIPLET 120G GARLIC</v>
          </cell>
          <cell r="C61">
            <v>12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</row>
        <row r="62">
          <cell r="A62" t="str">
            <v>40129601</v>
          </cell>
          <cell r="B62" t="str">
            <v>CHIPLET 120G PL.SOFT SPRD</v>
          </cell>
          <cell r="C62">
            <v>12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</row>
        <row r="63">
          <cell r="A63" t="str">
            <v>40139801</v>
          </cell>
          <cell r="B63" t="str">
            <v>SPREAD 150G PLAIN</v>
          </cell>
          <cell r="C63">
            <v>9</v>
          </cell>
          <cell r="D63">
            <v>47</v>
          </cell>
          <cell r="E63">
            <v>0.42299999999999999</v>
          </cell>
          <cell r="F63">
            <v>62555.040000000001</v>
          </cell>
          <cell r="G63">
            <v>4</v>
          </cell>
          <cell r="H63">
            <v>3.5999999999999997E-2</v>
          </cell>
          <cell r="I63">
            <v>6372</v>
          </cell>
          <cell r="J63">
            <v>5</v>
          </cell>
          <cell r="K63">
            <v>4.4999999999999998E-2</v>
          </cell>
          <cell r="L63">
            <v>6372</v>
          </cell>
          <cell r="M63">
            <v>17</v>
          </cell>
          <cell r="N63">
            <v>0.153</v>
          </cell>
          <cell r="O63">
            <v>21393.18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20</v>
          </cell>
          <cell r="W63">
            <v>0.18</v>
          </cell>
          <cell r="X63">
            <v>25296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93</v>
          </cell>
          <cell r="AO63">
            <v>0.83699999999999997</v>
          </cell>
          <cell r="AP63">
            <v>121988.22</v>
          </cell>
        </row>
        <row r="64">
          <cell r="A64" t="str">
            <v>40149801</v>
          </cell>
          <cell r="B64" t="str">
            <v>SPREAD 150G PEPPER</v>
          </cell>
          <cell r="C64">
            <v>9</v>
          </cell>
          <cell r="D64">
            <v>4</v>
          </cell>
          <cell r="E64">
            <v>3.5999999999999997E-2</v>
          </cell>
          <cell r="F64">
            <v>6890.1</v>
          </cell>
          <cell r="G64">
            <v>1</v>
          </cell>
          <cell r="H64">
            <v>8.9999999999999993E-3</v>
          </cell>
          <cell r="I64">
            <v>4116.6000000000004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10</v>
          </cell>
          <cell r="W64">
            <v>0.09</v>
          </cell>
          <cell r="X64">
            <v>13620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15</v>
          </cell>
          <cell r="AO64">
            <v>0.13500000000000001</v>
          </cell>
          <cell r="AP64">
            <v>24626.7</v>
          </cell>
        </row>
        <row r="65">
          <cell r="A65" t="str">
            <v>40159801</v>
          </cell>
          <cell r="B65" t="str">
            <v>SPREAD 150G MASALA GARLIC</v>
          </cell>
          <cell r="C65">
            <v>9</v>
          </cell>
          <cell r="D65">
            <v>17</v>
          </cell>
          <cell r="E65">
            <v>0.153</v>
          </cell>
          <cell r="F65">
            <v>24042.6</v>
          </cell>
          <cell r="G65">
            <v>0</v>
          </cell>
          <cell r="H65">
            <v>0</v>
          </cell>
          <cell r="I65">
            <v>1372.2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15</v>
          </cell>
          <cell r="W65">
            <v>0.13500000000000001</v>
          </cell>
          <cell r="X65">
            <v>20430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32</v>
          </cell>
          <cell r="AO65">
            <v>0.28799999999999998</v>
          </cell>
          <cell r="AP65">
            <v>45844.800000000003</v>
          </cell>
        </row>
        <row r="66">
          <cell r="A66" t="str">
            <v>40169801</v>
          </cell>
          <cell r="B66" t="str">
            <v>SPREAD 150G MASALA ONION</v>
          </cell>
          <cell r="C66">
            <v>9</v>
          </cell>
          <cell r="D66">
            <v>11</v>
          </cell>
          <cell r="E66">
            <v>9.9000000000000005E-2</v>
          </cell>
          <cell r="F66">
            <v>20489.39</v>
          </cell>
          <cell r="G66">
            <v>1</v>
          </cell>
          <cell r="H66">
            <v>8.9999999999999993E-3</v>
          </cell>
          <cell r="I66">
            <v>1372.2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15</v>
          </cell>
          <cell r="W66">
            <v>0.13500000000000001</v>
          </cell>
          <cell r="X66">
            <v>20430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27</v>
          </cell>
          <cell r="AO66">
            <v>0.24299999999999999</v>
          </cell>
          <cell r="AP66">
            <v>42291.59</v>
          </cell>
        </row>
        <row r="67">
          <cell r="A67" t="str">
            <v>41019101</v>
          </cell>
          <cell r="B67" t="str">
            <v>FLAVOURED MILK-MANGO</v>
          </cell>
          <cell r="C67">
            <v>5.4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</row>
        <row r="68">
          <cell r="A68" t="str">
            <v>41029101</v>
          </cell>
          <cell r="B68" t="str">
            <v>FLAVOURED MILK-PINEAPPLE</v>
          </cell>
          <cell r="C68">
            <v>5.4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</row>
        <row r="69">
          <cell r="A69" t="str">
            <v>41039101</v>
          </cell>
          <cell r="B69" t="str">
            <v>FLAVOURED MILK-STRAWBERRY</v>
          </cell>
          <cell r="C69">
            <v>5.4</v>
          </cell>
          <cell r="D69">
            <v>379</v>
          </cell>
          <cell r="E69">
            <v>2.0466000000000002</v>
          </cell>
          <cell r="F69">
            <v>72442.080000000002</v>
          </cell>
          <cell r="G69">
            <v>6</v>
          </cell>
          <cell r="H69">
            <v>3.2400000000000005E-2</v>
          </cell>
          <cell r="I69">
            <v>1146.96</v>
          </cell>
          <cell r="J69">
            <v>63</v>
          </cell>
          <cell r="K69">
            <v>0.34020000000000006</v>
          </cell>
          <cell r="L69">
            <v>12334.68</v>
          </cell>
          <cell r="M69">
            <v>123</v>
          </cell>
          <cell r="N69">
            <v>0.66420000000000001</v>
          </cell>
          <cell r="O69">
            <v>23873.5</v>
          </cell>
          <cell r="P69">
            <v>34</v>
          </cell>
          <cell r="Q69">
            <v>0.18360000000000001</v>
          </cell>
          <cell r="R69">
            <v>6961.38</v>
          </cell>
          <cell r="S69">
            <v>74</v>
          </cell>
          <cell r="T69">
            <v>0.39960000000000001</v>
          </cell>
          <cell r="U69">
            <v>14765.22</v>
          </cell>
          <cell r="V69">
            <v>143</v>
          </cell>
          <cell r="W69">
            <v>0.7722</v>
          </cell>
          <cell r="X69">
            <v>29382.21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822</v>
          </cell>
          <cell r="AO69">
            <v>4.4388000000000005</v>
          </cell>
          <cell r="AP69">
            <v>160906.03</v>
          </cell>
        </row>
        <row r="70">
          <cell r="A70" t="str">
            <v>41039201</v>
          </cell>
          <cell r="B70" t="str">
            <v>F M - STRAWBERRY -1 LITRE</v>
          </cell>
          <cell r="C70">
            <v>12</v>
          </cell>
          <cell r="D70">
            <v>0</v>
          </cell>
          <cell r="E70">
            <v>0</v>
          </cell>
          <cell r="F70">
            <v>350.35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350.35</v>
          </cell>
        </row>
        <row r="71">
          <cell r="A71" t="str">
            <v>41049101</v>
          </cell>
          <cell r="B71" t="str">
            <v>FLAVOURED MILK-CHOCOLATE</v>
          </cell>
          <cell r="C71">
            <v>5.4</v>
          </cell>
          <cell r="D71">
            <v>548</v>
          </cell>
          <cell r="E71">
            <v>2.9592000000000001</v>
          </cell>
          <cell r="F71">
            <v>104748.12</v>
          </cell>
          <cell r="G71">
            <v>10</v>
          </cell>
          <cell r="H71">
            <v>5.3999999999999999E-2</v>
          </cell>
          <cell r="I71">
            <v>1911.6</v>
          </cell>
          <cell r="J71">
            <v>70</v>
          </cell>
          <cell r="K71">
            <v>0.378</v>
          </cell>
          <cell r="L71">
            <v>13672.8</v>
          </cell>
          <cell r="M71">
            <v>75</v>
          </cell>
          <cell r="N71">
            <v>0.40500000000000003</v>
          </cell>
          <cell r="O71">
            <v>14539.5</v>
          </cell>
          <cell r="P71">
            <v>29</v>
          </cell>
          <cell r="Q71">
            <v>0.15660000000000002</v>
          </cell>
          <cell r="R71">
            <v>5904.61</v>
          </cell>
          <cell r="S71">
            <v>130</v>
          </cell>
          <cell r="T71">
            <v>0.70199999999999996</v>
          </cell>
          <cell r="U71">
            <v>25938.9</v>
          </cell>
          <cell r="V71">
            <v>182</v>
          </cell>
          <cell r="W71">
            <v>0.98280000000000012</v>
          </cell>
          <cell r="X71">
            <v>37395.54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1044</v>
          </cell>
          <cell r="AO71">
            <v>5.6375999999999999</v>
          </cell>
          <cell r="AP71">
            <v>204111.07</v>
          </cell>
        </row>
        <row r="72">
          <cell r="A72" t="str">
            <v>41049201</v>
          </cell>
          <cell r="B72" t="str">
            <v>F M - CHOCOLATE - 1 LITRE</v>
          </cell>
          <cell r="C72">
            <v>12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</row>
        <row r="73">
          <cell r="A73" t="str">
            <v>41059101</v>
          </cell>
          <cell r="B73" t="str">
            <v>FLAVOURED MILK-ELAICHI</v>
          </cell>
          <cell r="C73">
            <v>5.4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</row>
        <row r="74">
          <cell r="A74" t="str">
            <v>42019201</v>
          </cell>
          <cell r="B74" t="str">
            <v>UHT-MILK 1 LTR</v>
          </cell>
          <cell r="C74">
            <v>12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</row>
        <row r="75">
          <cell r="A75" t="str">
            <v>42019301</v>
          </cell>
          <cell r="B75" t="str">
            <v>UHT-MILK 250ML</v>
          </cell>
          <cell r="C75">
            <v>6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</row>
        <row r="76">
          <cell r="A76" t="str">
            <v>50016001</v>
          </cell>
          <cell r="B76" t="str">
            <v>GHEE TIN 1 LTR. - BUF</v>
          </cell>
          <cell r="C76">
            <v>18</v>
          </cell>
          <cell r="D76">
            <v>6</v>
          </cell>
          <cell r="E76">
            <v>0.108</v>
          </cell>
          <cell r="F76">
            <v>13589.12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4</v>
          </cell>
          <cell r="W76">
            <v>7.1999999999999995E-2</v>
          </cell>
          <cell r="X76">
            <v>8632.08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10</v>
          </cell>
          <cell r="AO76">
            <v>0.18</v>
          </cell>
          <cell r="AP76">
            <v>22221.200000000001</v>
          </cell>
        </row>
        <row r="77">
          <cell r="A77" t="str">
            <v>50026101</v>
          </cell>
          <cell r="B77" t="str">
            <v>GHEE CEKA PACK 1 LTR -BUF</v>
          </cell>
          <cell r="C77">
            <v>18</v>
          </cell>
          <cell r="D77">
            <v>14</v>
          </cell>
          <cell r="E77">
            <v>0.252</v>
          </cell>
          <cell r="F77">
            <v>31321.83</v>
          </cell>
          <cell r="G77">
            <v>5</v>
          </cell>
          <cell r="H77">
            <v>0.09</v>
          </cell>
          <cell r="I77">
            <v>10676.34</v>
          </cell>
          <cell r="J77">
            <v>0</v>
          </cell>
          <cell r="K77">
            <v>0</v>
          </cell>
          <cell r="L77">
            <v>0</v>
          </cell>
          <cell r="M77">
            <v>11</v>
          </cell>
          <cell r="N77">
            <v>0.19800000000000001</v>
          </cell>
          <cell r="O77">
            <v>24645.45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15</v>
          </cell>
          <cell r="W77">
            <v>0.27</v>
          </cell>
          <cell r="X77">
            <v>31649.4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45</v>
          </cell>
          <cell r="AO77">
            <v>0.81</v>
          </cell>
          <cell r="AP77">
            <v>98293.02</v>
          </cell>
        </row>
        <row r="78">
          <cell r="A78" t="str">
            <v>50036201</v>
          </cell>
          <cell r="B78" t="str">
            <v>GHEE CEKA PACK 1/2LTR-BUF</v>
          </cell>
          <cell r="C78">
            <v>18</v>
          </cell>
          <cell r="D78">
            <v>4</v>
          </cell>
          <cell r="E78">
            <v>7.1999999999999995E-2</v>
          </cell>
          <cell r="F78">
            <v>10240.98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54</v>
          </cell>
          <cell r="W78">
            <v>0.97199999999999998</v>
          </cell>
          <cell r="X78">
            <v>117398.16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58</v>
          </cell>
          <cell r="AO78">
            <v>1.044</v>
          </cell>
          <cell r="AP78">
            <v>127639.14</v>
          </cell>
        </row>
        <row r="79">
          <cell r="A79" t="str">
            <v>50046301</v>
          </cell>
          <cell r="B79" t="str">
            <v>GHEE POUCH 1 LTR. - BUF</v>
          </cell>
          <cell r="C79">
            <v>18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</row>
        <row r="80">
          <cell r="A80" t="str">
            <v>50066001</v>
          </cell>
          <cell r="B80" t="str">
            <v>GHEE 1 LTR TIN - COW</v>
          </cell>
          <cell r="C80">
            <v>18</v>
          </cell>
          <cell r="D80">
            <v>24</v>
          </cell>
          <cell r="E80">
            <v>0.432</v>
          </cell>
          <cell r="F80">
            <v>53665.48</v>
          </cell>
          <cell r="G80">
            <v>4</v>
          </cell>
          <cell r="H80">
            <v>7.1999999999999995E-2</v>
          </cell>
          <cell r="I80">
            <v>8879.76</v>
          </cell>
          <cell r="J80">
            <v>4</v>
          </cell>
          <cell r="K80">
            <v>7.1999999999999995E-2</v>
          </cell>
          <cell r="L80">
            <v>8879.76</v>
          </cell>
          <cell r="M80">
            <v>0</v>
          </cell>
          <cell r="N80">
            <v>0</v>
          </cell>
          <cell r="O80">
            <v>0</v>
          </cell>
          <cell r="P80">
            <v>3</v>
          </cell>
          <cell r="Q80">
            <v>5.3999999999999999E-2</v>
          </cell>
          <cell r="R80">
            <v>6421.68</v>
          </cell>
          <cell r="S80">
            <v>6</v>
          </cell>
          <cell r="T80">
            <v>0.108</v>
          </cell>
          <cell r="U80">
            <v>12843.36</v>
          </cell>
          <cell r="V80">
            <v>30</v>
          </cell>
          <cell r="W80">
            <v>0.54</v>
          </cell>
          <cell r="X80">
            <v>66106.8</v>
          </cell>
          <cell r="Y80">
            <v>3</v>
          </cell>
          <cell r="Z80">
            <v>5.3999999999999999E-2</v>
          </cell>
          <cell r="AA80">
            <v>6160.86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74</v>
          </cell>
          <cell r="AO80">
            <v>1.3320000000000001</v>
          </cell>
          <cell r="AP80">
            <v>162957.70000000001</v>
          </cell>
        </row>
        <row r="81">
          <cell r="A81" t="str">
            <v>50067101</v>
          </cell>
          <cell r="B81" t="str">
            <v>GHEE COW 200ML CEKA</v>
          </cell>
          <cell r="C81">
            <v>12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</row>
        <row r="82">
          <cell r="A82" t="str">
            <v>50076101</v>
          </cell>
          <cell r="B82" t="str">
            <v>GHEE 1 LTR CEKA PACK -COW</v>
          </cell>
          <cell r="C82">
            <v>18</v>
          </cell>
          <cell r="D82">
            <v>25</v>
          </cell>
          <cell r="E82">
            <v>0.45</v>
          </cell>
          <cell r="F82">
            <v>55769.8</v>
          </cell>
          <cell r="G82">
            <v>2</v>
          </cell>
          <cell r="H82">
            <v>3.5999999999999997E-2</v>
          </cell>
          <cell r="I82">
            <v>4286.5200000000004</v>
          </cell>
          <cell r="J82">
            <v>1</v>
          </cell>
          <cell r="K82">
            <v>1.7999999999999999E-2</v>
          </cell>
          <cell r="L82">
            <v>2143.2600000000002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24</v>
          </cell>
          <cell r="W82">
            <v>0.432</v>
          </cell>
          <cell r="X82">
            <v>51058.080000000002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52</v>
          </cell>
          <cell r="AO82">
            <v>0.93600000000000005</v>
          </cell>
          <cell r="AP82">
            <v>113257.66</v>
          </cell>
        </row>
        <row r="83">
          <cell r="A83" t="str">
            <v>50086201</v>
          </cell>
          <cell r="B83" t="str">
            <v>GHEE 1/2LTR CEKA PACK-COW</v>
          </cell>
          <cell r="C83">
            <v>18</v>
          </cell>
          <cell r="D83">
            <v>6</v>
          </cell>
          <cell r="E83">
            <v>0.108</v>
          </cell>
          <cell r="F83">
            <v>13626.86</v>
          </cell>
          <cell r="G83">
            <v>9</v>
          </cell>
          <cell r="H83">
            <v>0.16200000000000001</v>
          </cell>
          <cell r="I83">
            <v>19977.84</v>
          </cell>
          <cell r="J83">
            <v>2</v>
          </cell>
          <cell r="K83">
            <v>3.5999999999999997E-2</v>
          </cell>
          <cell r="L83">
            <v>4439.5200000000004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37</v>
          </cell>
          <cell r="W83">
            <v>0.66600000000000004</v>
          </cell>
          <cell r="X83">
            <v>81531.72</v>
          </cell>
          <cell r="Y83">
            <v>3</v>
          </cell>
          <cell r="Z83">
            <v>5.3999999999999999E-2</v>
          </cell>
          <cell r="AA83">
            <v>6161.4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57</v>
          </cell>
          <cell r="AO83">
            <v>1.026</v>
          </cell>
          <cell r="AP83">
            <v>125737.34</v>
          </cell>
        </row>
        <row r="84">
          <cell r="A84" t="str">
            <v>50096301</v>
          </cell>
          <cell r="B84" t="str">
            <v>GHEE 1 LTR POUCH -COW</v>
          </cell>
          <cell r="C84">
            <v>18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</row>
        <row r="86">
          <cell r="B86" t="str">
            <v>TOTAL</v>
          </cell>
          <cell r="D86">
            <v>6446</v>
          </cell>
          <cell r="E86">
            <v>69.255400000000009</v>
          </cell>
          <cell r="F86">
            <v>7449786.5299999993</v>
          </cell>
          <cell r="G86">
            <v>2542</v>
          </cell>
          <cell r="H86">
            <v>29.891999999999999</v>
          </cell>
          <cell r="I86">
            <v>3074026.57</v>
          </cell>
          <cell r="J86">
            <v>3804</v>
          </cell>
          <cell r="K86">
            <v>41.841400000000007</v>
          </cell>
          <cell r="L86">
            <v>4488421.919999999</v>
          </cell>
          <cell r="M86">
            <v>4479</v>
          </cell>
          <cell r="N86">
            <v>49.465200000000003</v>
          </cell>
          <cell r="O86">
            <v>4987933.4399999995</v>
          </cell>
          <cell r="P86">
            <v>2101</v>
          </cell>
          <cell r="Q86">
            <v>23.720399999999998</v>
          </cell>
          <cell r="R86">
            <v>2330944</v>
          </cell>
          <cell r="S86">
            <v>2054</v>
          </cell>
          <cell r="T86">
            <v>21.279599999999999</v>
          </cell>
          <cell r="U86">
            <v>1920625.67</v>
          </cell>
          <cell r="V86">
            <v>16684</v>
          </cell>
          <cell r="W86">
            <v>189.44120000000001</v>
          </cell>
          <cell r="X86">
            <v>19501844.129999995</v>
          </cell>
          <cell r="Y86">
            <v>624</v>
          </cell>
          <cell r="Z86">
            <v>7.5000000000000009</v>
          </cell>
          <cell r="AA86">
            <v>782104.39999999991</v>
          </cell>
          <cell r="AB86">
            <v>164</v>
          </cell>
          <cell r="AC86">
            <v>1.968</v>
          </cell>
          <cell r="AD86">
            <v>149916.6</v>
          </cell>
          <cell r="AE86">
            <v>200</v>
          </cell>
          <cell r="AF86">
            <v>2.4</v>
          </cell>
          <cell r="AG86">
            <v>196680</v>
          </cell>
          <cell r="AH86">
            <v>195</v>
          </cell>
          <cell r="AI86">
            <v>2.34</v>
          </cell>
          <cell r="AJ86">
            <v>255768.84999999998</v>
          </cell>
          <cell r="AK86">
            <v>60</v>
          </cell>
          <cell r="AL86">
            <v>0.64799999999999991</v>
          </cell>
          <cell r="AM86">
            <v>103500</v>
          </cell>
          <cell r="AN86">
            <v>39028</v>
          </cell>
          <cell r="AO86">
            <v>435.85119999999995</v>
          </cell>
          <cell r="AP86">
            <v>45241552.080000013</v>
          </cell>
        </row>
        <row r="88">
          <cell r="B88" t="str">
            <v>AS PER TRIAL</v>
          </cell>
          <cell r="AP88">
            <v>45241552.109999999</v>
          </cell>
        </row>
        <row r="89">
          <cell r="B89" t="str">
            <v>Difference</v>
          </cell>
          <cell r="AP89">
            <v>2.9999986290931702E-2</v>
          </cell>
        </row>
      </sheetData>
      <sheetData sheetId="5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  <cell r="AC1">
            <v>29</v>
          </cell>
          <cell r="AD1">
            <v>30</v>
          </cell>
          <cell r="AE1">
            <v>31</v>
          </cell>
          <cell r="AF1">
            <v>32</v>
          </cell>
          <cell r="AG1">
            <v>33</v>
          </cell>
          <cell r="AH1">
            <v>34</v>
          </cell>
          <cell r="AI1">
            <v>35</v>
          </cell>
          <cell r="AJ1">
            <v>36</v>
          </cell>
          <cell r="AK1">
            <v>37</v>
          </cell>
          <cell r="AL1">
            <v>38</v>
          </cell>
          <cell r="AM1">
            <v>39</v>
          </cell>
          <cell r="AN1">
            <v>40</v>
          </cell>
          <cell r="AO1">
            <v>41</v>
          </cell>
          <cell r="AP1">
            <v>42</v>
          </cell>
        </row>
        <row r="2">
          <cell r="A2" t="str">
            <v xml:space="preserve">BRITANNIA INDUSTRIES LIMITED </v>
          </cell>
        </row>
        <row r="3">
          <cell r="A3" t="str">
            <v>NBD - CALCUTTA</v>
          </cell>
        </row>
        <row r="4">
          <cell r="A4" t="str">
            <v xml:space="preserve">NSV FOR THE MONTH OF AUG' 2000 </v>
          </cell>
        </row>
        <row r="6">
          <cell r="A6" t="str">
            <v>STOCK CODE</v>
          </cell>
          <cell r="B6" t="str">
            <v>SKU</v>
          </cell>
          <cell r="C6" t="str">
            <v>WEIGHT</v>
          </cell>
          <cell r="D6" t="str">
            <v>JADAVPORE</v>
          </cell>
          <cell r="G6" t="str">
            <v>BURDWAN</v>
          </cell>
          <cell r="J6" t="str">
            <v>SILIGURI</v>
          </cell>
          <cell r="M6" t="str">
            <v>PATNA</v>
          </cell>
          <cell r="P6" t="str">
            <v>ROURKELA</v>
          </cell>
          <cell r="S6" t="str">
            <v>CUTTACK</v>
          </cell>
          <cell r="V6" t="str">
            <v>GUWAHATI</v>
          </cell>
          <cell r="Y6" t="str">
            <v>AGARTALA</v>
          </cell>
          <cell r="AB6" t="str">
            <v>A.K.SAHU</v>
          </cell>
          <cell r="AE6" t="str">
            <v>BUXARA</v>
          </cell>
          <cell r="AH6" t="str">
            <v>PORTBLAIR</v>
          </cell>
          <cell r="AK6" t="str">
            <v>NEPAL</v>
          </cell>
          <cell r="AN6" t="str">
            <v>TOTAL BRANCH</v>
          </cell>
        </row>
        <row r="7">
          <cell r="A7" t="str">
            <v>stock_no</v>
          </cell>
          <cell r="B7" t="str">
            <v>descrip</v>
          </cell>
          <cell r="C7" t="str">
            <v>weight</v>
          </cell>
          <cell r="D7" t="str">
            <v>jdv_cbb</v>
          </cell>
          <cell r="E7" t="str">
            <v>Tes</v>
          </cell>
          <cell r="F7" t="str">
            <v>jdv_value</v>
          </cell>
          <cell r="G7" t="str">
            <v>bdn_cbb</v>
          </cell>
          <cell r="H7" t="str">
            <v>Tes</v>
          </cell>
          <cell r="I7" t="str">
            <v>bdn_value</v>
          </cell>
          <cell r="J7" t="str">
            <v>slg_cbb</v>
          </cell>
          <cell r="K7" t="str">
            <v>Tes</v>
          </cell>
          <cell r="L7" t="str">
            <v>slg_value</v>
          </cell>
          <cell r="M7" t="str">
            <v>ptn_cbb</v>
          </cell>
          <cell r="N7" t="str">
            <v>Tes</v>
          </cell>
          <cell r="O7" t="str">
            <v>ptn_value</v>
          </cell>
          <cell r="P7" t="str">
            <v>rkl_cbb</v>
          </cell>
          <cell r="Q7" t="str">
            <v>Tes</v>
          </cell>
          <cell r="R7" t="str">
            <v>rkl_value</v>
          </cell>
          <cell r="S7" t="str">
            <v>ctk_cbb</v>
          </cell>
          <cell r="T7" t="str">
            <v>Tes</v>
          </cell>
          <cell r="U7" t="str">
            <v>ctk_value</v>
          </cell>
          <cell r="V7" t="str">
            <v>ght_cbb</v>
          </cell>
          <cell r="W7" t="str">
            <v>Tes</v>
          </cell>
          <cell r="X7" t="str">
            <v>ght_value</v>
          </cell>
          <cell r="Y7" t="str">
            <v>agt_cbb</v>
          </cell>
          <cell r="Z7" t="str">
            <v>Tes</v>
          </cell>
          <cell r="AA7" t="str">
            <v>agt_value</v>
          </cell>
          <cell r="AB7" t="str">
            <v>aks_cbb</v>
          </cell>
          <cell r="AC7" t="str">
            <v>Tes</v>
          </cell>
          <cell r="AD7" t="str">
            <v>aks_value</v>
          </cell>
          <cell r="AE7" t="str">
            <v>bux_cbb</v>
          </cell>
          <cell r="AF7" t="str">
            <v>Tes</v>
          </cell>
          <cell r="AG7" t="str">
            <v>bux_value</v>
          </cell>
          <cell r="AH7" t="str">
            <v>prt_cbb</v>
          </cell>
          <cell r="AI7" t="str">
            <v>Tes</v>
          </cell>
          <cell r="AJ7" t="str">
            <v>prt_value</v>
          </cell>
          <cell r="AK7" t="str">
            <v>nep_cbb</v>
          </cell>
          <cell r="AL7" t="str">
            <v>Tes</v>
          </cell>
          <cell r="AM7" t="str">
            <v>nep_value</v>
          </cell>
          <cell r="AN7" t="str">
            <v>tot_cbb</v>
          </cell>
          <cell r="AO7" t="str">
            <v>Tes</v>
          </cell>
          <cell r="AP7" t="str">
            <v>tot_value</v>
          </cell>
        </row>
        <row r="8">
          <cell r="A8" t="str">
            <v>20017101</v>
          </cell>
          <cell r="B8" t="str">
            <v>MIXED FRUIT</v>
          </cell>
          <cell r="C8">
            <v>8.4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</row>
        <row r="9">
          <cell r="A9" t="str">
            <v>20027101</v>
          </cell>
          <cell r="B9" t="str">
            <v>TRIO</v>
          </cell>
          <cell r="C9">
            <v>8.4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</row>
        <row r="10">
          <cell r="A10" t="str">
            <v>20037101</v>
          </cell>
          <cell r="B10" t="str">
            <v>DUET</v>
          </cell>
          <cell r="C10">
            <v>8.4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</row>
        <row r="11">
          <cell r="A11" t="str">
            <v>20047001</v>
          </cell>
          <cell r="B11" t="str">
            <v>FRUIT</v>
          </cell>
          <cell r="C11">
            <v>12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135</v>
          </cell>
          <cell r="K11">
            <v>1.62</v>
          </cell>
          <cell r="L11">
            <v>142438.5</v>
          </cell>
          <cell r="M11">
            <v>1119</v>
          </cell>
          <cell r="N11">
            <v>13.428000000000001</v>
          </cell>
          <cell r="O11">
            <v>1167497.46</v>
          </cell>
          <cell r="P11">
            <v>140</v>
          </cell>
          <cell r="Q11">
            <v>1.68</v>
          </cell>
          <cell r="R11">
            <v>145076.4</v>
          </cell>
          <cell r="S11">
            <v>260</v>
          </cell>
          <cell r="T11">
            <v>3.12</v>
          </cell>
          <cell r="U11">
            <v>269427.59999999998</v>
          </cell>
          <cell r="V11">
            <v>1085</v>
          </cell>
          <cell r="W11">
            <v>13.02</v>
          </cell>
          <cell r="X11">
            <v>1144937.1000000001</v>
          </cell>
          <cell r="Y11">
            <v>235</v>
          </cell>
          <cell r="Z11">
            <v>2.82</v>
          </cell>
          <cell r="AA11">
            <v>239784.6</v>
          </cell>
          <cell r="AB11">
            <v>222</v>
          </cell>
          <cell r="AC11">
            <v>2.6640000000000001</v>
          </cell>
          <cell r="AD11">
            <v>218314.8</v>
          </cell>
          <cell r="AE11">
            <v>170</v>
          </cell>
          <cell r="AF11">
            <v>2.04</v>
          </cell>
          <cell r="AG11">
            <v>167178</v>
          </cell>
          <cell r="AH11">
            <v>20</v>
          </cell>
          <cell r="AI11">
            <v>0.24</v>
          </cell>
          <cell r="AJ11">
            <v>21102</v>
          </cell>
          <cell r="AK11">
            <v>0</v>
          </cell>
          <cell r="AL11">
            <v>0</v>
          </cell>
          <cell r="AM11">
            <v>0</v>
          </cell>
          <cell r="AN11">
            <v>3386</v>
          </cell>
          <cell r="AO11">
            <v>40.631999999999998</v>
          </cell>
          <cell r="AP11">
            <v>3515756.46</v>
          </cell>
        </row>
        <row r="12">
          <cell r="A12" t="str">
            <v>20057001</v>
          </cell>
          <cell r="B12" t="str">
            <v>CHOCOLATE</v>
          </cell>
          <cell r="C12">
            <v>12</v>
          </cell>
          <cell r="D12">
            <v>116</v>
          </cell>
          <cell r="E12">
            <v>1.3919999999999999</v>
          </cell>
          <cell r="F12">
            <v>122391.6</v>
          </cell>
          <cell r="G12">
            <v>9</v>
          </cell>
          <cell r="H12">
            <v>0.108</v>
          </cell>
          <cell r="I12">
            <v>9495.9</v>
          </cell>
          <cell r="J12">
            <v>21</v>
          </cell>
          <cell r="K12">
            <v>0.252</v>
          </cell>
          <cell r="L12">
            <v>22157.1</v>
          </cell>
          <cell r="M12">
            <v>34</v>
          </cell>
          <cell r="N12">
            <v>0.40799999999999997</v>
          </cell>
          <cell r="O12">
            <v>35473.56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180</v>
          </cell>
          <cell r="AO12">
            <v>2.16</v>
          </cell>
          <cell r="AP12">
            <v>189518.16</v>
          </cell>
        </row>
        <row r="13">
          <cell r="A13" t="str">
            <v>20067001</v>
          </cell>
          <cell r="B13" t="str">
            <v>ORANGE</v>
          </cell>
          <cell r="C13">
            <v>12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</row>
        <row r="14">
          <cell r="A14" t="str">
            <v>20077001</v>
          </cell>
          <cell r="B14" t="str">
            <v>VANILLA CHOCOLATE</v>
          </cell>
          <cell r="C14">
            <v>12</v>
          </cell>
          <cell r="D14">
            <v>47</v>
          </cell>
          <cell r="E14">
            <v>0.56399999999999995</v>
          </cell>
          <cell r="F14">
            <v>49589.7</v>
          </cell>
          <cell r="G14">
            <v>10</v>
          </cell>
          <cell r="H14">
            <v>0.12</v>
          </cell>
          <cell r="I14">
            <v>10551</v>
          </cell>
          <cell r="J14">
            <v>10</v>
          </cell>
          <cell r="K14">
            <v>0.12</v>
          </cell>
          <cell r="L14">
            <v>10551</v>
          </cell>
          <cell r="M14">
            <v>29</v>
          </cell>
          <cell r="N14">
            <v>0.34799999999999998</v>
          </cell>
          <cell r="O14">
            <v>30256.86</v>
          </cell>
          <cell r="P14">
            <v>0</v>
          </cell>
          <cell r="Q14">
            <v>0</v>
          </cell>
          <cell r="R14">
            <v>0</v>
          </cell>
          <cell r="S14">
            <v>2</v>
          </cell>
          <cell r="T14">
            <v>2.4E-2</v>
          </cell>
          <cell r="U14">
            <v>2072.52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98</v>
          </cell>
          <cell r="AO14">
            <v>1.1759999999999999</v>
          </cell>
          <cell r="AP14">
            <v>103021.08</v>
          </cell>
        </row>
        <row r="15">
          <cell r="A15" t="str">
            <v>20087001</v>
          </cell>
          <cell r="B15" t="str">
            <v>ORANGE CHOCOLATE</v>
          </cell>
          <cell r="C15">
            <v>12</v>
          </cell>
          <cell r="D15">
            <v>54</v>
          </cell>
          <cell r="E15">
            <v>0.64800000000000002</v>
          </cell>
          <cell r="F15">
            <v>56975.4</v>
          </cell>
          <cell r="G15">
            <v>1</v>
          </cell>
          <cell r="H15">
            <v>1.2E-2</v>
          </cell>
          <cell r="I15">
            <v>1055.0999999999999</v>
          </cell>
          <cell r="J15">
            <v>13</v>
          </cell>
          <cell r="K15">
            <v>0.156</v>
          </cell>
          <cell r="L15">
            <v>13716.3</v>
          </cell>
          <cell r="M15">
            <v>24</v>
          </cell>
          <cell r="N15">
            <v>0.28799999999999998</v>
          </cell>
          <cell r="O15">
            <v>25040.16</v>
          </cell>
          <cell r="P15">
            <v>0</v>
          </cell>
          <cell r="Q15">
            <v>0</v>
          </cell>
          <cell r="R15">
            <v>0</v>
          </cell>
          <cell r="S15">
            <v>2</v>
          </cell>
          <cell r="T15">
            <v>2.4E-2</v>
          </cell>
          <cell r="U15">
            <v>2072.52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94</v>
          </cell>
          <cell r="AO15">
            <v>1.1279999999999999</v>
          </cell>
          <cell r="AP15">
            <v>98859.48</v>
          </cell>
        </row>
        <row r="16">
          <cell r="A16" t="str">
            <v>20097001</v>
          </cell>
          <cell r="B16" t="str">
            <v>PLUM</v>
          </cell>
          <cell r="C16">
            <v>18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</row>
        <row r="17">
          <cell r="A17" t="str">
            <v>20107001</v>
          </cell>
          <cell r="B17" t="str">
            <v>MILK</v>
          </cell>
          <cell r="C17">
            <v>12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</row>
        <row r="18">
          <cell r="A18" t="str">
            <v>20117001</v>
          </cell>
          <cell r="B18" t="str">
            <v>BUTTER SPONGE</v>
          </cell>
          <cell r="C18">
            <v>12</v>
          </cell>
          <cell r="D18">
            <v>38</v>
          </cell>
          <cell r="E18">
            <v>0.45600000000000002</v>
          </cell>
          <cell r="F18">
            <v>40093.800000000003</v>
          </cell>
          <cell r="G18">
            <v>10</v>
          </cell>
          <cell r="H18">
            <v>0.12</v>
          </cell>
          <cell r="I18">
            <v>10551</v>
          </cell>
          <cell r="J18">
            <v>2</v>
          </cell>
          <cell r="K18">
            <v>2.4E-2</v>
          </cell>
          <cell r="L18">
            <v>2110.1999999999998</v>
          </cell>
          <cell r="M18">
            <v>12</v>
          </cell>
          <cell r="N18">
            <v>0.14399999999999999</v>
          </cell>
          <cell r="O18">
            <v>12520.08</v>
          </cell>
          <cell r="P18">
            <v>0</v>
          </cell>
          <cell r="Q18">
            <v>0</v>
          </cell>
          <cell r="R18">
            <v>0</v>
          </cell>
          <cell r="S18">
            <v>3</v>
          </cell>
          <cell r="T18">
            <v>3.5999999999999997E-2</v>
          </cell>
          <cell r="U18">
            <v>3108.78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65</v>
          </cell>
          <cell r="AO18">
            <v>0.78</v>
          </cell>
          <cell r="AP18">
            <v>68383.86</v>
          </cell>
        </row>
        <row r="19">
          <cell r="A19" t="str">
            <v>20227101</v>
          </cell>
          <cell r="B19" t="str">
            <v>GOODDAY S SL VANILLA</v>
          </cell>
          <cell r="C19">
            <v>8.4</v>
          </cell>
          <cell r="D19">
            <v>10</v>
          </cell>
          <cell r="E19">
            <v>8.4000000000000005E-2</v>
          </cell>
          <cell r="F19">
            <v>9175.2000000000007</v>
          </cell>
          <cell r="G19">
            <v>5</v>
          </cell>
          <cell r="H19">
            <v>4.2000000000000003E-2</v>
          </cell>
          <cell r="I19">
            <v>4587.6000000000004</v>
          </cell>
          <cell r="J19">
            <v>9</v>
          </cell>
          <cell r="K19">
            <v>7.5600000000000014E-2</v>
          </cell>
          <cell r="L19">
            <v>8257.68</v>
          </cell>
          <cell r="M19">
            <v>5</v>
          </cell>
          <cell r="N19">
            <v>4.2000000000000003E-2</v>
          </cell>
          <cell r="O19">
            <v>4536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17</v>
          </cell>
          <cell r="W19">
            <v>0.14280000000000001</v>
          </cell>
          <cell r="X19">
            <v>15769.2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46</v>
          </cell>
          <cell r="AO19">
            <v>0.38640000000000002</v>
          </cell>
          <cell r="AP19">
            <v>42325.68</v>
          </cell>
        </row>
        <row r="20">
          <cell r="A20" t="str">
            <v>20237101</v>
          </cell>
          <cell r="B20" t="str">
            <v>GOODDAY S SL RICH FRUIT</v>
          </cell>
          <cell r="C20">
            <v>8.4</v>
          </cell>
          <cell r="D20">
            <v>19</v>
          </cell>
          <cell r="E20">
            <v>0.15959999999999999</v>
          </cell>
          <cell r="F20">
            <v>17432.88</v>
          </cell>
          <cell r="G20">
            <v>7</v>
          </cell>
          <cell r="H20">
            <v>5.8800000000000005E-2</v>
          </cell>
          <cell r="I20">
            <v>7271.35</v>
          </cell>
          <cell r="J20">
            <v>13</v>
          </cell>
          <cell r="K20">
            <v>0.10920000000000001</v>
          </cell>
          <cell r="L20">
            <v>11927.76</v>
          </cell>
          <cell r="M20">
            <v>22</v>
          </cell>
          <cell r="N20">
            <v>0.18480000000000002</v>
          </cell>
          <cell r="O20">
            <v>19958.400000000001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19</v>
          </cell>
          <cell r="W20">
            <v>0.15959999999999999</v>
          </cell>
          <cell r="X20">
            <v>17624.400000000001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80</v>
          </cell>
          <cell r="AO20">
            <v>0.67200000000000004</v>
          </cell>
          <cell r="AP20">
            <v>74214.789999999994</v>
          </cell>
        </row>
        <row r="21">
          <cell r="A21" t="str">
            <v>20247101</v>
          </cell>
          <cell r="B21" t="str">
            <v>GOODDAY S SL MAZZA MIX</v>
          </cell>
          <cell r="C21">
            <v>8.4</v>
          </cell>
          <cell r="D21">
            <v>16</v>
          </cell>
          <cell r="E21">
            <v>0.13440000000000002</v>
          </cell>
          <cell r="F21">
            <v>14680.32</v>
          </cell>
          <cell r="G21">
            <v>5</v>
          </cell>
          <cell r="H21">
            <v>4.2000000000000003E-2</v>
          </cell>
          <cell r="I21">
            <v>4587.6000000000004</v>
          </cell>
          <cell r="J21">
            <v>10</v>
          </cell>
          <cell r="K21">
            <v>8.4000000000000005E-2</v>
          </cell>
          <cell r="L21">
            <v>9175.2000000000007</v>
          </cell>
          <cell r="M21">
            <v>8</v>
          </cell>
          <cell r="N21">
            <v>6.720000000000001E-2</v>
          </cell>
          <cell r="O21">
            <v>7257.6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19</v>
          </cell>
          <cell r="W21">
            <v>0.15959999999999999</v>
          </cell>
          <cell r="X21">
            <v>17624.400000000001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58</v>
          </cell>
          <cell r="AO21">
            <v>0.48720000000000002</v>
          </cell>
          <cell r="AP21">
            <v>53325.120000000003</v>
          </cell>
        </row>
        <row r="22">
          <cell r="A22" t="str">
            <v>20307001</v>
          </cell>
          <cell r="B22" t="str">
            <v>FRUIT CAKE      (CAL-CP)</v>
          </cell>
          <cell r="C22">
            <v>12</v>
          </cell>
          <cell r="D22">
            <v>742</v>
          </cell>
          <cell r="E22">
            <v>8.9039999999999999</v>
          </cell>
          <cell r="F22">
            <v>862162.08</v>
          </cell>
          <cell r="G22">
            <v>415</v>
          </cell>
          <cell r="H22">
            <v>4.9800000000000004</v>
          </cell>
          <cell r="I22">
            <v>481665.6</v>
          </cell>
          <cell r="J22">
            <v>635</v>
          </cell>
          <cell r="K22">
            <v>7.62</v>
          </cell>
          <cell r="L22">
            <v>737006.4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1792</v>
          </cell>
          <cell r="AO22">
            <v>21.504000000000001</v>
          </cell>
          <cell r="AP22">
            <v>2080834.08</v>
          </cell>
        </row>
        <row r="23">
          <cell r="A23" t="str">
            <v>20317001</v>
          </cell>
          <cell r="B23" t="str">
            <v>CHOCOLATE   (FROM CAL CP)</v>
          </cell>
          <cell r="C23">
            <v>12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</row>
        <row r="24">
          <cell r="A24" t="str">
            <v>21017601</v>
          </cell>
          <cell r="B24" t="str">
            <v>HALF-HALF CHOC/VAN TWINPK</v>
          </cell>
          <cell r="C24">
            <v>4.8</v>
          </cell>
          <cell r="D24">
            <v>120</v>
          </cell>
          <cell r="E24">
            <v>0.57599999999999996</v>
          </cell>
          <cell r="F24">
            <v>88070.399999999994</v>
          </cell>
          <cell r="G24">
            <v>39</v>
          </cell>
          <cell r="H24">
            <v>0.18719999999999998</v>
          </cell>
          <cell r="I24">
            <v>28622.880000000001</v>
          </cell>
          <cell r="J24">
            <v>0</v>
          </cell>
          <cell r="K24">
            <v>0</v>
          </cell>
          <cell r="L24">
            <v>0</v>
          </cell>
          <cell r="M24">
            <v>51</v>
          </cell>
          <cell r="N24">
            <v>0.24479999999999999</v>
          </cell>
          <cell r="O24">
            <v>37013.760000000002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210</v>
          </cell>
          <cell r="AO24">
            <v>1.008</v>
          </cell>
          <cell r="AP24">
            <v>153707.04</v>
          </cell>
        </row>
        <row r="25">
          <cell r="A25" t="str">
            <v>21017701</v>
          </cell>
          <cell r="B25" t="str">
            <v>HALF HALF CHOC/VAN FMLYPK</v>
          </cell>
          <cell r="C25">
            <v>3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</row>
        <row r="26">
          <cell r="A26" t="str">
            <v>21027601</v>
          </cell>
          <cell r="B26" t="str">
            <v>HALF HALF OR/CHOC  TWINPK</v>
          </cell>
          <cell r="C26">
            <v>4.8</v>
          </cell>
          <cell r="D26">
            <v>91</v>
          </cell>
          <cell r="E26">
            <v>0.43680000000000002</v>
          </cell>
          <cell r="F26">
            <v>66786.720000000001</v>
          </cell>
          <cell r="G26">
            <v>15</v>
          </cell>
          <cell r="H26">
            <v>7.1999999999999995E-2</v>
          </cell>
          <cell r="I26">
            <v>11008.8</v>
          </cell>
          <cell r="J26">
            <v>12</v>
          </cell>
          <cell r="K26">
            <v>5.7599999999999991E-2</v>
          </cell>
          <cell r="L26">
            <v>8807.0400000000009</v>
          </cell>
          <cell r="M26">
            <v>54</v>
          </cell>
          <cell r="N26">
            <v>0.25919999999999999</v>
          </cell>
          <cell r="O26">
            <v>39191.040000000001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172</v>
          </cell>
          <cell r="AO26">
            <v>0.8256</v>
          </cell>
          <cell r="AP26">
            <v>125793.60000000001</v>
          </cell>
        </row>
        <row r="27">
          <cell r="A27" t="str">
            <v>21027701</v>
          </cell>
          <cell r="B27" t="str">
            <v>HALF HALF OR/CHOC  FMLYPK</v>
          </cell>
          <cell r="C27">
            <v>3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</row>
        <row r="28">
          <cell r="A28" t="str">
            <v>22017801</v>
          </cell>
          <cell r="B28" t="str">
            <v>CUP CAKE TWIN BUTTER</v>
          </cell>
          <cell r="C28">
            <v>4.8</v>
          </cell>
          <cell r="D28">
            <v>93</v>
          </cell>
          <cell r="E28">
            <v>0.44639999999999996</v>
          </cell>
          <cell r="F28">
            <v>68254.559999999998</v>
          </cell>
          <cell r="G28">
            <v>25</v>
          </cell>
          <cell r="H28">
            <v>0.12</v>
          </cell>
          <cell r="I28">
            <v>16636.64</v>
          </cell>
          <cell r="J28">
            <v>30</v>
          </cell>
          <cell r="K28">
            <v>0.14399999999999999</v>
          </cell>
          <cell r="L28">
            <v>22017.599999999999</v>
          </cell>
          <cell r="M28">
            <v>134</v>
          </cell>
          <cell r="N28">
            <v>0.64319999999999988</v>
          </cell>
          <cell r="O28">
            <v>97251.839999999997</v>
          </cell>
          <cell r="P28">
            <v>1</v>
          </cell>
          <cell r="Q28">
            <v>4.7999999999999996E-3</v>
          </cell>
          <cell r="R28">
            <v>720.96</v>
          </cell>
          <cell r="S28">
            <v>0</v>
          </cell>
          <cell r="T28">
            <v>0</v>
          </cell>
          <cell r="U28">
            <v>0</v>
          </cell>
          <cell r="V28">
            <v>45</v>
          </cell>
          <cell r="W28">
            <v>0.216</v>
          </cell>
          <cell r="X28">
            <v>33393.599999999999</v>
          </cell>
          <cell r="Y28">
            <v>8</v>
          </cell>
          <cell r="Z28">
            <v>3.8399999999999997E-2</v>
          </cell>
          <cell r="AA28">
            <v>5936.64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336</v>
          </cell>
          <cell r="AO28">
            <v>1.6128</v>
          </cell>
          <cell r="AP28">
            <v>244211.84</v>
          </cell>
        </row>
        <row r="29">
          <cell r="A29" t="str">
            <v>22027801</v>
          </cell>
          <cell r="B29" t="str">
            <v>CUP CAKE TWIN ORANGE</v>
          </cell>
          <cell r="C29">
            <v>4.8</v>
          </cell>
          <cell r="D29">
            <v>95</v>
          </cell>
          <cell r="E29">
            <v>0.45600000000000002</v>
          </cell>
          <cell r="F29">
            <v>69722.399999999994</v>
          </cell>
          <cell r="G29">
            <v>25</v>
          </cell>
          <cell r="H29">
            <v>0.12</v>
          </cell>
          <cell r="I29">
            <v>17247.84</v>
          </cell>
          <cell r="J29">
            <v>30</v>
          </cell>
          <cell r="K29">
            <v>0.14399999999999999</v>
          </cell>
          <cell r="L29">
            <v>22017.599999999999</v>
          </cell>
          <cell r="M29">
            <v>73</v>
          </cell>
          <cell r="N29">
            <v>0.35039999999999999</v>
          </cell>
          <cell r="O29">
            <v>52980.480000000003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44</v>
          </cell>
          <cell r="W29">
            <v>0.2112</v>
          </cell>
          <cell r="X29">
            <v>32651.52</v>
          </cell>
          <cell r="Y29">
            <v>8</v>
          </cell>
          <cell r="Z29">
            <v>3.8399999999999997E-2</v>
          </cell>
          <cell r="AA29">
            <v>5936.64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275</v>
          </cell>
          <cell r="AO29">
            <v>1.32</v>
          </cell>
          <cell r="AP29">
            <v>200556.48</v>
          </cell>
        </row>
        <row r="30">
          <cell r="A30" t="str">
            <v>22037801</v>
          </cell>
          <cell r="B30" t="str">
            <v>CUP CAKE TWIN PINEAPPLE</v>
          </cell>
          <cell r="C30">
            <v>4.8</v>
          </cell>
          <cell r="D30">
            <v>95</v>
          </cell>
          <cell r="E30">
            <v>0.45600000000000002</v>
          </cell>
          <cell r="F30">
            <v>69722.399999999994</v>
          </cell>
          <cell r="G30">
            <v>25</v>
          </cell>
          <cell r="H30">
            <v>0.12</v>
          </cell>
          <cell r="I30">
            <v>17370.080000000002</v>
          </cell>
          <cell r="J30">
            <v>31</v>
          </cell>
          <cell r="K30">
            <v>0.14879999999999999</v>
          </cell>
          <cell r="L30">
            <v>22751.52</v>
          </cell>
          <cell r="M30">
            <v>100</v>
          </cell>
          <cell r="N30">
            <v>0.48</v>
          </cell>
          <cell r="O30">
            <v>72576</v>
          </cell>
          <cell r="P30">
            <v>5</v>
          </cell>
          <cell r="Q30">
            <v>2.4E-2</v>
          </cell>
          <cell r="R30">
            <v>3604.8</v>
          </cell>
          <cell r="S30">
            <v>0</v>
          </cell>
          <cell r="T30">
            <v>0</v>
          </cell>
          <cell r="U30">
            <v>0</v>
          </cell>
          <cell r="V30">
            <v>45</v>
          </cell>
          <cell r="W30">
            <v>0.216</v>
          </cell>
          <cell r="X30">
            <v>33393.599999999999</v>
          </cell>
          <cell r="Y30">
            <v>2</v>
          </cell>
          <cell r="Z30">
            <v>9.5999999999999992E-3</v>
          </cell>
          <cell r="AA30">
            <v>1484.16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303</v>
          </cell>
          <cell r="AO30">
            <v>1.4543999999999999</v>
          </cell>
          <cell r="AP30">
            <v>220902.56</v>
          </cell>
        </row>
        <row r="31">
          <cell r="A31" t="str">
            <v>22047901</v>
          </cell>
          <cell r="B31" t="str">
            <v>CUP CAKE FAMILY BUTTER</v>
          </cell>
          <cell r="C31">
            <v>3</v>
          </cell>
          <cell r="D31">
            <v>25</v>
          </cell>
          <cell r="E31">
            <v>7.4999999999999997E-2</v>
          </cell>
          <cell r="F31">
            <v>9175</v>
          </cell>
          <cell r="G31">
            <v>10</v>
          </cell>
          <cell r="H31">
            <v>0.03</v>
          </cell>
          <cell r="I31">
            <v>3547.68</v>
          </cell>
          <cell r="J31">
            <v>11</v>
          </cell>
          <cell r="K31">
            <v>3.3000000000000002E-2</v>
          </cell>
          <cell r="L31">
            <v>4037</v>
          </cell>
          <cell r="M31">
            <v>29</v>
          </cell>
          <cell r="N31">
            <v>8.6999999999999994E-2</v>
          </cell>
          <cell r="O31">
            <v>10524.68</v>
          </cell>
          <cell r="P31">
            <v>17</v>
          </cell>
          <cell r="Q31">
            <v>5.0999999999999997E-2</v>
          </cell>
          <cell r="R31">
            <v>6127.48</v>
          </cell>
          <cell r="S31">
            <v>13</v>
          </cell>
          <cell r="T31">
            <v>3.9E-2</v>
          </cell>
          <cell r="U31">
            <v>4685.72</v>
          </cell>
          <cell r="V31">
            <v>25</v>
          </cell>
          <cell r="W31">
            <v>7.4999999999999997E-2</v>
          </cell>
          <cell r="X31">
            <v>9276</v>
          </cell>
          <cell r="Y31">
            <v>2</v>
          </cell>
          <cell r="Z31">
            <v>6.0000000000000001E-3</v>
          </cell>
          <cell r="AA31">
            <v>742.08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132</v>
          </cell>
          <cell r="AO31">
            <v>0.39600000000000002</v>
          </cell>
          <cell r="AP31">
            <v>48115.64</v>
          </cell>
        </row>
        <row r="32">
          <cell r="A32" t="str">
            <v>22057901</v>
          </cell>
          <cell r="B32" t="str">
            <v>CUP CAKE FAMILY ORANGE</v>
          </cell>
          <cell r="C32">
            <v>3</v>
          </cell>
          <cell r="D32">
            <v>44</v>
          </cell>
          <cell r="E32">
            <v>0.13200000000000001</v>
          </cell>
          <cell r="F32">
            <v>16148</v>
          </cell>
          <cell r="G32">
            <v>15</v>
          </cell>
          <cell r="H32">
            <v>4.4999999999999998E-2</v>
          </cell>
          <cell r="I32">
            <v>5321.52</v>
          </cell>
          <cell r="J32">
            <v>12</v>
          </cell>
          <cell r="K32">
            <v>3.5999999999999997E-2</v>
          </cell>
          <cell r="L32">
            <v>4404</v>
          </cell>
          <cell r="M32">
            <v>30</v>
          </cell>
          <cell r="N32">
            <v>0.09</v>
          </cell>
          <cell r="O32">
            <v>10887.6</v>
          </cell>
          <cell r="P32">
            <v>13</v>
          </cell>
          <cell r="Q32">
            <v>3.9E-2</v>
          </cell>
          <cell r="R32">
            <v>4685.72</v>
          </cell>
          <cell r="S32">
            <v>12</v>
          </cell>
          <cell r="T32">
            <v>3.5999999999999997E-2</v>
          </cell>
          <cell r="U32">
            <v>4325.28</v>
          </cell>
          <cell r="V32">
            <v>25</v>
          </cell>
          <cell r="W32">
            <v>7.4999999999999997E-2</v>
          </cell>
          <cell r="X32">
            <v>9276</v>
          </cell>
          <cell r="Y32">
            <v>1</v>
          </cell>
          <cell r="Z32">
            <v>3.0000000000000001E-3</v>
          </cell>
          <cell r="AA32">
            <v>371.04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152</v>
          </cell>
          <cell r="AO32">
            <v>0.45600000000000002</v>
          </cell>
          <cell r="AP32">
            <v>55419.16</v>
          </cell>
        </row>
        <row r="33">
          <cell r="A33" t="str">
            <v>22067901</v>
          </cell>
          <cell r="B33" t="str">
            <v>CUP CAKE FAMILY PINEAPPLE</v>
          </cell>
          <cell r="C33">
            <v>3</v>
          </cell>
          <cell r="D33">
            <v>24</v>
          </cell>
          <cell r="E33">
            <v>7.1999999999999995E-2</v>
          </cell>
          <cell r="F33">
            <v>8808</v>
          </cell>
          <cell r="G33">
            <v>15</v>
          </cell>
          <cell r="H33">
            <v>4.4999999999999998E-2</v>
          </cell>
          <cell r="I33">
            <v>5321.52</v>
          </cell>
          <cell r="J33">
            <v>12</v>
          </cell>
          <cell r="K33">
            <v>3.5999999999999997E-2</v>
          </cell>
          <cell r="L33">
            <v>4404</v>
          </cell>
          <cell r="M33">
            <v>30</v>
          </cell>
          <cell r="N33">
            <v>0.09</v>
          </cell>
          <cell r="O33">
            <v>10887.6</v>
          </cell>
          <cell r="P33">
            <v>10</v>
          </cell>
          <cell r="Q33">
            <v>0.03</v>
          </cell>
          <cell r="R33">
            <v>3604.4</v>
          </cell>
          <cell r="S33">
            <v>20</v>
          </cell>
          <cell r="T33">
            <v>0.06</v>
          </cell>
          <cell r="U33">
            <v>7208.8</v>
          </cell>
          <cell r="V33">
            <v>25</v>
          </cell>
          <cell r="W33">
            <v>7.4999999999999997E-2</v>
          </cell>
          <cell r="X33">
            <v>9276</v>
          </cell>
          <cell r="Y33">
            <v>2</v>
          </cell>
          <cell r="Z33">
            <v>6.0000000000000001E-3</v>
          </cell>
          <cell r="AA33">
            <v>742.08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138</v>
          </cell>
          <cell r="AO33">
            <v>0.41399999999999998</v>
          </cell>
          <cell r="AP33">
            <v>50252.4</v>
          </cell>
        </row>
        <row r="34">
          <cell r="A34" t="str">
            <v>40018001</v>
          </cell>
          <cell r="B34" t="str">
            <v>PROCESSED CHEESE 400G TIN</v>
          </cell>
          <cell r="C34">
            <v>9.6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</row>
        <row r="35">
          <cell r="A35" t="str">
            <v>40018002</v>
          </cell>
          <cell r="B35" t="str">
            <v>PROCESSED CHEESE 200G TIN</v>
          </cell>
          <cell r="C35">
            <v>9.6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</row>
        <row r="36">
          <cell r="A36" t="str">
            <v>40018101</v>
          </cell>
          <cell r="B36" t="str">
            <v>CHEESE SINGLES 100G IWS</v>
          </cell>
          <cell r="C36">
            <v>12</v>
          </cell>
          <cell r="D36">
            <v>4</v>
          </cell>
          <cell r="E36">
            <v>4.8000000000000001E-2</v>
          </cell>
          <cell r="F36">
            <v>9408</v>
          </cell>
          <cell r="G36">
            <v>0</v>
          </cell>
          <cell r="H36">
            <v>0</v>
          </cell>
          <cell r="I36">
            <v>0</v>
          </cell>
          <cell r="J36">
            <v>2</v>
          </cell>
          <cell r="K36">
            <v>2.4E-2</v>
          </cell>
          <cell r="L36">
            <v>4704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3</v>
          </cell>
          <cell r="W36">
            <v>3.5999999999999997E-2</v>
          </cell>
          <cell r="X36">
            <v>7005.6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9</v>
          </cell>
          <cell r="AO36">
            <v>0.108</v>
          </cell>
          <cell r="AP36">
            <v>21117.599999999999</v>
          </cell>
        </row>
        <row r="37">
          <cell r="A37" t="str">
            <v>40018102</v>
          </cell>
          <cell r="B37" t="str">
            <v>CHEESE SINGLES 200G IWS</v>
          </cell>
          <cell r="C37">
            <v>12</v>
          </cell>
          <cell r="D37">
            <v>411</v>
          </cell>
          <cell r="E37">
            <v>4.9320000000000004</v>
          </cell>
          <cell r="F37">
            <v>907255.2</v>
          </cell>
          <cell r="G37">
            <v>0</v>
          </cell>
          <cell r="H37">
            <v>0</v>
          </cell>
          <cell r="I37">
            <v>0</v>
          </cell>
          <cell r="J37">
            <v>22</v>
          </cell>
          <cell r="K37">
            <v>0.26400000000000001</v>
          </cell>
          <cell r="L37">
            <v>46903.199999999997</v>
          </cell>
          <cell r="M37">
            <v>74</v>
          </cell>
          <cell r="N37">
            <v>0.88800000000000001</v>
          </cell>
          <cell r="O37">
            <v>171192.64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78</v>
          </cell>
          <cell r="W37">
            <v>0.93600000000000005</v>
          </cell>
          <cell r="X37">
            <v>170773.2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585</v>
          </cell>
          <cell r="AO37">
            <v>7.02</v>
          </cell>
          <cell r="AP37">
            <v>1296124.24</v>
          </cell>
        </row>
        <row r="38">
          <cell r="A38" t="str">
            <v>40018301</v>
          </cell>
          <cell r="B38" t="str">
            <v>PROCESSED CHEESE 200G CHP</v>
          </cell>
          <cell r="C38">
            <v>12</v>
          </cell>
          <cell r="D38">
            <v>23</v>
          </cell>
          <cell r="E38">
            <v>0.27600000000000002</v>
          </cell>
          <cell r="F38">
            <v>51011.4</v>
          </cell>
          <cell r="G38">
            <v>0</v>
          </cell>
          <cell r="H38">
            <v>0</v>
          </cell>
          <cell r="I38">
            <v>0</v>
          </cell>
          <cell r="J38">
            <v>26</v>
          </cell>
          <cell r="K38">
            <v>0.312</v>
          </cell>
          <cell r="L38">
            <v>57088.800000000003</v>
          </cell>
          <cell r="M38">
            <v>45</v>
          </cell>
          <cell r="N38">
            <v>0.54</v>
          </cell>
          <cell r="O38">
            <v>96336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94</v>
          </cell>
          <cell r="AO38">
            <v>1.1279999999999999</v>
          </cell>
          <cell r="AP38">
            <v>204436.2</v>
          </cell>
        </row>
        <row r="39">
          <cell r="A39" t="str">
            <v>40018801</v>
          </cell>
          <cell r="B39" t="str">
            <v>PROCESSED CHEESE 400GCEKA</v>
          </cell>
          <cell r="C39">
            <v>12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</row>
        <row r="40">
          <cell r="A40" t="str">
            <v>40019001</v>
          </cell>
          <cell r="B40" t="str">
            <v>PROCESSED CHEESE I. PACK</v>
          </cell>
          <cell r="C40">
            <v>12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</row>
        <row r="41">
          <cell r="A41" t="str">
            <v>40019401</v>
          </cell>
          <cell r="B41" t="str">
            <v>N F T - CHEESE 400G TIN</v>
          </cell>
          <cell r="C41">
            <v>9.6</v>
          </cell>
          <cell r="D41">
            <v>97</v>
          </cell>
          <cell r="E41">
            <v>0.93119999999999992</v>
          </cell>
          <cell r="F41">
            <v>143599.92000000001</v>
          </cell>
          <cell r="G41">
            <v>0</v>
          </cell>
          <cell r="H41">
            <v>0</v>
          </cell>
          <cell r="I41">
            <v>0</v>
          </cell>
          <cell r="J41">
            <v>38</v>
          </cell>
          <cell r="K41">
            <v>0.36480000000000001</v>
          </cell>
          <cell r="L41">
            <v>53979.12</v>
          </cell>
          <cell r="M41">
            <v>71</v>
          </cell>
          <cell r="N41">
            <v>0.68159999999999998</v>
          </cell>
          <cell r="O41">
            <v>101319.84</v>
          </cell>
          <cell r="P41">
            <v>1</v>
          </cell>
          <cell r="Q41">
            <v>9.5999999999999992E-3</v>
          </cell>
          <cell r="R41">
            <v>1417.68</v>
          </cell>
          <cell r="S41">
            <v>5</v>
          </cell>
          <cell r="T41">
            <v>4.8000000000000001E-2</v>
          </cell>
          <cell r="U41">
            <v>7442.82</v>
          </cell>
          <cell r="V41">
            <v>75</v>
          </cell>
          <cell r="W41">
            <v>0.72</v>
          </cell>
          <cell r="X41">
            <v>109458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287</v>
          </cell>
          <cell r="AO41">
            <v>2.7551999999999999</v>
          </cell>
          <cell r="AP41">
            <v>417217.38</v>
          </cell>
        </row>
        <row r="42">
          <cell r="A42" t="str">
            <v>40019501</v>
          </cell>
          <cell r="B42" t="str">
            <v>CHEESE BLOCK 1 KG</v>
          </cell>
          <cell r="C42">
            <v>12</v>
          </cell>
          <cell r="D42">
            <v>37</v>
          </cell>
          <cell r="E42">
            <v>0.44400000000000001</v>
          </cell>
          <cell r="F42">
            <v>57320.4</v>
          </cell>
          <cell r="G42">
            <v>0</v>
          </cell>
          <cell r="H42">
            <v>0</v>
          </cell>
          <cell r="I42">
            <v>0</v>
          </cell>
          <cell r="J42">
            <v>19</v>
          </cell>
          <cell r="K42">
            <v>0.22800000000000001</v>
          </cell>
          <cell r="L42">
            <v>29209.200000000001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56</v>
          </cell>
          <cell r="AO42">
            <v>0.67200000000000004</v>
          </cell>
          <cell r="AP42">
            <v>86529.600000000006</v>
          </cell>
        </row>
        <row r="43">
          <cell r="A43" t="str">
            <v>40019601</v>
          </cell>
          <cell r="B43" t="str">
            <v>CHIPLET 120G ONION</v>
          </cell>
          <cell r="C43">
            <v>12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1</v>
          </cell>
          <cell r="K43">
            <v>1.2E-2</v>
          </cell>
          <cell r="L43">
            <v>2287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1</v>
          </cell>
          <cell r="AO43">
            <v>1.2E-2</v>
          </cell>
          <cell r="AP43">
            <v>2287</v>
          </cell>
        </row>
        <row r="44">
          <cell r="A44" t="str">
            <v>40028401</v>
          </cell>
          <cell r="B44" t="str">
            <v>DAIRY WHITENER 200G REFIL</v>
          </cell>
          <cell r="C44">
            <v>12</v>
          </cell>
          <cell r="D44">
            <v>0</v>
          </cell>
          <cell r="E44">
            <v>0</v>
          </cell>
          <cell r="F44">
            <v>0</v>
          </cell>
          <cell r="G44">
            <v>2</v>
          </cell>
          <cell r="H44">
            <v>2.4E-2</v>
          </cell>
          <cell r="I44">
            <v>2967.96</v>
          </cell>
          <cell r="J44">
            <v>5</v>
          </cell>
          <cell r="K44">
            <v>0.06</v>
          </cell>
          <cell r="L44">
            <v>7419.9</v>
          </cell>
          <cell r="M44">
            <v>79</v>
          </cell>
          <cell r="N44">
            <v>0.94799999999999995</v>
          </cell>
          <cell r="O44">
            <v>111709.95</v>
          </cell>
          <cell r="P44">
            <v>4</v>
          </cell>
          <cell r="Q44">
            <v>4.8000000000000001E-2</v>
          </cell>
          <cell r="R44">
            <v>5670.92</v>
          </cell>
          <cell r="S44">
            <v>22</v>
          </cell>
          <cell r="T44">
            <v>0.26400000000000001</v>
          </cell>
          <cell r="U44">
            <v>31190.06</v>
          </cell>
          <cell r="V44">
            <v>537</v>
          </cell>
          <cell r="W44">
            <v>6.444</v>
          </cell>
          <cell r="X44">
            <v>783713.91</v>
          </cell>
          <cell r="Y44">
            <v>29</v>
          </cell>
          <cell r="Z44">
            <v>0.34799999999999998</v>
          </cell>
          <cell r="AA44">
            <v>43709.93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5</v>
          </cell>
          <cell r="AI44">
            <v>0.06</v>
          </cell>
          <cell r="AJ44">
            <v>7419.9</v>
          </cell>
          <cell r="AK44">
            <v>0</v>
          </cell>
          <cell r="AL44">
            <v>0</v>
          </cell>
          <cell r="AM44">
            <v>0</v>
          </cell>
          <cell r="AN44">
            <v>683</v>
          </cell>
          <cell r="AO44">
            <v>8.1959999999999997</v>
          </cell>
          <cell r="AP44">
            <v>993802.53</v>
          </cell>
        </row>
        <row r="45">
          <cell r="A45" t="str">
            <v>40028402</v>
          </cell>
          <cell r="B45" t="str">
            <v>DAIRY WHITENER 500G REFIL</v>
          </cell>
          <cell r="C45">
            <v>12</v>
          </cell>
          <cell r="D45">
            <v>0</v>
          </cell>
          <cell r="E45">
            <v>0</v>
          </cell>
          <cell r="F45">
            <v>0</v>
          </cell>
          <cell r="G45">
            <v>1</v>
          </cell>
          <cell r="H45">
            <v>1.2E-2</v>
          </cell>
          <cell r="I45">
            <v>1365.26</v>
          </cell>
          <cell r="J45">
            <v>7</v>
          </cell>
          <cell r="K45">
            <v>8.4000000000000005E-2</v>
          </cell>
          <cell r="L45">
            <v>9556.82</v>
          </cell>
          <cell r="M45">
            <v>153</v>
          </cell>
          <cell r="N45">
            <v>1.8360000000000001</v>
          </cell>
          <cell r="O45">
            <v>199042.29</v>
          </cell>
          <cell r="P45">
            <v>21</v>
          </cell>
          <cell r="Q45">
            <v>0.252</v>
          </cell>
          <cell r="R45">
            <v>27390.51</v>
          </cell>
          <cell r="S45">
            <v>78</v>
          </cell>
          <cell r="T45">
            <v>0.93600000000000005</v>
          </cell>
          <cell r="U45">
            <v>101736.18</v>
          </cell>
          <cell r="V45">
            <v>792</v>
          </cell>
          <cell r="W45">
            <v>9.5039999999999996</v>
          </cell>
          <cell r="X45">
            <v>1063402.56</v>
          </cell>
          <cell r="Y45">
            <v>66</v>
          </cell>
          <cell r="Z45">
            <v>0.79200000000000004</v>
          </cell>
          <cell r="AA45">
            <v>88616.88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50</v>
          </cell>
          <cell r="AI45">
            <v>0.6</v>
          </cell>
          <cell r="AJ45">
            <v>68263</v>
          </cell>
          <cell r="AK45">
            <v>0</v>
          </cell>
          <cell r="AL45">
            <v>0</v>
          </cell>
          <cell r="AM45">
            <v>0</v>
          </cell>
          <cell r="AN45">
            <v>1168</v>
          </cell>
          <cell r="AO45">
            <v>14.016</v>
          </cell>
          <cell r="AP45">
            <v>1559373.5</v>
          </cell>
        </row>
        <row r="46">
          <cell r="A46" t="str">
            <v>40028501</v>
          </cell>
          <cell r="B46" t="str">
            <v>DAIRY WHITENER 200G POUCH</v>
          </cell>
          <cell r="C46">
            <v>12</v>
          </cell>
          <cell r="D46">
            <v>177</v>
          </cell>
          <cell r="E46">
            <v>2.1240000000000001</v>
          </cell>
          <cell r="F46">
            <v>245212.4</v>
          </cell>
          <cell r="G46">
            <v>208</v>
          </cell>
          <cell r="H46">
            <v>2.496</v>
          </cell>
          <cell r="I46">
            <v>288090.40000000002</v>
          </cell>
          <cell r="J46">
            <v>467</v>
          </cell>
          <cell r="K46">
            <v>5.6040000000000001</v>
          </cell>
          <cell r="L46">
            <v>645498.6</v>
          </cell>
          <cell r="M46">
            <v>129</v>
          </cell>
          <cell r="N46">
            <v>1.548</v>
          </cell>
          <cell r="O46">
            <v>170251.62</v>
          </cell>
          <cell r="P46">
            <v>90</v>
          </cell>
          <cell r="Q46">
            <v>1.08</v>
          </cell>
          <cell r="R46">
            <v>119089.8</v>
          </cell>
          <cell r="S46">
            <v>111</v>
          </cell>
          <cell r="T46">
            <v>1.3320000000000001</v>
          </cell>
          <cell r="U46">
            <v>146877.42000000001</v>
          </cell>
          <cell r="V46">
            <v>318</v>
          </cell>
          <cell r="W46">
            <v>3.8159999999999998</v>
          </cell>
          <cell r="X46">
            <v>433160.52</v>
          </cell>
          <cell r="Y46">
            <v>5</v>
          </cell>
          <cell r="Z46">
            <v>0.06</v>
          </cell>
          <cell r="AA46">
            <v>6810.7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20</v>
          </cell>
          <cell r="AI46">
            <v>0.24</v>
          </cell>
          <cell r="AJ46">
            <v>27701</v>
          </cell>
          <cell r="AK46">
            <v>0</v>
          </cell>
          <cell r="AL46">
            <v>0</v>
          </cell>
          <cell r="AM46">
            <v>0</v>
          </cell>
          <cell r="AN46">
            <v>1525</v>
          </cell>
          <cell r="AO46">
            <v>18.3</v>
          </cell>
          <cell r="AP46">
            <v>2082692.46</v>
          </cell>
        </row>
        <row r="47">
          <cell r="A47" t="str">
            <v>40028502</v>
          </cell>
          <cell r="B47" t="str">
            <v>DAIRY WHITENER 500G POUCH</v>
          </cell>
          <cell r="C47">
            <v>12</v>
          </cell>
          <cell r="D47">
            <v>1138</v>
          </cell>
          <cell r="E47">
            <v>13.656000000000001</v>
          </cell>
          <cell r="F47">
            <v>1464013.84</v>
          </cell>
          <cell r="G47">
            <v>604</v>
          </cell>
          <cell r="H47">
            <v>7.2480000000000002</v>
          </cell>
          <cell r="I47">
            <v>776816.48</v>
          </cell>
          <cell r="J47">
            <v>750</v>
          </cell>
          <cell r="K47">
            <v>9</v>
          </cell>
          <cell r="L47">
            <v>961970.33</v>
          </cell>
          <cell r="M47">
            <v>793</v>
          </cell>
          <cell r="N47">
            <v>9.516</v>
          </cell>
          <cell r="O47">
            <v>971829.43</v>
          </cell>
          <cell r="P47">
            <v>594</v>
          </cell>
          <cell r="Q47">
            <v>7.1280000000000001</v>
          </cell>
          <cell r="R47">
            <v>729847.8</v>
          </cell>
          <cell r="S47">
            <v>328</v>
          </cell>
          <cell r="T47">
            <v>3.9359999999999999</v>
          </cell>
          <cell r="U47">
            <v>403013.6</v>
          </cell>
          <cell r="V47">
            <v>247</v>
          </cell>
          <cell r="W47">
            <v>2.964</v>
          </cell>
          <cell r="X47">
            <v>314945.15999999997</v>
          </cell>
          <cell r="Y47">
            <v>38</v>
          </cell>
          <cell r="Z47">
            <v>0.45600000000000002</v>
          </cell>
          <cell r="AA47">
            <v>49276.06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98</v>
          </cell>
          <cell r="AI47">
            <v>1.1759999999999999</v>
          </cell>
          <cell r="AJ47">
            <v>126039.76</v>
          </cell>
          <cell r="AK47">
            <v>0</v>
          </cell>
          <cell r="AL47">
            <v>0</v>
          </cell>
          <cell r="AM47">
            <v>0</v>
          </cell>
          <cell r="AN47">
            <v>4590</v>
          </cell>
          <cell r="AO47">
            <v>55.08</v>
          </cell>
          <cell r="AP47">
            <v>5797752.46</v>
          </cell>
        </row>
        <row r="48">
          <cell r="A48" t="str">
            <v>40028503</v>
          </cell>
          <cell r="B48" t="str">
            <v>DAIRY WHITENER 50G POUCH</v>
          </cell>
          <cell r="C48">
            <v>9.6</v>
          </cell>
          <cell r="D48">
            <v>86</v>
          </cell>
          <cell r="E48">
            <v>0.8256</v>
          </cell>
          <cell r="F48">
            <v>90723.12</v>
          </cell>
          <cell r="G48">
            <v>24</v>
          </cell>
          <cell r="H48">
            <v>0.23039999999999997</v>
          </cell>
          <cell r="I48">
            <v>25315.200000000001</v>
          </cell>
          <cell r="J48">
            <v>172</v>
          </cell>
          <cell r="K48">
            <v>1.6512</v>
          </cell>
          <cell r="L48">
            <v>180440.99</v>
          </cell>
          <cell r="M48">
            <v>400</v>
          </cell>
          <cell r="N48">
            <v>3.84</v>
          </cell>
          <cell r="O48">
            <v>402080</v>
          </cell>
          <cell r="P48">
            <v>392</v>
          </cell>
          <cell r="Q48">
            <v>3.7631999999999999</v>
          </cell>
          <cell r="R48">
            <v>395065.44</v>
          </cell>
          <cell r="S48">
            <v>115</v>
          </cell>
          <cell r="T48">
            <v>1.1040000000000001</v>
          </cell>
          <cell r="U48">
            <v>115899.3</v>
          </cell>
          <cell r="V48">
            <v>1900</v>
          </cell>
          <cell r="W48">
            <v>18.239999999999998</v>
          </cell>
          <cell r="X48">
            <v>1971193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3089</v>
          </cell>
          <cell r="AO48">
            <v>29.654399999999999</v>
          </cell>
          <cell r="AP48">
            <v>3180717.05</v>
          </cell>
        </row>
        <row r="49">
          <cell r="A49" t="str">
            <v>40028504</v>
          </cell>
          <cell r="B49" t="str">
            <v>DAIRY WHITENER 100G POUCH</v>
          </cell>
          <cell r="C49">
            <v>12</v>
          </cell>
          <cell r="D49">
            <v>47</v>
          </cell>
          <cell r="E49">
            <v>0.56399999999999995</v>
          </cell>
          <cell r="F49">
            <v>69747.06</v>
          </cell>
          <cell r="G49">
            <v>12</v>
          </cell>
          <cell r="H49">
            <v>0.14399999999999999</v>
          </cell>
          <cell r="I49">
            <v>17807.759999999998</v>
          </cell>
          <cell r="J49">
            <v>190</v>
          </cell>
          <cell r="K49">
            <v>2.2799999999999998</v>
          </cell>
          <cell r="L49">
            <v>280542.2</v>
          </cell>
          <cell r="M49">
            <v>44</v>
          </cell>
          <cell r="N49">
            <v>0.52800000000000002</v>
          </cell>
          <cell r="O49">
            <v>62218.2</v>
          </cell>
          <cell r="P49">
            <v>19</v>
          </cell>
          <cell r="Q49">
            <v>0.22800000000000001</v>
          </cell>
          <cell r="R49">
            <v>26936.87</v>
          </cell>
          <cell r="S49">
            <v>29</v>
          </cell>
          <cell r="T49">
            <v>0.34799999999999998</v>
          </cell>
          <cell r="U49">
            <v>41114.17</v>
          </cell>
          <cell r="V49">
            <v>352</v>
          </cell>
          <cell r="W49">
            <v>4.2240000000000002</v>
          </cell>
          <cell r="X49">
            <v>513719.36</v>
          </cell>
          <cell r="Y49">
            <v>10</v>
          </cell>
          <cell r="Z49">
            <v>0.12</v>
          </cell>
          <cell r="AA49">
            <v>14594.3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703</v>
          </cell>
          <cell r="AO49">
            <v>8.4359999999999999</v>
          </cell>
          <cell r="AP49">
            <v>1026679.92</v>
          </cell>
        </row>
        <row r="50">
          <cell r="A50" t="str">
            <v>40028505</v>
          </cell>
          <cell r="B50" t="str">
            <v>D-WHITENER 1000G POUCH</v>
          </cell>
          <cell r="C50">
            <v>12</v>
          </cell>
          <cell r="D50">
            <v>5</v>
          </cell>
          <cell r="E50">
            <v>0.06</v>
          </cell>
          <cell r="F50">
            <v>6478.73</v>
          </cell>
          <cell r="G50">
            <v>2</v>
          </cell>
          <cell r="H50">
            <v>2.4E-2</v>
          </cell>
          <cell r="I50">
            <v>2473.3000000000002</v>
          </cell>
          <cell r="J50">
            <v>42</v>
          </cell>
          <cell r="K50">
            <v>0.504</v>
          </cell>
          <cell r="L50">
            <v>51939.3</v>
          </cell>
          <cell r="M50">
            <v>11</v>
          </cell>
          <cell r="N50">
            <v>0.13200000000000001</v>
          </cell>
          <cell r="O50">
            <v>12962.07</v>
          </cell>
          <cell r="P50">
            <v>0</v>
          </cell>
          <cell r="Q50">
            <v>0</v>
          </cell>
          <cell r="R50">
            <v>0</v>
          </cell>
          <cell r="S50">
            <v>18</v>
          </cell>
          <cell r="T50">
            <v>0.216</v>
          </cell>
          <cell r="U50">
            <v>21265.919999999998</v>
          </cell>
          <cell r="V50">
            <v>880</v>
          </cell>
          <cell r="W50">
            <v>10.56</v>
          </cell>
          <cell r="X50">
            <v>1070247.2</v>
          </cell>
          <cell r="Y50">
            <v>27</v>
          </cell>
          <cell r="Z50">
            <v>0.32400000000000001</v>
          </cell>
          <cell r="AA50">
            <v>32837.129999999997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3</v>
          </cell>
          <cell r="AI50">
            <v>3.5999999999999997E-2</v>
          </cell>
          <cell r="AJ50">
            <v>3709.95</v>
          </cell>
          <cell r="AK50">
            <v>0</v>
          </cell>
          <cell r="AL50">
            <v>0</v>
          </cell>
          <cell r="AM50">
            <v>0</v>
          </cell>
          <cell r="AN50">
            <v>988</v>
          </cell>
          <cell r="AO50">
            <v>11.856</v>
          </cell>
          <cell r="AP50">
            <v>1201913.6000000001</v>
          </cell>
        </row>
        <row r="51">
          <cell r="A51" t="str">
            <v>40028901</v>
          </cell>
          <cell r="B51" t="str">
            <v>DAIRY WHITENER BULK PACK</v>
          </cell>
          <cell r="C51">
            <v>10</v>
          </cell>
          <cell r="D51">
            <v>400</v>
          </cell>
          <cell r="E51">
            <v>4</v>
          </cell>
          <cell r="F51">
            <v>351400</v>
          </cell>
          <cell r="G51">
            <v>518</v>
          </cell>
          <cell r="H51">
            <v>5.18</v>
          </cell>
          <cell r="I51">
            <v>455063</v>
          </cell>
          <cell r="J51">
            <v>209</v>
          </cell>
          <cell r="K51">
            <v>2.09</v>
          </cell>
          <cell r="L51">
            <v>183606.5</v>
          </cell>
          <cell r="M51">
            <v>125</v>
          </cell>
          <cell r="N51">
            <v>1.25</v>
          </cell>
          <cell r="O51">
            <v>106731.25</v>
          </cell>
          <cell r="P51">
            <v>475</v>
          </cell>
          <cell r="Q51">
            <v>4.75</v>
          </cell>
          <cell r="R51">
            <v>398662.75</v>
          </cell>
          <cell r="S51">
            <v>1225</v>
          </cell>
          <cell r="T51">
            <v>12.25</v>
          </cell>
          <cell r="U51">
            <v>1028130.25</v>
          </cell>
          <cell r="V51">
            <v>1768</v>
          </cell>
          <cell r="W51">
            <v>17.68</v>
          </cell>
          <cell r="X51">
            <v>1529738.96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4720</v>
          </cell>
          <cell r="AO51">
            <v>47.2</v>
          </cell>
          <cell r="AP51">
            <v>4053332.71</v>
          </cell>
        </row>
        <row r="52">
          <cell r="A52" t="str">
            <v>40029902</v>
          </cell>
          <cell r="B52" t="str">
            <v>DAIRY WHITENER 30GM</v>
          </cell>
          <cell r="C52">
            <v>9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</row>
        <row r="53">
          <cell r="A53" t="str">
            <v>40038601</v>
          </cell>
          <cell r="B53" t="str">
            <v>BUTTER 500G</v>
          </cell>
          <cell r="C53">
            <v>15</v>
          </cell>
          <cell r="D53">
            <v>370</v>
          </cell>
          <cell r="E53">
            <v>5.55</v>
          </cell>
          <cell r="F53">
            <v>588658.46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370</v>
          </cell>
          <cell r="AO53">
            <v>5.55</v>
          </cell>
          <cell r="AP53">
            <v>588658.46</v>
          </cell>
        </row>
        <row r="54">
          <cell r="A54" t="str">
            <v>40038602</v>
          </cell>
          <cell r="B54" t="str">
            <v>BUTTER 1 KG</v>
          </cell>
          <cell r="C54">
            <v>18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</row>
        <row r="55">
          <cell r="A55" t="str">
            <v>40038701</v>
          </cell>
          <cell r="B55" t="str">
            <v>BUTTER 100G</v>
          </cell>
          <cell r="C55">
            <v>15</v>
          </cell>
          <cell r="D55">
            <v>459</v>
          </cell>
          <cell r="E55">
            <v>6.8849999999999998</v>
          </cell>
          <cell r="F55">
            <v>758530.26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459</v>
          </cell>
          <cell r="AO55">
            <v>6.8849999999999998</v>
          </cell>
          <cell r="AP55">
            <v>758530.26</v>
          </cell>
        </row>
        <row r="56">
          <cell r="A56" t="str">
            <v>40048801</v>
          </cell>
          <cell r="B56" t="str">
            <v>CHEESE SPREAD-PLAIN</v>
          </cell>
          <cell r="C56">
            <v>7.2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</row>
        <row r="57">
          <cell r="A57" t="str">
            <v>40058801</v>
          </cell>
          <cell r="B57" t="str">
            <v>CHEESE SPREAD-BLK PEPPER</v>
          </cell>
          <cell r="C57">
            <v>7.2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</row>
        <row r="58">
          <cell r="A58" t="str">
            <v>40068801</v>
          </cell>
          <cell r="B58" t="str">
            <v>CHEESE SPREAD-JEERA</v>
          </cell>
          <cell r="C58">
            <v>7.2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</row>
        <row r="59">
          <cell r="A59" t="str">
            <v>40078801</v>
          </cell>
          <cell r="B59" t="str">
            <v>CHEESE SPREAD-CHILLI CAPC</v>
          </cell>
          <cell r="C59">
            <v>7.2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</row>
        <row r="60">
          <cell r="A60" t="str">
            <v>40099601</v>
          </cell>
          <cell r="B60" t="str">
            <v>CHIPLET 120G PLAIN REGULR</v>
          </cell>
          <cell r="C60">
            <v>12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2</v>
          </cell>
          <cell r="K60">
            <v>2.4E-2</v>
          </cell>
          <cell r="L60">
            <v>4248</v>
          </cell>
          <cell r="M60">
            <v>1</v>
          </cell>
          <cell r="N60">
            <v>1.2E-2</v>
          </cell>
          <cell r="O60">
            <v>2061</v>
          </cell>
          <cell r="P60">
            <v>0</v>
          </cell>
          <cell r="Q60">
            <v>0</v>
          </cell>
          <cell r="R60">
            <v>0</v>
          </cell>
          <cell r="S60">
            <v>2</v>
          </cell>
          <cell r="T60">
            <v>2.4E-2</v>
          </cell>
          <cell r="U60">
            <v>4096</v>
          </cell>
          <cell r="V60">
            <v>8</v>
          </cell>
          <cell r="W60">
            <v>9.6000000000000002E-2</v>
          </cell>
          <cell r="X60">
            <v>16864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13</v>
          </cell>
          <cell r="AO60">
            <v>0.156</v>
          </cell>
          <cell r="AP60">
            <v>27269</v>
          </cell>
        </row>
        <row r="61">
          <cell r="A61" t="str">
            <v>40109601</v>
          </cell>
          <cell r="B61" t="str">
            <v>CHIPLET 120G PEPPER</v>
          </cell>
          <cell r="C61">
            <v>12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1</v>
          </cell>
          <cell r="K61">
            <v>1.2E-2</v>
          </cell>
          <cell r="L61">
            <v>2287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1</v>
          </cell>
          <cell r="AO61">
            <v>1.2E-2</v>
          </cell>
          <cell r="AP61">
            <v>2287</v>
          </cell>
        </row>
        <row r="62">
          <cell r="A62" t="str">
            <v>40119601</v>
          </cell>
          <cell r="B62" t="str">
            <v>CHIPLET 120G GARLIC</v>
          </cell>
          <cell r="C62">
            <v>12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</row>
        <row r="63">
          <cell r="A63" t="str">
            <v>40129601</v>
          </cell>
          <cell r="B63" t="str">
            <v>CHIPLET 120G PL.SOFT SPRD</v>
          </cell>
          <cell r="C63">
            <v>12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</row>
        <row r="64">
          <cell r="A64" t="str">
            <v>40139801</v>
          </cell>
          <cell r="B64" t="str">
            <v>SPREAD 150G PLAIN</v>
          </cell>
          <cell r="C64">
            <v>9</v>
          </cell>
          <cell r="D64">
            <v>23</v>
          </cell>
          <cell r="E64">
            <v>0.20699999999999999</v>
          </cell>
          <cell r="F64">
            <v>29370</v>
          </cell>
          <cell r="G64">
            <v>0</v>
          </cell>
          <cell r="H64">
            <v>0</v>
          </cell>
          <cell r="I64">
            <v>0</v>
          </cell>
          <cell r="J64">
            <v>4</v>
          </cell>
          <cell r="K64">
            <v>3.5999999999999997E-2</v>
          </cell>
          <cell r="L64">
            <v>5097.6000000000004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409.6</v>
          </cell>
          <cell r="S64">
            <v>0</v>
          </cell>
          <cell r="T64">
            <v>0</v>
          </cell>
          <cell r="U64">
            <v>0</v>
          </cell>
          <cell r="V64">
            <v>15</v>
          </cell>
          <cell r="W64">
            <v>0.13500000000000001</v>
          </cell>
          <cell r="X64">
            <v>18972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42</v>
          </cell>
          <cell r="AO64">
            <v>0.378</v>
          </cell>
          <cell r="AP64">
            <v>53849.2</v>
          </cell>
        </row>
        <row r="65">
          <cell r="A65" t="str">
            <v>40149801</v>
          </cell>
          <cell r="B65" t="str">
            <v>SPREAD 150G PEPPER</v>
          </cell>
          <cell r="C65">
            <v>9</v>
          </cell>
          <cell r="D65">
            <v>27</v>
          </cell>
          <cell r="E65">
            <v>0.24299999999999999</v>
          </cell>
          <cell r="F65">
            <v>37165.800000000003</v>
          </cell>
          <cell r="G65">
            <v>0</v>
          </cell>
          <cell r="H65">
            <v>0</v>
          </cell>
          <cell r="I65">
            <v>0</v>
          </cell>
          <cell r="J65">
            <v>4</v>
          </cell>
          <cell r="K65">
            <v>3.5999999999999997E-2</v>
          </cell>
          <cell r="L65">
            <v>5488.8</v>
          </cell>
          <cell r="M65">
            <v>8</v>
          </cell>
          <cell r="N65">
            <v>7.1999999999999995E-2</v>
          </cell>
          <cell r="O65">
            <v>10656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39</v>
          </cell>
          <cell r="AO65">
            <v>0.35099999999999998</v>
          </cell>
          <cell r="AP65">
            <v>53310.6</v>
          </cell>
        </row>
        <row r="66">
          <cell r="A66" t="str">
            <v>40159801</v>
          </cell>
          <cell r="B66" t="str">
            <v>SPREAD 150G MASALA GARLIC</v>
          </cell>
          <cell r="C66">
            <v>9</v>
          </cell>
          <cell r="D66">
            <v>22</v>
          </cell>
          <cell r="E66">
            <v>0.19800000000000001</v>
          </cell>
          <cell r="F66">
            <v>30612.52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441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22</v>
          </cell>
          <cell r="AO66">
            <v>0.19800000000000001</v>
          </cell>
          <cell r="AP66">
            <v>31053.52</v>
          </cell>
        </row>
        <row r="67">
          <cell r="A67" t="str">
            <v>40169801</v>
          </cell>
          <cell r="B67" t="str">
            <v>SPREAD 150G MASALA ONION</v>
          </cell>
          <cell r="C67">
            <v>9</v>
          </cell>
          <cell r="D67">
            <v>17</v>
          </cell>
          <cell r="E67">
            <v>0.153</v>
          </cell>
          <cell r="F67">
            <v>23385.599999999999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441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17</v>
          </cell>
          <cell r="AO67">
            <v>0.153</v>
          </cell>
          <cell r="AP67">
            <v>23826.6</v>
          </cell>
        </row>
        <row r="68">
          <cell r="A68" t="str">
            <v>41019101</v>
          </cell>
          <cell r="B68" t="str">
            <v>FLAVOURED MILK-MANGO</v>
          </cell>
          <cell r="C68">
            <v>5.4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</row>
        <row r="69">
          <cell r="A69" t="str">
            <v>41029101</v>
          </cell>
          <cell r="B69" t="str">
            <v>FLAVOURED MILK-PINEAPPLE</v>
          </cell>
          <cell r="C69">
            <v>5.4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</row>
        <row r="70">
          <cell r="A70" t="str">
            <v>41039101</v>
          </cell>
          <cell r="B70" t="str">
            <v>FLAVOURED MILK-STRAWBERRY</v>
          </cell>
          <cell r="C70">
            <v>5.4</v>
          </cell>
          <cell r="D70">
            <v>13</v>
          </cell>
          <cell r="E70">
            <v>7.0199999999999999E-2</v>
          </cell>
          <cell r="F70">
            <v>2485.08</v>
          </cell>
          <cell r="G70">
            <v>0</v>
          </cell>
          <cell r="H70">
            <v>0</v>
          </cell>
          <cell r="I70">
            <v>0</v>
          </cell>
          <cell r="J70">
            <v>101</v>
          </cell>
          <cell r="K70">
            <v>0.54540000000000011</v>
          </cell>
          <cell r="L70">
            <v>19705.68</v>
          </cell>
          <cell r="M70">
            <v>65</v>
          </cell>
          <cell r="N70">
            <v>0.35099999999999998</v>
          </cell>
          <cell r="O70">
            <v>12600.9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86</v>
          </cell>
          <cell r="W70">
            <v>0.46440000000000003</v>
          </cell>
          <cell r="X70">
            <v>17670.419999999998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265</v>
          </cell>
          <cell r="AO70">
            <v>1.431</v>
          </cell>
          <cell r="AP70">
            <v>52462.080000000002</v>
          </cell>
        </row>
        <row r="71">
          <cell r="A71" t="str">
            <v>41039201</v>
          </cell>
          <cell r="B71" t="str">
            <v>F M - STRAWBERRY -1 LITRE</v>
          </cell>
          <cell r="C71">
            <v>12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</row>
        <row r="72">
          <cell r="A72" t="str">
            <v>41049101</v>
          </cell>
          <cell r="B72" t="str">
            <v>FLAVOURED MILK-CHOCOLATE</v>
          </cell>
          <cell r="C72">
            <v>5.4</v>
          </cell>
          <cell r="D72">
            <v>508</v>
          </cell>
          <cell r="E72">
            <v>2.7432000000000003</v>
          </cell>
          <cell r="F72">
            <v>97090.38</v>
          </cell>
          <cell r="G72">
            <v>0</v>
          </cell>
          <cell r="H72">
            <v>0</v>
          </cell>
          <cell r="I72">
            <v>0</v>
          </cell>
          <cell r="J72">
            <v>140</v>
          </cell>
          <cell r="K72">
            <v>0.75600000000000001</v>
          </cell>
          <cell r="L72">
            <v>27277.56</v>
          </cell>
          <cell r="M72">
            <v>254</v>
          </cell>
          <cell r="N72">
            <v>1.3716000000000002</v>
          </cell>
          <cell r="O72">
            <v>49240.44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902</v>
          </cell>
          <cell r="AO72">
            <v>4.8708</v>
          </cell>
          <cell r="AP72">
            <v>173608.38</v>
          </cell>
        </row>
        <row r="73">
          <cell r="A73" t="str">
            <v>41049201</v>
          </cell>
          <cell r="B73" t="str">
            <v>F M - CHOCOLATE - 1 LITRE</v>
          </cell>
          <cell r="C73">
            <v>12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</row>
        <row r="74">
          <cell r="A74" t="str">
            <v>41059101</v>
          </cell>
          <cell r="B74" t="str">
            <v>FLAVOURED MILK-ELAICHI</v>
          </cell>
          <cell r="C74">
            <v>5.4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</row>
        <row r="75">
          <cell r="A75" t="str">
            <v>42019201</v>
          </cell>
          <cell r="B75" t="str">
            <v>UHT-MILK 1 LTR</v>
          </cell>
          <cell r="C75">
            <v>12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</row>
        <row r="76">
          <cell r="A76" t="str">
            <v>42019301</v>
          </cell>
          <cell r="B76" t="str">
            <v>UHT-MILK 250ML</v>
          </cell>
          <cell r="C76">
            <v>6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</row>
        <row r="77">
          <cell r="A77" t="str">
            <v>50016001</v>
          </cell>
          <cell r="B77" t="str">
            <v>GHEE TIN 1 LTR. - BUF</v>
          </cell>
          <cell r="C77">
            <v>18</v>
          </cell>
          <cell r="D77">
            <v>16</v>
          </cell>
          <cell r="E77">
            <v>0.28799999999999998</v>
          </cell>
          <cell r="F77">
            <v>34957.9</v>
          </cell>
          <cell r="G77">
            <v>0</v>
          </cell>
          <cell r="H77">
            <v>0</v>
          </cell>
          <cell r="I77">
            <v>0</v>
          </cell>
          <cell r="J77">
            <v>24</v>
          </cell>
          <cell r="K77">
            <v>0.432</v>
          </cell>
          <cell r="L77">
            <v>52172.639999999999</v>
          </cell>
          <cell r="M77">
            <v>225</v>
          </cell>
          <cell r="N77">
            <v>4.05</v>
          </cell>
          <cell r="O77">
            <v>464251.5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2038.13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265</v>
          </cell>
          <cell r="AO77">
            <v>4.7699999999999996</v>
          </cell>
          <cell r="AP77">
            <v>553420.17000000004</v>
          </cell>
        </row>
        <row r="78">
          <cell r="A78" t="str">
            <v>50026101</v>
          </cell>
          <cell r="B78" t="str">
            <v>GHEE CEKA PACK 1 LTR -BUF</v>
          </cell>
          <cell r="C78">
            <v>18</v>
          </cell>
          <cell r="D78">
            <v>20</v>
          </cell>
          <cell r="E78">
            <v>0.36</v>
          </cell>
          <cell r="F78">
            <v>42512.4</v>
          </cell>
          <cell r="G78">
            <v>3</v>
          </cell>
          <cell r="H78">
            <v>5.3999999999999999E-2</v>
          </cell>
          <cell r="I78">
            <v>6376.86</v>
          </cell>
          <cell r="J78">
            <v>0</v>
          </cell>
          <cell r="K78">
            <v>0</v>
          </cell>
          <cell r="L78">
            <v>0</v>
          </cell>
          <cell r="M78">
            <v>19</v>
          </cell>
          <cell r="N78">
            <v>0.34200000000000003</v>
          </cell>
          <cell r="O78">
            <v>38310.839999999997</v>
          </cell>
          <cell r="P78">
            <v>2</v>
          </cell>
          <cell r="Q78">
            <v>3.5999999999999997E-2</v>
          </cell>
          <cell r="R78">
            <v>4099.32</v>
          </cell>
          <cell r="S78">
            <v>0</v>
          </cell>
          <cell r="T78">
            <v>0</v>
          </cell>
          <cell r="U78">
            <v>0</v>
          </cell>
          <cell r="V78">
            <v>26</v>
          </cell>
          <cell r="W78">
            <v>0.46800000000000003</v>
          </cell>
          <cell r="X78">
            <v>54858.96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70</v>
          </cell>
          <cell r="AO78">
            <v>1.26</v>
          </cell>
          <cell r="AP78">
            <v>146158.38</v>
          </cell>
        </row>
        <row r="79">
          <cell r="A79" t="str">
            <v>50036201</v>
          </cell>
          <cell r="B79" t="str">
            <v>GHEE CEKA PACK 1/2LTR-BUF</v>
          </cell>
          <cell r="C79">
            <v>18</v>
          </cell>
          <cell r="D79">
            <v>31</v>
          </cell>
          <cell r="E79">
            <v>0.55800000000000005</v>
          </cell>
          <cell r="F79">
            <v>68627.520000000004</v>
          </cell>
          <cell r="G79">
            <v>0</v>
          </cell>
          <cell r="H79">
            <v>0</v>
          </cell>
          <cell r="I79">
            <v>0</v>
          </cell>
          <cell r="J79">
            <v>5</v>
          </cell>
          <cell r="K79">
            <v>0.09</v>
          </cell>
          <cell r="L79">
            <v>10951.2</v>
          </cell>
          <cell r="M79">
            <v>90</v>
          </cell>
          <cell r="N79">
            <v>1.62</v>
          </cell>
          <cell r="O79">
            <v>187110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27</v>
          </cell>
          <cell r="W79">
            <v>0.48599999999999999</v>
          </cell>
          <cell r="X79">
            <v>59967.27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153</v>
          </cell>
          <cell r="AO79">
            <v>2.754</v>
          </cell>
          <cell r="AP79">
            <v>326655.99</v>
          </cell>
        </row>
        <row r="80">
          <cell r="A80" t="str">
            <v>50046301</v>
          </cell>
          <cell r="B80" t="str">
            <v>GHEE POUCH 1 LTR. - BUF</v>
          </cell>
          <cell r="C80">
            <v>18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</row>
        <row r="81">
          <cell r="A81" t="str">
            <v>50066001</v>
          </cell>
          <cell r="B81" t="str">
            <v>GHEE 1 LTR TIN - COW</v>
          </cell>
          <cell r="C81">
            <v>18</v>
          </cell>
          <cell r="D81">
            <v>4</v>
          </cell>
          <cell r="E81">
            <v>7.1999999999999995E-2</v>
          </cell>
          <cell r="F81">
            <v>8976.49</v>
          </cell>
          <cell r="G81">
            <v>8</v>
          </cell>
          <cell r="H81">
            <v>0.14399999999999999</v>
          </cell>
          <cell r="I81">
            <v>17196.3</v>
          </cell>
          <cell r="J81">
            <v>5</v>
          </cell>
          <cell r="K81">
            <v>0.09</v>
          </cell>
          <cell r="L81">
            <v>11099.7</v>
          </cell>
          <cell r="M81">
            <v>0</v>
          </cell>
          <cell r="N81">
            <v>0</v>
          </cell>
          <cell r="O81">
            <v>0</v>
          </cell>
          <cell r="P81">
            <v>9</v>
          </cell>
          <cell r="Q81">
            <v>0.16200000000000001</v>
          </cell>
          <cell r="R81">
            <v>18566.82</v>
          </cell>
          <cell r="S81">
            <v>0</v>
          </cell>
          <cell r="T81">
            <v>0</v>
          </cell>
          <cell r="U81">
            <v>0</v>
          </cell>
          <cell r="V81">
            <v>65</v>
          </cell>
          <cell r="W81">
            <v>1.17</v>
          </cell>
          <cell r="X81">
            <v>138036.6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91</v>
          </cell>
          <cell r="AO81">
            <v>1.6379999999999999</v>
          </cell>
          <cell r="AP81">
            <v>193875.91</v>
          </cell>
        </row>
        <row r="82">
          <cell r="A82" t="str">
            <v>50067101</v>
          </cell>
          <cell r="B82" t="str">
            <v>GHEE COW 200ML CEKA</v>
          </cell>
          <cell r="C82">
            <v>12</v>
          </cell>
          <cell r="D82">
            <v>39</v>
          </cell>
          <cell r="E82">
            <v>0.46800000000000003</v>
          </cell>
          <cell r="F82">
            <v>59590.3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20</v>
          </cell>
          <cell r="N82">
            <v>0.24</v>
          </cell>
          <cell r="O82">
            <v>28944</v>
          </cell>
          <cell r="P82">
            <v>20</v>
          </cell>
          <cell r="Q82">
            <v>0.24</v>
          </cell>
          <cell r="R82">
            <v>28752</v>
          </cell>
          <cell r="S82">
            <v>40</v>
          </cell>
          <cell r="T82">
            <v>0.48</v>
          </cell>
          <cell r="U82">
            <v>57504</v>
          </cell>
          <cell r="V82">
            <v>50</v>
          </cell>
          <cell r="W82">
            <v>0.6</v>
          </cell>
          <cell r="X82">
            <v>74010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169</v>
          </cell>
          <cell r="AO82">
            <v>2.028</v>
          </cell>
          <cell r="AP82">
            <v>248800.3</v>
          </cell>
        </row>
        <row r="83">
          <cell r="A83" t="str">
            <v>50076101</v>
          </cell>
          <cell r="B83" t="str">
            <v>GHEE 1 LTR CEKA PACK -COW</v>
          </cell>
          <cell r="C83">
            <v>18</v>
          </cell>
          <cell r="D83">
            <v>6</v>
          </cell>
          <cell r="E83">
            <v>0.108</v>
          </cell>
          <cell r="F83">
            <v>12618.18</v>
          </cell>
          <cell r="G83">
            <v>1</v>
          </cell>
          <cell r="H83">
            <v>1.7999999999999999E-2</v>
          </cell>
          <cell r="I83">
            <v>2143.2600000000002</v>
          </cell>
          <cell r="J83">
            <v>10</v>
          </cell>
          <cell r="K83">
            <v>0.18</v>
          </cell>
          <cell r="L83">
            <v>21432.6</v>
          </cell>
          <cell r="M83">
            <v>10</v>
          </cell>
          <cell r="N83">
            <v>0.18</v>
          </cell>
          <cell r="O83">
            <v>20023.2</v>
          </cell>
          <cell r="P83">
            <v>2</v>
          </cell>
          <cell r="Q83">
            <v>3.5999999999999997E-2</v>
          </cell>
          <cell r="R83">
            <v>3978</v>
          </cell>
          <cell r="S83">
            <v>0</v>
          </cell>
          <cell r="T83">
            <v>0</v>
          </cell>
          <cell r="U83">
            <v>0</v>
          </cell>
          <cell r="V83">
            <v>1</v>
          </cell>
          <cell r="W83">
            <v>1.7999999999999999E-2</v>
          </cell>
          <cell r="X83">
            <v>2047.5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30</v>
          </cell>
          <cell r="AO83">
            <v>0.54</v>
          </cell>
          <cell r="AP83">
            <v>62242.74</v>
          </cell>
        </row>
        <row r="84">
          <cell r="A84" t="str">
            <v>50086201</v>
          </cell>
          <cell r="B84" t="str">
            <v>GHEE 1/2LTR CEKA PACK-COW</v>
          </cell>
          <cell r="C84">
            <v>18</v>
          </cell>
          <cell r="D84">
            <v>0</v>
          </cell>
          <cell r="E84">
            <v>0</v>
          </cell>
          <cell r="F84">
            <v>0</v>
          </cell>
          <cell r="G84">
            <v>2</v>
          </cell>
          <cell r="H84">
            <v>3.5999999999999997E-2</v>
          </cell>
          <cell r="I84">
            <v>4439.5200000000004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2</v>
          </cell>
          <cell r="AO84">
            <v>3.5999999999999997E-2</v>
          </cell>
          <cell r="AP84">
            <v>4439.5200000000004</v>
          </cell>
        </row>
        <row r="85">
          <cell r="A85" t="str">
            <v>50096301</v>
          </cell>
          <cell r="B85" t="str">
            <v>GHEE 1 LTR POUCH -COW</v>
          </cell>
          <cell r="C85">
            <v>18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</row>
        <row r="87">
          <cell r="B87" t="str">
            <v>TOTAL</v>
          </cell>
          <cell r="D87">
            <v>5609</v>
          </cell>
          <cell r="E87">
            <v>60.756399999999999</v>
          </cell>
          <cell r="F87">
            <v>6759939.4199999981</v>
          </cell>
          <cell r="G87">
            <v>2016</v>
          </cell>
          <cell r="H87">
            <v>21.832399999999996</v>
          </cell>
          <cell r="I87">
            <v>2234897.4099999992</v>
          </cell>
          <cell r="J87">
            <v>3232</v>
          </cell>
          <cell r="K87">
            <v>35.339600000000011</v>
          </cell>
          <cell r="L87">
            <v>3720685.6400000011</v>
          </cell>
          <cell r="M87">
            <v>4370</v>
          </cell>
          <cell r="N87">
            <v>47.100799999999985</v>
          </cell>
          <cell r="O87">
            <v>4852724.29</v>
          </cell>
          <cell r="P87">
            <v>1815</v>
          </cell>
          <cell r="Q87">
            <v>19.561599999999999</v>
          </cell>
          <cell r="R87">
            <v>1924589.2700000003</v>
          </cell>
          <cell r="S87">
            <v>2285</v>
          </cell>
          <cell r="T87">
            <v>24.277000000000001</v>
          </cell>
          <cell r="U87">
            <v>2251170.94</v>
          </cell>
          <cell r="V87">
            <v>8577</v>
          </cell>
          <cell r="W87">
            <v>92.911600000000007</v>
          </cell>
          <cell r="X87">
            <v>9675044.1700000018</v>
          </cell>
          <cell r="Y87">
            <v>433</v>
          </cell>
          <cell r="Z87">
            <v>5.0213999999999999</v>
          </cell>
          <cell r="AA87">
            <v>490842.24000000005</v>
          </cell>
          <cell r="AB87">
            <v>222</v>
          </cell>
          <cell r="AC87">
            <v>2.6640000000000001</v>
          </cell>
          <cell r="AD87">
            <v>218314.8</v>
          </cell>
          <cell r="AE87">
            <v>170</v>
          </cell>
          <cell r="AF87">
            <v>2.04</v>
          </cell>
          <cell r="AG87">
            <v>167178</v>
          </cell>
          <cell r="AH87">
            <v>196</v>
          </cell>
          <cell r="AI87">
            <v>2.3519999999999999</v>
          </cell>
          <cell r="AJ87">
            <v>254235.61</v>
          </cell>
          <cell r="AK87">
            <v>0</v>
          </cell>
          <cell r="AL87">
            <v>0</v>
          </cell>
          <cell r="AM87">
            <v>0</v>
          </cell>
          <cell r="AN87">
            <v>28925</v>
          </cell>
          <cell r="AO87">
            <v>313.85679999999996</v>
          </cell>
          <cell r="AP87">
            <v>32549621.790000003</v>
          </cell>
        </row>
        <row r="89">
          <cell r="B89" t="str">
            <v>AS PER TRIAL</v>
          </cell>
          <cell r="AP89">
            <v>32549621.789999999</v>
          </cell>
        </row>
        <row r="90">
          <cell r="B90" t="str">
            <v>Difference</v>
          </cell>
          <cell r="AP90">
            <v>0</v>
          </cell>
        </row>
      </sheetData>
      <sheetData sheetId="6" refreshError="1"/>
      <sheetData sheetId="7" refreshError="1">
        <row r="1">
          <cell r="A1" t="str">
            <v xml:space="preserve">BRITANNIA INDUSTRIES LIMITED </v>
          </cell>
        </row>
        <row r="2">
          <cell r="A2" t="str">
            <v>NBD - CALCUTTA</v>
          </cell>
        </row>
        <row r="3">
          <cell r="A3" t="str">
            <v xml:space="preserve">NSV FOR THE MONTH OF SEP' 2000 </v>
          </cell>
        </row>
        <row r="5">
          <cell r="A5" t="str">
            <v>STOCK CODE</v>
          </cell>
          <cell r="B5" t="str">
            <v>SKU</v>
          </cell>
          <cell r="C5" t="str">
            <v xml:space="preserve"> WEIGHT</v>
          </cell>
          <cell r="D5" t="str">
            <v>JADAVPORE</v>
          </cell>
          <cell r="G5" t="str">
            <v>BURDWAN</v>
          </cell>
          <cell r="J5" t="str">
            <v>SILIGURI</v>
          </cell>
          <cell r="M5" t="str">
            <v>PATNA</v>
          </cell>
          <cell r="P5" t="str">
            <v>ROURKELA</v>
          </cell>
          <cell r="S5" t="str">
            <v>CUTTACK</v>
          </cell>
          <cell r="V5" t="str">
            <v>GUWAHATI</v>
          </cell>
          <cell r="Y5" t="str">
            <v>AGARTALA</v>
          </cell>
          <cell r="AB5" t="str">
            <v>A.K.SAHU</v>
          </cell>
          <cell r="AE5" t="str">
            <v>BUXARA</v>
          </cell>
          <cell r="AH5" t="str">
            <v>PORTBLAIR</v>
          </cell>
          <cell r="AK5" t="str">
            <v>NEPAL</v>
          </cell>
          <cell r="AN5" t="str">
            <v>TOTAL BRANCH</v>
          </cell>
        </row>
        <row r="6">
          <cell r="A6" t="str">
            <v>stock_no</v>
          </cell>
          <cell r="B6" t="str">
            <v>descrip</v>
          </cell>
          <cell r="C6" t="str">
            <v>weight</v>
          </cell>
          <cell r="D6" t="str">
            <v>jdv_cbb</v>
          </cell>
          <cell r="E6" t="str">
            <v>Tes</v>
          </cell>
          <cell r="F6" t="str">
            <v>jdv_value</v>
          </cell>
          <cell r="G6" t="str">
            <v>bdn_cbb</v>
          </cell>
          <cell r="H6" t="str">
            <v>Tes</v>
          </cell>
          <cell r="I6" t="str">
            <v>bdn_value</v>
          </cell>
          <cell r="J6" t="str">
            <v>slg_cbb</v>
          </cell>
          <cell r="K6" t="str">
            <v>Tes</v>
          </cell>
          <cell r="L6" t="str">
            <v>slg_value</v>
          </cell>
          <cell r="M6" t="str">
            <v>ptn_cbb</v>
          </cell>
          <cell r="N6" t="str">
            <v>Tes</v>
          </cell>
          <cell r="O6" t="str">
            <v>ptn_value</v>
          </cell>
          <cell r="P6" t="str">
            <v>rkl_cbb</v>
          </cell>
          <cell r="Q6" t="str">
            <v>Tes</v>
          </cell>
          <cell r="R6" t="str">
            <v>rkl_value</v>
          </cell>
          <cell r="S6" t="str">
            <v>ctk_cbb</v>
          </cell>
          <cell r="T6" t="str">
            <v>Tes</v>
          </cell>
          <cell r="U6" t="str">
            <v>ctk_value</v>
          </cell>
          <cell r="V6" t="str">
            <v>ght_cbb</v>
          </cell>
          <cell r="W6" t="str">
            <v>Tes</v>
          </cell>
          <cell r="X6" t="str">
            <v>ght_value</v>
          </cell>
          <cell r="Y6" t="str">
            <v>agt_cbb</v>
          </cell>
          <cell r="Z6" t="str">
            <v>Tes</v>
          </cell>
          <cell r="AA6" t="str">
            <v>agt_value</v>
          </cell>
          <cell r="AB6" t="str">
            <v>aks_cbb</v>
          </cell>
          <cell r="AC6" t="str">
            <v>Tes</v>
          </cell>
          <cell r="AD6" t="str">
            <v>aks_value</v>
          </cell>
          <cell r="AE6" t="str">
            <v>bux_cbb</v>
          </cell>
          <cell r="AF6" t="str">
            <v>Tes</v>
          </cell>
          <cell r="AG6" t="str">
            <v>bux_value</v>
          </cell>
          <cell r="AH6" t="str">
            <v>prt_cbb</v>
          </cell>
          <cell r="AI6" t="str">
            <v>Tes</v>
          </cell>
          <cell r="AJ6" t="str">
            <v>prt_value</v>
          </cell>
          <cell r="AK6" t="str">
            <v>nep_cbb</v>
          </cell>
          <cell r="AL6" t="str">
            <v>Tes</v>
          </cell>
          <cell r="AM6" t="str">
            <v>nep_value</v>
          </cell>
          <cell r="AN6" t="str">
            <v>tot_cbb</v>
          </cell>
          <cell r="AO6" t="str">
            <v>Tes</v>
          </cell>
          <cell r="AP6" t="str">
            <v>tot_value</v>
          </cell>
        </row>
        <row r="7">
          <cell r="A7" t="str">
            <v>20017101</v>
          </cell>
          <cell r="B7" t="str">
            <v>MIXED FRUIT</v>
          </cell>
          <cell r="C7">
            <v>8.4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</row>
        <row r="8">
          <cell r="A8" t="str">
            <v>20027101</v>
          </cell>
          <cell r="B8" t="str">
            <v>TRIO</v>
          </cell>
          <cell r="C8">
            <v>8.4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</row>
        <row r="9">
          <cell r="A9" t="str">
            <v>20037101</v>
          </cell>
          <cell r="B9" t="str">
            <v>DUET</v>
          </cell>
          <cell r="C9">
            <v>8.4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</row>
        <row r="10">
          <cell r="A10" t="str">
            <v>20047001</v>
          </cell>
          <cell r="B10" t="str">
            <v>FRUIT</v>
          </cell>
          <cell r="C10">
            <v>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145</v>
          </cell>
          <cell r="K10">
            <v>1.74</v>
          </cell>
          <cell r="L10">
            <v>152989.5</v>
          </cell>
          <cell r="M10">
            <v>623</v>
          </cell>
          <cell r="N10">
            <v>7.476</v>
          </cell>
          <cell r="O10">
            <v>650000.81999999995</v>
          </cell>
          <cell r="P10">
            <v>159</v>
          </cell>
          <cell r="Q10">
            <v>1.9079999999999999</v>
          </cell>
          <cell r="R10">
            <v>165594.35</v>
          </cell>
          <cell r="S10">
            <v>314</v>
          </cell>
          <cell r="T10">
            <v>3.7679999999999998</v>
          </cell>
          <cell r="U10">
            <v>325385.64</v>
          </cell>
          <cell r="V10">
            <v>949</v>
          </cell>
          <cell r="W10">
            <v>11.388</v>
          </cell>
          <cell r="X10">
            <v>1009096.26</v>
          </cell>
          <cell r="Y10">
            <v>138</v>
          </cell>
          <cell r="Z10">
            <v>1.6559999999999999</v>
          </cell>
          <cell r="AA10">
            <v>141728</v>
          </cell>
          <cell r="AB10">
            <v>200</v>
          </cell>
          <cell r="AC10">
            <v>2.4</v>
          </cell>
          <cell r="AD10">
            <v>196680</v>
          </cell>
          <cell r="AE10">
            <v>200</v>
          </cell>
          <cell r="AF10">
            <v>2.4</v>
          </cell>
          <cell r="AG10">
            <v>196680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2728</v>
          </cell>
          <cell r="AO10">
            <v>32.735999999999997</v>
          </cell>
          <cell r="AP10">
            <v>2838154.57</v>
          </cell>
        </row>
        <row r="11">
          <cell r="A11" t="str">
            <v>20057001</v>
          </cell>
          <cell r="B11" t="str">
            <v>CHOCOLATE</v>
          </cell>
          <cell r="C11">
            <v>12</v>
          </cell>
          <cell r="D11">
            <v>27</v>
          </cell>
          <cell r="E11">
            <v>0.32400000000000001</v>
          </cell>
          <cell r="F11">
            <v>28487.7</v>
          </cell>
          <cell r="G11">
            <v>15</v>
          </cell>
          <cell r="H11">
            <v>0.18</v>
          </cell>
          <cell r="I11">
            <v>15826.5</v>
          </cell>
          <cell r="J11">
            <v>4</v>
          </cell>
          <cell r="K11">
            <v>4.8000000000000001E-2</v>
          </cell>
          <cell r="L11">
            <v>4220.3999999999996</v>
          </cell>
          <cell r="M11">
            <v>24</v>
          </cell>
          <cell r="N11">
            <v>0.28799999999999998</v>
          </cell>
          <cell r="O11">
            <v>26066.11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60</v>
          </cell>
          <cell r="W11">
            <v>0.72</v>
          </cell>
          <cell r="X11">
            <v>62744.4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130</v>
          </cell>
          <cell r="AO11">
            <v>1.56</v>
          </cell>
          <cell r="AP11">
            <v>137345.10999999999</v>
          </cell>
        </row>
        <row r="12">
          <cell r="A12" t="str">
            <v>20067001</v>
          </cell>
          <cell r="B12" t="str">
            <v>ORANGE</v>
          </cell>
          <cell r="C12">
            <v>12</v>
          </cell>
          <cell r="D12">
            <v>0</v>
          </cell>
          <cell r="E12">
            <v>0</v>
          </cell>
          <cell r="F12">
            <v>0</v>
          </cell>
          <cell r="G12">
            <v>2</v>
          </cell>
          <cell r="H12">
            <v>2.4E-2</v>
          </cell>
          <cell r="I12">
            <v>2110.1999999999998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2</v>
          </cell>
          <cell r="AO12">
            <v>2.4E-2</v>
          </cell>
          <cell r="AP12">
            <v>2110.1999999999998</v>
          </cell>
        </row>
        <row r="13">
          <cell r="A13" t="str">
            <v>20077001</v>
          </cell>
          <cell r="B13" t="str">
            <v>VANILLA CHOCOLATE</v>
          </cell>
          <cell r="C13">
            <v>12</v>
          </cell>
          <cell r="D13">
            <v>76</v>
          </cell>
          <cell r="E13">
            <v>0.91200000000000003</v>
          </cell>
          <cell r="F13">
            <v>80187.600000000006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23</v>
          </cell>
          <cell r="N13">
            <v>0.27600000000000002</v>
          </cell>
          <cell r="O13">
            <v>23996.82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2</v>
          </cell>
          <cell r="W13">
            <v>2.4E-2</v>
          </cell>
          <cell r="X13">
            <v>2061.48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101</v>
          </cell>
          <cell r="AO13">
            <v>1.212</v>
          </cell>
          <cell r="AP13">
            <v>106245.9</v>
          </cell>
        </row>
        <row r="14">
          <cell r="A14" t="str">
            <v>20087001</v>
          </cell>
          <cell r="B14" t="str">
            <v>ORANGE CHOCOLATE</v>
          </cell>
          <cell r="C14">
            <v>12</v>
          </cell>
          <cell r="D14">
            <v>73</v>
          </cell>
          <cell r="E14">
            <v>0.876</v>
          </cell>
          <cell r="F14">
            <v>77022.3</v>
          </cell>
          <cell r="G14">
            <v>6</v>
          </cell>
          <cell r="H14">
            <v>7.1999999999999995E-2</v>
          </cell>
          <cell r="I14">
            <v>6330.6</v>
          </cell>
          <cell r="J14">
            <v>1</v>
          </cell>
          <cell r="K14">
            <v>1.2E-2</v>
          </cell>
          <cell r="L14">
            <v>1055.0999999999999</v>
          </cell>
          <cell r="M14">
            <v>23</v>
          </cell>
          <cell r="N14">
            <v>0.27600000000000002</v>
          </cell>
          <cell r="O14">
            <v>23996.82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2</v>
          </cell>
          <cell r="W14">
            <v>2.4E-2</v>
          </cell>
          <cell r="X14">
            <v>2061.48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105</v>
          </cell>
          <cell r="AO14">
            <v>1.26</v>
          </cell>
          <cell r="AP14">
            <v>110466.3</v>
          </cell>
        </row>
        <row r="15">
          <cell r="A15" t="str">
            <v>20097001</v>
          </cell>
          <cell r="B15" t="str">
            <v>PLUM</v>
          </cell>
          <cell r="C15">
            <v>18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</row>
        <row r="16">
          <cell r="A16" t="str">
            <v>20107001</v>
          </cell>
          <cell r="B16" t="str">
            <v>MILK</v>
          </cell>
          <cell r="C16">
            <v>12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</row>
        <row r="17">
          <cell r="A17" t="str">
            <v>20117001</v>
          </cell>
          <cell r="B17" t="str">
            <v>BUTTER SPONGE</v>
          </cell>
          <cell r="C17">
            <v>12</v>
          </cell>
          <cell r="D17">
            <v>20</v>
          </cell>
          <cell r="E17">
            <v>0.24</v>
          </cell>
          <cell r="F17">
            <v>21102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12</v>
          </cell>
          <cell r="N17">
            <v>0.14399999999999999</v>
          </cell>
          <cell r="O17">
            <v>12520.08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32</v>
          </cell>
          <cell r="AO17">
            <v>0.38400000000000001</v>
          </cell>
          <cell r="AP17">
            <v>33622.080000000002</v>
          </cell>
        </row>
        <row r="18">
          <cell r="A18" t="str">
            <v>20227101</v>
          </cell>
          <cell r="B18" t="str">
            <v>GOODDAY S SL VANILLA</v>
          </cell>
          <cell r="C18">
            <v>8.4</v>
          </cell>
          <cell r="D18">
            <v>5</v>
          </cell>
          <cell r="E18">
            <v>4.2000000000000003E-2</v>
          </cell>
          <cell r="F18">
            <v>4587.6000000000004</v>
          </cell>
          <cell r="G18">
            <v>0</v>
          </cell>
          <cell r="H18">
            <v>0</v>
          </cell>
          <cell r="I18">
            <v>0</v>
          </cell>
          <cell r="J18">
            <v>15</v>
          </cell>
          <cell r="K18">
            <v>0.126</v>
          </cell>
          <cell r="L18">
            <v>13762.8</v>
          </cell>
          <cell r="M18">
            <v>9</v>
          </cell>
          <cell r="N18">
            <v>7.5600000000000014E-2</v>
          </cell>
          <cell r="O18">
            <v>8164.8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29</v>
          </cell>
          <cell r="AO18">
            <v>0.24360000000000001</v>
          </cell>
          <cell r="AP18">
            <v>26515.200000000001</v>
          </cell>
        </row>
        <row r="19">
          <cell r="A19" t="str">
            <v>20237101</v>
          </cell>
          <cell r="B19" t="str">
            <v>GOODDAY S SL RICH FRUIT</v>
          </cell>
          <cell r="C19">
            <v>8.4</v>
          </cell>
          <cell r="D19">
            <v>10</v>
          </cell>
          <cell r="E19">
            <v>8.4000000000000005E-2</v>
          </cell>
          <cell r="F19">
            <v>9175.2000000000007</v>
          </cell>
          <cell r="G19">
            <v>3</v>
          </cell>
          <cell r="H19">
            <v>2.5200000000000004E-2</v>
          </cell>
          <cell r="I19">
            <v>2752.56</v>
          </cell>
          <cell r="J19">
            <v>16</v>
          </cell>
          <cell r="K19">
            <v>0.13440000000000002</v>
          </cell>
          <cell r="L19">
            <v>14680.32</v>
          </cell>
          <cell r="M19">
            <v>15</v>
          </cell>
          <cell r="N19">
            <v>0.126</v>
          </cell>
          <cell r="O19">
            <v>13608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1</v>
          </cell>
          <cell r="W19">
            <v>8.4000000000000012E-3</v>
          </cell>
          <cell r="X19">
            <v>896.4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32</v>
          </cell>
          <cell r="AF19">
            <v>0.26880000000000004</v>
          </cell>
          <cell r="AG19">
            <v>24221.54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77</v>
          </cell>
          <cell r="AO19">
            <v>0.64680000000000004</v>
          </cell>
          <cell r="AP19">
            <v>65334.02</v>
          </cell>
        </row>
        <row r="20">
          <cell r="A20" t="str">
            <v>20247101</v>
          </cell>
          <cell r="B20" t="str">
            <v>GOODDAY S SL MAZZA MIX</v>
          </cell>
          <cell r="C20">
            <v>8.4</v>
          </cell>
          <cell r="D20">
            <v>9</v>
          </cell>
          <cell r="E20">
            <v>7.5600000000000014E-2</v>
          </cell>
          <cell r="F20">
            <v>8257.68</v>
          </cell>
          <cell r="G20">
            <v>1</v>
          </cell>
          <cell r="H20">
            <v>8.4000000000000012E-3</v>
          </cell>
          <cell r="I20">
            <v>917.52</v>
          </cell>
          <cell r="J20">
            <v>10</v>
          </cell>
          <cell r="K20">
            <v>8.4000000000000005E-2</v>
          </cell>
          <cell r="L20">
            <v>9175.2000000000007</v>
          </cell>
          <cell r="M20">
            <v>11</v>
          </cell>
          <cell r="N20">
            <v>9.240000000000001E-2</v>
          </cell>
          <cell r="O20">
            <v>9979.2000000000007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31</v>
          </cell>
          <cell r="AO20">
            <v>0.26040000000000002</v>
          </cell>
          <cell r="AP20">
            <v>28329.599999999999</v>
          </cell>
        </row>
        <row r="21">
          <cell r="A21" t="str">
            <v>20307001</v>
          </cell>
          <cell r="B21" t="str">
            <v>FRUIT CAKE      (CAL-CP)</v>
          </cell>
          <cell r="C21">
            <v>12</v>
          </cell>
          <cell r="D21">
            <v>806</v>
          </cell>
          <cell r="E21">
            <v>9.6720000000000006</v>
          </cell>
          <cell r="F21">
            <v>935475.84</v>
          </cell>
          <cell r="G21">
            <v>501</v>
          </cell>
          <cell r="H21">
            <v>6.0119999999999996</v>
          </cell>
          <cell r="I21">
            <v>581480.64</v>
          </cell>
          <cell r="J21">
            <v>356</v>
          </cell>
          <cell r="K21">
            <v>4.2720000000000002</v>
          </cell>
          <cell r="L21">
            <v>413729.47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1663</v>
          </cell>
          <cell r="AO21">
            <v>19.956</v>
          </cell>
          <cell r="AP21">
            <v>1930685.95</v>
          </cell>
        </row>
        <row r="22">
          <cell r="A22" t="str">
            <v>20317001</v>
          </cell>
          <cell r="B22" t="str">
            <v>CHOCOLATE   (FROM CAL CP)</v>
          </cell>
          <cell r="C22">
            <v>12</v>
          </cell>
          <cell r="D22">
            <v>56</v>
          </cell>
          <cell r="E22">
            <v>0.67200000000000004</v>
          </cell>
          <cell r="F22">
            <v>62170.080000000002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56</v>
          </cell>
          <cell r="AO22">
            <v>0.67200000000000004</v>
          </cell>
          <cell r="AP22">
            <v>62170.080000000002</v>
          </cell>
        </row>
        <row r="23">
          <cell r="A23" t="str">
            <v>21017601</v>
          </cell>
          <cell r="B23" t="str">
            <v>HALF-HALF CHOC/VAN TWINPK</v>
          </cell>
          <cell r="C23">
            <v>4.8</v>
          </cell>
          <cell r="D23">
            <v>86</v>
          </cell>
          <cell r="E23">
            <v>0.4128</v>
          </cell>
          <cell r="F23">
            <v>63117.120000000003</v>
          </cell>
          <cell r="G23">
            <v>23</v>
          </cell>
          <cell r="H23">
            <v>0.1104</v>
          </cell>
          <cell r="I23">
            <v>16880.16</v>
          </cell>
          <cell r="J23">
            <v>42</v>
          </cell>
          <cell r="K23">
            <v>0.2016</v>
          </cell>
          <cell r="L23">
            <v>30824.639999999999</v>
          </cell>
          <cell r="M23">
            <v>33</v>
          </cell>
          <cell r="N23">
            <v>0.15840000000000001</v>
          </cell>
          <cell r="O23">
            <v>23950.080000000002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184</v>
          </cell>
          <cell r="AO23">
            <v>0.88319999999999999</v>
          </cell>
          <cell r="AP23">
            <v>134772</v>
          </cell>
        </row>
        <row r="24">
          <cell r="A24" t="str">
            <v>21017701</v>
          </cell>
          <cell r="B24" t="str">
            <v>HALF HALF CHOC/VAN FMLYPK</v>
          </cell>
          <cell r="C24">
            <v>3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</row>
        <row r="25">
          <cell r="A25" t="str">
            <v>21027601</v>
          </cell>
          <cell r="B25" t="str">
            <v>HALF HALF OR/CHOC  TWINPK</v>
          </cell>
          <cell r="C25">
            <v>4.8</v>
          </cell>
          <cell r="D25">
            <v>138</v>
          </cell>
          <cell r="E25">
            <v>0.66239999999999999</v>
          </cell>
          <cell r="F25">
            <v>101280.96000000001</v>
          </cell>
          <cell r="G25">
            <v>21</v>
          </cell>
          <cell r="H25">
            <v>0.1008</v>
          </cell>
          <cell r="I25">
            <v>15412.32</v>
          </cell>
          <cell r="J25">
            <v>31</v>
          </cell>
          <cell r="K25">
            <v>0.14879999999999999</v>
          </cell>
          <cell r="L25">
            <v>23471.68</v>
          </cell>
          <cell r="M25">
            <v>35</v>
          </cell>
          <cell r="N25">
            <v>0.16800000000000001</v>
          </cell>
          <cell r="O25">
            <v>25401.599999999999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225</v>
          </cell>
          <cell r="AO25">
            <v>1.08</v>
          </cell>
          <cell r="AP25">
            <v>165566.56</v>
          </cell>
        </row>
        <row r="26">
          <cell r="A26" t="str">
            <v>21027701</v>
          </cell>
          <cell r="B26" t="str">
            <v>HALF HALF OR/CHOC  FMLYPK</v>
          </cell>
          <cell r="C26">
            <v>3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</row>
        <row r="27">
          <cell r="A27" t="str">
            <v>22017801</v>
          </cell>
          <cell r="B27" t="str">
            <v>CUP CAKE TWIN BUTTER</v>
          </cell>
          <cell r="C27">
            <v>4.8</v>
          </cell>
          <cell r="D27">
            <v>62</v>
          </cell>
          <cell r="E27">
            <v>0.29759999999999998</v>
          </cell>
          <cell r="F27">
            <v>46223.199999999997</v>
          </cell>
          <cell r="G27">
            <v>19</v>
          </cell>
          <cell r="H27">
            <v>9.1200000000000003E-2</v>
          </cell>
          <cell r="I27">
            <v>13944.48</v>
          </cell>
          <cell r="J27">
            <v>50</v>
          </cell>
          <cell r="K27">
            <v>0.24</v>
          </cell>
          <cell r="L27">
            <v>36696</v>
          </cell>
          <cell r="M27">
            <v>120</v>
          </cell>
          <cell r="N27">
            <v>0.57599999999999996</v>
          </cell>
          <cell r="O27">
            <v>87091.199999999997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32</v>
          </cell>
          <cell r="W27">
            <v>0.15359999999999999</v>
          </cell>
          <cell r="X27">
            <v>23746.560000000001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283</v>
          </cell>
          <cell r="AO27">
            <v>1.3583999999999998</v>
          </cell>
          <cell r="AP27">
            <v>207701.44</v>
          </cell>
        </row>
        <row r="28">
          <cell r="A28" t="str">
            <v>22027801</v>
          </cell>
          <cell r="B28" t="str">
            <v>CUP CAKE TWIN ORANGE</v>
          </cell>
          <cell r="C28">
            <v>4.8</v>
          </cell>
          <cell r="D28">
            <v>14</v>
          </cell>
          <cell r="E28">
            <v>6.720000000000001E-2</v>
          </cell>
          <cell r="F28">
            <v>11004.21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29</v>
          </cell>
          <cell r="N28">
            <v>0.13919999999999999</v>
          </cell>
          <cell r="O28">
            <v>21047.040000000001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39</v>
          </cell>
          <cell r="W28">
            <v>0.18719999999999998</v>
          </cell>
          <cell r="X28">
            <v>28941.119999999999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82</v>
          </cell>
          <cell r="AO28">
            <v>0.39359999999999995</v>
          </cell>
          <cell r="AP28">
            <v>60992.37</v>
          </cell>
        </row>
        <row r="29">
          <cell r="A29" t="str">
            <v>22037801</v>
          </cell>
          <cell r="B29" t="str">
            <v>CUP CAKE TWIN PINEAPPLE</v>
          </cell>
          <cell r="C29">
            <v>4.8</v>
          </cell>
          <cell r="D29">
            <v>11</v>
          </cell>
          <cell r="E29">
            <v>5.28E-2</v>
          </cell>
          <cell r="F29">
            <v>8797.8700000000008</v>
          </cell>
          <cell r="G29">
            <v>0</v>
          </cell>
          <cell r="H29">
            <v>0</v>
          </cell>
          <cell r="I29">
            <v>0</v>
          </cell>
          <cell r="J29">
            <v>15</v>
          </cell>
          <cell r="K29">
            <v>7.1999999999999995E-2</v>
          </cell>
          <cell r="L29">
            <v>11008.8</v>
          </cell>
          <cell r="M29">
            <v>55</v>
          </cell>
          <cell r="N29">
            <v>0.26400000000000001</v>
          </cell>
          <cell r="O29">
            <v>39916.800000000003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34</v>
          </cell>
          <cell r="W29">
            <v>0.16319999999999998</v>
          </cell>
          <cell r="X29">
            <v>25230.720000000001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115</v>
          </cell>
          <cell r="AO29">
            <v>0.55200000000000005</v>
          </cell>
          <cell r="AP29">
            <v>84954.19</v>
          </cell>
        </row>
        <row r="30">
          <cell r="A30" t="str">
            <v>22047901</v>
          </cell>
          <cell r="B30" t="str">
            <v>CUP CAKE FAMILY BUTTER</v>
          </cell>
          <cell r="C30">
            <v>3</v>
          </cell>
          <cell r="D30">
            <v>18</v>
          </cell>
          <cell r="E30">
            <v>5.3999999999999999E-2</v>
          </cell>
          <cell r="F30">
            <v>6936.3</v>
          </cell>
          <cell r="G30">
            <v>10</v>
          </cell>
          <cell r="H30">
            <v>0.03</v>
          </cell>
          <cell r="I30">
            <v>3670</v>
          </cell>
          <cell r="J30">
            <v>0</v>
          </cell>
          <cell r="K30">
            <v>0</v>
          </cell>
          <cell r="L30">
            <v>0</v>
          </cell>
          <cell r="M30">
            <v>59</v>
          </cell>
          <cell r="N30">
            <v>0.17699999999999999</v>
          </cell>
          <cell r="O30">
            <v>21412.28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18</v>
          </cell>
          <cell r="W30">
            <v>5.3999999999999999E-2</v>
          </cell>
          <cell r="X30">
            <v>6678.72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105</v>
          </cell>
          <cell r="AO30">
            <v>0.315</v>
          </cell>
          <cell r="AP30">
            <v>38697.300000000003</v>
          </cell>
        </row>
        <row r="31">
          <cell r="A31" t="str">
            <v>22057901</v>
          </cell>
          <cell r="B31" t="str">
            <v>CUP CAKE FAMILY ORANGE</v>
          </cell>
          <cell r="C31">
            <v>3</v>
          </cell>
          <cell r="D31">
            <v>11</v>
          </cell>
          <cell r="E31">
            <v>3.3000000000000002E-2</v>
          </cell>
          <cell r="F31">
            <v>4394.83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17</v>
          </cell>
          <cell r="N31">
            <v>5.0999999999999997E-2</v>
          </cell>
          <cell r="O31">
            <v>6169.64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19</v>
          </cell>
          <cell r="W31">
            <v>5.7000000000000002E-2</v>
          </cell>
          <cell r="X31">
            <v>7049.76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47</v>
          </cell>
          <cell r="AO31">
            <v>0.14099999999999999</v>
          </cell>
          <cell r="AP31">
            <v>17614.23</v>
          </cell>
        </row>
        <row r="32">
          <cell r="A32" t="str">
            <v>22067901</v>
          </cell>
          <cell r="B32" t="str">
            <v>CUP CAKE FAMILY PINEAPPLE</v>
          </cell>
          <cell r="C32">
            <v>3</v>
          </cell>
          <cell r="D32">
            <v>22</v>
          </cell>
          <cell r="E32">
            <v>6.6000000000000003E-2</v>
          </cell>
          <cell r="F32">
            <v>8431.83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25</v>
          </cell>
          <cell r="N32">
            <v>7.4999999999999997E-2</v>
          </cell>
          <cell r="O32">
            <v>9073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19</v>
          </cell>
          <cell r="W32">
            <v>5.7000000000000002E-2</v>
          </cell>
          <cell r="X32">
            <v>7049.76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66</v>
          </cell>
          <cell r="AO32">
            <v>0.19800000000000001</v>
          </cell>
          <cell r="AP32">
            <v>24554.59</v>
          </cell>
        </row>
        <row r="33">
          <cell r="A33" t="str">
            <v>40018001</v>
          </cell>
          <cell r="B33" t="str">
            <v>PROCESSED CHEESE 400G TIN</v>
          </cell>
          <cell r="C33">
            <v>9.6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</row>
        <row r="34">
          <cell r="A34" t="str">
            <v>40018002</v>
          </cell>
          <cell r="B34" t="str">
            <v>PROCESSED CHEESE 200G TIN</v>
          </cell>
          <cell r="C34">
            <v>9.6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</row>
        <row r="35">
          <cell r="A35" t="str">
            <v>40018101</v>
          </cell>
          <cell r="B35" t="str">
            <v>CHEESE SINGLES 100G IWS</v>
          </cell>
          <cell r="C35">
            <v>12</v>
          </cell>
          <cell r="D35">
            <v>31</v>
          </cell>
          <cell r="E35">
            <v>0.372</v>
          </cell>
          <cell r="F35">
            <v>72912</v>
          </cell>
          <cell r="G35">
            <v>1</v>
          </cell>
          <cell r="H35">
            <v>1.2E-2</v>
          </cell>
          <cell r="I35">
            <v>2352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15</v>
          </cell>
          <cell r="W35">
            <v>0.18</v>
          </cell>
          <cell r="X35">
            <v>34394.400000000001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47</v>
          </cell>
          <cell r="AO35">
            <v>0.56399999999999995</v>
          </cell>
          <cell r="AP35">
            <v>109658.4</v>
          </cell>
        </row>
        <row r="36">
          <cell r="A36" t="str">
            <v>40018102</v>
          </cell>
          <cell r="B36" t="str">
            <v>CHEESE SINGLES 200G IWS</v>
          </cell>
          <cell r="C36">
            <v>12</v>
          </cell>
          <cell r="D36">
            <v>87</v>
          </cell>
          <cell r="E36">
            <v>1.044</v>
          </cell>
          <cell r="F36">
            <v>192358.2</v>
          </cell>
          <cell r="G36">
            <v>2</v>
          </cell>
          <cell r="H36">
            <v>2.4E-2</v>
          </cell>
          <cell r="I36">
            <v>11028</v>
          </cell>
          <cell r="J36">
            <v>42</v>
          </cell>
          <cell r="K36">
            <v>0.504</v>
          </cell>
          <cell r="L36">
            <v>89948.4</v>
          </cell>
          <cell r="M36">
            <v>2</v>
          </cell>
          <cell r="N36">
            <v>2.4E-2</v>
          </cell>
          <cell r="O36">
            <v>4281.6000000000004</v>
          </cell>
          <cell r="P36">
            <v>1</v>
          </cell>
          <cell r="Q36">
            <v>1.2E-2</v>
          </cell>
          <cell r="R36">
            <v>4252.8</v>
          </cell>
          <cell r="S36">
            <v>7</v>
          </cell>
          <cell r="T36">
            <v>8.4000000000000005E-2</v>
          </cell>
          <cell r="U36">
            <v>16975.759999999998</v>
          </cell>
          <cell r="V36">
            <v>17</v>
          </cell>
          <cell r="W36">
            <v>0.20399999999999999</v>
          </cell>
          <cell r="X36">
            <v>39409.199999999997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158</v>
          </cell>
          <cell r="AO36">
            <v>1.8959999999999999</v>
          </cell>
          <cell r="AP36">
            <v>358253.96</v>
          </cell>
        </row>
        <row r="37">
          <cell r="A37" t="str">
            <v>40018301</v>
          </cell>
          <cell r="B37" t="str">
            <v>PROCESSED CHEESE 200G CHP</v>
          </cell>
          <cell r="C37">
            <v>12</v>
          </cell>
          <cell r="D37">
            <v>44</v>
          </cell>
          <cell r="E37">
            <v>0.52800000000000002</v>
          </cell>
          <cell r="F37">
            <v>97234.8</v>
          </cell>
          <cell r="G37">
            <v>0</v>
          </cell>
          <cell r="H37">
            <v>0</v>
          </cell>
          <cell r="I37">
            <v>6102.16</v>
          </cell>
          <cell r="J37">
            <v>32</v>
          </cell>
          <cell r="K37">
            <v>0.38400000000000001</v>
          </cell>
          <cell r="L37">
            <v>70818.92</v>
          </cell>
          <cell r="M37">
            <v>20</v>
          </cell>
          <cell r="N37">
            <v>0.24</v>
          </cell>
          <cell r="O37">
            <v>42816</v>
          </cell>
          <cell r="P37">
            <v>2</v>
          </cell>
          <cell r="Q37">
            <v>2.4E-2</v>
          </cell>
          <cell r="R37">
            <v>4252.8</v>
          </cell>
          <cell r="S37">
            <v>8</v>
          </cell>
          <cell r="T37">
            <v>9.6000000000000002E-2</v>
          </cell>
          <cell r="U37">
            <v>17011.2</v>
          </cell>
          <cell r="V37">
            <v>73</v>
          </cell>
          <cell r="W37">
            <v>0.876</v>
          </cell>
          <cell r="X37">
            <v>157891.79999999999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179</v>
          </cell>
          <cell r="AO37">
            <v>2.1480000000000001</v>
          </cell>
          <cell r="AP37">
            <v>396127.68</v>
          </cell>
        </row>
        <row r="38">
          <cell r="A38" t="str">
            <v>40018801</v>
          </cell>
          <cell r="B38" t="str">
            <v>PROCESSED CHEESE 400GCEKA</v>
          </cell>
          <cell r="C38">
            <v>12</v>
          </cell>
          <cell r="D38">
            <v>30</v>
          </cell>
          <cell r="E38">
            <v>0.36</v>
          </cell>
          <cell r="F38">
            <v>51462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30</v>
          </cell>
          <cell r="AO38">
            <v>0.36</v>
          </cell>
          <cell r="AP38">
            <v>51462</v>
          </cell>
        </row>
        <row r="39">
          <cell r="A39" t="str">
            <v>40019001</v>
          </cell>
          <cell r="B39" t="str">
            <v>PROCESSED CHEESE I. PACK</v>
          </cell>
          <cell r="C39">
            <v>12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</row>
        <row r="40">
          <cell r="A40" t="str">
            <v>40019401</v>
          </cell>
          <cell r="B40" t="str">
            <v>N F T - CHEESE 400G TIN</v>
          </cell>
          <cell r="C40">
            <v>9.6</v>
          </cell>
          <cell r="D40">
            <v>178</v>
          </cell>
          <cell r="E40">
            <v>1.7087999999999999</v>
          </cell>
          <cell r="F40">
            <v>261828.48000000001</v>
          </cell>
          <cell r="G40">
            <v>2</v>
          </cell>
          <cell r="H40">
            <v>1.9199999999999998E-2</v>
          </cell>
          <cell r="I40">
            <v>2940.48</v>
          </cell>
          <cell r="J40">
            <v>59</v>
          </cell>
          <cell r="K40">
            <v>0.56640000000000001</v>
          </cell>
          <cell r="L40">
            <v>83916</v>
          </cell>
          <cell r="M40">
            <v>2</v>
          </cell>
          <cell r="N40">
            <v>1.9199999999999998E-2</v>
          </cell>
          <cell r="O40">
            <v>2854.08</v>
          </cell>
          <cell r="P40">
            <v>3</v>
          </cell>
          <cell r="Q40">
            <v>2.8799999999999996E-2</v>
          </cell>
          <cell r="R40">
            <v>4253.04</v>
          </cell>
          <cell r="S40">
            <v>4</v>
          </cell>
          <cell r="T40">
            <v>3.8399999999999997E-2</v>
          </cell>
          <cell r="U40">
            <v>5670.72</v>
          </cell>
          <cell r="V40">
            <v>27</v>
          </cell>
          <cell r="W40">
            <v>0.25919999999999999</v>
          </cell>
          <cell r="X40">
            <v>38863.68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275</v>
          </cell>
          <cell r="AO40">
            <v>2.64</v>
          </cell>
          <cell r="AP40">
            <v>400326.48</v>
          </cell>
        </row>
        <row r="41">
          <cell r="A41" t="str">
            <v>40019501</v>
          </cell>
          <cell r="B41" t="str">
            <v>CHEESE BLOCK 1 KG</v>
          </cell>
          <cell r="C41">
            <v>12</v>
          </cell>
          <cell r="D41">
            <v>15</v>
          </cell>
          <cell r="E41">
            <v>0.18</v>
          </cell>
          <cell r="F41">
            <v>23238</v>
          </cell>
          <cell r="G41">
            <v>0</v>
          </cell>
          <cell r="H41">
            <v>0</v>
          </cell>
          <cell r="I41">
            <v>0</v>
          </cell>
          <cell r="J41">
            <v>25</v>
          </cell>
          <cell r="K41">
            <v>0.3</v>
          </cell>
          <cell r="L41">
            <v>38504.400000000001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40</v>
          </cell>
          <cell r="AO41">
            <v>0.48</v>
          </cell>
          <cell r="AP41">
            <v>61742.400000000001</v>
          </cell>
        </row>
        <row r="42">
          <cell r="A42" t="str">
            <v>40019601</v>
          </cell>
          <cell r="B42" t="str">
            <v>CHIPLET 120G ONION</v>
          </cell>
          <cell r="C42">
            <v>12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</row>
        <row r="43">
          <cell r="A43" t="str">
            <v>40028401</v>
          </cell>
          <cell r="B43" t="str">
            <v>DAIRY WHITENER 200G REFIL</v>
          </cell>
          <cell r="C43">
            <v>12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15</v>
          </cell>
          <cell r="K43">
            <v>0.18</v>
          </cell>
          <cell r="L43">
            <v>21694.1</v>
          </cell>
          <cell r="M43">
            <v>103</v>
          </cell>
          <cell r="N43">
            <v>1.236</v>
          </cell>
          <cell r="O43">
            <v>145647.15</v>
          </cell>
          <cell r="P43">
            <v>11</v>
          </cell>
          <cell r="Q43">
            <v>0.13200000000000001</v>
          </cell>
          <cell r="R43">
            <v>15595.03</v>
          </cell>
          <cell r="S43">
            <v>13</v>
          </cell>
          <cell r="T43">
            <v>0.156</v>
          </cell>
          <cell r="U43">
            <v>18430.490000000002</v>
          </cell>
          <cell r="V43">
            <v>663</v>
          </cell>
          <cell r="W43">
            <v>7.9560000000000004</v>
          </cell>
          <cell r="X43">
            <v>967602.09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805</v>
          </cell>
          <cell r="AO43">
            <v>9.66</v>
          </cell>
          <cell r="AP43">
            <v>1168968.8600000001</v>
          </cell>
        </row>
        <row r="44">
          <cell r="A44" t="str">
            <v>40028402</v>
          </cell>
          <cell r="B44" t="str">
            <v>DAIRY WHITENER 500G REFIL</v>
          </cell>
          <cell r="C44">
            <v>12</v>
          </cell>
          <cell r="D44">
            <v>35</v>
          </cell>
          <cell r="E44">
            <v>0.42</v>
          </cell>
          <cell r="F44">
            <v>47784.1</v>
          </cell>
          <cell r="G44">
            <v>0</v>
          </cell>
          <cell r="H44">
            <v>0</v>
          </cell>
          <cell r="I44">
            <v>0</v>
          </cell>
          <cell r="J44">
            <v>9</v>
          </cell>
          <cell r="K44">
            <v>0.108</v>
          </cell>
          <cell r="L44">
            <v>12131.25</v>
          </cell>
          <cell r="M44">
            <v>191</v>
          </cell>
          <cell r="N44">
            <v>2.2919999999999998</v>
          </cell>
          <cell r="O44">
            <v>248477.63</v>
          </cell>
          <cell r="P44">
            <v>49</v>
          </cell>
          <cell r="Q44">
            <v>0.58799999999999997</v>
          </cell>
          <cell r="R44">
            <v>63911.19</v>
          </cell>
          <cell r="S44">
            <v>139</v>
          </cell>
          <cell r="T44">
            <v>1.6679999999999999</v>
          </cell>
          <cell r="U44">
            <v>181299.09</v>
          </cell>
          <cell r="V44">
            <v>788</v>
          </cell>
          <cell r="W44">
            <v>9.4559999999999995</v>
          </cell>
          <cell r="X44">
            <v>1058031.8400000001</v>
          </cell>
          <cell r="Y44">
            <v>9</v>
          </cell>
          <cell r="Z44">
            <v>0.108</v>
          </cell>
          <cell r="AA44">
            <v>13314.91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50</v>
          </cell>
          <cell r="AI44">
            <v>0.6</v>
          </cell>
          <cell r="AJ44">
            <v>68263</v>
          </cell>
          <cell r="AK44">
            <v>0</v>
          </cell>
          <cell r="AL44">
            <v>0</v>
          </cell>
          <cell r="AM44">
            <v>0</v>
          </cell>
          <cell r="AN44">
            <v>1270</v>
          </cell>
          <cell r="AO44">
            <v>15.24</v>
          </cell>
          <cell r="AP44">
            <v>1693213.01</v>
          </cell>
        </row>
        <row r="45">
          <cell r="A45" t="str">
            <v>40028501</v>
          </cell>
          <cell r="B45" t="str">
            <v>DAIRY WHITENER 200G POUCH</v>
          </cell>
          <cell r="C45">
            <v>12</v>
          </cell>
          <cell r="D45">
            <v>407</v>
          </cell>
          <cell r="E45">
            <v>4.8840000000000003</v>
          </cell>
          <cell r="F45">
            <v>564066.65</v>
          </cell>
          <cell r="G45">
            <v>117</v>
          </cell>
          <cell r="H45">
            <v>1.4039999999999999</v>
          </cell>
          <cell r="I45">
            <v>162050.85</v>
          </cell>
          <cell r="J45">
            <v>272</v>
          </cell>
          <cell r="K45">
            <v>3.2639999999999998</v>
          </cell>
          <cell r="L45">
            <v>373146.25</v>
          </cell>
          <cell r="M45">
            <v>186</v>
          </cell>
          <cell r="N45">
            <v>2.2320000000000002</v>
          </cell>
          <cell r="O45">
            <v>245479.08</v>
          </cell>
          <cell r="P45">
            <v>94</v>
          </cell>
          <cell r="Q45">
            <v>1.1279999999999999</v>
          </cell>
          <cell r="R45">
            <v>124382.68</v>
          </cell>
          <cell r="S45">
            <v>65</v>
          </cell>
          <cell r="T45">
            <v>0.78</v>
          </cell>
          <cell r="U45">
            <v>86009.3</v>
          </cell>
          <cell r="V45">
            <v>748</v>
          </cell>
          <cell r="W45">
            <v>8.9760000000000009</v>
          </cell>
          <cell r="X45">
            <v>1009732.72</v>
          </cell>
          <cell r="Y45">
            <v>22</v>
          </cell>
          <cell r="Z45">
            <v>0.26400000000000001</v>
          </cell>
          <cell r="AA45">
            <v>29967.08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4</v>
          </cell>
          <cell r="AI45">
            <v>4.8000000000000001E-2</v>
          </cell>
          <cell r="AJ45">
            <v>5540.2</v>
          </cell>
          <cell r="AK45">
            <v>0</v>
          </cell>
          <cell r="AL45">
            <v>0</v>
          </cell>
          <cell r="AM45">
            <v>0</v>
          </cell>
          <cell r="AN45">
            <v>1915</v>
          </cell>
          <cell r="AO45">
            <v>22.98</v>
          </cell>
          <cell r="AP45">
            <v>2600374.81</v>
          </cell>
        </row>
        <row r="46">
          <cell r="A46" t="str">
            <v>40028502</v>
          </cell>
          <cell r="B46" t="str">
            <v>DAIRY WHITENER 500G POUCH</v>
          </cell>
          <cell r="C46">
            <v>12</v>
          </cell>
          <cell r="D46">
            <v>1162</v>
          </cell>
          <cell r="E46">
            <v>13.944000000000001</v>
          </cell>
          <cell r="F46">
            <v>1494829.56</v>
          </cell>
          <cell r="G46">
            <v>606</v>
          </cell>
          <cell r="H46">
            <v>7.2720000000000002</v>
          </cell>
          <cell r="I46">
            <v>779388.72</v>
          </cell>
          <cell r="J46">
            <v>736</v>
          </cell>
          <cell r="K46">
            <v>8.8320000000000007</v>
          </cell>
          <cell r="L46">
            <v>941714.05</v>
          </cell>
          <cell r="M46">
            <v>992</v>
          </cell>
          <cell r="N46">
            <v>11.904</v>
          </cell>
          <cell r="O46">
            <v>1215705.92</v>
          </cell>
          <cell r="P46">
            <v>557</v>
          </cell>
          <cell r="Q46">
            <v>6.6840000000000002</v>
          </cell>
          <cell r="R46">
            <v>684385.9</v>
          </cell>
          <cell r="S46">
            <v>323</v>
          </cell>
          <cell r="T46">
            <v>3.8759999999999999</v>
          </cell>
          <cell r="U46">
            <v>396870.1</v>
          </cell>
          <cell r="V46">
            <v>752</v>
          </cell>
          <cell r="W46">
            <v>9.0239999999999991</v>
          </cell>
          <cell r="X46">
            <v>951159.68</v>
          </cell>
          <cell r="Y46">
            <v>60</v>
          </cell>
          <cell r="Z46">
            <v>0.72</v>
          </cell>
          <cell r="AA46">
            <v>75890.399999999994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92</v>
          </cell>
          <cell r="AI46">
            <v>1.1040000000000001</v>
          </cell>
          <cell r="AJ46">
            <v>118323.04</v>
          </cell>
          <cell r="AK46">
            <v>0</v>
          </cell>
          <cell r="AL46">
            <v>0</v>
          </cell>
          <cell r="AM46">
            <v>0</v>
          </cell>
          <cell r="AN46">
            <v>5280</v>
          </cell>
          <cell r="AO46">
            <v>63.36</v>
          </cell>
          <cell r="AP46">
            <v>6658267.3700000001</v>
          </cell>
        </row>
        <row r="47">
          <cell r="A47" t="str">
            <v>40028503</v>
          </cell>
          <cell r="B47" t="str">
            <v>DAIRY WHITENER 50G POUCH</v>
          </cell>
          <cell r="C47">
            <v>9.6</v>
          </cell>
          <cell r="D47">
            <v>76</v>
          </cell>
          <cell r="E47">
            <v>0.72960000000000003</v>
          </cell>
          <cell r="F47">
            <v>80173.919999999998</v>
          </cell>
          <cell r="G47">
            <v>25</v>
          </cell>
          <cell r="H47">
            <v>0.24</v>
          </cell>
          <cell r="I47">
            <v>26370</v>
          </cell>
          <cell r="J47">
            <v>200</v>
          </cell>
          <cell r="K47">
            <v>1.92</v>
          </cell>
          <cell r="L47">
            <v>207767.2</v>
          </cell>
          <cell r="M47">
            <v>268</v>
          </cell>
          <cell r="N47">
            <v>2.5727999999999995</v>
          </cell>
          <cell r="O47">
            <v>269393.59999999998</v>
          </cell>
          <cell r="P47">
            <v>209</v>
          </cell>
          <cell r="Q47">
            <v>2.0063999999999997</v>
          </cell>
          <cell r="R47">
            <v>210634.38</v>
          </cell>
          <cell r="S47">
            <v>85</v>
          </cell>
          <cell r="T47">
            <v>0.81599999999999995</v>
          </cell>
          <cell r="U47">
            <v>85664.7</v>
          </cell>
          <cell r="V47">
            <v>587</v>
          </cell>
          <cell r="W47">
            <v>5.6352000000000002</v>
          </cell>
          <cell r="X47">
            <v>608454.57999999996</v>
          </cell>
          <cell r="Y47">
            <v>3</v>
          </cell>
          <cell r="Z47">
            <v>2.8799999999999996E-2</v>
          </cell>
          <cell r="AA47">
            <v>3112.41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1453</v>
          </cell>
          <cell r="AO47">
            <v>13.948799999999999</v>
          </cell>
          <cell r="AP47">
            <v>1491570.79</v>
          </cell>
        </row>
        <row r="48">
          <cell r="A48" t="str">
            <v>40028504</v>
          </cell>
          <cell r="B48" t="str">
            <v>DAIRY WHITENER 100G POUCH</v>
          </cell>
          <cell r="C48">
            <v>12</v>
          </cell>
          <cell r="D48">
            <v>93</v>
          </cell>
          <cell r="E48">
            <v>1.1160000000000001</v>
          </cell>
          <cell r="F48">
            <v>139481.75</v>
          </cell>
          <cell r="G48">
            <v>0</v>
          </cell>
          <cell r="H48">
            <v>0</v>
          </cell>
          <cell r="I48">
            <v>0</v>
          </cell>
          <cell r="J48">
            <v>124</v>
          </cell>
          <cell r="K48">
            <v>1.488</v>
          </cell>
          <cell r="L48">
            <v>181468.32</v>
          </cell>
          <cell r="M48">
            <v>54</v>
          </cell>
          <cell r="N48">
            <v>0.64800000000000002</v>
          </cell>
          <cell r="O48">
            <v>76358.7</v>
          </cell>
          <cell r="P48">
            <v>41</v>
          </cell>
          <cell r="Q48">
            <v>0.49199999999999999</v>
          </cell>
          <cell r="R48">
            <v>58268.7</v>
          </cell>
          <cell r="S48">
            <v>11</v>
          </cell>
          <cell r="T48">
            <v>0.13200000000000001</v>
          </cell>
          <cell r="U48">
            <v>15595.03</v>
          </cell>
          <cell r="V48">
            <v>420</v>
          </cell>
          <cell r="W48">
            <v>5.04</v>
          </cell>
          <cell r="X48">
            <v>606781.85</v>
          </cell>
          <cell r="Y48">
            <v>7</v>
          </cell>
          <cell r="Z48">
            <v>8.4000000000000005E-2</v>
          </cell>
          <cell r="AA48">
            <v>10216.01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750</v>
          </cell>
          <cell r="AO48">
            <v>9</v>
          </cell>
          <cell r="AP48">
            <v>1088170.3600000001</v>
          </cell>
        </row>
        <row r="49">
          <cell r="A49" t="str">
            <v>40028505</v>
          </cell>
          <cell r="B49" t="str">
            <v>D-WHITENER 1000G POUCH</v>
          </cell>
          <cell r="C49">
            <v>12</v>
          </cell>
          <cell r="D49">
            <v>3</v>
          </cell>
          <cell r="E49">
            <v>3.5999999999999997E-2</v>
          </cell>
          <cell r="F49">
            <v>3783.82</v>
          </cell>
          <cell r="G49">
            <v>13</v>
          </cell>
          <cell r="H49">
            <v>0.156</v>
          </cell>
          <cell r="I49">
            <v>16076.45</v>
          </cell>
          <cell r="J49">
            <v>70</v>
          </cell>
          <cell r="K49">
            <v>0.84</v>
          </cell>
          <cell r="L49">
            <v>83744.5</v>
          </cell>
          <cell r="M49">
            <v>0</v>
          </cell>
          <cell r="N49">
            <v>0</v>
          </cell>
          <cell r="O49">
            <v>0</v>
          </cell>
          <cell r="P49">
            <v>8</v>
          </cell>
          <cell r="Q49">
            <v>9.6000000000000002E-2</v>
          </cell>
          <cell r="R49">
            <v>9451.52</v>
          </cell>
          <cell r="S49">
            <v>30</v>
          </cell>
          <cell r="T49">
            <v>0.36</v>
          </cell>
          <cell r="U49">
            <v>35443.199999999997</v>
          </cell>
          <cell r="V49">
            <v>1745</v>
          </cell>
          <cell r="W49">
            <v>20.94</v>
          </cell>
          <cell r="X49">
            <v>2118148.5499999998</v>
          </cell>
          <cell r="Y49">
            <v>20</v>
          </cell>
          <cell r="Z49">
            <v>0.24</v>
          </cell>
          <cell r="AA49">
            <v>24323.8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1889</v>
          </cell>
          <cell r="AO49">
            <v>22.667999999999999</v>
          </cell>
          <cell r="AP49">
            <v>2290971.84</v>
          </cell>
        </row>
        <row r="50">
          <cell r="A50" t="str">
            <v>40028901</v>
          </cell>
          <cell r="B50" t="str">
            <v>DAIRY WHITENER BULK PACK</v>
          </cell>
          <cell r="C50">
            <v>10</v>
          </cell>
          <cell r="D50">
            <v>992</v>
          </cell>
          <cell r="E50">
            <v>9.92</v>
          </cell>
          <cell r="F50">
            <v>876542</v>
          </cell>
          <cell r="G50">
            <v>307</v>
          </cell>
          <cell r="H50">
            <v>3.07</v>
          </cell>
          <cell r="I50">
            <v>269699.5</v>
          </cell>
          <cell r="J50">
            <v>210</v>
          </cell>
          <cell r="K50">
            <v>2.1</v>
          </cell>
          <cell r="L50">
            <v>184485</v>
          </cell>
          <cell r="M50">
            <v>75</v>
          </cell>
          <cell r="N50">
            <v>0.75</v>
          </cell>
          <cell r="O50">
            <v>64038.75</v>
          </cell>
          <cell r="P50">
            <v>345</v>
          </cell>
          <cell r="Q50">
            <v>3.45</v>
          </cell>
          <cell r="R50">
            <v>289555.05</v>
          </cell>
          <cell r="S50">
            <v>1370</v>
          </cell>
          <cell r="T50">
            <v>13.7</v>
          </cell>
          <cell r="U50">
            <v>1149827.3</v>
          </cell>
          <cell r="V50">
            <v>3262</v>
          </cell>
          <cell r="W50">
            <v>32.619999999999997</v>
          </cell>
          <cell r="X50">
            <v>2819870.14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6561</v>
          </cell>
          <cell r="AO50">
            <v>65.61</v>
          </cell>
          <cell r="AP50">
            <v>5654017.7400000002</v>
          </cell>
        </row>
        <row r="51">
          <cell r="A51" t="str">
            <v>40029902</v>
          </cell>
          <cell r="B51" t="str">
            <v>DAIRY WHITENER 30GM</v>
          </cell>
          <cell r="C51">
            <v>9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</row>
        <row r="52">
          <cell r="A52" t="str">
            <v>40038601</v>
          </cell>
          <cell r="B52" t="str">
            <v>BUTTER 500G</v>
          </cell>
          <cell r="C52">
            <v>15</v>
          </cell>
          <cell r="D52">
            <v>220</v>
          </cell>
          <cell r="E52">
            <v>3.3</v>
          </cell>
          <cell r="F52">
            <v>348810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220</v>
          </cell>
          <cell r="AO52">
            <v>3.3</v>
          </cell>
          <cell r="AP52">
            <v>348810</v>
          </cell>
        </row>
        <row r="53">
          <cell r="A53" t="str">
            <v>40038602</v>
          </cell>
          <cell r="B53" t="str">
            <v>BUTTER 1 KG</v>
          </cell>
          <cell r="C53">
            <v>18</v>
          </cell>
          <cell r="D53">
            <v>140</v>
          </cell>
          <cell r="E53">
            <v>2.52</v>
          </cell>
          <cell r="F53">
            <v>254066.4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140</v>
          </cell>
          <cell r="AO53">
            <v>2.52</v>
          </cell>
          <cell r="AP53">
            <v>254066.4</v>
          </cell>
        </row>
        <row r="54">
          <cell r="A54" t="str">
            <v>40038701</v>
          </cell>
          <cell r="B54" t="str">
            <v>BUTTER 100G</v>
          </cell>
          <cell r="C54">
            <v>15</v>
          </cell>
          <cell r="D54">
            <v>400</v>
          </cell>
          <cell r="E54">
            <v>6</v>
          </cell>
          <cell r="F54">
            <v>658800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400</v>
          </cell>
          <cell r="AO54">
            <v>6</v>
          </cell>
          <cell r="AP54">
            <v>658800</v>
          </cell>
        </row>
        <row r="55">
          <cell r="A55" t="str">
            <v>40048801</v>
          </cell>
          <cell r="B55" t="str">
            <v>CHEESE SPREAD-PLAIN</v>
          </cell>
          <cell r="C55">
            <v>7.2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</row>
        <row r="56">
          <cell r="A56" t="str">
            <v>40058801</v>
          </cell>
          <cell r="B56" t="str">
            <v>CHEESE SPREAD-BLK PEPPER</v>
          </cell>
          <cell r="C56">
            <v>7.2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</row>
        <row r="57">
          <cell r="A57" t="str">
            <v>40068801</v>
          </cell>
          <cell r="B57" t="str">
            <v>CHEESE SPREAD-JEERA</v>
          </cell>
          <cell r="C57">
            <v>7.2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</row>
        <row r="58">
          <cell r="A58" t="str">
            <v>40078801</v>
          </cell>
          <cell r="B58" t="str">
            <v>CHEESE SPREAD-CHILLI CAPC</v>
          </cell>
          <cell r="C58">
            <v>7.2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</row>
        <row r="59">
          <cell r="A59" t="str">
            <v>40099601</v>
          </cell>
          <cell r="B59" t="str">
            <v>CHIPLET 120G PLAIN REGULR</v>
          </cell>
          <cell r="C59">
            <v>12</v>
          </cell>
          <cell r="D59">
            <v>27</v>
          </cell>
          <cell r="E59">
            <v>0.32400000000000001</v>
          </cell>
          <cell r="F59">
            <v>57348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1</v>
          </cell>
          <cell r="N59">
            <v>1.2E-2</v>
          </cell>
          <cell r="O59">
            <v>2061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28</v>
          </cell>
          <cell r="AO59">
            <v>0.33600000000000002</v>
          </cell>
          <cell r="AP59">
            <v>59409</v>
          </cell>
        </row>
        <row r="60">
          <cell r="A60" t="str">
            <v>40109601</v>
          </cell>
          <cell r="B60" t="str">
            <v>CHIPLET 120G PEPPER</v>
          </cell>
          <cell r="C60">
            <v>12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2</v>
          </cell>
          <cell r="W60">
            <v>2.4E-2</v>
          </cell>
          <cell r="X60">
            <v>4540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2</v>
          </cell>
          <cell r="AO60">
            <v>2.4E-2</v>
          </cell>
          <cell r="AP60">
            <v>4540</v>
          </cell>
        </row>
        <row r="61">
          <cell r="A61" t="str">
            <v>40119601</v>
          </cell>
          <cell r="B61" t="str">
            <v>CHIPLET 120G GARLIC</v>
          </cell>
          <cell r="C61">
            <v>12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</row>
        <row r="62">
          <cell r="A62" t="str">
            <v>40129601</v>
          </cell>
          <cell r="B62" t="str">
            <v>CHIPLET 120G PL.SOFT SPRD</v>
          </cell>
          <cell r="C62">
            <v>12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</row>
        <row r="63">
          <cell r="A63" t="str">
            <v>40139801</v>
          </cell>
          <cell r="B63" t="str">
            <v>SPREAD 150G PLAIN</v>
          </cell>
          <cell r="C63">
            <v>9</v>
          </cell>
          <cell r="D63">
            <v>15</v>
          </cell>
          <cell r="E63">
            <v>0.13500000000000001</v>
          </cell>
          <cell r="F63">
            <v>19174.8</v>
          </cell>
          <cell r="G63">
            <v>1</v>
          </cell>
          <cell r="H63">
            <v>8.9999999999999993E-3</v>
          </cell>
          <cell r="I63">
            <v>2230.1999999999998</v>
          </cell>
          <cell r="J63">
            <v>0</v>
          </cell>
          <cell r="K63">
            <v>0</v>
          </cell>
          <cell r="L63">
            <v>0</v>
          </cell>
          <cell r="M63">
            <v>7</v>
          </cell>
          <cell r="N63">
            <v>6.3E-2</v>
          </cell>
          <cell r="O63">
            <v>8656.2000000000007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17</v>
          </cell>
          <cell r="W63">
            <v>0.153</v>
          </cell>
          <cell r="X63">
            <v>21203.4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40</v>
          </cell>
          <cell r="AO63">
            <v>0.36</v>
          </cell>
          <cell r="AP63">
            <v>51264.6</v>
          </cell>
        </row>
        <row r="64">
          <cell r="A64" t="str">
            <v>40149801</v>
          </cell>
          <cell r="B64" t="str">
            <v>SPREAD 150G PEPPER</v>
          </cell>
          <cell r="C64">
            <v>9</v>
          </cell>
          <cell r="D64">
            <v>20</v>
          </cell>
          <cell r="E64">
            <v>0.18</v>
          </cell>
          <cell r="F64">
            <v>27444</v>
          </cell>
          <cell r="G64">
            <v>3</v>
          </cell>
          <cell r="H64">
            <v>2.7E-2</v>
          </cell>
          <cell r="I64">
            <v>5488.8</v>
          </cell>
          <cell r="J64">
            <v>0</v>
          </cell>
          <cell r="K64">
            <v>0</v>
          </cell>
          <cell r="L64">
            <v>0</v>
          </cell>
          <cell r="M64">
            <v>2</v>
          </cell>
          <cell r="N64">
            <v>1.7999999999999999E-2</v>
          </cell>
          <cell r="O64">
            <v>2664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1</v>
          </cell>
          <cell r="W64">
            <v>8.9999999999999993E-3</v>
          </cell>
          <cell r="X64">
            <v>1316.4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26</v>
          </cell>
          <cell r="AO64">
            <v>0.23400000000000001</v>
          </cell>
          <cell r="AP64">
            <v>36913.199999999997</v>
          </cell>
        </row>
        <row r="65">
          <cell r="A65" t="str">
            <v>40159801</v>
          </cell>
          <cell r="B65" t="str">
            <v>SPREAD 150G MASALA GARLIC</v>
          </cell>
          <cell r="C65">
            <v>9</v>
          </cell>
          <cell r="D65">
            <v>10</v>
          </cell>
          <cell r="E65">
            <v>0.09</v>
          </cell>
          <cell r="F65">
            <v>13780.2</v>
          </cell>
          <cell r="G65">
            <v>3</v>
          </cell>
          <cell r="H65">
            <v>2.7E-2</v>
          </cell>
          <cell r="I65">
            <v>4116.6000000000004</v>
          </cell>
          <cell r="J65">
            <v>1</v>
          </cell>
          <cell r="K65">
            <v>8.9999999999999993E-3</v>
          </cell>
          <cell r="L65">
            <v>1372.2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1</v>
          </cell>
          <cell r="W65">
            <v>8.9999999999999993E-3</v>
          </cell>
          <cell r="X65">
            <v>1316.4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15</v>
          </cell>
          <cell r="AO65">
            <v>0.13500000000000001</v>
          </cell>
          <cell r="AP65">
            <v>20585.400000000001</v>
          </cell>
        </row>
        <row r="66">
          <cell r="A66" t="str">
            <v>40169801</v>
          </cell>
          <cell r="B66" t="str">
            <v>SPREAD 150G MASALA ONION</v>
          </cell>
          <cell r="C66">
            <v>9</v>
          </cell>
          <cell r="D66">
            <v>9</v>
          </cell>
          <cell r="E66">
            <v>8.1000000000000003E-2</v>
          </cell>
          <cell r="F66">
            <v>12349.8</v>
          </cell>
          <cell r="G66">
            <v>1</v>
          </cell>
          <cell r="H66">
            <v>8.9999999999999993E-3</v>
          </cell>
          <cell r="I66">
            <v>2058.3000000000002</v>
          </cell>
          <cell r="J66">
            <v>1</v>
          </cell>
          <cell r="K66">
            <v>8.9999999999999993E-3</v>
          </cell>
          <cell r="L66">
            <v>1372.2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1</v>
          </cell>
          <cell r="W66">
            <v>8.9999999999999993E-3</v>
          </cell>
          <cell r="X66">
            <v>1316.4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12</v>
          </cell>
          <cell r="AO66">
            <v>0.108</v>
          </cell>
          <cell r="AP66">
            <v>17096.7</v>
          </cell>
        </row>
        <row r="67">
          <cell r="A67" t="str">
            <v>41019101</v>
          </cell>
          <cell r="B67" t="str">
            <v>FLAVOURED MILK-MANGO</v>
          </cell>
          <cell r="C67">
            <v>5.4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</row>
        <row r="68">
          <cell r="A68" t="str">
            <v>41029101</v>
          </cell>
          <cell r="B68" t="str">
            <v>FLAVOURED MILK-PINEAPPLE</v>
          </cell>
          <cell r="C68">
            <v>5.4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</row>
        <row r="69">
          <cell r="A69" t="str">
            <v>41039101</v>
          </cell>
          <cell r="B69" t="str">
            <v>FLAVOURED MILK-STRAWBERRY</v>
          </cell>
          <cell r="C69">
            <v>5.4</v>
          </cell>
          <cell r="D69">
            <v>496</v>
          </cell>
          <cell r="E69">
            <v>2.6783999999999999</v>
          </cell>
          <cell r="F69">
            <v>94807.8</v>
          </cell>
          <cell r="G69">
            <v>25</v>
          </cell>
          <cell r="H69">
            <v>0.13500000000000001</v>
          </cell>
          <cell r="I69">
            <v>4779</v>
          </cell>
          <cell r="J69">
            <v>59</v>
          </cell>
          <cell r="K69">
            <v>0.31860000000000005</v>
          </cell>
          <cell r="L69">
            <v>11570.04</v>
          </cell>
          <cell r="M69">
            <v>40</v>
          </cell>
          <cell r="N69">
            <v>0.216</v>
          </cell>
          <cell r="O69">
            <v>7754.4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270</v>
          </cell>
          <cell r="W69">
            <v>1.458</v>
          </cell>
          <cell r="X69">
            <v>55476.9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890</v>
          </cell>
          <cell r="AO69">
            <v>4.806</v>
          </cell>
          <cell r="AP69">
            <v>174388.14</v>
          </cell>
        </row>
        <row r="70">
          <cell r="A70" t="str">
            <v>41039201</v>
          </cell>
          <cell r="B70" t="str">
            <v>F M - STRAWBERRY -1 LITRE</v>
          </cell>
          <cell r="C70">
            <v>12</v>
          </cell>
          <cell r="D70">
            <v>18</v>
          </cell>
          <cell r="E70">
            <v>0.216</v>
          </cell>
          <cell r="F70">
            <v>6879.6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18</v>
          </cell>
          <cell r="AO70">
            <v>0.216</v>
          </cell>
          <cell r="AP70">
            <v>6879.6</v>
          </cell>
        </row>
        <row r="71">
          <cell r="A71" t="str">
            <v>41049101</v>
          </cell>
          <cell r="B71" t="str">
            <v>FLAVOURED MILK-CHOCOLATE</v>
          </cell>
          <cell r="C71">
            <v>5.4</v>
          </cell>
          <cell r="D71">
            <v>523</v>
          </cell>
          <cell r="E71">
            <v>2.8242000000000003</v>
          </cell>
          <cell r="F71">
            <v>99965.34</v>
          </cell>
          <cell r="G71">
            <v>40</v>
          </cell>
          <cell r="H71">
            <v>0.216</v>
          </cell>
          <cell r="I71">
            <v>7646.4</v>
          </cell>
          <cell r="J71">
            <v>119</v>
          </cell>
          <cell r="K71">
            <v>0.64260000000000006</v>
          </cell>
          <cell r="L71">
            <v>23477.040000000001</v>
          </cell>
          <cell r="M71">
            <v>55</v>
          </cell>
          <cell r="N71">
            <v>0.29699999999999999</v>
          </cell>
          <cell r="O71">
            <v>10662.3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102</v>
          </cell>
          <cell r="W71">
            <v>0.55080000000000007</v>
          </cell>
          <cell r="X71">
            <v>19890.900000000001</v>
          </cell>
          <cell r="Y71">
            <v>0</v>
          </cell>
          <cell r="Z71">
            <v>0</v>
          </cell>
          <cell r="AA71">
            <v>0</v>
          </cell>
          <cell r="AB71">
            <v>4</v>
          </cell>
          <cell r="AC71">
            <v>2.1600000000000001E-2</v>
          </cell>
          <cell r="AD71">
            <v>761.52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843</v>
          </cell>
          <cell r="AO71">
            <v>4.5522000000000009</v>
          </cell>
          <cell r="AP71">
            <v>162403.5</v>
          </cell>
        </row>
        <row r="72">
          <cell r="A72" t="str">
            <v>41049201</v>
          </cell>
          <cell r="B72" t="str">
            <v>F M - CHOCOLATE - 1 LITRE</v>
          </cell>
          <cell r="C72">
            <v>12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</row>
        <row r="73">
          <cell r="A73" t="str">
            <v>41059101</v>
          </cell>
          <cell r="B73" t="str">
            <v>FLAVOURED MILK-ELAICHI</v>
          </cell>
          <cell r="C73">
            <v>5.4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</row>
        <row r="74">
          <cell r="A74" t="str">
            <v>42019201</v>
          </cell>
          <cell r="B74" t="str">
            <v>UHT-MILK 1 LTR</v>
          </cell>
          <cell r="C74">
            <v>12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</row>
        <row r="75">
          <cell r="A75" t="str">
            <v>42019301</v>
          </cell>
          <cell r="B75" t="str">
            <v>UHT-MILK 250ML</v>
          </cell>
          <cell r="C75">
            <v>6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</row>
        <row r="76">
          <cell r="A76" t="str">
            <v>50016001</v>
          </cell>
          <cell r="B76" t="str">
            <v>GHEE TIN 1 LTR. - BUF</v>
          </cell>
          <cell r="C76">
            <v>18</v>
          </cell>
          <cell r="D76">
            <v>24</v>
          </cell>
          <cell r="E76">
            <v>0.432</v>
          </cell>
          <cell r="F76">
            <v>52172.639999999999</v>
          </cell>
          <cell r="G76">
            <v>7</v>
          </cell>
          <cell r="H76">
            <v>0.126</v>
          </cell>
          <cell r="I76">
            <v>15217.02</v>
          </cell>
          <cell r="J76">
            <v>6</v>
          </cell>
          <cell r="K76">
            <v>0.108</v>
          </cell>
          <cell r="L76">
            <v>13043.16</v>
          </cell>
          <cell r="M76">
            <v>191</v>
          </cell>
          <cell r="N76">
            <v>3.4380000000000002</v>
          </cell>
          <cell r="O76">
            <v>394097.94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43</v>
          </cell>
          <cell r="W76">
            <v>0.77400000000000002</v>
          </cell>
          <cell r="X76">
            <v>92430.36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271</v>
          </cell>
          <cell r="AO76">
            <v>4.8780000000000001</v>
          </cell>
          <cell r="AP76">
            <v>566961.12</v>
          </cell>
        </row>
        <row r="77">
          <cell r="A77" t="str">
            <v>50026101</v>
          </cell>
          <cell r="B77" t="str">
            <v>GHEE CEKA PACK 1 LTR -BUF</v>
          </cell>
          <cell r="C77">
            <v>18</v>
          </cell>
          <cell r="D77">
            <v>17</v>
          </cell>
          <cell r="E77">
            <v>0.30599999999999999</v>
          </cell>
          <cell r="F77">
            <v>37198.35</v>
          </cell>
          <cell r="G77">
            <v>0</v>
          </cell>
          <cell r="H77">
            <v>0</v>
          </cell>
          <cell r="I77">
            <v>0</v>
          </cell>
          <cell r="J77">
            <v>5</v>
          </cell>
          <cell r="K77">
            <v>0.09</v>
          </cell>
          <cell r="L77">
            <v>10628.1</v>
          </cell>
          <cell r="M77">
            <v>39</v>
          </cell>
          <cell r="N77">
            <v>0.70199999999999996</v>
          </cell>
          <cell r="O77">
            <v>78638.039999999994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5</v>
          </cell>
          <cell r="W77">
            <v>0.09</v>
          </cell>
          <cell r="X77">
            <v>10549.8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66</v>
          </cell>
          <cell r="AO77">
            <v>1.1879999999999999</v>
          </cell>
          <cell r="AP77">
            <v>137014.29</v>
          </cell>
        </row>
        <row r="78">
          <cell r="A78" t="str">
            <v>50036201</v>
          </cell>
          <cell r="B78" t="str">
            <v>GHEE CEKA PACK 1/2LTR-BUF</v>
          </cell>
          <cell r="C78">
            <v>18</v>
          </cell>
          <cell r="D78">
            <v>22</v>
          </cell>
          <cell r="E78">
            <v>0.39600000000000002</v>
          </cell>
          <cell r="F78">
            <v>49280.4</v>
          </cell>
          <cell r="G78">
            <v>0</v>
          </cell>
          <cell r="H78">
            <v>0</v>
          </cell>
          <cell r="I78">
            <v>0</v>
          </cell>
          <cell r="J78">
            <v>2</v>
          </cell>
          <cell r="K78">
            <v>3.5999999999999997E-2</v>
          </cell>
          <cell r="L78">
            <v>4380.4799999999996</v>
          </cell>
          <cell r="M78">
            <v>107</v>
          </cell>
          <cell r="N78">
            <v>1.9259999999999999</v>
          </cell>
          <cell r="O78">
            <v>222453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131</v>
          </cell>
          <cell r="AO78">
            <v>2.3580000000000001</v>
          </cell>
          <cell r="AP78">
            <v>276113.88</v>
          </cell>
        </row>
        <row r="79">
          <cell r="A79" t="str">
            <v>50046301</v>
          </cell>
          <cell r="B79" t="str">
            <v>GHEE POUCH 1 LTR. - BUF</v>
          </cell>
          <cell r="C79">
            <v>18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</row>
        <row r="80">
          <cell r="A80" t="str">
            <v>50066001</v>
          </cell>
          <cell r="B80" t="str">
            <v>GHEE 1 LTR TIN - COW</v>
          </cell>
          <cell r="C80">
            <v>18</v>
          </cell>
          <cell r="D80">
            <v>45</v>
          </cell>
          <cell r="E80">
            <v>0.81</v>
          </cell>
          <cell r="F80">
            <v>96808.17</v>
          </cell>
          <cell r="G80">
            <v>8</v>
          </cell>
          <cell r="H80">
            <v>0.14399999999999999</v>
          </cell>
          <cell r="I80">
            <v>17115.84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40</v>
          </cell>
          <cell r="W80">
            <v>0.72</v>
          </cell>
          <cell r="X80">
            <v>84945.600000000006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93</v>
          </cell>
          <cell r="AO80">
            <v>1.6739999999999999</v>
          </cell>
          <cell r="AP80">
            <v>198869.61</v>
          </cell>
        </row>
        <row r="81">
          <cell r="A81" t="str">
            <v>50067101</v>
          </cell>
          <cell r="B81" t="str">
            <v>GHEE COW 200ML CEKA</v>
          </cell>
          <cell r="C81">
            <v>12</v>
          </cell>
          <cell r="D81">
            <v>45</v>
          </cell>
          <cell r="E81">
            <v>0.54</v>
          </cell>
          <cell r="F81">
            <v>67095</v>
          </cell>
          <cell r="G81">
            <v>0</v>
          </cell>
          <cell r="H81">
            <v>0</v>
          </cell>
          <cell r="I81">
            <v>0</v>
          </cell>
          <cell r="J81">
            <v>25</v>
          </cell>
          <cell r="K81">
            <v>0.3</v>
          </cell>
          <cell r="L81">
            <v>37275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70</v>
          </cell>
          <cell r="W81">
            <v>0.84</v>
          </cell>
          <cell r="X81">
            <v>103464.6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140</v>
          </cell>
          <cell r="AO81">
            <v>1.68</v>
          </cell>
          <cell r="AP81">
            <v>207834.6</v>
          </cell>
        </row>
        <row r="82">
          <cell r="A82" t="str">
            <v>50076101</v>
          </cell>
          <cell r="B82" t="str">
            <v>GHEE 1 LTR CEKA PACK -COW</v>
          </cell>
          <cell r="C82">
            <v>18</v>
          </cell>
          <cell r="D82">
            <v>43</v>
          </cell>
          <cell r="E82">
            <v>0.77400000000000002</v>
          </cell>
          <cell r="F82">
            <v>91680</v>
          </cell>
          <cell r="G82">
            <v>0</v>
          </cell>
          <cell r="H82">
            <v>0</v>
          </cell>
          <cell r="I82">
            <v>0</v>
          </cell>
          <cell r="J82">
            <v>5</v>
          </cell>
          <cell r="K82">
            <v>0.09</v>
          </cell>
          <cell r="L82">
            <v>10314</v>
          </cell>
          <cell r="M82">
            <v>0</v>
          </cell>
          <cell r="N82">
            <v>0</v>
          </cell>
          <cell r="O82">
            <v>0</v>
          </cell>
          <cell r="P82">
            <v>5</v>
          </cell>
          <cell r="Q82">
            <v>0.09</v>
          </cell>
          <cell r="R82">
            <v>9945</v>
          </cell>
          <cell r="S82">
            <v>0</v>
          </cell>
          <cell r="T82">
            <v>0</v>
          </cell>
          <cell r="U82">
            <v>0</v>
          </cell>
          <cell r="V82">
            <v>11</v>
          </cell>
          <cell r="W82">
            <v>0.19800000000000001</v>
          </cell>
          <cell r="X82">
            <v>22177.8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64</v>
          </cell>
          <cell r="AO82">
            <v>1.1519999999999999</v>
          </cell>
          <cell r="AP82">
            <v>134116.79999999999</v>
          </cell>
        </row>
        <row r="83">
          <cell r="A83" t="str">
            <v>50086201</v>
          </cell>
          <cell r="B83" t="str">
            <v>GHEE 1/2LTR CEKA PACK-COW</v>
          </cell>
          <cell r="C83">
            <v>18</v>
          </cell>
          <cell r="D83">
            <v>64</v>
          </cell>
          <cell r="E83">
            <v>1.1519999999999999</v>
          </cell>
          <cell r="F83">
            <v>138464.44</v>
          </cell>
          <cell r="G83">
            <v>10</v>
          </cell>
          <cell r="H83">
            <v>0.18</v>
          </cell>
          <cell r="I83">
            <v>21394.799999999999</v>
          </cell>
          <cell r="J83">
            <v>20</v>
          </cell>
          <cell r="K83">
            <v>0.36</v>
          </cell>
          <cell r="L83">
            <v>42789.599999999999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37</v>
          </cell>
          <cell r="W83">
            <v>0.66600000000000004</v>
          </cell>
          <cell r="X83">
            <v>78216.479999999996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131</v>
          </cell>
          <cell r="AO83">
            <v>2.3580000000000001</v>
          </cell>
          <cell r="AP83">
            <v>280865.32</v>
          </cell>
        </row>
        <row r="84">
          <cell r="A84" t="str">
            <v>50096301</v>
          </cell>
          <cell r="B84" t="str">
            <v>GHEE 1 LTR POUCH -COW</v>
          </cell>
          <cell r="C84">
            <v>18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</row>
        <row r="86">
          <cell r="B86" t="str">
            <v>TOTAL</v>
          </cell>
          <cell r="D86">
            <v>6735</v>
          </cell>
          <cell r="E86">
            <v>72.54440000000001</v>
          </cell>
          <cell r="F86">
            <v>7508472.54</v>
          </cell>
          <cell r="G86">
            <v>1772</v>
          </cell>
          <cell r="H86">
            <v>19.724200000000003</v>
          </cell>
          <cell r="I86">
            <v>2015380.1</v>
          </cell>
          <cell r="J86">
            <v>2722</v>
          </cell>
          <cell r="K86">
            <v>29.528400000000005</v>
          </cell>
          <cell r="L86">
            <v>3157174.120000001</v>
          </cell>
          <cell r="M86">
            <v>3448</v>
          </cell>
          <cell r="N86">
            <v>38.952600000000004</v>
          </cell>
          <cell r="O86">
            <v>4044433.6799999997</v>
          </cell>
          <cell r="P86">
            <v>1484</v>
          </cell>
          <cell r="Q86">
            <v>16.639199999999999</v>
          </cell>
          <cell r="R86">
            <v>1644482.44</v>
          </cell>
          <cell r="S86">
            <v>2369</v>
          </cell>
          <cell r="T86">
            <v>25.474399999999999</v>
          </cell>
          <cell r="U86">
            <v>2334182.5300000003</v>
          </cell>
          <cell r="V86">
            <v>10872</v>
          </cell>
          <cell r="W86">
            <v>119.50360000000001</v>
          </cell>
          <cell r="X86">
            <v>12082742.230000002</v>
          </cell>
          <cell r="Y86">
            <v>259</v>
          </cell>
          <cell r="Z86">
            <v>3.1008000000000004</v>
          </cell>
          <cell r="AA86">
            <v>298552.61</v>
          </cell>
          <cell r="AB86">
            <v>204</v>
          </cell>
          <cell r="AC86">
            <v>2.4215999999999998</v>
          </cell>
          <cell r="AD86">
            <v>197441.52</v>
          </cell>
          <cell r="AE86">
            <v>232</v>
          </cell>
          <cell r="AF86">
            <v>2.6688000000000001</v>
          </cell>
          <cell r="AG86">
            <v>220901.54</v>
          </cell>
          <cell r="AH86">
            <v>146</v>
          </cell>
          <cell r="AI86">
            <v>1.7520000000000002</v>
          </cell>
          <cell r="AJ86">
            <v>192126.24</v>
          </cell>
          <cell r="AK86">
            <v>0</v>
          </cell>
          <cell r="AL86">
            <v>0</v>
          </cell>
          <cell r="AM86">
            <v>0</v>
          </cell>
          <cell r="AN86">
            <v>30243</v>
          </cell>
          <cell r="AO86">
            <v>332.30999999999995</v>
          </cell>
          <cell r="AP86">
            <v>33695889.549999997</v>
          </cell>
        </row>
        <row r="88">
          <cell r="B88" t="str">
            <v>AS PER TRIAL</v>
          </cell>
          <cell r="AP88">
            <v>33695889.549999997</v>
          </cell>
        </row>
        <row r="89">
          <cell r="B89" t="str">
            <v>Difference</v>
          </cell>
          <cell r="AP89">
            <v>0</v>
          </cell>
        </row>
      </sheetData>
      <sheetData sheetId="8" refreshError="1"/>
      <sheetData sheetId="9" refreshError="1"/>
      <sheetData sheetId="10" refreshError="1">
        <row r="2">
          <cell r="C2" t="str">
            <v>Variety</v>
          </cell>
          <cell r="F2" t="str">
            <v>Jadavpur</v>
          </cell>
          <cell r="I2" t="str">
            <v>Burdwan</v>
          </cell>
          <cell r="L2" t="str">
            <v>Siliguri</v>
          </cell>
          <cell r="O2" t="str">
            <v>Patna</v>
          </cell>
          <cell r="R2" t="str">
            <v>Rourkela</v>
          </cell>
          <cell r="U2" t="str">
            <v>Cuttack</v>
          </cell>
          <cell r="X2" t="str">
            <v>Guwahati</v>
          </cell>
          <cell r="AA2" t="str">
            <v>Shillong</v>
          </cell>
          <cell r="AD2" t="str">
            <v>Agartala</v>
          </cell>
          <cell r="AG2" t="str">
            <v>Railways - A.K.S</v>
          </cell>
          <cell r="AJ2" t="str">
            <v>Railways - Bux</v>
          </cell>
          <cell r="AM2" t="str">
            <v>Port Blair</v>
          </cell>
          <cell r="AP2" t="str">
            <v>Nepal</v>
          </cell>
          <cell r="AS2" t="str">
            <v>Total</v>
          </cell>
        </row>
        <row r="3">
          <cell r="A3" t="str">
            <v>stock_no</v>
          </cell>
          <cell r="B3" t="str">
            <v>loc</v>
          </cell>
          <cell r="D3" t="str">
            <v>weight</v>
          </cell>
          <cell r="E3" t="str">
            <v>convfact</v>
          </cell>
          <cell r="F3" t="str">
            <v>CBB</v>
          </cell>
          <cell r="G3" t="str">
            <v>Value</v>
          </cell>
          <cell r="H3" t="str">
            <v>Tes.</v>
          </cell>
          <cell r="I3" t="str">
            <v>CBB</v>
          </cell>
          <cell r="J3" t="str">
            <v>Value</v>
          </cell>
          <cell r="K3" t="str">
            <v>Tes.</v>
          </cell>
          <cell r="L3" t="str">
            <v>CBB</v>
          </cell>
          <cell r="M3" t="str">
            <v>Value</v>
          </cell>
          <cell r="N3" t="str">
            <v>Tes.</v>
          </cell>
          <cell r="O3" t="str">
            <v>CBB</v>
          </cell>
          <cell r="P3" t="str">
            <v>Value</v>
          </cell>
          <cell r="Q3" t="str">
            <v>Tes.</v>
          </cell>
          <cell r="R3" t="str">
            <v>CBB</v>
          </cell>
          <cell r="S3" t="str">
            <v>Value</v>
          </cell>
          <cell r="T3" t="str">
            <v>Tes.</v>
          </cell>
          <cell r="U3" t="str">
            <v>CBB</v>
          </cell>
          <cell r="V3" t="str">
            <v>Value</v>
          </cell>
          <cell r="W3" t="str">
            <v>Tes.</v>
          </cell>
          <cell r="X3" t="str">
            <v>CBB</v>
          </cell>
          <cell r="Y3" t="str">
            <v>Value</v>
          </cell>
          <cell r="Z3" t="str">
            <v>Tes.</v>
          </cell>
          <cell r="AA3" t="str">
            <v>CBB</v>
          </cell>
          <cell r="AB3" t="str">
            <v>Value</v>
          </cell>
          <cell r="AC3" t="str">
            <v>Tes.</v>
          </cell>
          <cell r="AD3" t="str">
            <v>CBB</v>
          </cell>
          <cell r="AE3" t="str">
            <v>Value</v>
          </cell>
          <cell r="AF3" t="str">
            <v>Tes.</v>
          </cell>
          <cell r="AG3" t="str">
            <v>CBB</v>
          </cell>
          <cell r="AH3" t="str">
            <v>Value</v>
          </cell>
          <cell r="AI3" t="str">
            <v>Tes.</v>
          </cell>
          <cell r="AJ3" t="str">
            <v>CBB</v>
          </cell>
          <cell r="AK3" t="str">
            <v>Value</v>
          </cell>
          <cell r="AL3" t="str">
            <v>Tes.</v>
          </cell>
          <cell r="AM3" t="str">
            <v>CBB</v>
          </cell>
          <cell r="AN3" t="str">
            <v>Value</v>
          </cell>
          <cell r="AO3" t="str">
            <v>Tes.</v>
          </cell>
          <cell r="AP3" t="str">
            <v>CBB</v>
          </cell>
          <cell r="AQ3" t="str">
            <v>Value</v>
          </cell>
          <cell r="AR3" t="str">
            <v>Tes.</v>
          </cell>
          <cell r="AS3" t="str">
            <v>CBB</v>
          </cell>
          <cell r="AT3" t="str">
            <v>Value</v>
          </cell>
          <cell r="AU3" t="str">
            <v>Tes.</v>
          </cell>
        </row>
        <row r="4">
          <cell r="A4" t="str">
            <v>40018001</v>
          </cell>
          <cell r="B4" t="str">
            <v>001</v>
          </cell>
          <cell r="C4" t="str">
            <v>PROCESSED CHEESE 400G TIN</v>
          </cell>
          <cell r="D4">
            <v>9.6</v>
          </cell>
          <cell r="E4">
            <v>24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</row>
        <row r="5">
          <cell r="A5" t="str">
            <v>40018002</v>
          </cell>
          <cell r="B5" t="str">
            <v>001</v>
          </cell>
          <cell r="C5" t="str">
            <v>PROCESSED CHEESE 200G TIN</v>
          </cell>
          <cell r="D5">
            <v>9.6</v>
          </cell>
          <cell r="E5">
            <v>48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</row>
        <row r="6">
          <cell r="A6" t="str">
            <v>40018101</v>
          </cell>
          <cell r="B6" t="str">
            <v>001</v>
          </cell>
          <cell r="C6" t="str">
            <v>CHEESE SINGLES 100G IWS</v>
          </cell>
          <cell r="D6">
            <v>12</v>
          </cell>
          <cell r="E6">
            <v>120</v>
          </cell>
          <cell r="F6">
            <v>13</v>
          </cell>
          <cell r="G6">
            <v>30576</v>
          </cell>
          <cell r="H6">
            <v>0.16</v>
          </cell>
          <cell r="I6">
            <v>0</v>
          </cell>
          <cell r="J6">
            <v>0</v>
          </cell>
          <cell r="K6">
            <v>0</v>
          </cell>
          <cell r="L6">
            <v>3</v>
          </cell>
          <cell r="M6">
            <v>6897.78</v>
          </cell>
          <cell r="N6">
            <v>0.04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9</v>
          </cell>
          <cell r="Y6">
            <v>21016.799999999999</v>
          </cell>
          <cell r="Z6">
            <v>0.11</v>
          </cell>
          <cell r="AA6">
            <v>3</v>
          </cell>
          <cell r="AB6">
            <v>6768</v>
          </cell>
          <cell r="AC6">
            <v>0.04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28</v>
          </cell>
          <cell r="AT6">
            <v>65258.58</v>
          </cell>
          <cell r="AU6">
            <v>0.34</v>
          </cell>
        </row>
        <row r="7">
          <cell r="A7" t="str">
            <v>40018102</v>
          </cell>
          <cell r="B7" t="str">
            <v>001</v>
          </cell>
          <cell r="C7" t="str">
            <v>CHEESE SINGLES 200G IWS</v>
          </cell>
          <cell r="D7">
            <v>12</v>
          </cell>
          <cell r="E7">
            <v>60</v>
          </cell>
          <cell r="F7">
            <v>91.77</v>
          </cell>
          <cell r="G7">
            <v>202400.56</v>
          </cell>
          <cell r="H7">
            <v>1.1000000000000001</v>
          </cell>
          <cell r="I7">
            <v>4</v>
          </cell>
          <cell r="J7">
            <v>8822.4</v>
          </cell>
          <cell r="K7">
            <v>0.05</v>
          </cell>
          <cell r="L7">
            <v>9</v>
          </cell>
          <cell r="M7">
            <v>19722</v>
          </cell>
          <cell r="N7">
            <v>0.11</v>
          </cell>
          <cell r="O7">
            <v>17</v>
          </cell>
          <cell r="P7">
            <v>36393.599999999999</v>
          </cell>
          <cell r="Q7">
            <v>0.2</v>
          </cell>
          <cell r="R7">
            <v>2</v>
          </cell>
          <cell r="S7">
            <v>4252.8</v>
          </cell>
          <cell r="T7">
            <v>0.02</v>
          </cell>
          <cell r="U7">
            <v>6</v>
          </cell>
          <cell r="V7">
            <v>12758.4</v>
          </cell>
          <cell r="W7">
            <v>7.0000000000000007E-2</v>
          </cell>
          <cell r="X7">
            <v>13</v>
          </cell>
          <cell r="Y7">
            <v>28462.2</v>
          </cell>
          <cell r="Z7">
            <v>0.16</v>
          </cell>
          <cell r="AA7">
            <v>17</v>
          </cell>
          <cell r="AB7">
            <v>35955</v>
          </cell>
          <cell r="AC7">
            <v>0.2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75</v>
          </cell>
          <cell r="AQ7">
            <v>150750</v>
          </cell>
          <cell r="AR7">
            <v>0.9</v>
          </cell>
          <cell r="AS7">
            <v>234.77</v>
          </cell>
          <cell r="AT7">
            <v>499516.96</v>
          </cell>
          <cell r="AU7">
            <v>2.8</v>
          </cell>
        </row>
        <row r="8">
          <cell r="A8" t="str">
            <v>40018301</v>
          </cell>
          <cell r="B8" t="str">
            <v>001</v>
          </cell>
          <cell r="C8" t="str">
            <v>PROCESSED CHEESE 200G CHP</v>
          </cell>
          <cell r="D8">
            <v>12</v>
          </cell>
          <cell r="E8">
            <v>60</v>
          </cell>
          <cell r="F8">
            <v>125</v>
          </cell>
          <cell r="G8">
            <v>275700</v>
          </cell>
          <cell r="H8">
            <v>1.5</v>
          </cell>
          <cell r="I8">
            <v>3</v>
          </cell>
          <cell r="J8">
            <v>6616.8</v>
          </cell>
          <cell r="K8">
            <v>0.04</v>
          </cell>
          <cell r="L8">
            <v>30</v>
          </cell>
          <cell r="M8">
            <v>65782.8</v>
          </cell>
          <cell r="N8">
            <v>0.36</v>
          </cell>
          <cell r="O8">
            <v>25</v>
          </cell>
          <cell r="P8">
            <v>53520</v>
          </cell>
          <cell r="Q8">
            <v>0.3</v>
          </cell>
          <cell r="R8">
            <v>1</v>
          </cell>
          <cell r="S8">
            <v>2126.4</v>
          </cell>
          <cell r="T8">
            <v>0.01</v>
          </cell>
          <cell r="U8">
            <v>5</v>
          </cell>
          <cell r="V8">
            <v>10632</v>
          </cell>
          <cell r="W8">
            <v>0.06</v>
          </cell>
          <cell r="X8">
            <v>56</v>
          </cell>
          <cell r="Y8">
            <v>122606.39999999999</v>
          </cell>
          <cell r="Z8">
            <v>0.67</v>
          </cell>
          <cell r="AA8">
            <v>21</v>
          </cell>
          <cell r="AB8">
            <v>44415</v>
          </cell>
          <cell r="AC8">
            <v>0.25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54</v>
          </cell>
          <cell r="AQ8">
            <v>108540</v>
          </cell>
          <cell r="AR8">
            <v>0.65</v>
          </cell>
          <cell r="AS8">
            <v>320</v>
          </cell>
          <cell r="AT8">
            <v>689939.4</v>
          </cell>
          <cell r="AU8">
            <v>3.84</v>
          </cell>
        </row>
        <row r="9">
          <cell r="A9" t="str">
            <v>40018801</v>
          </cell>
          <cell r="B9" t="str">
            <v>001</v>
          </cell>
          <cell r="C9" t="str">
            <v>PROCESSED CHEESE 400GCEKA</v>
          </cell>
          <cell r="D9">
            <v>12</v>
          </cell>
          <cell r="E9">
            <v>30</v>
          </cell>
          <cell r="F9">
            <v>5</v>
          </cell>
          <cell r="G9">
            <v>8577</v>
          </cell>
          <cell r="H9">
            <v>0.06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5</v>
          </cell>
          <cell r="AT9">
            <v>8577</v>
          </cell>
          <cell r="AU9">
            <v>0.06</v>
          </cell>
        </row>
        <row r="10">
          <cell r="A10" t="str">
            <v>40019001</v>
          </cell>
          <cell r="B10" t="str">
            <v>001</v>
          </cell>
          <cell r="C10" t="str">
            <v>PROCESSED CHEESE I. PACK</v>
          </cell>
          <cell r="D10">
            <v>12</v>
          </cell>
          <cell r="E10">
            <v>24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</row>
        <row r="11">
          <cell r="A11" t="str">
            <v>40019401</v>
          </cell>
          <cell r="B11" t="str">
            <v>001</v>
          </cell>
          <cell r="C11" t="str">
            <v>N F T - CHEESE 400G TIN</v>
          </cell>
          <cell r="D11">
            <v>9.6</v>
          </cell>
          <cell r="E11">
            <v>24</v>
          </cell>
          <cell r="F11">
            <v>223</v>
          </cell>
          <cell r="G11">
            <v>327863.52</v>
          </cell>
          <cell r="H11">
            <v>2.14</v>
          </cell>
          <cell r="I11">
            <v>0</v>
          </cell>
          <cell r="J11">
            <v>0</v>
          </cell>
          <cell r="K11">
            <v>0</v>
          </cell>
          <cell r="L11">
            <v>78</v>
          </cell>
          <cell r="M11">
            <v>110520.72</v>
          </cell>
          <cell r="N11">
            <v>0.75</v>
          </cell>
          <cell r="O11">
            <v>4</v>
          </cell>
          <cell r="P11">
            <v>5708.16</v>
          </cell>
          <cell r="Q11">
            <v>0.04</v>
          </cell>
          <cell r="R11">
            <v>1</v>
          </cell>
          <cell r="S11">
            <v>1417.68</v>
          </cell>
          <cell r="T11">
            <v>0.01</v>
          </cell>
          <cell r="U11">
            <v>3</v>
          </cell>
          <cell r="V11">
            <v>4253.04</v>
          </cell>
          <cell r="W11">
            <v>0.03</v>
          </cell>
          <cell r="X11">
            <v>28</v>
          </cell>
          <cell r="Y11">
            <v>40864.32</v>
          </cell>
          <cell r="Z11">
            <v>0.27</v>
          </cell>
          <cell r="AA11">
            <v>20</v>
          </cell>
          <cell r="AB11">
            <v>28204.799999999999</v>
          </cell>
          <cell r="AC11">
            <v>0.19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69</v>
          </cell>
          <cell r="AQ11">
            <v>99360</v>
          </cell>
          <cell r="AR11">
            <v>0.66</v>
          </cell>
          <cell r="AS11">
            <v>426</v>
          </cell>
          <cell r="AT11">
            <v>618192.24</v>
          </cell>
          <cell r="AU11">
            <v>4.09</v>
          </cell>
        </row>
        <row r="12">
          <cell r="A12" t="str">
            <v>40019501</v>
          </cell>
          <cell r="B12" t="str">
            <v>001</v>
          </cell>
          <cell r="C12" t="str">
            <v>CHEESE BLOCK 1 KG</v>
          </cell>
          <cell r="D12">
            <v>12</v>
          </cell>
          <cell r="E12">
            <v>12</v>
          </cell>
          <cell r="F12">
            <v>4.75</v>
          </cell>
          <cell r="G12">
            <v>7358.7</v>
          </cell>
          <cell r="H12">
            <v>0.06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4.75</v>
          </cell>
          <cell r="AT12">
            <v>7358.7</v>
          </cell>
          <cell r="AU12">
            <v>0.06</v>
          </cell>
        </row>
        <row r="13">
          <cell r="A13" t="str">
            <v>40019601</v>
          </cell>
          <cell r="B13" t="str">
            <v>001</v>
          </cell>
          <cell r="C13" t="str">
            <v>CHIPLET 120G ONION</v>
          </cell>
          <cell r="D13">
            <v>12</v>
          </cell>
          <cell r="E13">
            <v>100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</row>
        <row r="14">
          <cell r="A14" t="str">
            <v>40099601</v>
          </cell>
          <cell r="B14" t="str">
            <v>001</v>
          </cell>
          <cell r="C14" t="str">
            <v>CHIPLET 120G PLAIN REGULR</v>
          </cell>
          <cell r="D14">
            <v>12</v>
          </cell>
          <cell r="E14">
            <v>100</v>
          </cell>
          <cell r="F14">
            <v>6</v>
          </cell>
          <cell r="G14">
            <v>12744</v>
          </cell>
          <cell r="H14">
            <v>7.0000000000000007E-2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2</v>
          </cell>
          <cell r="P14">
            <v>4122</v>
          </cell>
          <cell r="Q14">
            <v>0.02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2108</v>
          </cell>
          <cell r="Z14">
            <v>0.01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9</v>
          </cell>
          <cell r="AT14">
            <v>18974</v>
          </cell>
          <cell r="AU14">
            <v>0.1</v>
          </cell>
        </row>
        <row r="15">
          <cell r="A15" t="str">
            <v>40109601</v>
          </cell>
          <cell r="B15" t="str">
            <v>001</v>
          </cell>
          <cell r="C15" t="str">
            <v>CHIPLET 120G PEPPER</v>
          </cell>
          <cell r="D15">
            <v>12</v>
          </cell>
          <cell r="E15">
            <v>100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</row>
        <row r="16">
          <cell r="A16" t="str">
            <v>40119601</v>
          </cell>
          <cell r="B16" t="str">
            <v>001</v>
          </cell>
          <cell r="C16" t="str">
            <v>CHIPLET 120G GARLIC</v>
          </cell>
          <cell r="D16">
            <v>12</v>
          </cell>
          <cell r="E16">
            <v>100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</row>
        <row r="17">
          <cell r="A17" t="str">
            <v>40129601</v>
          </cell>
          <cell r="B17" t="str">
            <v>001</v>
          </cell>
          <cell r="C17" t="str">
            <v>CHIPLET 120G PL.SOFT SPRD</v>
          </cell>
          <cell r="D17">
            <v>12</v>
          </cell>
          <cell r="E17">
            <v>100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</row>
        <row r="18">
          <cell r="C18" t="str">
            <v>Sub-total</v>
          </cell>
          <cell r="F18">
            <v>468.52</v>
          </cell>
          <cell r="G18">
            <v>865219.78</v>
          </cell>
          <cell r="H18">
            <v>5.09</v>
          </cell>
          <cell r="I18">
            <v>7</v>
          </cell>
          <cell r="J18">
            <v>15439.2</v>
          </cell>
          <cell r="K18">
            <v>0.09</v>
          </cell>
          <cell r="L18">
            <v>120</v>
          </cell>
          <cell r="M18">
            <v>202923.3</v>
          </cell>
          <cell r="N18">
            <v>1.26</v>
          </cell>
          <cell r="O18">
            <v>48</v>
          </cell>
          <cell r="P18">
            <v>99743.76</v>
          </cell>
          <cell r="Q18">
            <v>0.56000000000000005</v>
          </cell>
          <cell r="R18">
            <v>4</v>
          </cell>
          <cell r="S18">
            <v>7796.88</v>
          </cell>
          <cell r="T18">
            <v>0.04</v>
          </cell>
          <cell r="U18">
            <v>14</v>
          </cell>
          <cell r="V18">
            <v>27643.439999999999</v>
          </cell>
          <cell r="W18">
            <v>0.16</v>
          </cell>
          <cell r="X18">
            <v>107</v>
          </cell>
          <cell r="Y18">
            <v>215057.72</v>
          </cell>
          <cell r="Z18">
            <v>1.22</v>
          </cell>
          <cell r="AA18">
            <v>61</v>
          </cell>
          <cell r="AB18">
            <v>115342.8</v>
          </cell>
          <cell r="AC18">
            <v>0.68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198</v>
          </cell>
          <cell r="AQ18">
            <v>358650</v>
          </cell>
          <cell r="AR18">
            <v>2.21</v>
          </cell>
          <cell r="AS18">
            <v>1027.52</v>
          </cell>
          <cell r="AT18">
            <v>1907816.88</v>
          </cell>
          <cell r="AU18">
            <v>11.29</v>
          </cell>
        </row>
        <row r="19">
          <cell r="A19" t="str">
            <v>40048801</v>
          </cell>
          <cell r="B19" t="str">
            <v>002</v>
          </cell>
          <cell r="C19" t="str">
            <v>CHEESE SPREAD-PLAIN</v>
          </cell>
          <cell r="D19">
            <v>7.2</v>
          </cell>
          <cell r="E19">
            <v>36</v>
          </cell>
          <cell r="F19">
            <v>0</v>
          </cell>
          <cell r="G19">
            <v>0</v>
          </cell>
          <cell r="H19">
            <v>0</v>
          </cell>
          <cell r="I19">
            <v>5</v>
          </cell>
          <cell r="J19">
            <v>5146.2</v>
          </cell>
          <cell r="K19">
            <v>0.04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5</v>
          </cell>
          <cell r="AT19">
            <v>5146.2</v>
          </cell>
          <cell r="AU19">
            <v>0.04</v>
          </cell>
        </row>
        <row r="20">
          <cell r="A20" t="str">
            <v>40058801</v>
          </cell>
          <cell r="B20" t="str">
            <v>002</v>
          </cell>
          <cell r="C20" t="str">
            <v>CHEESE SPREAD-BLK PEPPER</v>
          </cell>
          <cell r="D20">
            <v>7.2</v>
          </cell>
          <cell r="E20">
            <v>36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</row>
        <row r="21">
          <cell r="A21" t="str">
            <v>40068801</v>
          </cell>
          <cell r="B21" t="str">
            <v>002</v>
          </cell>
          <cell r="C21" t="str">
            <v>CHEESE SPREAD-JEERA</v>
          </cell>
          <cell r="D21">
            <v>7.2</v>
          </cell>
          <cell r="E21">
            <v>36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</row>
        <row r="22">
          <cell r="A22" t="str">
            <v>40078801</v>
          </cell>
          <cell r="B22" t="str">
            <v>002</v>
          </cell>
          <cell r="C22" t="str">
            <v>CHEESE SPREAD-CHILLI CAPC</v>
          </cell>
          <cell r="D22">
            <v>7.2</v>
          </cell>
          <cell r="E22">
            <v>36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</row>
        <row r="23">
          <cell r="A23" t="str">
            <v>40139801</v>
          </cell>
          <cell r="B23" t="str">
            <v>002</v>
          </cell>
          <cell r="C23" t="str">
            <v>SPREAD 150G PLAIN</v>
          </cell>
          <cell r="D23">
            <v>9</v>
          </cell>
          <cell r="E23">
            <v>60</v>
          </cell>
          <cell r="F23">
            <v>13</v>
          </cell>
          <cell r="G23">
            <v>16567.2</v>
          </cell>
          <cell r="H23">
            <v>0.12</v>
          </cell>
          <cell r="I23">
            <v>0.5</v>
          </cell>
          <cell r="J23">
            <v>637.20000000000005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5</v>
          </cell>
          <cell r="P23">
            <v>6183</v>
          </cell>
          <cell r="Q23">
            <v>0.05</v>
          </cell>
          <cell r="R23">
            <v>1.33</v>
          </cell>
          <cell r="S23">
            <v>1638.4</v>
          </cell>
          <cell r="T23">
            <v>0.01</v>
          </cell>
          <cell r="U23">
            <v>0</v>
          </cell>
          <cell r="V23">
            <v>0</v>
          </cell>
          <cell r="W23">
            <v>0</v>
          </cell>
          <cell r="X23">
            <v>3</v>
          </cell>
          <cell r="Y23">
            <v>3794.4</v>
          </cell>
          <cell r="Z23">
            <v>0.03</v>
          </cell>
          <cell r="AA23">
            <v>5</v>
          </cell>
          <cell r="AB23">
            <v>6111</v>
          </cell>
          <cell r="AC23">
            <v>0.05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27.83</v>
          </cell>
          <cell r="AT23">
            <v>34931.199999999997</v>
          </cell>
          <cell r="AU23">
            <v>0.26</v>
          </cell>
        </row>
        <row r="24">
          <cell r="A24" t="str">
            <v>40149801</v>
          </cell>
          <cell r="B24" t="str">
            <v>002</v>
          </cell>
          <cell r="C24" t="str">
            <v>SPREAD 150G PEPPER</v>
          </cell>
          <cell r="D24">
            <v>9</v>
          </cell>
          <cell r="E24">
            <v>60</v>
          </cell>
          <cell r="F24">
            <v>12</v>
          </cell>
          <cell r="G24">
            <v>16466.400000000001</v>
          </cell>
          <cell r="H24">
            <v>0.11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12</v>
          </cell>
          <cell r="AT24">
            <v>16466.400000000001</v>
          </cell>
          <cell r="AU24">
            <v>0.11</v>
          </cell>
        </row>
        <row r="25">
          <cell r="A25" t="str">
            <v>40159801</v>
          </cell>
          <cell r="B25" t="str">
            <v>002</v>
          </cell>
          <cell r="C25" t="str">
            <v>SPREAD 150G MASALA GARLIC</v>
          </cell>
          <cell r="D25">
            <v>9</v>
          </cell>
          <cell r="E25">
            <v>60</v>
          </cell>
          <cell r="F25">
            <v>6</v>
          </cell>
          <cell r="G25">
            <v>8233.2000000000007</v>
          </cell>
          <cell r="H25">
            <v>0.05</v>
          </cell>
          <cell r="I25">
            <v>0</v>
          </cell>
          <cell r="J25">
            <v>0</v>
          </cell>
          <cell r="K25">
            <v>0</v>
          </cell>
          <cell r="L25">
            <v>3</v>
          </cell>
          <cell r="M25">
            <v>3711.6</v>
          </cell>
          <cell r="N25">
            <v>0.03</v>
          </cell>
          <cell r="O25">
            <v>1</v>
          </cell>
          <cell r="P25">
            <v>1332</v>
          </cell>
          <cell r="Q25">
            <v>0.01</v>
          </cell>
          <cell r="R25">
            <v>0.33</v>
          </cell>
          <cell r="S25">
            <v>441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10.33</v>
          </cell>
          <cell r="AT25">
            <v>13717.8</v>
          </cell>
          <cell r="AU25">
            <v>0.09</v>
          </cell>
        </row>
        <row r="26">
          <cell r="A26" t="str">
            <v>40169801</v>
          </cell>
          <cell r="B26" t="str">
            <v>002</v>
          </cell>
          <cell r="C26" t="str">
            <v>SPREAD 150G MASALA ONION</v>
          </cell>
          <cell r="D26">
            <v>9</v>
          </cell>
          <cell r="E26">
            <v>60</v>
          </cell>
          <cell r="F26">
            <v>5</v>
          </cell>
          <cell r="G26">
            <v>6861</v>
          </cell>
          <cell r="H26">
            <v>0.05</v>
          </cell>
          <cell r="I26">
            <v>0</v>
          </cell>
          <cell r="J26">
            <v>0</v>
          </cell>
          <cell r="K26">
            <v>0</v>
          </cell>
          <cell r="L26">
            <v>3</v>
          </cell>
          <cell r="M26">
            <v>3711.6</v>
          </cell>
          <cell r="N26">
            <v>0.03</v>
          </cell>
          <cell r="O26">
            <v>1</v>
          </cell>
          <cell r="P26">
            <v>1332</v>
          </cell>
          <cell r="Q26">
            <v>0.01</v>
          </cell>
          <cell r="R26">
            <v>0.33</v>
          </cell>
          <cell r="S26">
            <v>441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9.33</v>
          </cell>
          <cell r="AT26">
            <v>12345.6</v>
          </cell>
          <cell r="AU26">
            <v>0.09</v>
          </cell>
        </row>
        <row r="27">
          <cell r="A27" t="str">
            <v>40179801</v>
          </cell>
          <cell r="B27" t="str">
            <v>002</v>
          </cell>
          <cell r="C27" t="str">
            <v>SPREAD 150G CHILLI CAP</v>
          </cell>
          <cell r="D27">
            <v>9</v>
          </cell>
          <cell r="E27">
            <v>60</v>
          </cell>
          <cell r="F27">
            <v>35</v>
          </cell>
          <cell r="G27">
            <v>48028.05</v>
          </cell>
          <cell r="H27">
            <v>0.32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35</v>
          </cell>
          <cell r="AT27">
            <v>48028.05</v>
          </cell>
          <cell r="AU27">
            <v>0.32</v>
          </cell>
        </row>
        <row r="28">
          <cell r="C28" t="str">
            <v>Sub-total</v>
          </cell>
          <cell r="F28">
            <v>71</v>
          </cell>
          <cell r="G28">
            <v>96155.85</v>
          </cell>
          <cell r="H28">
            <v>0.65</v>
          </cell>
          <cell r="I28">
            <v>5.5</v>
          </cell>
          <cell r="J28">
            <v>5783.4</v>
          </cell>
          <cell r="K28">
            <v>0.04</v>
          </cell>
          <cell r="L28">
            <v>6</v>
          </cell>
          <cell r="M28">
            <v>7423.2</v>
          </cell>
          <cell r="N28">
            <v>0.06</v>
          </cell>
          <cell r="O28">
            <v>7</v>
          </cell>
          <cell r="P28">
            <v>8847</v>
          </cell>
          <cell r="Q28">
            <v>7.0000000000000007E-2</v>
          </cell>
          <cell r="R28">
            <v>1.99</v>
          </cell>
          <cell r="S28">
            <v>2520.4</v>
          </cell>
          <cell r="T28">
            <v>0.01</v>
          </cell>
          <cell r="U28">
            <v>0</v>
          </cell>
          <cell r="V28">
            <v>0</v>
          </cell>
          <cell r="W28">
            <v>0</v>
          </cell>
          <cell r="X28">
            <v>3</v>
          </cell>
          <cell r="Y28">
            <v>3794.4</v>
          </cell>
          <cell r="Z28">
            <v>0.03</v>
          </cell>
          <cell r="AA28">
            <v>5</v>
          </cell>
          <cell r="AB28">
            <v>6111</v>
          </cell>
          <cell r="AC28">
            <v>0.05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99.49</v>
          </cell>
          <cell r="AT28">
            <v>130635.25</v>
          </cell>
          <cell r="AU28">
            <v>0.91</v>
          </cell>
        </row>
        <row r="29">
          <cell r="C29" t="str">
            <v>Total Cheese</v>
          </cell>
          <cell r="F29">
            <v>539.52</v>
          </cell>
          <cell r="G29">
            <v>961375.63</v>
          </cell>
          <cell r="H29">
            <v>5.74</v>
          </cell>
          <cell r="I29">
            <v>12.5</v>
          </cell>
          <cell r="J29">
            <v>21222.6</v>
          </cell>
          <cell r="K29">
            <v>0.13</v>
          </cell>
          <cell r="L29">
            <v>126</v>
          </cell>
          <cell r="M29">
            <v>210346.5</v>
          </cell>
          <cell r="N29">
            <v>1.32</v>
          </cell>
          <cell r="O29">
            <v>55</v>
          </cell>
          <cell r="P29">
            <v>108590.76</v>
          </cell>
          <cell r="Q29">
            <v>0.63</v>
          </cell>
          <cell r="R29">
            <v>5.99</v>
          </cell>
          <cell r="S29">
            <v>10317.280000000001</v>
          </cell>
          <cell r="T29">
            <v>0.05</v>
          </cell>
          <cell r="U29">
            <v>14</v>
          </cell>
          <cell r="V29">
            <v>27643.439999999999</v>
          </cell>
          <cell r="W29">
            <v>0.16</v>
          </cell>
          <cell r="X29">
            <v>110</v>
          </cell>
          <cell r="Y29">
            <v>218852.12</v>
          </cell>
          <cell r="Z29">
            <v>1.25</v>
          </cell>
          <cell r="AA29">
            <v>66</v>
          </cell>
          <cell r="AB29">
            <v>121453.8</v>
          </cell>
          <cell r="AC29">
            <v>0.73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198</v>
          </cell>
          <cell r="AQ29">
            <v>358650</v>
          </cell>
          <cell r="AR29">
            <v>2.21</v>
          </cell>
          <cell r="AS29">
            <v>1127.01</v>
          </cell>
          <cell r="AT29">
            <v>2038452.13</v>
          </cell>
          <cell r="AU29">
            <v>12.2</v>
          </cell>
        </row>
        <row r="31">
          <cell r="A31" t="str">
            <v>40028401</v>
          </cell>
          <cell r="B31" t="str">
            <v>003</v>
          </cell>
          <cell r="C31" t="str">
            <v>DAIRY WHITENER 200G REFIL</v>
          </cell>
          <cell r="D31">
            <v>12</v>
          </cell>
          <cell r="E31">
            <v>60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12</v>
          </cell>
          <cell r="M31">
            <v>17694.64</v>
          </cell>
          <cell r="N31">
            <v>0.14000000000000001</v>
          </cell>
          <cell r="O31">
            <v>71</v>
          </cell>
          <cell r="P31">
            <v>100397.55</v>
          </cell>
          <cell r="Q31">
            <v>0.85</v>
          </cell>
          <cell r="R31">
            <v>14</v>
          </cell>
          <cell r="S31">
            <v>19848.22</v>
          </cell>
          <cell r="T31">
            <v>0.17</v>
          </cell>
          <cell r="U31">
            <v>15</v>
          </cell>
          <cell r="V31">
            <v>21265.95</v>
          </cell>
          <cell r="W31">
            <v>0.18</v>
          </cell>
          <cell r="X31">
            <v>172</v>
          </cell>
          <cell r="Y31">
            <v>251021.96</v>
          </cell>
          <cell r="Z31">
            <v>2.06</v>
          </cell>
          <cell r="AA31">
            <v>0</v>
          </cell>
          <cell r="AB31">
            <v>0</v>
          </cell>
          <cell r="AC31">
            <v>0</v>
          </cell>
          <cell r="AD31">
            <v>24.87</v>
          </cell>
          <cell r="AE31">
            <v>36291.160000000003</v>
          </cell>
          <cell r="AF31">
            <v>0.3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308.87</v>
          </cell>
          <cell r="AT31">
            <v>446519.48</v>
          </cell>
          <cell r="AU31">
            <v>3.7</v>
          </cell>
        </row>
        <row r="32">
          <cell r="A32" t="str">
            <v>40028402</v>
          </cell>
          <cell r="B32" t="str">
            <v>003</v>
          </cell>
          <cell r="C32" t="str">
            <v>DAIRY WHITENER 500G REFIL</v>
          </cell>
          <cell r="D32">
            <v>12</v>
          </cell>
          <cell r="E32">
            <v>24</v>
          </cell>
          <cell r="F32">
            <v>27.08</v>
          </cell>
          <cell r="G32">
            <v>36975.79</v>
          </cell>
          <cell r="H32">
            <v>0.33</v>
          </cell>
          <cell r="I32">
            <v>0</v>
          </cell>
          <cell r="J32">
            <v>0</v>
          </cell>
          <cell r="K32">
            <v>0</v>
          </cell>
          <cell r="L32">
            <v>3</v>
          </cell>
          <cell r="M32">
            <v>4095.78</v>
          </cell>
          <cell r="N32">
            <v>0.04</v>
          </cell>
          <cell r="O32">
            <v>151</v>
          </cell>
          <cell r="P32">
            <v>196440.43</v>
          </cell>
          <cell r="Q32">
            <v>1.81</v>
          </cell>
          <cell r="R32">
            <v>39</v>
          </cell>
          <cell r="S32">
            <v>50868.09</v>
          </cell>
          <cell r="T32">
            <v>0.47</v>
          </cell>
          <cell r="U32">
            <v>57</v>
          </cell>
          <cell r="V32">
            <v>74345.67</v>
          </cell>
          <cell r="W32">
            <v>0.68</v>
          </cell>
          <cell r="X32">
            <v>642</v>
          </cell>
          <cell r="Y32">
            <v>862000.56</v>
          </cell>
          <cell r="Z32">
            <v>7.7</v>
          </cell>
          <cell r="AA32">
            <v>0</v>
          </cell>
          <cell r="AB32">
            <v>0</v>
          </cell>
          <cell r="AC32">
            <v>0</v>
          </cell>
          <cell r="AD32">
            <v>30</v>
          </cell>
          <cell r="AE32">
            <v>40280.400000000001</v>
          </cell>
          <cell r="AF32">
            <v>0.36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949.08</v>
          </cell>
          <cell r="AT32">
            <v>1265006.72</v>
          </cell>
          <cell r="AU32">
            <v>11.39</v>
          </cell>
        </row>
        <row r="33">
          <cell r="A33" t="str">
            <v>40028501</v>
          </cell>
          <cell r="B33" t="str">
            <v>003</v>
          </cell>
          <cell r="C33" t="str">
            <v>DAIRY WHITENER 200G POUCH</v>
          </cell>
          <cell r="D33">
            <v>12</v>
          </cell>
          <cell r="E33">
            <v>60</v>
          </cell>
          <cell r="F33">
            <v>318</v>
          </cell>
          <cell r="G33">
            <v>440445.9</v>
          </cell>
          <cell r="H33">
            <v>3.82</v>
          </cell>
          <cell r="I33">
            <v>288.10000000000002</v>
          </cell>
          <cell r="J33">
            <v>399032.91</v>
          </cell>
          <cell r="K33">
            <v>3.46</v>
          </cell>
          <cell r="L33">
            <v>164</v>
          </cell>
          <cell r="M33">
            <v>225884.4</v>
          </cell>
          <cell r="N33">
            <v>1.97</v>
          </cell>
          <cell r="O33">
            <v>167</v>
          </cell>
          <cell r="P33">
            <v>220403.26</v>
          </cell>
          <cell r="Q33">
            <v>2</v>
          </cell>
          <cell r="R33">
            <v>113</v>
          </cell>
          <cell r="S33">
            <v>149523.85999999999</v>
          </cell>
          <cell r="T33">
            <v>1.36</v>
          </cell>
          <cell r="U33">
            <v>39</v>
          </cell>
          <cell r="V33">
            <v>51605.58</v>
          </cell>
          <cell r="W33">
            <v>0.47</v>
          </cell>
          <cell r="X33">
            <v>670</v>
          </cell>
          <cell r="Y33">
            <v>912633.8</v>
          </cell>
          <cell r="Z33">
            <v>8.0399999999999991</v>
          </cell>
          <cell r="AA33">
            <v>140</v>
          </cell>
          <cell r="AB33">
            <v>184296</v>
          </cell>
          <cell r="AC33">
            <v>1.68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1899.1</v>
          </cell>
          <cell r="AT33">
            <v>2583825.71</v>
          </cell>
          <cell r="AU33">
            <v>22.8</v>
          </cell>
        </row>
        <row r="34">
          <cell r="A34" t="str">
            <v>40028502</v>
          </cell>
          <cell r="B34" t="str">
            <v>003</v>
          </cell>
          <cell r="C34" t="str">
            <v>DAIRY WHITENER 500G POUCH</v>
          </cell>
          <cell r="D34">
            <v>12</v>
          </cell>
          <cell r="E34">
            <v>24</v>
          </cell>
          <cell r="F34">
            <v>1201</v>
          </cell>
          <cell r="G34">
            <v>1544630.12</v>
          </cell>
          <cell r="H34">
            <v>14.41</v>
          </cell>
          <cell r="I34">
            <v>715.83</v>
          </cell>
          <cell r="J34">
            <v>920647.57</v>
          </cell>
          <cell r="K34">
            <v>8.59</v>
          </cell>
          <cell r="L34">
            <v>533.96</v>
          </cell>
          <cell r="M34">
            <v>683258.39</v>
          </cell>
          <cell r="N34">
            <v>6.41</v>
          </cell>
          <cell r="O34">
            <v>938</v>
          </cell>
          <cell r="P34">
            <v>1149528.3799999999</v>
          </cell>
          <cell r="Q34">
            <v>11.26</v>
          </cell>
          <cell r="R34">
            <v>423</v>
          </cell>
          <cell r="S34">
            <v>519740.1</v>
          </cell>
          <cell r="T34">
            <v>5.08</v>
          </cell>
          <cell r="U34">
            <v>186</v>
          </cell>
          <cell r="V34">
            <v>228538.2</v>
          </cell>
          <cell r="W34">
            <v>2.23</v>
          </cell>
          <cell r="X34">
            <v>3487.58</v>
          </cell>
          <cell r="Y34">
            <v>4411234.9000000004</v>
          </cell>
          <cell r="Z34">
            <v>41.85</v>
          </cell>
          <cell r="AA34">
            <v>60</v>
          </cell>
          <cell r="AB34">
            <v>73324.800000000003</v>
          </cell>
          <cell r="AC34">
            <v>0.72</v>
          </cell>
          <cell r="AD34">
            <v>175</v>
          </cell>
          <cell r="AE34">
            <v>221347</v>
          </cell>
          <cell r="AF34">
            <v>2.1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7720.37</v>
          </cell>
          <cell r="AT34">
            <v>9752249.4600000009</v>
          </cell>
          <cell r="AU34">
            <v>92.65</v>
          </cell>
        </row>
        <row r="35">
          <cell r="A35" t="str">
            <v>40028503</v>
          </cell>
          <cell r="B35" t="str">
            <v>003</v>
          </cell>
          <cell r="C35" t="str">
            <v>DAIRY WHITENER 50G POUCH</v>
          </cell>
          <cell r="D35">
            <v>9.6</v>
          </cell>
          <cell r="E35">
            <v>180</v>
          </cell>
          <cell r="F35">
            <v>103</v>
          </cell>
          <cell r="G35">
            <v>108656.76</v>
          </cell>
          <cell r="H35">
            <v>0.99</v>
          </cell>
          <cell r="I35">
            <v>30</v>
          </cell>
          <cell r="J35">
            <v>31644</v>
          </cell>
          <cell r="K35">
            <v>0.28999999999999998</v>
          </cell>
          <cell r="L35">
            <v>451.08</v>
          </cell>
          <cell r="M35">
            <v>472318.35</v>
          </cell>
          <cell r="N35">
            <v>4.33</v>
          </cell>
          <cell r="O35">
            <v>82</v>
          </cell>
          <cell r="P35">
            <v>82426.399999999994</v>
          </cell>
          <cell r="Q35">
            <v>0.79</v>
          </cell>
          <cell r="R35">
            <v>78</v>
          </cell>
          <cell r="S35">
            <v>78609.960000000006</v>
          </cell>
          <cell r="T35">
            <v>0.75</v>
          </cell>
          <cell r="U35">
            <v>83</v>
          </cell>
          <cell r="V35">
            <v>83649.06</v>
          </cell>
          <cell r="W35">
            <v>0.8</v>
          </cell>
          <cell r="X35">
            <v>774</v>
          </cell>
          <cell r="Y35">
            <v>803001.78</v>
          </cell>
          <cell r="Z35">
            <v>7.43</v>
          </cell>
          <cell r="AA35">
            <v>165</v>
          </cell>
          <cell r="AB35">
            <v>165429</v>
          </cell>
          <cell r="AC35">
            <v>1.58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1766.08</v>
          </cell>
          <cell r="AT35">
            <v>1825735.31</v>
          </cell>
          <cell r="AU35">
            <v>16.96</v>
          </cell>
        </row>
        <row r="36">
          <cell r="A36" t="str">
            <v>40028504</v>
          </cell>
          <cell r="B36" t="str">
            <v>003</v>
          </cell>
          <cell r="C36" t="str">
            <v>DAIRY WHITENER 100G POUCH</v>
          </cell>
          <cell r="D36">
            <v>12</v>
          </cell>
          <cell r="E36">
            <v>120</v>
          </cell>
          <cell r="F36">
            <v>92</v>
          </cell>
          <cell r="G36">
            <v>136526.16</v>
          </cell>
          <cell r="H36">
            <v>1.1000000000000001</v>
          </cell>
          <cell r="I36">
            <v>10</v>
          </cell>
          <cell r="J36">
            <v>14839.8</v>
          </cell>
          <cell r="K36">
            <v>0.12</v>
          </cell>
          <cell r="L36">
            <v>137</v>
          </cell>
          <cell r="M36">
            <v>201891.26</v>
          </cell>
          <cell r="N36">
            <v>1.64</v>
          </cell>
          <cell r="O36">
            <v>67</v>
          </cell>
          <cell r="P36">
            <v>94741.35</v>
          </cell>
          <cell r="Q36">
            <v>0.8</v>
          </cell>
          <cell r="R36">
            <v>15</v>
          </cell>
          <cell r="S36">
            <v>21265.95</v>
          </cell>
          <cell r="T36">
            <v>0.18</v>
          </cell>
          <cell r="U36">
            <v>5</v>
          </cell>
          <cell r="V36">
            <v>7088.65</v>
          </cell>
          <cell r="W36">
            <v>0.06</v>
          </cell>
          <cell r="X36">
            <v>265</v>
          </cell>
          <cell r="Y36">
            <v>386748.95</v>
          </cell>
          <cell r="Z36">
            <v>3.18</v>
          </cell>
          <cell r="AA36">
            <v>90</v>
          </cell>
          <cell r="AB36">
            <v>126900</v>
          </cell>
          <cell r="AC36">
            <v>1.08</v>
          </cell>
          <cell r="AD36">
            <v>10</v>
          </cell>
          <cell r="AE36">
            <v>14594.3</v>
          </cell>
          <cell r="AF36">
            <v>0.12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691</v>
          </cell>
          <cell r="AT36">
            <v>1004596.42</v>
          </cell>
          <cell r="AU36">
            <v>8.2799999999999994</v>
          </cell>
        </row>
        <row r="37">
          <cell r="A37" t="str">
            <v>40028505</v>
          </cell>
          <cell r="B37" t="str">
            <v>003</v>
          </cell>
          <cell r="C37" t="str">
            <v>D-WHITENER 1000G POUCH</v>
          </cell>
          <cell r="D37">
            <v>12</v>
          </cell>
          <cell r="E37">
            <v>12</v>
          </cell>
          <cell r="F37">
            <v>5</v>
          </cell>
          <cell r="G37">
            <v>6183.25</v>
          </cell>
          <cell r="H37">
            <v>0.06</v>
          </cell>
          <cell r="I37">
            <v>28</v>
          </cell>
          <cell r="J37">
            <v>34626.199999999997</v>
          </cell>
          <cell r="K37">
            <v>0.34</v>
          </cell>
          <cell r="L37">
            <v>165</v>
          </cell>
          <cell r="M37">
            <v>200802.08</v>
          </cell>
          <cell r="N37">
            <v>1.98</v>
          </cell>
          <cell r="O37">
            <v>14</v>
          </cell>
          <cell r="P37">
            <v>16497.18</v>
          </cell>
          <cell r="Q37">
            <v>0.17</v>
          </cell>
          <cell r="R37">
            <v>10.33</v>
          </cell>
          <cell r="S37">
            <v>12208.21</v>
          </cell>
          <cell r="T37">
            <v>0.12</v>
          </cell>
          <cell r="U37">
            <v>37</v>
          </cell>
          <cell r="V37">
            <v>43713.279999999999</v>
          </cell>
          <cell r="W37">
            <v>0.44</v>
          </cell>
          <cell r="X37">
            <v>625</v>
          </cell>
          <cell r="Y37">
            <v>760118.75</v>
          </cell>
          <cell r="Z37">
            <v>7.5</v>
          </cell>
          <cell r="AA37">
            <v>35</v>
          </cell>
          <cell r="AB37">
            <v>41130.6</v>
          </cell>
          <cell r="AC37">
            <v>0.42</v>
          </cell>
          <cell r="AD37">
            <v>20</v>
          </cell>
          <cell r="AE37">
            <v>24323.8</v>
          </cell>
          <cell r="AF37">
            <v>0.24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939.33</v>
          </cell>
          <cell r="AT37">
            <v>1139603.3500000001</v>
          </cell>
          <cell r="AU37">
            <v>11.27</v>
          </cell>
        </row>
        <row r="38">
          <cell r="A38" t="str">
            <v>40029902</v>
          </cell>
          <cell r="B38" t="str">
            <v>003</v>
          </cell>
          <cell r="C38" t="str">
            <v>DAIRY WHITENER 30GM</v>
          </cell>
          <cell r="D38">
            <v>9</v>
          </cell>
          <cell r="E38">
            <v>300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</row>
        <row r="39">
          <cell r="C39" t="str">
            <v>Sub-total</v>
          </cell>
          <cell r="F39">
            <v>1746.08</v>
          </cell>
          <cell r="G39">
            <v>2273417.98</v>
          </cell>
          <cell r="H39">
            <v>20.71</v>
          </cell>
          <cell r="I39">
            <v>1071.93</v>
          </cell>
          <cell r="J39">
            <v>1400790.48</v>
          </cell>
          <cell r="K39">
            <v>12.8</v>
          </cell>
          <cell r="L39">
            <v>1466.04</v>
          </cell>
          <cell r="M39">
            <v>1805944.9</v>
          </cell>
          <cell r="N39">
            <v>16.510000000000002</v>
          </cell>
          <cell r="O39">
            <v>1490</v>
          </cell>
          <cell r="P39">
            <v>1860434.55</v>
          </cell>
          <cell r="Q39">
            <v>17.68</v>
          </cell>
          <cell r="R39">
            <v>692.33</v>
          </cell>
          <cell r="S39">
            <v>852064.39</v>
          </cell>
          <cell r="T39">
            <v>8.1300000000000008</v>
          </cell>
          <cell r="U39">
            <v>422</v>
          </cell>
          <cell r="V39">
            <v>510206.39</v>
          </cell>
          <cell r="W39">
            <v>4.8600000000000003</v>
          </cell>
          <cell r="X39">
            <v>6635.58</v>
          </cell>
          <cell r="Y39">
            <v>8386760.7000000011</v>
          </cell>
          <cell r="Z39">
            <v>77.760000000000005</v>
          </cell>
          <cell r="AA39">
            <v>490</v>
          </cell>
          <cell r="AB39">
            <v>591080.4</v>
          </cell>
          <cell r="AC39">
            <v>5.48</v>
          </cell>
          <cell r="AD39">
            <v>259.87</v>
          </cell>
          <cell r="AE39">
            <v>336836.66</v>
          </cell>
          <cell r="AF39">
            <v>3.12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14273.83</v>
          </cell>
          <cell r="AT39">
            <v>18017536.450000003</v>
          </cell>
          <cell r="AU39">
            <v>167.05</v>
          </cell>
        </row>
        <row r="40">
          <cell r="A40" t="str">
            <v>40028901</v>
          </cell>
          <cell r="B40" t="str">
            <v>004</v>
          </cell>
          <cell r="C40" t="str">
            <v>DAIRY WHITENER BULK PACK</v>
          </cell>
          <cell r="D40">
            <v>10</v>
          </cell>
          <cell r="E40">
            <v>1</v>
          </cell>
          <cell r="F40">
            <v>1214</v>
          </cell>
          <cell r="G40">
            <v>1086779</v>
          </cell>
          <cell r="H40">
            <v>12.14</v>
          </cell>
          <cell r="I40">
            <v>787</v>
          </cell>
          <cell r="J40">
            <v>691379.5</v>
          </cell>
          <cell r="K40">
            <v>7.87</v>
          </cell>
          <cell r="L40">
            <v>150</v>
          </cell>
          <cell r="M40">
            <v>131775</v>
          </cell>
          <cell r="N40">
            <v>1.5</v>
          </cell>
          <cell r="O40">
            <v>52</v>
          </cell>
          <cell r="P40">
            <v>44400.2</v>
          </cell>
          <cell r="Q40">
            <v>0.52</v>
          </cell>
          <cell r="R40">
            <v>625</v>
          </cell>
          <cell r="S40">
            <v>524556.25</v>
          </cell>
          <cell r="T40">
            <v>6.25</v>
          </cell>
          <cell r="U40">
            <v>1500</v>
          </cell>
          <cell r="V40">
            <v>1258935</v>
          </cell>
          <cell r="W40">
            <v>15</v>
          </cell>
          <cell r="X40">
            <v>3125</v>
          </cell>
          <cell r="Y40">
            <v>2706626.25</v>
          </cell>
          <cell r="Z40">
            <v>31.25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7453</v>
          </cell>
          <cell r="AT40">
            <v>6444451.2000000002</v>
          </cell>
          <cell r="AU40">
            <v>74.53</v>
          </cell>
        </row>
        <row r="41">
          <cell r="C41" t="str">
            <v>Total Dairy Whitener</v>
          </cell>
          <cell r="F41">
            <v>2960.08</v>
          </cell>
          <cell r="G41">
            <v>3360196.98</v>
          </cell>
          <cell r="H41">
            <v>32.85</v>
          </cell>
          <cell r="I41">
            <v>1858.93</v>
          </cell>
          <cell r="J41">
            <v>2092169.98</v>
          </cell>
          <cell r="K41">
            <v>20.67</v>
          </cell>
          <cell r="L41">
            <v>1616.04</v>
          </cell>
          <cell r="M41">
            <v>1937719.9</v>
          </cell>
          <cell r="N41">
            <v>18.010000000000002</v>
          </cell>
          <cell r="O41">
            <v>1542</v>
          </cell>
          <cell r="P41">
            <v>1904834.75</v>
          </cell>
          <cell r="Q41">
            <v>18.2</v>
          </cell>
          <cell r="R41">
            <v>1317.33</v>
          </cell>
          <cell r="S41">
            <v>1376620.64</v>
          </cell>
          <cell r="T41">
            <v>14.38</v>
          </cell>
          <cell r="U41">
            <v>1922</v>
          </cell>
          <cell r="V41">
            <v>1769141.39</v>
          </cell>
          <cell r="W41">
            <v>19.86</v>
          </cell>
          <cell r="X41">
            <v>9760.58</v>
          </cell>
          <cell r="Y41">
            <v>11093386.950000001</v>
          </cell>
          <cell r="Z41">
            <v>109.01</v>
          </cell>
          <cell r="AA41">
            <v>490</v>
          </cell>
          <cell r="AB41">
            <v>591080.4</v>
          </cell>
          <cell r="AC41">
            <v>5.48</v>
          </cell>
          <cell r="AD41">
            <v>259.87</v>
          </cell>
          <cell r="AE41">
            <v>336836.66</v>
          </cell>
          <cell r="AF41">
            <v>3.12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21726.83</v>
          </cell>
          <cell r="AT41">
            <v>24461987.650000002</v>
          </cell>
          <cell r="AU41">
            <v>241.58</v>
          </cell>
        </row>
        <row r="42">
          <cell r="AT42">
            <v>26500439.780000001</v>
          </cell>
        </row>
        <row r="43">
          <cell r="A43" t="str">
            <v>20047001</v>
          </cell>
          <cell r="B43" t="str">
            <v>005</v>
          </cell>
          <cell r="C43" t="str">
            <v>FRUIT</v>
          </cell>
          <cell r="D43">
            <v>12</v>
          </cell>
          <cell r="E43">
            <v>60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125</v>
          </cell>
          <cell r="M43">
            <v>131887.5</v>
          </cell>
          <cell r="N43">
            <v>1.5</v>
          </cell>
          <cell r="O43">
            <v>1124.78</v>
          </cell>
          <cell r="P43">
            <v>1173531.44</v>
          </cell>
          <cell r="Q43">
            <v>13.5</v>
          </cell>
          <cell r="R43">
            <v>130.37</v>
          </cell>
          <cell r="S43">
            <v>135093.76999999999</v>
          </cell>
          <cell r="T43">
            <v>1.56</v>
          </cell>
          <cell r="U43">
            <v>256</v>
          </cell>
          <cell r="V43">
            <v>265282.57</v>
          </cell>
          <cell r="W43">
            <v>3.07</v>
          </cell>
          <cell r="X43">
            <v>916.85</v>
          </cell>
          <cell r="Y43">
            <v>951604.78</v>
          </cell>
          <cell r="Z43">
            <v>11</v>
          </cell>
          <cell r="AA43">
            <v>50</v>
          </cell>
          <cell r="AB43">
            <v>51537</v>
          </cell>
          <cell r="AC43">
            <v>0.6</v>
          </cell>
          <cell r="AD43">
            <v>200</v>
          </cell>
          <cell r="AE43">
            <v>204072</v>
          </cell>
          <cell r="AF43">
            <v>2.4</v>
          </cell>
          <cell r="AG43">
            <v>137</v>
          </cell>
          <cell r="AH43">
            <v>134725.79999999999</v>
          </cell>
          <cell r="AI43">
            <v>1.64</v>
          </cell>
          <cell r="AJ43">
            <v>125</v>
          </cell>
          <cell r="AK43">
            <v>122925</v>
          </cell>
          <cell r="AL43">
            <v>1.5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3065</v>
          </cell>
          <cell r="AT43">
            <v>3170659.86</v>
          </cell>
          <cell r="AU43">
            <v>36.770000000000003</v>
          </cell>
        </row>
        <row r="44">
          <cell r="A44" t="str">
            <v>20057001</v>
          </cell>
          <cell r="B44" t="str">
            <v>005</v>
          </cell>
          <cell r="C44" t="str">
            <v>CHOCOLATE</v>
          </cell>
          <cell r="D44">
            <v>12</v>
          </cell>
          <cell r="E44">
            <v>60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10</v>
          </cell>
          <cell r="M44">
            <v>10551</v>
          </cell>
          <cell r="N44">
            <v>0.12</v>
          </cell>
          <cell r="O44">
            <v>20</v>
          </cell>
          <cell r="P44">
            <v>20866.8</v>
          </cell>
          <cell r="Q44">
            <v>0.24</v>
          </cell>
          <cell r="R44">
            <v>10</v>
          </cell>
          <cell r="S44">
            <v>10362.6</v>
          </cell>
          <cell r="T44">
            <v>0.12</v>
          </cell>
          <cell r="U44">
            <v>5</v>
          </cell>
          <cell r="V44">
            <v>5181.3</v>
          </cell>
          <cell r="W44">
            <v>0.06</v>
          </cell>
          <cell r="X44">
            <v>60</v>
          </cell>
          <cell r="Y44">
            <v>61853.4</v>
          </cell>
          <cell r="Z44">
            <v>0.72</v>
          </cell>
          <cell r="AA44">
            <v>8</v>
          </cell>
          <cell r="AB44">
            <v>8245.92</v>
          </cell>
          <cell r="AC44">
            <v>0.1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113</v>
          </cell>
          <cell r="AT44">
            <v>117061.02</v>
          </cell>
          <cell r="AU44">
            <v>1.36</v>
          </cell>
        </row>
        <row r="45">
          <cell r="A45" t="str">
            <v>20067001</v>
          </cell>
          <cell r="B45" t="str">
            <v>005</v>
          </cell>
          <cell r="C45" t="str">
            <v>ORANGE</v>
          </cell>
          <cell r="D45">
            <v>12</v>
          </cell>
          <cell r="E45">
            <v>60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</row>
        <row r="46">
          <cell r="A46" t="str">
            <v>20077001</v>
          </cell>
          <cell r="B46" t="str">
            <v>005</v>
          </cell>
          <cell r="C46" t="str">
            <v>VANILLA CHOCOLATE</v>
          </cell>
          <cell r="D46">
            <v>12</v>
          </cell>
          <cell r="E46">
            <v>60</v>
          </cell>
          <cell r="F46">
            <v>25</v>
          </cell>
          <cell r="G46">
            <v>26377.5</v>
          </cell>
          <cell r="H46">
            <v>0.3</v>
          </cell>
          <cell r="I46">
            <v>6</v>
          </cell>
          <cell r="J46">
            <v>6330.6</v>
          </cell>
          <cell r="K46">
            <v>7.0000000000000007E-2</v>
          </cell>
          <cell r="L46">
            <v>0</v>
          </cell>
          <cell r="M46">
            <v>0</v>
          </cell>
          <cell r="N46">
            <v>0</v>
          </cell>
          <cell r="O46">
            <v>23</v>
          </cell>
          <cell r="P46">
            <v>23996.82</v>
          </cell>
          <cell r="Q46">
            <v>0.28000000000000003</v>
          </cell>
          <cell r="R46">
            <v>9</v>
          </cell>
          <cell r="S46">
            <v>9326.34</v>
          </cell>
          <cell r="T46">
            <v>0.11</v>
          </cell>
          <cell r="U46">
            <v>9</v>
          </cell>
          <cell r="V46">
            <v>9326.34</v>
          </cell>
          <cell r="W46">
            <v>0.11</v>
          </cell>
          <cell r="X46">
            <v>9</v>
          </cell>
          <cell r="Y46">
            <v>9600.66</v>
          </cell>
          <cell r="Z46">
            <v>0.11</v>
          </cell>
          <cell r="AA46">
            <v>3</v>
          </cell>
          <cell r="AB46">
            <v>3092.22</v>
          </cell>
          <cell r="AC46">
            <v>0.04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84</v>
          </cell>
          <cell r="AT46">
            <v>88050.48</v>
          </cell>
          <cell r="AU46">
            <v>1.02</v>
          </cell>
        </row>
        <row r="47">
          <cell r="A47" t="str">
            <v>20087001</v>
          </cell>
          <cell r="B47" t="str">
            <v>005</v>
          </cell>
          <cell r="C47" t="str">
            <v>ORANGE CHOCOLATE</v>
          </cell>
          <cell r="D47">
            <v>12</v>
          </cell>
          <cell r="E47">
            <v>60</v>
          </cell>
          <cell r="F47">
            <v>20</v>
          </cell>
          <cell r="G47">
            <v>21102</v>
          </cell>
          <cell r="H47">
            <v>0.24</v>
          </cell>
          <cell r="I47">
            <v>6</v>
          </cell>
          <cell r="J47">
            <v>6330.6</v>
          </cell>
          <cell r="K47">
            <v>7.0000000000000007E-2</v>
          </cell>
          <cell r="L47">
            <v>0</v>
          </cell>
          <cell r="M47">
            <v>0</v>
          </cell>
          <cell r="N47">
            <v>0</v>
          </cell>
          <cell r="O47">
            <v>18</v>
          </cell>
          <cell r="P47">
            <v>18780.12</v>
          </cell>
          <cell r="Q47">
            <v>0.22</v>
          </cell>
          <cell r="R47">
            <v>9</v>
          </cell>
          <cell r="S47">
            <v>8920.7999999999993</v>
          </cell>
          <cell r="T47">
            <v>0.11</v>
          </cell>
          <cell r="U47">
            <v>7</v>
          </cell>
          <cell r="V47">
            <v>7253.82</v>
          </cell>
          <cell r="W47">
            <v>0.08</v>
          </cell>
          <cell r="X47">
            <v>8</v>
          </cell>
          <cell r="Y47">
            <v>8533.92</v>
          </cell>
          <cell r="Z47">
            <v>0.1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68</v>
          </cell>
          <cell r="AT47">
            <v>70921.259999999995</v>
          </cell>
          <cell r="AU47">
            <v>0.82</v>
          </cell>
        </row>
        <row r="48">
          <cell r="A48" t="str">
            <v>20097001</v>
          </cell>
          <cell r="B48" t="str">
            <v>005</v>
          </cell>
          <cell r="C48" t="str">
            <v>PLUM</v>
          </cell>
          <cell r="D48">
            <v>18</v>
          </cell>
          <cell r="E48">
            <v>60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</row>
        <row r="49">
          <cell r="A49" t="str">
            <v>20107001</v>
          </cell>
          <cell r="B49" t="str">
            <v>005</v>
          </cell>
          <cell r="C49" t="str">
            <v>MILK</v>
          </cell>
          <cell r="D49">
            <v>12</v>
          </cell>
          <cell r="E49">
            <v>60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</row>
        <row r="50">
          <cell r="A50" t="str">
            <v>20117001</v>
          </cell>
          <cell r="B50" t="str">
            <v>005</v>
          </cell>
          <cell r="C50" t="str">
            <v>BUTTER SPONGE</v>
          </cell>
          <cell r="D50">
            <v>12</v>
          </cell>
          <cell r="E50">
            <v>60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15</v>
          </cell>
          <cell r="P50">
            <v>15650.1</v>
          </cell>
          <cell r="Q50">
            <v>0.18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8</v>
          </cell>
          <cell r="Y50">
            <v>8533.92</v>
          </cell>
          <cell r="Z50">
            <v>0.1</v>
          </cell>
          <cell r="AA50">
            <v>2</v>
          </cell>
          <cell r="AB50">
            <v>2061.48</v>
          </cell>
          <cell r="AC50">
            <v>0.02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25</v>
          </cell>
          <cell r="AT50">
            <v>26245.5</v>
          </cell>
          <cell r="AU50">
            <v>0.3</v>
          </cell>
        </row>
        <row r="51">
          <cell r="A51" t="str">
            <v>20307001</v>
          </cell>
          <cell r="B51" t="str">
            <v>005</v>
          </cell>
          <cell r="C51" t="str">
            <v>FRUIT CAKE      (CAL-CP)</v>
          </cell>
          <cell r="D51">
            <v>12</v>
          </cell>
          <cell r="E51">
            <v>60</v>
          </cell>
          <cell r="F51">
            <v>929</v>
          </cell>
          <cell r="G51">
            <v>1078234.56</v>
          </cell>
          <cell r="H51">
            <v>11.15</v>
          </cell>
          <cell r="I51">
            <v>886</v>
          </cell>
          <cell r="J51">
            <v>1028327.04</v>
          </cell>
          <cell r="K51">
            <v>10.63</v>
          </cell>
          <cell r="L51">
            <v>588</v>
          </cell>
          <cell r="M51">
            <v>682456.32</v>
          </cell>
          <cell r="N51">
            <v>7.06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2403</v>
          </cell>
          <cell r="AT51">
            <v>2789017.92</v>
          </cell>
          <cell r="AU51">
            <v>28.84</v>
          </cell>
        </row>
        <row r="52">
          <cell r="A52" t="str">
            <v>20317001</v>
          </cell>
          <cell r="B52" t="str">
            <v>005</v>
          </cell>
          <cell r="C52" t="str">
            <v>CHOCOLATE   (FROM CAL CP)</v>
          </cell>
          <cell r="D52">
            <v>12</v>
          </cell>
          <cell r="E52">
            <v>60</v>
          </cell>
          <cell r="F52">
            <v>68</v>
          </cell>
          <cell r="G52">
            <v>75492.240000000005</v>
          </cell>
          <cell r="H52">
            <v>0.82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68</v>
          </cell>
          <cell r="AT52">
            <v>75492.240000000005</v>
          </cell>
          <cell r="AU52">
            <v>0.82</v>
          </cell>
        </row>
        <row r="53">
          <cell r="A53" t="str">
            <v>20017101</v>
          </cell>
          <cell r="B53" t="str">
            <v>006</v>
          </cell>
          <cell r="C53" t="str">
            <v>MIXED FRUIT</v>
          </cell>
          <cell r="D53">
            <v>8.4</v>
          </cell>
          <cell r="E53">
            <v>240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</row>
        <row r="54">
          <cell r="A54" t="str">
            <v>20027101</v>
          </cell>
          <cell r="B54" t="str">
            <v>006</v>
          </cell>
          <cell r="C54" t="str">
            <v>TRIO</v>
          </cell>
          <cell r="D54">
            <v>8.4</v>
          </cell>
          <cell r="E54">
            <v>240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</row>
        <row r="55">
          <cell r="A55" t="str">
            <v>20037101</v>
          </cell>
          <cell r="B55" t="str">
            <v>006</v>
          </cell>
          <cell r="C55" t="str">
            <v>DUET</v>
          </cell>
          <cell r="D55">
            <v>8.4</v>
          </cell>
          <cell r="E55">
            <v>240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</row>
        <row r="56">
          <cell r="C56" t="str">
            <v>Sub-total</v>
          </cell>
          <cell r="F56">
            <v>1042</v>
          </cell>
          <cell r="G56">
            <v>1201206.3</v>
          </cell>
          <cell r="H56">
            <v>12.51</v>
          </cell>
          <cell r="I56">
            <v>898</v>
          </cell>
          <cell r="J56">
            <v>1040988.24</v>
          </cell>
          <cell r="K56">
            <v>10.77</v>
          </cell>
          <cell r="L56">
            <v>723</v>
          </cell>
          <cell r="M56">
            <v>824894.82</v>
          </cell>
          <cell r="N56">
            <v>8.68</v>
          </cell>
          <cell r="O56">
            <v>1200.78</v>
          </cell>
          <cell r="P56">
            <v>1252825.28</v>
          </cell>
          <cell r="Q56">
            <v>14.42</v>
          </cell>
          <cell r="R56">
            <v>158.37</v>
          </cell>
          <cell r="S56">
            <v>163703.51</v>
          </cell>
          <cell r="T56">
            <v>1.9</v>
          </cell>
          <cell r="U56">
            <v>277</v>
          </cell>
          <cell r="V56">
            <v>287044.03000000003</v>
          </cell>
          <cell r="W56">
            <v>3.32</v>
          </cell>
          <cell r="X56">
            <v>1001.85</v>
          </cell>
          <cell r="Y56">
            <v>1040126.68</v>
          </cell>
          <cell r="Z56">
            <v>12.03</v>
          </cell>
          <cell r="AA56">
            <v>63</v>
          </cell>
          <cell r="AB56">
            <v>64936.62</v>
          </cell>
          <cell r="AC56">
            <v>0.76</v>
          </cell>
          <cell r="AD56">
            <v>200</v>
          </cell>
          <cell r="AE56">
            <v>204072</v>
          </cell>
          <cell r="AF56">
            <v>2.4</v>
          </cell>
          <cell r="AG56">
            <v>137</v>
          </cell>
          <cell r="AH56">
            <v>134725.79999999999</v>
          </cell>
          <cell r="AI56">
            <v>1.64</v>
          </cell>
          <cell r="AJ56">
            <v>125</v>
          </cell>
          <cell r="AK56">
            <v>122925</v>
          </cell>
          <cell r="AL56">
            <v>1.5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5826</v>
          </cell>
          <cell r="AT56">
            <v>6337448.2799999993</v>
          </cell>
          <cell r="AU56">
            <v>69.930000000000007</v>
          </cell>
        </row>
        <row r="57">
          <cell r="A57" t="str">
            <v>20227101</v>
          </cell>
          <cell r="B57" t="str">
            <v>006</v>
          </cell>
          <cell r="C57" t="str">
            <v>GOODDAY S SL VANILLA</v>
          </cell>
          <cell r="D57">
            <v>8.4</v>
          </cell>
          <cell r="E57">
            <v>240</v>
          </cell>
          <cell r="F57">
            <v>8</v>
          </cell>
          <cell r="G57">
            <v>7340.16</v>
          </cell>
          <cell r="H57">
            <v>7.0000000000000007E-2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4</v>
          </cell>
          <cell r="P57">
            <v>3628.8</v>
          </cell>
          <cell r="Q57">
            <v>0.03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12</v>
          </cell>
          <cell r="AT57">
            <v>10968.96</v>
          </cell>
          <cell r="AU57">
            <v>0.1</v>
          </cell>
        </row>
        <row r="58">
          <cell r="A58" t="str">
            <v>20237101</v>
          </cell>
          <cell r="B58" t="str">
            <v>006</v>
          </cell>
          <cell r="C58" t="str">
            <v>GOODDAY S SL RICH FRUIT</v>
          </cell>
          <cell r="D58">
            <v>8.4</v>
          </cell>
          <cell r="E58">
            <v>240</v>
          </cell>
          <cell r="F58">
            <v>9</v>
          </cell>
          <cell r="G58">
            <v>8257.68</v>
          </cell>
          <cell r="H58">
            <v>0.08</v>
          </cell>
          <cell r="I58">
            <v>12</v>
          </cell>
          <cell r="J58">
            <v>11010.24</v>
          </cell>
          <cell r="K58">
            <v>0.1</v>
          </cell>
          <cell r="L58">
            <v>2</v>
          </cell>
          <cell r="M58">
            <v>1835.04</v>
          </cell>
          <cell r="N58">
            <v>0.02</v>
          </cell>
          <cell r="O58">
            <v>14</v>
          </cell>
          <cell r="P58">
            <v>12700.8</v>
          </cell>
          <cell r="Q58">
            <v>0.12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25</v>
          </cell>
          <cell r="AK58">
            <v>18923</v>
          </cell>
          <cell r="AL58">
            <v>0.21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62</v>
          </cell>
          <cell r="AT58">
            <v>52726.76</v>
          </cell>
          <cell r="AU58">
            <v>0.53</v>
          </cell>
        </row>
        <row r="59">
          <cell r="A59" t="str">
            <v>20247101</v>
          </cell>
          <cell r="B59" t="str">
            <v>006</v>
          </cell>
          <cell r="C59" t="str">
            <v>GOODDAY S SL MAZZA MIX</v>
          </cell>
          <cell r="D59">
            <v>8.4</v>
          </cell>
          <cell r="E59">
            <v>240</v>
          </cell>
          <cell r="F59">
            <v>1</v>
          </cell>
          <cell r="G59">
            <v>917.52</v>
          </cell>
          <cell r="H59">
            <v>0.01</v>
          </cell>
          <cell r="I59">
            <v>9</v>
          </cell>
          <cell r="J59">
            <v>8257.68</v>
          </cell>
          <cell r="K59">
            <v>0.08</v>
          </cell>
          <cell r="L59">
            <v>0</v>
          </cell>
          <cell r="M59">
            <v>0</v>
          </cell>
          <cell r="N59">
            <v>0</v>
          </cell>
          <cell r="O59">
            <v>7</v>
          </cell>
          <cell r="P59">
            <v>6350.4</v>
          </cell>
          <cell r="Q59">
            <v>0.06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17</v>
          </cell>
          <cell r="AT59">
            <v>15525.6</v>
          </cell>
          <cell r="AU59">
            <v>0.15</v>
          </cell>
        </row>
        <row r="60">
          <cell r="C60" t="str">
            <v>Sub-total</v>
          </cell>
          <cell r="F60">
            <v>18</v>
          </cell>
          <cell r="G60">
            <v>16515.36</v>
          </cell>
          <cell r="H60">
            <v>0.16</v>
          </cell>
          <cell r="I60">
            <v>21</v>
          </cell>
          <cell r="J60">
            <v>19267.919999999998</v>
          </cell>
          <cell r="K60">
            <v>0.18</v>
          </cell>
          <cell r="L60">
            <v>2</v>
          </cell>
          <cell r="M60">
            <v>1835.04</v>
          </cell>
          <cell r="N60">
            <v>0.02</v>
          </cell>
          <cell r="O60">
            <v>25</v>
          </cell>
          <cell r="P60">
            <v>22680</v>
          </cell>
          <cell r="Q60">
            <v>0.21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25</v>
          </cell>
          <cell r="AK60">
            <v>18923</v>
          </cell>
          <cell r="AL60">
            <v>0.21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91</v>
          </cell>
          <cell r="AT60">
            <v>79221.320000000007</v>
          </cell>
          <cell r="AU60">
            <v>0.78</v>
          </cell>
        </row>
        <row r="61">
          <cell r="C61" t="str">
            <v>Total Cake</v>
          </cell>
          <cell r="F61">
            <v>1060</v>
          </cell>
          <cell r="G61">
            <v>1217721.6599999999</v>
          </cell>
          <cell r="H61">
            <v>12.67</v>
          </cell>
          <cell r="I61">
            <v>919</v>
          </cell>
          <cell r="J61">
            <v>1060256.1599999999</v>
          </cell>
          <cell r="K61">
            <v>10.95</v>
          </cell>
          <cell r="L61">
            <v>725</v>
          </cell>
          <cell r="M61">
            <v>826729.86</v>
          </cell>
          <cell r="N61">
            <v>8.6999999999999993</v>
          </cell>
          <cell r="O61">
            <v>1225.78</v>
          </cell>
          <cell r="P61">
            <v>1275505.28</v>
          </cell>
          <cell r="Q61">
            <v>14.63</v>
          </cell>
          <cell r="R61">
            <v>158.37</v>
          </cell>
          <cell r="S61">
            <v>163703.51</v>
          </cell>
          <cell r="T61">
            <v>1.9</v>
          </cell>
          <cell r="U61">
            <v>277</v>
          </cell>
          <cell r="V61">
            <v>287044.03000000003</v>
          </cell>
          <cell r="W61">
            <v>3.32</v>
          </cell>
          <cell r="X61">
            <v>1001.85</v>
          </cell>
          <cell r="Y61">
            <v>1040126.68</v>
          </cell>
          <cell r="Z61">
            <v>12.03</v>
          </cell>
          <cell r="AA61">
            <v>63</v>
          </cell>
          <cell r="AB61">
            <v>64936.62</v>
          </cell>
          <cell r="AC61">
            <v>0.76</v>
          </cell>
          <cell r="AD61">
            <v>200</v>
          </cell>
          <cell r="AE61">
            <v>204072</v>
          </cell>
          <cell r="AF61">
            <v>2.4</v>
          </cell>
          <cell r="AG61">
            <v>137</v>
          </cell>
          <cell r="AH61">
            <v>134725.79999999999</v>
          </cell>
          <cell r="AI61">
            <v>1.64</v>
          </cell>
          <cell r="AJ61">
            <v>150</v>
          </cell>
          <cell r="AK61">
            <v>141848</v>
          </cell>
          <cell r="AL61">
            <v>1.71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5917</v>
          </cell>
          <cell r="AT61">
            <v>6416669.5999999996</v>
          </cell>
          <cell r="AU61">
            <v>70.709999999999994</v>
          </cell>
        </row>
        <row r="62">
          <cell r="A62" t="str">
            <v>21017601</v>
          </cell>
          <cell r="B62" t="str">
            <v>007</v>
          </cell>
          <cell r="C62" t="str">
            <v>HALF-HALF CHOC/VAN TWINPK</v>
          </cell>
          <cell r="D62">
            <v>4.8</v>
          </cell>
          <cell r="E62">
            <v>160</v>
          </cell>
          <cell r="F62">
            <v>41</v>
          </cell>
          <cell r="G62">
            <v>30090.720000000001</v>
          </cell>
          <cell r="H62">
            <v>0.2</v>
          </cell>
          <cell r="I62">
            <v>38</v>
          </cell>
          <cell r="J62">
            <v>27888.959999999999</v>
          </cell>
          <cell r="K62">
            <v>0.18</v>
          </cell>
          <cell r="L62">
            <v>0</v>
          </cell>
          <cell r="M62">
            <v>0</v>
          </cell>
          <cell r="N62">
            <v>0</v>
          </cell>
          <cell r="O62">
            <v>30</v>
          </cell>
          <cell r="P62">
            <v>21772.799999999999</v>
          </cell>
          <cell r="Q62">
            <v>0.14000000000000001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109</v>
          </cell>
          <cell r="AT62">
            <v>79752.479999999996</v>
          </cell>
          <cell r="AU62">
            <v>0.52</v>
          </cell>
        </row>
        <row r="63">
          <cell r="A63" t="str">
            <v>21017701</v>
          </cell>
          <cell r="B63" t="str">
            <v>007</v>
          </cell>
          <cell r="C63" t="str">
            <v>HALF HALF CHOC/VAN FMLYPK</v>
          </cell>
          <cell r="D63">
            <v>3</v>
          </cell>
          <cell r="E63">
            <v>40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</row>
        <row r="64">
          <cell r="A64" t="str">
            <v>21027601</v>
          </cell>
          <cell r="B64" t="str">
            <v>007</v>
          </cell>
          <cell r="C64" t="str">
            <v>HALF HALF OR/CHOC  TWINPK</v>
          </cell>
          <cell r="D64">
            <v>4.8</v>
          </cell>
          <cell r="E64">
            <v>160</v>
          </cell>
          <cell r="F64">
            <v>13</v>
          </cell>
          <cell r="G64">
            <v>9540.9599999999991</v>
          </cell>
          <cell r="H64">
            <v>0.06</v>
          </cell>
          <cell r="I64">
            <v>29</v>
          </cell>
          <cell r="J64">
            <v>21283.68</v>
          </cell>
          <cell r="K64">
            <v>0.14000000000000001</v>
          </cell>
          <cell r="L64">
            <v>0</v>
          </cell>
          <cell r="M64">
            <v>0</v>
          </cell>
          <cell r="N64">
            <v>0</v>
          </cell>
          <cell r="O64">
            <v>22</v>
          </cell>
          <cell r="P64">
            <v>15966.72</v>
          </cell>
          <cell r="Q64">
            <v>0.11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64</v>
          </cell>
          <cell r="AT64">
            <v>46791.360000000001</v>
          </cell>
          <cell r="AU64">
            <v>0.31</v>
          </cell>
        </row>
        <row r="65">
          <cell r="A65" t="str">
            <v>21027701</v>
          </cell>
          <cell r="B65" t="str">
            <v>007</v>
          </cell>
          <cell r="C65" t="str">
            <v>HALF HALF OR/CHOC  FMLYPK</v>
          </cell>
          <cell r="D65">
            <v>3</v>
          </cell>
          <cell r="E65">
            <v>40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</row>
        <row r="66">
          <cell r="C66" t="str">
            <v>Total Half-Half</v>
          </cell>
          <cell r="F66">
            <v>54</v>
          </cell>
          <cell r="G66">
            <v>39631.68</v>
          </cell>
          <cell r="H66">
            <v>0.26</v>
          </cell>
          <cell r="I66">
            <v>67</v>
          </cell>
          <cell r="J66">
            <v>49172.639999999999</v>
          </cell>
          <cell r="K66">
            <v>0.32</v>
          </cell>
          <cell r="L66">
            <v>0</v>
          </cell>
          <cell r="M66">
            <v>0</v>
          </cell>
          <cell r="N66">
            <v>0</v>
          </cell>
          <cell r="O66">
            <v>52</v>
          </cell>
          <cell r="P66">
            <v>37739.519999999997</v>
          </cell>
          <cell r="Q66">
            <v>0.25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173</v>
          </cell>
          <cell r="AT66">
            <v>126543.84</v>
          </cell>
          <cell r="AU66">
            <v>0.83</v>
          </cell>
        </row>
        <row r="67">
          <cell r="A67" t="str">
            <v>22017801</v>
          </cell>
          <cell r="B67" t="str">
            <v>008</v>
          </cell>
          <cell r="C67" t="str">
            <v>CUP CAKE TWIN BUTTER</v>
          </cell>
          <cell r="D67">
            <v>4.8</v>
          </cell>
          <cell r="E67">
            <v>160</v>
          </cell>
          <cell r="F67">
            <v>167</v>
          </cell>
          <cell r="G67">
            <v>122564.64</v>
          </cell>
          <cell r="H67">
            <v>0.8</v>
          </cell>
          <cell r="I67">
            <v>35</v>
          </cell>
          <cell r="J67">
            <v>25687.200000000001</v>
          </cell>
          <cell r="K67">
            <v>0.17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15</v>
          </cell>
          <cell r="S67">
            <v>10814.4</v>
          </cell>
          <cell r="T67">
            <v>7.0000000000000007E-2</v>
          </cell>
          <cell r="U67">
            <v>17</v>
          </cell>
          <cell r="V67">
            <v>12256.32</v>
          </cell>
          <cell r="W67">
            <v>0.08</v>
          </cell>
          <cell r="X67">
            <v>43</v>
          </cell>
          <cell r="Y67">
            <v>31909.439999999999</v>
          </cell>
          <cell r="Z67">
            <v>0.21</v>
          </cell>
          <cell r="AA67">
            <v>3</v>
          </cell>
          <cell r="AB67">
            <v>2151.36</v>
          </cell>
          <cell r="AC67">
            <v>0.01</v>
          </cell>
          <cell r="AD67">
            <v>5</v>
          </cell>
          <cell r="AE67">
            <v>3710.4</v>
          </cell>
          <cell r="AF67">
            <v>0.02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285</v>
          </cell>
          <cell r="AT67">
            <v>209093.76000000001</v>
          </cell>
          <cell r="AU67">
            <v>1.36</v>
          </cell>
        </row>
        <row r="68">
          <cell r="A68" t="str">
            <v>22027801</v>
          </cell>
          <cell r="B68" t="str">
            <v>008</v>
          </cell>
          <cell r="C68" t="str">
            <v>CUP CAKE TWIN ORANGE</v>
          </cell>
          <cell r="D68">
            <v>4.8</v>
          </cell>
          <cell r="E68">
            <v>160</v>
          </cell>
          <cell r="F68">
            <v>148</v>
          </cell>
          <cell r="G68">
            <v>108620.16</v>
          </cell>
          <cell r="H68">
            <v>0.71</v>
          </cell>
          <cell r="I68">
            <v>39</v>
          </cell>
          <cell r="J68">
            <v>28622.880000000001</v>
          </cell>
          <cell r="K68">
            <v>0.19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10</v>
          </cell>
          <cell r="S68">
            <v>7209.6</v>
          </cell>
          <cell r="T68">
            <v>0.05</v>
          </cell>
          <cell r="U68">
            <v>14</v>
          </cell>
          <cell r="V68">
            <v>10093.44</v>
          </cell>
          <cell r="W68">
            <v>7.0000000000000007E-2</v>
          </cell>
          <cell r="X68">
            <v>41</v>
          </cell>
          <cell r="Y68">
            <v>30425.279999999999</v>
          </cell>
          <cell r="Z68">
            <v>0.2</v>
          </cell>
          <cell r="AA68">
            <v>3</v>
          </cell>
          <cell r="AB68">
            <v>2151.36</v>
          </cell>
          <cell r="AC68">
            <v>0.01</v>
          </cell>
          <cell r="AD68">
            <v>5</v>
          </cell>
          <cell r="AE68">
            <v>3710.4</v>
          </cell>
          <cell r="AF68">
            <v>0.02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260</v>
          </cell>
          <cell r="AT68">
            <v>190833.12</v>
          </cell>
          <cell r="AU68">
            <v>1.25</v>
          </cell>
        </row>
        <row r="69">
          <cell r="A69" t="str">
            <v>22037801</v>
          </cell>
          <cell r="B69" t="str">
            <v>008</v>
          </cell>
          <cell r="C69" t="str">
            <v>CUP CAKE TWIN PINEAPPLE</v>
          </cell>
          <cell r="D69">
            <v>4.8</v>
          </cell>
          <cell r="E69">
            <v>160</v>
          </cell>
          <cell r="F69">
            <v>162</v>
          </cell>
          <cell r="G69">
            <v>118895.03999999999</v>
          </cell>
          <cell r="H69">
            <v>0.78</v>
          </cell>
          <cell r="I69">
            <v>21</v>
          </cell>
          <cell r="J69">
            <v>15412.32</v>
          </cell>
          <cell r="K69">
            <v>0.1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15</v>
          </cell>
          <cell r="S69">
            <v>10814.4</v>
          </cell>
          <cell r="T69">
            <v>7.0000000000000007E-2</v>
          </cell>
          <cell r="U69">
            <v>13</v>
          </cell>
          <cell r="V69">
            <v>9372.48</v>
          </cell>
          <cell r="W69">
            <v>0.06</v>
          </cell>
          <cell r="X69">
            <v>41</v>
          </cell>
          <cell r="Y69">
            <v>30425.279999999999</v>
          </cell>
          <cell r="Z69">
            <v>0.2</v>
          </cell>
          <cell r="AA69">
            <v>3</v>
          </cell>
          <cell r="AB69">
            <v>2151.36</v>
          </cell>
          <cell r="AC69">
            <v>0.01</v>
          </cell>
          <cell r="AD69">
            <v>5</v>
          </cell>
          <cell r="AE69">
            <v>3710.4</v>
          </cell>
          <cell r="AF69">
            <v>0.02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260</v>
          </cell>
          <cell r="AT69">
            <v>190781.28</v>
          </cell>
          <cell r="AU69">
            <v>1.24</v>
          </cell>
        </row>
        <row r="70">
          <cell r="A70" t="str">
            <v>22047901</v>
          </cell>
          <cell r="B70" t="str">
            <v>008</v>
          </cell>
          <cell r="C70" t="str">
            <v>CUP CAKE FAMILY BUTTER</v>
          </cell>
          <cell r="D70">
            <v>3</v>
          </cell>
          <cell r="E70">
            <v>40</v>
          </cell>
          <cell r="F70">
            <v>45</v>
          </cell>
          <cell r="G70">
            <v>16515</v>
          </cell>
          <cell r="H70">
            <v>0.14000000000000001</v>
          </cell>
          <cell r="I70">
            <v>2</v>
          </cell>
          <cell r="J70">
            <v>734</v>
          </cell>
          <cell r="K70">
            <v>0.01</v>
          </cell>
          <cell r="L70">
            <v>30</v>
          </cell>
          <cell r="M70">
            <v>11010</v>
          </cell>
          <cell r="N70">
            <v>0.09</v>
          </cell>
          <cell r="O70">
            <v>0</v>
          </cell>
          <cell r="P70">
            <v>0</v>
          </cell>
          <cell r="Q70">
            <v>0</v>
          </cell>
          <cell r="R70">
            <v>20</v>
          </cell>
          <cell r="S70">
            <v>7208.8</v>
          </cell>
          <cell r="T70">
            <v>0.06</v>
          </cell>
          <cell r="U70">
            <v>20</v>
          </cell>
          <cell r="V70">
            <v>7208.8</v>
          </cell>
          <cell r="W70">
            <v>0.06</v>
          </cell>
          <cell r="X70">
            <v>19</v>
          </cell>
          <cell r="Y70">
            <v>7049.76</v>
          </cell>
          <cell r="Z70">
            <v>0.06</v>
          </cell>
          <cell r="AA70">
            <v>0</v>
          </cell>
          <cell r="AB70">
            <v>0</v>
          </cell>
          <cell r="AC70">
            <v>0</v>
          </cell>
          <cell r="AD70">
            <v>6</v>
          </cell>
          <cell r="AE70">
            <v>2226.2399999999998</v>
          </cell>
          <cell r="AF70">
            <v>0.02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142</v>
          </cell>
          <cell r="AT70">
            <v>51952.6</v>
          </cell>
          <cell r="AU70">
            <v>0.44</v>
          </cell>
        </row>
        <row r="71">
          <cell r="A71" t="str">
            <v>22057901</v>
          </cell>
          <cell r="B71" t="str">
            <v>008</v>
          </cell>
          <cell r="C71" t="str">
            <v>CUP CAKE FAMILY ORANGE</v>
          </cell>
          <cell r="D71">
            <v>3</v>
          </cell>
          <cell r="E71">
            <v>40</v>
          </cell>
          <cell r="F71">
            <v>45</v>
          </cell>
          <cell r="G71">
            <v>16515</v>
          </cell>
          <cell r="H71">
            <v>0.14000000000000001</v>
          </cell>
          <cell r="I71">
            <v>12</v>
          </cell>
          <cell r="J71">
            <v>4404</v>
          </cell>
          <cell r="K71">
            <v>0.04</v>
          </cell>
          <cell r="L71">
            <v>25</v>
          </cell>
          <cell r="M71">
            <v>9175</v>
          </cell>
          <cell r="N71">
            <v>0.08</v>
          </cell>
          <cell r="O71">
            <v>0</v>
          </cell>
          <cell r="P71">
            <v>0</v>
          </cell>
          <cell r="Q71">
            <v>0</v>
          </cell>
          <cell r="R71">
            <v>15</v>
          </cell>
          <cell r="S71">
            <v>5406.6</v>
          </cell>
          <cell r="T71">
            <v>0.05</v>
          </cell>
          <cell r="U71">
            <v>16</v>
          </cell>
          <cell r="V71">
            <v>5767.04</v>
          </cell>
          <cell r="W71">
            <v>0.05</v>
          </cell>
          <cell r="X71">
            <v>19</v>
          </cell>
          <cell r="Y71">
            <v>7049.76</v>
          </cell>
          <cell r="Z71">
            <v>0.06</v>
          </cell>
          <cell r="AA71">
            <v>0</v>
          </cell>
          <cell r="AB71">
            <v>0</v>
          </cell>
          <cell r="AC71">
            <v>0</v>
          </cell>
          <cell r="AD71">
            <v>6</v>
          </cell>
          <cell r="AE71">
            <v>2226.2399999999998</v>
          </cell>
          <cell r="AF71">
            <v>0.02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138</v>
          </cell>
          <cell r="AT71">
            <v>50543.64</v>
          </cell>
          <cell r="AU71">
            <v>0.44</v>
          </cell>
        </row>
        <row r="72">
          <cell r="A72" t="str">
            <v>22067901</v>
          </cell>
          <cell r="B72" t="str">
            <v>008</v>
          </cell>
          <cell r="C72" t="str">
            <v>CUP CAKE FAMILY PINEAPPLE</v>
          </cell>
          <cell r="D72">
            <v>3</v>
          </cell>
          <cell r="E72">
            <v>40</v>
          </cell>
          <cell r="F72">
            <v>40</v>
          </cell>
          <cell r="G72">
            <v>14680</v>
          </cell>
          <cell r="H72">
            <v>0.12</v>
          </cell>
          <cell r="I72">
            <v>10</v>
          </cell>
          <cell r="J72">
            <v>3670</v>
          </cell>
          <cell r="K72">
            <v>0.03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20</v>
          </cell>
          <cell r="S72">
            <v>7208.8</v>
          </cell>
          <cell r="T72">
            <v>0.06</v>
          </cell>
          <cell r="U72">
            <v>18</v>
          </cell>
          <cell r="V72">
            <v>6487.92</v>
          </cell>
          <cell r="W72">
            <v>0.05</v>
          </cell>
          <cell r="X72">
            <v>19</v>
          </cell>
          <cell r="Y72">
            <v>7049.76</v>
          </cell>
          <cell r="Z72">
            <v>0.06</v>
          </cell>
          <cell r="AA72">
            <v>0</v>
          </cell>
          <cell r="AB72">
            <v>0</v>
          </cell>
          <cell r="AC72">
            <v>0</v>
          </cell>
          <cell r="AD72">
            <v>6</v>
          </cell>
          <cell r="AE72">
            <v>2226.2399999999998</v>
          </cell>
          <cell r="AF72">
            <v>0.02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113</v>
          </cell>
          <cell r="AT72">
            <v>41322.720000000001</v>
          </cell>
          <cell r="AU72">
            <v>0.34</v>
          </cell>
        </row>
        <row r="73">
          <cell r="C73" t="str">
            <v>Total Cup Cake</v>
          </cell>
          <cell r="F73">
            <v>607</v>
          </cell>
          <cell r="G73">
            <v>397789.84</v>
          </cell>
          <cell r="H73">
            <v>2.69</v>
          </cell>
          <cell r="I73">
            <v>119</v>
          </cell>
          <cell r="J73">
            <v>78530.399999999994</v>
          </cell>
          <cell r="K73">
            <v>0.54</v>
          </cell>
          <cell r="L73">
            <v>55</v>
          </cell>
          <cell r="M73">
            <v>20185</v>
          </cell>
          <cell r="N73">
            <v>0.17</v>
          </cell>
          <cell r="O73">
            <v>0</v>
          </cell>
          <cell r="P73">
            <v>0</v>
          </cell>
          <cell r="Q73">
            <v>0</v>
          </cell>
          <cell r="R73">
            <v>95</v>
          </cell>
          <cell r="S73">
            <v>48662.6</v>
          </cell>
          <cell r="T73">
            <v>0.36</v>
          </cell>
          <cell r="U73">
            <v>98</v>
          </cell>
          <cell r="V73">
            <v>51186</v>
          </cell>
          <cell r="W73">
            <v>0.37</v>
          </cell>
          <cell r="X73">
            <v>182</v>
          </cell>
          <cell r="Y73">
            <v>113909.28</v>
          </cell>
          <cell r="Z73">
            <v>0.79</v>
          </cell>
          <cell r="AA73">
            <v>9</v>
          </cell>
          <cell r="AB73">
            <v>6454.08</v>
          </cell>
          <cell r="AC73">
            <v>0.03</v>
          </cell>
          <cell r="AD73">
            <v>33</v>
          </cell>
          <cell r="AE73">
            <v>17809.919999999998</v>
          </cell>
          <cell r="AF73">
            <v>0.12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1198</v>
          </cell>
          <cell r="AT73">
            <v>734527.12</v>
          </cell>
          <cell r="AU73">
            <v>5.07</v>
          </cell>
        </row>
        <row r="74">
          <cell r="A74" t="str">
            <v>41019101</v>
          </cell>
          <cell r="B74" t="str">
            <v>009</v>
          </cell>
          <cell r="C74" t="str">
            <v>FLAVOURED MILK-MANGO</v>
          </cell>
          <cell r="D74">
            <v>5.4</v>
          </cell>
          <cell r="E74">
            <v>27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</row>
        <row r="75">
          <cell r="A75" t="str">
            <v>41029101</v>
          </cell>
          <cell r="B75" t="str">
            <v>009</v>
          </cell>
          <cell r="C75" t="str">
            <v>FLAVOURED MILK-PINEAPPLE</v>
          </cell>
          <cell r="D75">
            <v>5.4</v>
          </cell>
          <cell r="E75">
            <v>27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</row>
        <row r="76">
          <cell r="A76" t="str">
            <v>41039101</v>
          </cell>
          <cell r="B76" t="str">
            <v>009</v>
          </cell>
          <cell r="C76" t="str">
            <v>FLAVOURED MILK-STRAWBERRY</v>
          </cell>
          <cell r="D76">
            <v>5.4</v>
          </cell>
          <cell r="E76">
            <v>27</v>
          </cell>
          <cell r="F76">
            <v>122</v>
          </cell>
          <cell r="G76">
            <v>23321.52</v>
          </cell>
          <cell r="H76">
            <v>0.66</v>
          </cell>
          <cell r="I76">
            <v>0</v>
          </cell>
          <cell r="J76">
            <v>0</v>
          </cell>
          <cell r="K76">
            <v>0</v>
          </cell>
          <cell r="L76">
            <v>57</v>
          </cell>
          <cell r="M76">
            <v>11187.72</v>
          </cell>
          <cell r="N76">
            <v>0.31</v>
          </cell>
          <cell r="O76">
            <v>49</v>
          </cell>
          <cell r="P76">
            <v>9499.14</v>
          </cell>
          <cell r="Q76">
            <v>0.26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53</v>
          </cell>
          <cell r="Y76">
            <v>10889.91</v>
          </cell>
          <cell r="Z76">
            <v>0.28999999999999998</v>
          </cell>
          <cell r="AA76">
            <v>13</v>
          </cell>
          <cell r="AB76">
            <v>2579.85</v>
          </cell>
          <cell r="AC76">
            <v>7.0000000000000007E-2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294</v>
          </cell>
          <cell r="AT76">
            <v>57478.14</v>
          </cell>
          <cell r="AU76">
            <v>1.59</v>
          </cell>
        </row>
        <row r="77">
          <cell r="A77" t="str">
            <v>41039201</v>
          </cell>
          <cell r="B77" t="str">
            <v>009</v>
          </cell>
          <cell r="C77" t="str">
            <v>F M - STRAWBERRY -1 LITRE</v>
          </cell>
          <cell r="D77">
            <v>12</v>
          </cell>
          <cell r="E77">
            <v>12</v>
          </cell>
          <cell r="F77">
            <v>12</v>
          </cell>
          <cell r="G77">
            <v>4586.3999999999996</v>
          </cell>
          <cell r="H77">
            <v>0.14000000000000001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12</v>
          </cell>
          <cell r="AT77">
            <v>4586.3999999999996</v>
          </cell>
          <cell r="AU77">
            <v>0.14000000000000001</v>
          </cell>
        </row>
        <row r="78">
          <cell r="A78" t="str">
            <v>41049101</v>
          </cell>
          <cell r="B78" t="str">
            <v>009</v>
          </cell>
          <cell r="C78" t="str">
            <v>FLAVOURED MILK-CHOCOLATE</v>
          </cell>
          <cell r="D78">
            <v>5.4</v>
          </cell>
          <cell r="E78">
            <v>27</v>
          </cell>
          <cell r="F78">
            <v>156</v>
          </cell>
          <cell r="G78">
            <v>29820.959999999999</v>
          </cell>
          <cell r="H78">
            <v>0.84</v>
          </cell>
          <cell r="I78">
            <v>30</v>
          </cell>
          <cell r="J78">
            <v>5734.8</v>
          </cell>
          <cell r="K78">
            <v>0.16</v>
          </cell>
          <cell r="L78">
            <v>79</v>
          </cell>
          <cell r="M78">
            <v>15276.6</v>
          </cell>
          <cell r="N78">
            <v>0.43</v>
          </cell>
          <cell r="O78">
            <v>99</v>
          </cell>
          <cell r="P78">
            <v>19192.14</v>
          </cell>
          <cell r="Q78">
            <v>0.53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133</v>
          </cell>
          <cell r="Y78">
            <v>26711.91</v>
          </cell>
          <cell r="Z78">
            <v>0.72</v>
          </cell>
          <cell r="AA78">
            <v>30</v>
          </cell>
          <cell r="AB78">
            <v>5953.5</v>
          </cell>
          <cell r="AC78">
            <v>0.16</v>
          </cell>
          <cell r="AD78">
            <v>0</v>
          </cell>
          <cell r="AE78">
            <v>0</v>
          </cell>
          <cell r="AF78">
            <v>0</v>
          </cell>
          <cell r="AG78">
            <v>3</v>
          </cell>
          <cell r="AH78">
            <v>525.72</v>
          </cell>
          <cell r="AI78">
            <v>0.02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530</v>
          </cell>
          <cell r="AT78">
            <v>103215.63</v>
          </cell>
          <cell r="AU78">
            <v>2.86</v>
          </cell>
        </row>
        <row r="79">
          <cell r="A79" t="str">
            <v>41049201</v>
          </cell>
          <cell r="B79" t="str">
            <v>009</v>
          </cell>
          <cell r="C79" t="str">
            <v>F M - CHOCOLATE - 1 LITRE</v>
          </cell>
          <cell r="D79">
            <v>12</v>
          </cell>
          <cell r="E79">
            <v>12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</row>
        <row r="80">
          <cell r="A80" t="str">
            <v>41059101</v>
          </cell>
          <cell r="B80" t="str">
            <v>009</v>
          </cell>
          <cell r="C80" t="str">
            <v>FLAVOURED MILK-ELAICHI</v>
          </cell>
          <cell r="D80">
            <v>5.4</v>
          </cell>
          <cell r="E80">
            <v>27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</row>
        <row r="81">
          <cell r="A81" t="str">
            <v>41069101</v>
          </cell>
          <cell r="B81" t="str">
            <v>009</v>
          </cell>
          <cell r="C81" t="str">
            <v>COLD COFFEE</v>
          </cell>
          <cell r="D81">
            <v>5.4</v>
          </cell>
          <cell r="E81">
            <v>27</v>
          </cell>
          <cell r="F81">
            <v>81</v>
          </cell>
          <cell r="G81">
            <v>18567.63</v>
          </cell>
          <cell r="H81">
            <v>0.44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81</v>
          </cell>
          <cell r="AT81">
            <v>18567.63</v>
          </cell>
          <cell r="AU81">
            <v>0.44</v>
          </cell>
        </row>
        <row r="82">
          <cell r="A82" t="str">
            <v>41079101</v>
          </cell>
          <cell r="B82" t="str">
            <v>009</v>
          </cell>
          <cell r="C82" t="str">
            <v>SWEET LASSI</v>
          </cell>
          <cell r="D82">
            <v>5.4</v>
          </cell>
          <cell r="E82">
            <v>27</v>
          </cell>
          <cell r="F82">
            <v>81</v>
          </cell>
          <cell r="G82">
            <v>15483.96</v>
          </cell>
          <cell r="H82">
            <v>0.44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81</v>
          </cell>
          <cell r="AT82">
            <v>15483.96</v>
          </cell>
          <cell r="AU82">
            <v>0.44</v>
          </cell>
        </row>
        <row r="83">
          <cell r="C83" t="str">
            <v>Total Flavoured Milk/ Cold Cof. / Lassi</v>
          </cell>
          <cell r="F83">
            <v>452</v>
          </cell>
          <cell r="G83">
            <v>91780.47</v>
          </cell>
          <cell r="H83">
            <v>2.52</v>
          </cell>
          <cell r="I83">
            <v>30</v>
          </cell>
          <cell r="J83">
            <v>5734.8</v>
          </cell>
          <cell r="K83">
            <v>0.16</v>
          </cell>
          <cell r="L83">
            <v>136</v>
          </cell>
          <cell r="M83">
            <v>26464.32</v>
          </cell>
          <cell r="N83">
            <v>0.74</v>
          </cell>
          <cell r="O83">
            <v>148</v>
          </cell>
          <cell r="P83">
            <v>28691.279999999999</v>
          </cell>
          <cell r="Q83">
            <v>0.79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186</v>
          </cell>
          <cell r="Y83">
            <v>37601.82</v>
          </cell>
          <cell r="Z83">
            <v>1.01</v>
          </cell>
          <cell r="AA83">
            <v>43</v>
          </cell>
          <cell r="AB83">
            <v>8533.35</v>
          </cell>
          <cell r="AC83">
            <v>0.23</v>
          </cell>
          <cell r="AD83">
            <v>0</v>
          </cell>
          <cell r="AE83">
            <v>0</v>
          </cell>
          <cell r="AF83">
            <v>0</v>
          </cell>
          <cell r="AG83">
            <v>3</v>
          </cell>
          <cell r="AH83">
            <v>525.72</v>
          </cell>
          <cell r="AI83">
            <v>0.02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998</v>
          </cell>
          <cell r="AT83">
            <v>199331.76</v>
          </cell>
          <cell r="AU83">
            <v>5.47</v>
          </cell>
        </row>
        <row r="84">
          <cell r="A84" t="str">
            <v>50016001</v>
          </cell>
          <cell r="B84" t="str">
            <v>011</v>
          </cell>
          <cell r="C84" t="str">
            <v>GHEE TIN 1 LTR. - BUF</v>
          </cell>
          <cell r="D84">
            <v>18</v>
          </cell>
          <cell r="E84">
            <v>18</v>
          </cell>
          <cell r="F84">
            <v>9</v>
          </cell>
          <cell r="G84">
            <v>19564.740000000002</v>
          </cell>
          <cell r="H84">
            <v>0.16</v>
          </cell>
          <cell r="I84">
            <v>5</v>
          </cell>
          <cell r="J84">
            <v>10869.3</v>
          </cell>
          <cell r="K84">
            <v>0.09</v>
          </cell>
          <cell r="L84">
            <v>0.89</v>
          </cell>
          <cell r="M84">
            <v>1932.32</v>
          </cell>
          <cell r="N84">
            <v>0.02</v>
          </cell>
          <cell r="O84">
            <v>277</v>
          </cell>
          <cell r="P84">
            <v>571545.18000000005</v>
          </cell>
          <cell r="Q84">
            <v>4.99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61</v>
          </cell>
          <cell r="Y84">
            <v>131639.22</v>
          </cell>
          <cell r="Z84">
            <v>1.1000000000000001</v>
          </cell>
          <cell r="AA84">
            <v>10</v>
          </cell>
          <cell r="AB84">
            <v>20851.2</v>
          </cell>
          <cell r="AC84">
            <v>0.18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362.89</v>
          </cell>
          <cell r="AT84">
            <v>756401.96</v>
          </cell>
          <cell r="AU84">
            <v>6.54</v>
          </cell>
        </row>
        <row r="85">
          <cell r="A85" t="str">
            <v>50026101</v>
          </cell>
          <cell r="B85" t="str">
            <v>011</v>
          </cell>
          <cell r="C85" t="str">
            <v>GHEE CEKA PACK 1 LTR -BUF</v>
          </cell>
          <cell r="D85">
            <v>18</v>
          </cell>
          <cell r="E85">
            <v>18</v>
          </cell>
          <cell r="F85">
            <v>18</v>
          </cell>
          <cell r="G85">
            <v>38261.160000000003</v>
          </cell>
          <cell r="H85">
            <v>0.32</v>
          </cell>
          <cell r="I85">
            <v>0.39</v>
          </cell>
          <cell r="J85">
            <v>826.63</v>
          </cell>
          <cell r="K85">
            <v>0.01</v>
          </cell>
          <cell r="L85">
            <v>1</v>
          </cell>
          <cell r="M85">
            <v>2125.62</v>
          </cell>
          <cell r="N85">
            <v>0.02</v>
          </cell>
          <cell r="O85">
            <v>52</v>
          </cell>
          <cell r="P85">
            <v>104850.72</v>
          </cell>
          <cell r="Q85">
            <v>0.94</v>
          </cell>
          <cell r="R85">
            <v>3</v>
          </cell>
          <cell r="S85">
            <v>6148.98</v>
          </cell>
          <cell r="T85">
            <v>0.05</v>
          </cell>
          <cell r="U85">
            <v>0</v>
          </cell>
          <cell r="V85">
            <v>0</v>
          </cell>
          <cell r="W85">
            <v>0</v>
          </cell>
          <cell r="X85">
            <v>5</v>
          </cell>
          <cell r="Y85">
            <v>10549.8</v>
          </cell>
          <cell r="Z85">
            <v>0.09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79.39</v>
          </cell>
          <cell r="AT85">
            <v>162762.91</v>
          </cell>
          <cell r="AU85">
            <v>1.43</v>
          </cell>
        </row>
        <row r="86">
          <cell r="A86" t="str">
            <v>50036201</v>
          </cell>
          <cell r="B86" t="str">
            <v>011</v>
          </cell>
          <cell r="C86" t="str">
            <v>GHEE CEKA PACK 1/2LTR-BUF</v>
          </cell>
          <cell r="D86">
            <v>18</v>
          </cell>
          <cell r="E86">
            <v>36</v>
          </cell>
          <cell r="F86">
            <v>23</v>
          </cell>
          <cell r="G86">
            <v>50375.519999999997</v>
          </cell>
          <cell r="H86">
            <v>0.41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210</v>
          </cell>
          <cell r="P86">
            <v>436590</v>
          </cell>
          <cell r="Q86">
            <v>3.78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17</v>
          </cell>
          <cell r="Y86">
            <v>36958.68</v>
          </cell>
          <cell r="Z86">
            <v>0.31</v>
          </cell>
          <cell r="AA86">
            <v>3</v>
          </cell>
          <cell r="AB86">
            <v>6301.8</v>
          </cell>
          <cell r="AC86">
            <v>0.05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253</v>
          </cell>
          <cell r="AT86">
            <v>530226</v>
          </cell>
          <cell r="AU86">
            <v>4.55</v>
          </cell>
        </row>
        <row r="87">
          <cell r="A87" t="str">
            <v>50046301</v>
          </cell>
          <cell r="B87" t="str">
            <v>011</v>
          </cell>
          <cell r="C87" t="str">
            <v>GHEE POUCH 1 LTR. - BUF</v>
          </cell>
          <cell r="D87">
            <v>18</v>
          </cell>
          <cell r="E87">
            <v>18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</row>
        <row r="88">
          <cell r="C88" t="str">
            <v>Sub-total - Mixed</v>
          </cell>
          <cell r="F88">
            <v>50</v>
          </cell>
          <cell r="G88">
            <v>108201.42</v>
          </cell>
          <cell r="H88">
            <v>0.89</v>
          </cell>
          <cell r="I88">
            <v>5.39</v>
          </cell>
          <cell r="J88">
            <v>11695.93</v>
          </cell>
          <cell r="K88">
            <v>0.1</v>
          </cell>
          <cell r="L88">
            <v>1.89</v>
          </cell>
          <cell r="M88">
            <v>4057.94</v>
          </cell>
          <cell r="N88">
            <v>0.04</v>
          </cell>
          <cell r="O88">
            <v>539</v>
          </cell>
          <cell r="P88">
            <v>1112985.8999999999</v>
          </cell>
          <cell r="Q88">
            <v>9.7100000000000009</v>
          </cell>
          <cell r="R88">
            <v>3</v>
          </cell>
          <cell r="S88">
            <v>6148.98</v>
          </cell>
          <cell r="T88">
            <v>0.05</v>
          </cell>
          <cell r="U88">
            <v>0</v>
          </cell>
          <cell r="V88">
            <v>0</v>
          </cell>
          <cell r="W88">
            <v>0</v>
          </cell>
          <cell r="X88">
            <v>83</v>
          </cell>
          <cell r="Y88">
            <v>179147.7</v>
          </cell>
          <cell r="Z88">
            <v>1.5</v>
          </cell>
          <cell r="AA88">
            <v>13</v>
          </cell>
          <cell r="AB88">
            <v>27153</v>
          </cell>
          <cell r="AC88">
            <v>0.23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695.28</v>
          </cell>
          <cell r="AT88">
            <v>1449390.87</v>
          </cell>
          <cell r="AU88">
            <v>12.52</v>
          </cell>
        </row>
        <row r="89">
          <cell r="A89" t="str">
            <v>50066001</v>
          </cell>
          <cell r="B89" t="str">
            <v>012</v>
          </cell>
          <cell r="C89" t="str">
            <v>GHEE 1 LTR TIN - COW</v>
          </cell>
          <cell r="D89">
            <v>18</v>
          </cell>
          <cell r="E89">
            <v>18</v>
          </cell>
          <cell r="F89">
            <v>32</v>
          </cell>
          <cell r="G89">
            <v>68463.360000000001</v>
          </cell>
          <cell r="H89">
            <v>0.57999999999999996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32</v>
          </cell>
          <cell r="AT89">
            <v>68463.360000000001</v>
          </cell>
          <cell r="AU89">
            <v>0.57999999999999996</v>
          </cell>
        </row>
        <row r="90">
          <cell r="A90" t="str">
            <v>50067101</v>
          </cell>
          <cell r="B90" t="str">
            <v>012</v>
          </cell>
          <cell r="C90" t="str">
            <v>GHEE COW 200ML CEKA</v>
          </cell>
          <cell r="D90">
            <v>12</v>
          </cell>
          <cell r="E90">
            <v>60</v>
          </cell>
          <cell r="F90">
            <v>86</v>
          </cell>
          <cell r="G90">
            <v>128226</v>
          </cell>
          <cell r="H90">
            <v>1.03</v>
          </cell>
          <cell r="I90">
            <v>36</v>
          </cell>
          <cell r="J90">
            <v>53676</v>
          </cell>
          <cell r="K90">
            <v>0.43</v>
          </cell>
          <cell r="L90">
            <v>15</v>
          </cell>
          <cell r="M90">
            <v>22365</v>
          </cell>
          <cell r="N90">
            <v>0.18</v>
          </cell>
          <cell r="O90">
            <v>0</v>
          </cell>
          <cell r="P90">
            <v>0</v>
          </cell>
          <cell r="Q90">
            <v>0</v>
          </cell>
          <cell r="R90">
            <v>34.97</v>
          </cell>
          <cell r="S90">
            <v>50268.08</v>
          </cell>
          <cell r="T90">
            <v>0.42</v>
          </cell>
          <cell r="U90">
            <v>26</v>
          </cell>
          <cell r="V90">
            <v>37377.599999999999</v>
          </cell>
          <cell r="W90">
            <v>0.31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197.97</v>
          </cell>
          <cell r="AT90">
            <v>291912.68</v>
          </cell>
          <cell r="AU90">
            <v>2.37</v>
          </cell>
        </row>
        <row r="91">
          <cell r="A91" t="str">
            <v>50076101</v>
          </cell>
          <cell r="B91" t="str">
            <v>012</v>
          </cell>
          <cell r="C91" t="str">
            <v>GHEE 1 LTR CEKA PACK -COW</v>
          </cell>
          <cell r="D91">
            <v>18</v>
          </cell>
          <cell r="E91">
            <v>18</v>
          </cell>
          <cell r="F91">
            <v>38</v>
          </cell>
          <cell r="G91">
            <v>78386.399999999994</v>
          </cell>
          <cell r="H91">
            <v>0.68</v>
          </cell>
          <cell r="I91">
            <v>3</v>
          </cell>
          <cell r="J91">
            <v>6188.4</v>
          </cell>
          <cell r="K91">
            <v>0.05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4</v>
          </cell>
          <cell r="Y91">
            <v>8190</v>
          </cell>
          <cell r="Z91">
            <v>7.0000000000000007E-2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45</v>
          </cell>
          <cell r="AT91">
            <v>92764.800000000003</v>
          </cell>
          <cell r="AU91">
            <v>0.8</v>
          </cell>
        </row>
        <row r="92">
          <cell r="A92" t="str">
            <v>50086201</v>
          </cell>
          <cell r="B92" t="str">
            <v>012</v>
          </cell>
          <cell r="C92" t="str">
            <v>GHEE 1/2LTR CEKA PACK-COW</v>
          </cell>
          <cell r="D92">
            <v>18</v>
          </cell>
          <cell r="E92">
            <v>36</v>
          </cell>
          <cell r="F92">
            <v>61</v>
          </cell>
          <cell r="G92">
            <v>130508.28</v>
          </cell>
          <cell r="H92">
            <v>1.1000000000000001</v>
          </cell>
          <cell r="I92">
            <v>6.56</v>
          </cell>
          <cell r="J92">
            <v>14025.48</v>
          </cell>
          <cell r="K92">
            <v>0.12</v>
          </cell>
          <cell r="L92">
            <v>0</v>
          </cell>
          <cell r="M92">
            <v>0</v>
          </cell>
          <cell r="N92">
            <v>0</v>
          </cell>
          <cell r="O92">
            <v>14</v>
          </cell>
          <cell r="P92">
            <v>29075.759999999998</v>
          </cell>
          <cell r="Q92">
            <v>0.25</v>
          </cell>
          <cell r="R92">
            <v>5</v>
          </cell>
          <cell r="S92">
            <v>10315.799999999999</v>
          </cell>
          <cell r="T92">
            <v>0.09</v>
          </cell>
          <cell r="U92">
            <v>0</v>
          </cell>
          <cell r="V92">
            <v>0</v>
          </cell>
          <cell r="W92">
            <v>0</v>
          </cell>
          <cell r="X92">
            <v>32.72</v>
          </cell>
          <cell r="Y92">
            <v>69490.22</v>
          </cell>
          <cell r="Z92">
            <v>0.59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119.28</v>
          </cell>
          <cell r="AT92">
            <v>253415.54</v>
          </cell>
          <cell r="AU92">
            <v>2.15</v>
          </cell>
        </row>
        <row r="93">
          <cell r="A93" t="str">
            <v>50096301</v>
          </cell>
          <cell r="B93" t="str">
            <v>012</v>
          </cell>
          <cell r="C93" t="str">
            <v>GHEE 1 LTR POUCH -COW</v>
          </cell>
          <cell r="D93">
            <v>18</v>
          </cell>
          <cell r="E93">
            <v>18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</row>
        <row r="94">
          <cell r="C94" t="str">
            <v>Sub-total - Cow</v>
          </cell>
          <cell r="F94">
            <v>217</v>
          </cell>
          <cell r="G94">
            <v>405584.04</v>
          </cell>
          <cell r="H94">
            <v>3.39</v>
          </cell>
          <cell r="I94">
            <v>45.56</v>
          </cell>
          <cell r="J94">
            <v>73889.88</v>
          </cell>
          <cell r="K94">
            <v>0.6</v>
          </cell>
          <cell r="L94">
            <v>15</v>
          </cell>
          <cell r="M94">
            <v>22365</v>
          </cell>
          <cell r="N94">
            <v>0.18</v>
          </cell>
          <cell r="O94">
            <v>14</v>
          </cell>
          <cell r="P94">
            <v>29075.759999999998</v>
          </cell>
          <cell r="Q94">
            <v>0.25</v>
          </cell>
          <cell r="R94">
            <v>39.97</v>
          </cell>
          <cell r="S94">
            <v>60583.88</v>
          </cell>
          <cell r="T94">
            <v>0.51</v>
          </cell>
          <cell r="U94">
            <v>26</v>
          </cell>
          <cell r="V94">
            <v>37377.599999999999</v>
          </cell>
          <cell r="W94">
            <v>0.31</v>
          </cell>
          <cell r="X94">
            <v>36.72</v>
          </cell>
          <cell r="Y94">
            <v>77680.22</v>
          </cell>
          <cell r="Z94">
            <v>0.66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394.25</v>
          </cell>
          <cell r="AT94">
            <v>706556.38</v>
          </cell>
          <cell r="AU94">
            <v>5.9</v>
          </cell>
        </row>
        <row r="95">
          <cell r="C95" t="str">
            <v>Total Ghee</v>
          </cell>
          <cell r="F95">
            <v>267</v>
          </cell>
          <cell r="G95">
            <v>513785.46</v>
          </cell>
          <cell r="H95">
            <v>4.28</v>
          </cell>
          <cell r="I95">
            <v>50.95</v>
          </cell>
          <cell r="J95">
            <v>85585.81</v>
          </cell>
          <cell r="K95">
            <v>0.7</v>
          </cell>
          <cell r="L95">
            <v>16.89</v>
          </cell>
          <cell r="M95">
            <v>26422.94</v>
          </cell>
          <cell r="N95">
            <v>0.22</v>
          </cell>
          <cell r="O95">
            <v>553</v>
          </cell>
          <cell r="P95">
            <v>1142061.6599999999</v>
          </cell>
          <cell r="Q95">
            <v>9.9600000000000009</v>
          </cell>
          <cell r="R95">
            <v>42.97</v>
          </cell>
          <cell r="S95">
            <v>66732.86</v>
          </cell>
          <cell r="T95">
            <v>0.56000000000000005</v>
          </cell>
          <cell r="U95">
            <v>26</v>
          </cell>
          <cell r="V95">
            <v>37377.599999999999</v>
          </cell>
          <cell r="W95">
            <v>0.31</v>
          </cell>
          <cell r="X95">
            <v>119.72</v>
          </cell>
          <cell r="Y95">
            <v>256827.92</v>
          </cell>
          <cell r="Z95">
            <v>2.16</v>
          </cell>
          <cell r="AA95">
            <v>13</v>
          </cell>
          <cell r="AB95">
            <v>27153</v>
          </cell>
          <cell r="AC95">
            <v>0.23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1089.53</v>
          </cell>
          <cell r="AT95">
            <v>2155947.25</v>
          </cell>
          <cell r="AU95">
            <v>18.420000000000002</v>
          </cell>
        </row>
        <row r="97">
          <cell r="A97" t="str">
            <v>40038601</v>
          </cell>
          <cell r="B97" t="str">
            <v>014</v>
          </cell>
          <cell r="C97" t="str">
            <v>BUTTER 500G</v>
          </cell>
          <cell r="D97">
            <v>15</v>
          </cell>
          <cell r="E97">
            <v>30</v>
          </cell>
          <cell r="F97">
            <v>151</v>
          </cell>
          <cell r="G97">
            <v>239410.5</v>
          </cell>
          <cell r="H97">
            <v>2.27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151</v>
          </cell>
          <cell r="AT97">
            <v>239410.5</v>
          </cell>
          <cell r="AU97">
            <v>2.27</v>
          </cell>
        </row>
        <row r="98">
          <cell r="A98" t="str">
            <v>40038602</v>
          </cell>
          <cell r="B98" t="str">
            <v>014</v>
          </cell>
          <cell r="C98" t="str">
            <v>BUTTER 1 KG</v>
          </cell>
          <cell r="D98">
            <v>18</v>
          </cell>
          <cell r="E98">
            <v>18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</row>
        <row r="99">
          <cell r="A99" t="str">
            <v>40038701</v>
          </cell>
          <cell r="B99" t="str">
            <v>014</v>
          </cell>
          <cell r="C99" t="str">
            <v>BUTTER 100G</v>
          </cell>
          <cell r="D99">
            <v>15</v>
          </cell>
          <cell r="E99">
            <v>150</v>
          </cell>
          <cell r="F99">
            <v>205</v>
          </cell>
          <cell r="G99">
            <v>337635</v>
          </cell>
          <cell r="H99">
            <v>3.08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205</v>
          </cell>
          <cell r="AT99">
            <v>337635</v>
          </cell>
          <cell r="AU99">
            <v>3.08</v>
          </cell>
        </row>
        <row r="100">
          <cell r="C100" t="str">
            <v>Total Butter</v>
          </cell>
          <cell r="F100">
            <v>356</v>
          </cell>
          <cell r="G100">
            <v>577045.5</v>
          </cell>
          <cell r="H100">
            <v>5.35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356</v>
          </cell>
          <cell r="AT100">
            <v>577045.5</v>
          </cell>
          <cell r="AU100">
            <v>5.35</v>
          </cell>
        </row>
        <row r="102">
          <cell r="C102" t="str">
            <v>Grand Total</v>
          </cell>
          <cell r="F102">
            <v>6295.6</v>
          </cell>
          <cell r="G102">
            <v>7159327.2199999997</v>
          </cell>
          <cell r="H102">
            <v>66.36</v>
          </cell>
          <cell r="I102">
            <v>3057.38</v>
          </cell>
          <cell r="J102">
            <v>3392672.39</v>
          </cell>
          <cell r="K102">
            <v>33.47</v>
          </cell>
          <cell r="L102">
            <v>2674.93</v>
          </cell>
          <cell r="M102">
            <v>3047868.52</v>
          </cell>
          <cell r="N102">
            <v>29.16</v>
          </cell>
          <cell r="O102">
            <v>3575.78</v>
          </cell>
          <cell r="P102">
            <v>4497423.25</v>
          </cell>
          <cell r="Q102">
            <v>44.46</v>
          </cell>
          <cell r="R102">
            <v>1619.66</v>
          </cell>
          <cell r="S102">
            <v>1666036.89</v>
          </cell>
          <cell r="T102">
            <v>17.25</v>
          </cell>
          <cell r="U102">
            <v>2337</v>
          </cell>
          <cell r="V102">
            <v>2172392.46</v>
          </cell>
          <cell r="W102">
            <v>24.02</v>
          </cell>
          <cell r="X102">
            <v>11360.15</v>
          </cell>
          <cell r="Y102">
            <v>12760704.77</v>
          </cell>
          <cell r="Z102">
            <v>126.25</v>
          </cell>
          <cell r="AA102">
            <v>684</v>
          </cell>
          <cell r="AB102">
            <v>819611.25</v>
          </cell>
          <cell r="AC102">
            <v>7.46</v>
          </cell>
          <cell r="AD102">
            <v>492.87</v>
          </cell>
          <cell r="AE102">
            <v>558718.57999999996</v>
          </cell>
          <cell r="AF102">
            <v>5.64</v>
          </cell>
          <cell r="AG102">
            <v>140</v>
          </cell>
          <cell r="AH102">
            <v>135251.51999999999</v>
          </cell>
          <cell r="AI102">
            <v>1.66</v>
          </cell>
          <cell r="AJ102">
            <v>150</v>
          </cell>
          <cell r="AK102">
            <v>141848</v>
          </cell>
          <cell r="AL102">
            <v>1.71</v>
          </cell>
          <cell r="AM102">
            <v>0</v>
          </cell>
          <cell r="AN102">
            <v>0</v>
          </cell>
          <cell r="AO102">
            <v>0</v>
          </cell>
          <cell r="AP102">
            <v>198</v>
          </cell>
          <cell r="AQ102">
            <v>358650</v>
          </cell>
          <cell r="AR102">
            <v>2.21</v>
          </cell>
          <cell r="AS102">
            <v>32585.37</v>
          </cell>
          <cell r="AT102">
            <v>36710504.850000001</v>
          </cell>
          <cell r="AU102">
            <v>359.63</v>
          </cell>
        </row>
      </sheetData>
      <sheetData sheetId="11" refreshError="1"/>
      <sheetData sheetId="12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5"/>
      <sheetName val="NSV FOR EO"/>
      <sheetName val="summary"/>
      <sheetName val="DATA"/>
      <sheetName val="FG030701 gm1007"/>
      <sheetName val="Sheet2"/>
      <sheetName val="Sheet3"/>
      <sheetName val="OCTPRI"/>
      <sheetName val="Agency BS"/>
      <sheetName val="current price"/>
      <sheetName val="Variance"/>
      <sheetName val="List_ratios"/>
      <sheetName val="Assmp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>
            <v>90155</v>
          </cell>
          <cell r="B2" t="str">
            <v>CHEESE TIN FT 400G 24PK CBB</v>
          </cell>
          <cell r="C2">
            <v>27</v>
          </cell>
          <cell r="D2">
            <v>17</v>
          </cell>
          <cell r="E2" t="str">
            <v>C TIN 400 X 24 FT</v>
          </cell>
          <cell r="F2" t="str">
            <v>02</v>
          </cell>
          <cell r="G2">
            <v>40018001</v>
          </cell>
          <cell r="H2">
            <v>9.6</v>
          </cell>
          <cell r="I2">
            <v>24</v>
          </cell>
          <cell r="J2">
            <v>0.39999999999999997</v>
          </cell>
          <cell r="M2" t="str">
            <v>0000.4</v>
          </cell>
          <cell r="N2" t="str">
            <v>00024</v>
          </cell>
        </row>
        <row r="3">
          <cell r="A3">
            <v>90156</v>
          </cell>
          <cell r="B3" t="str">
            <v>CHEESE TIN FT 400G 24PK CBB EXP</v>
          </cell>
          <cell r="C3">
            <v>31</v>
          </cell>
          <cell r="D3">
            <v>19</v>
          </cell>
          <cell r="E3" t="str">
            <v>C TIN 400X24 FT EXP</v>
          </cell>
          <cell r="F3" t="str">
            <v>02</v>
          </cell>
          <cell r="G3">
            <v>40231511</v>
          </cell>
          <cell r="H3">
            <v>9.6</v>
          </cell>
          <cell r="I3">
            <v>24</v>
          </cell>
          <cell r="J3">
            <v>0.39999999999999997</v>
          </cell>
          <cell r="M3" t="str">
            <v>0000.4</v>
          </cell>
          <cell r="N3" t="str">
            <v>00024</v>
          </cell>
        </row>
        <row r="4">
          <cell r="A4">
            <v>90157</v>
          </cell>
          <cell r="B4" t="str">
            <v>CHEESE TIN NFT 400G 24PK CBB</v>
          </cell>
          <cell r="C4">
            <v>28</v>
          </cell>
          <cell r="D4">
            <v>18</v>
          </cell>
          <cell r="E4" t="str">
            <v>C TIN 400 X 24 NFT</v>
          </cell>
          <cell r="F4" t="str">
            <v>02</v>
          </cell>
          <cell r="G4">
            <v>40019401</v>
          </cell>
          <cell r="H4">
            <v>9.6</v>
          </cell>
          <cell r="I4">
            <v>24</v>
          </cell>
          <cell r="J4">
            <v>0.39999999999999997</v>
          </cell>
          <cell r="M4" t="str">
            <v>0000.4</v>
          </cell>
          <cell r="N4" t="str">
            <v>00024</v>
          </cell>
          <cell r="Q4" t="str">
            <v>90157</v>
          </cell>
        </row>
        <row r="5">
          <cell r="A5">
            <v>90158</v>
          </cell>
          <cell r="B5" t="str">
            <v>CHEESE TIN NFT 400G 24PK CBB EXP</v>
          </cell>
          <cell r="C5">
            <v>32</v>
          </cell>
          <cell r="D5">
            <v>19</v>
          </cell>
          <cell r="E5" t="str">
            <v>C TIN 400X24 NFT EX</v>
          </cell>
          <cell r="F5" t="str">
            <v>02</v>
          </cell>
          <cell r="G5">
            <v>40230811</v>
          </cell>
          <cell r="H5">
            <v>9.6</v>
          </cell>
          <cell r="I5">
            <v>24</v>
          </cell>
          <cell r="J5">
            <v>0.39999999999999997</v>
          </cell>
          <cell r="M5" t="str">
            <v>0000.4</v>
          </cell>
          <cell r="N5" t="str">
            <v>00024</v>
          </cell>
        </row>
        <row r="6">
          <cell r="A6">
            <v>90159</v>
          </cell>
          <cell r="B6" t="str">
            <v>CHEESE CUBES 200G PLAIN 60PK CBB</v>
          </cell>
          <cell r="C6">
            <v>32</v>
          </cell>
          <cell r="D6">
            <v>17</v>
          </cell>
          <cell r="E6" t="str">
            <v>C CUBES PL 200X60</v>
          </cell>
          <cell r="F6" t="str">
            <v>02</v>
          </cell>
          <cell r="G6">
            <v>40018301</v>
          </cell>
          <cell r="H6">
            <v>12</v>
          </cell>
          <cell r="I6">
            <v>60</v>
          </cell>
          <cell r="J6">
            <v>0.2</v>
          </cell>
          <cell r="M6" t="str">
            <v>0000.2</v>
          </cell>
          <cell r="N6" t="str">
            <v>00060</v>
          </cell>
          <cell r="Q6" t="str">
            <v>90159</v>
          </cell>
        </row>
        <row r="7">
          <cell r="A7">
            <v>90160</v>
          </cell>
          <cell r="B7" t="str">
            <v>CHEESE CUBES 200G PLAIN 60PK CBB EXP</v>
          </cell>
          <cell r="C7">
            <v>36</v>
          </cell>
          <cell r="D7">
            <v>19</v>
          </cell>
          <cell r="E7" t="str">
            <v>C CUBES PL 200X60 E</v>
          </cell>
          <cell r="F7" t="str">
            <v>02</v>
          </cell>
          <cell r="G7">
            <v>40310310</v>
          </cell>
          <cell r="H7">
            <v>12</v>
          </cell>
          <cell r="I7">
            <v>60</v>
          </cell>
          <cell r="J7">
            <v>0.2</v>
          </cell>
          <cell r="M7" t="str">
            <v>0000.2</v>
          </cell>
          <cell r="N7" t="str">
            <v>00060</v>
          </cell>
        </row>
        <row r="8">
          <cell r="A8">
            <v>90161</v>
          </cell>
          <cell r="B8" t="str">
            <v>CHEESE CUBES 120G PLAIN 100PK CBB</v>
          </cell>
          <cell r="C8">
            <v>33</v>
          </cell>
          <cell r="D8">
            <v>18</v>
          </cell>
          <cell r="E8" t="str">
            <v>C CUBES PL 120X100</v>
          </cell>
          <cell r="F8" t="str">
            <v>02</v>
          </cell>
          <cell r="G8">
            <v>40099601</v>
          </cell>
          <cell r="H8">
            <v>12</v>
          </cell>
          <cell r="I8">
            <v>100</v>
          </cell>
          <cell r="J8">
            <v>0.12</v>
          </cell>
          <cell r="M8" t="str">
            <v>000.12</v>
          </cell>
          <cell r="N8" t="str">
            <v>00100</v>
          </cell>
          <cell r="Q8" t="str">
            <v>90161</v>
          </cell>
        </row>
        <row r="9">
          <cell r="A9">
            <v>90162</v>
          </cell>
          <cell r="B9" t="str">
            <v>CHEESE CUBES PEPPER 120G 100PK CBB</v>
          </cell>
          <cell r="C9">
            <v>34</v>
          </cell>
          <cell r="D9">
            <v>18</v>
          </cell>
          <cell r="E9" t="str">
            <v>C CUBES PP 120X100</v>
          </cell>
          <cell r="F9" t="str">
            <v>02</v>
          </cell>
          <cell r="G9">
            <v>40109601</v>
          </cell>
          <cell r="H9">
            <v>12</v>
          </cell>
          <cell r="I9">
            <v>100</v>
          </cell>
          <cell r="J9">
            <v>0.12</v>
          </cell>
          <cell r="M9" t="str">
            <v>000.12</v>
          </cell>
          <cell r="N9" t="str">
            <v>00100</v>
          </cell>
          <cell r="Q9" t="str">
            <v>90162</v>
          </cell>
        </row>
        <row r="10">
          <cell r="A10">
            <v>90163</v>
          </cell>
          <cell r="B10" t="str">
            <v>CHEESE CUBES M. ONION 120G 100PK CBB</v>
          </cell>
          <cell r="C10">
            <v>36</v>
          </cell>
          <cell r="D10">
            <v>18</v>
          </cell>
          <cell r="E10" t="str">
            <v>C CUBES ON 120X100</v>
          </cell>
          <cell r="F10" t="str">
            <v>02</v>
          </cell>
          <cell r="G10">
            <v>40019601</v>
          </cell>
          <cell r="H10">
            <v>12</v>
          </cell>
          <cell r="I10">
            <v>100</v>
          </cell>
          <cell r="J10">
            <v>0.12</v>
          </cell>
          <cell r="M10" t="str">
            <v>000.12</v>
          </cell>
          <cell r="N10" t="str">
            <v>00100</v>
          </cell>
          <cell r="Q10" t="str">
            <v>90163</v>
          </cell>
        </row>
        <row r="11">
          <cell r="A11">
            <v>90164</v>
          </cell>
          <cell r="B11" t="str">
            <v>CHEESE CUBES M. GARLIC 120G 100PK CBB</v>
          </cell>
          <cell r="C11">
            <v>37</v>
          </cell>
          <cell r="D11">
            <v>18</v>
          </cell>
          <cell r="E11" t="str">
            <v>C CUBES GA 120X100</v>
          </cell>
          <cell r="F11" t="str">
            <v>02</v>
          </cell>
          <cell r="G11">
            <v>40119601</v>
          </cell>
          <cell r="H11">
            <v>12</v>
          </cell>
          <cell r="I11">
            <v>100</v>
          </cell>
          <cell r="J11">
            <v>0.12</v>
          </cell>
          <cell r="M11" t="str">
            <v>000.12</v>
          </cell>
          <cell r="N11" t="str">
            <v>00100</v>
          </cell>
          <cell r="Q11" t="str">
            <v>90164</v>
          </cell>
        </row>
        <row r="12">
          <cell r="A12">
            <v>90165</v>
          </cell>
          <cell r="B12" t="str">
            <v>CHEESE SLICES 200G 60PK CBB</v>
          </cell>
          <cell r="C12">
            <v>27</v>
          </cell>
          <cell r="D12">
            <v>17</v>
          </cell>
          <cell r="E12" t="str">
            <v>C SLICES 200 X 60</v>
          </cell>
          <cell r="F12" t="str">
            <v>02</v>
          </cell>
          <cell r="G12">
            <v>40018102</v>
          </cell>
          <cell r="H12">
            <v>12</v>
          </cell>
          <cell r="I12">
            <v>60</v>
          </cell>
          <cell r="J12">
            <v>0.2</v>
          </cell>
          <cell r="M12" t="str">
            <v>0000.2</v>
          </cell>
          <cell r="N12" t="str">
            <v>00060</v>
          </cell>
          <cell r="Q12" t="str">
            <v>90165</v>
          </cell>
        </row>
        <row r="13">
          <cell r="A13">
            <v>90166</v>
          </cell>
          <cell r="B13" t="str">
            <v>CHEESE SLICES 200G 60PK CBB EXP</v>
          </cell>
          <cell r="C13">
            <v>31</v>
          </cell>
          <cell r="D13">
            <v>19</v>
          </cell>
          <cell r="E13" t="str">
            <v>C SLICES 200 X 60 E</v>
          </cell>
          <cell r="F13" t="str">
            <v>02</v>
          </cell>
          <cell r="G13">
            <v>40240910</v>
          </cell>
          <cell r="H13">
            <v>12</v>
          </cell>
          <cell r="I13">
            <v>60</v>
          </cell>
          <cell r="J13">
            <v>0.2</v>
          </cell>
          <cell r="M13" t="str">
            <v>0000.2</v>
          </cell>
          <cell r="N13" t="str">
            <v>00060</v>
          </cell>
        </row>
        <row r="14">
          <cell r="A14">
            <v>90167</v>
          </cell>
          <cell r="B14" t="str">
            <v>CHEESE SLICES 100G 120PK CBB</v>
          </cell>
          <cell r="C14">
            <v>28</v>
          </cell>
          <cell r="D14">
            <v>18</v>
          </cell>
          <cell r="E14" t="str">
            <v>C SLICES 100 X 120</v>
          </cell>
          <cell r="F14" t="str">
            <v>02</v>
          </cell>
          <cell r="G14">
            <v>40018101</v>
          </cell>
          <cell r="H14">
            <v>12</v>
          </cell>
          <cell r="I14">
            <v>120</v>
          </cell>
          <cell r="J14">
            <v>0.1</v>
          </cell>
          <cell r="M14" t="str">
            <v>0000.1</v>
          </cell>
          <cell r="N14" t="str">
            <v>00120</v>
          </cell>
          <cell r="Q14" t="str">
            <v>90167</v>
          </cell>
        </row>
        <row r="15">
          <cell r="A15">
            <v>90168</v>
          </cell>
          <cell r="B15" t="str">
            <v>CHEESE BLOCK 1KG 12PK CBB</v>
          </cell>
          <cell r="C15">
            <v>25</v>
          </cell>
          <cell r="D15">
            <v>13</v>
          </cell>
          <cell r="E15" t="str">
            <v>C BL 1KG X 12</v>
          </cell>
          <cell r="F15" t="str">
            <v>02</v>
          </cell>
          <cell r="G15">
            <v>40019501</v>
          </cell>
          <cell r="H15">
            <v>12</v>
          </cell>
          <cell r="I15">
            <v>12</v>
          </cell>
          <cell r="J15">
            <v>1</v>
          </cell>
          <cell r="M15" t="str">
            <v>000001</v>
          </cell>
          <cell r="N15" t="str">
            <v>00012</v>
          </cell>
          <cell r="Q15" t="str">
            <v>90168</v>
          </cell>
        </row>
        <row r="16">
          <cell r="A16">
            <v>90169</v>
          </cell>
          <cell r="B16" t="str">
            <v>CHEESE BLOCK 200G CEKA 48PK CBB</v>
          </cell>
          <cell r="C16">
            <v>31</v>
          </cell>
          <cell r="D16">
            <v>16</v>
          </cell>
          <cell r="E16" t="str">
            <v>C BL CEKA 200X48</v>
          </cell>
          <cell r="F16" t="str">
            <v>02</v>
          </cell>
          <cell r="G16">
            <v>40231810</v>
          </cell>
          <cell r="H16">
            <v>9.6</v>
          </cell>
          <cell r="I16">
            <v>48</v>
          </cell>
          <cell r="J16">
            <v>0.19999999999999998</v>
          </cell>
          <cell r="M16" t="str">
            <v>0000.2</v>
          </cell>
          <cell r="N16" t="str">
            <v>00048</v>
          </cell>
          <cell r="Q16" t="str">
            <v>90169</v>
          </cell>
        </row>
        <row r="17">
          <cell r="A17">
            <v>90170</v>
          </cell>
          <cell r="B17" t="str">
            <v>CHEESE BLOCK 400G CEKA 30PK CBB</v>
          </cell>
          <cell r="C17">
            <v>31</v>
          </cell>
          <cell r="D17">
            <v>16</v>
          </cell>
          <cell r="E17" t="str">
            <v>C BL CEKA 400X30</v>
          </cell>
          <cell r="F17" t="str">
            <v>02</v>
          </cell>
          <cell r="G17">
            <v>40018801</v>
          </cell>
          <cell r="H17">
            <v>12</v>
          </cell>
          <cell r="I17">
            <v>30</v>
          </cell>
          <cell r="J17">
            <v>0.4</v>
          </cell>
          <cell r="M17" t="str">
            <v>0000.4</v>
          </cell>
          <cell r="N17" t="str">
            <v>00024</v>
          </cell>
          <cell r="Q17" t="str">
            <v>90170</v>
          </cell>
        </row>
        <row r="18">
          <cell r="A18">
            <v>90171</v>
          </cell>
          <cell r="B18" t="str">
            <v>C. SPREAD TUB PLAIN 150G 60PK CBB</v>
          </cell>
          <cell r="C18">
            <v>33</v>
          </cell>
          <cell r="D18">
            <v>18</v>
          </cell>
          <cell r="E18" t="str">
            <v>C SP TUB PL 150X60</v>
          </cell>
          <cell r="F18" t="str">
            <v>02</v>
          </cell>
          <cell r="G18">
            <v>40139801</v>
          </cell>
          <cell r="H18">
            <v>9</v>
          </cell>
          <cell r="I18">
            <v>60</v>
          </cell>
          <cell r="J18">
            <v>0.15</v>
          </cell>
          <cell r="M18" t="str">
            <v>000.15</v>
          </cell>
          <cell r="N18" t="str">
            <v>00060</v>
          </cell>
          <cell r="Q18" t="str">
            <v>90171</v>
          </cell>
        </row>
        <row r="19">
          <cell r="A19">
            <v>90172</v>
          </cell>
          <cell r="B19" t="str">
            <v>C. SPREAD TUB PEPPER 150G 60PK CBB</v>
          </cell>
          <cell r="C19">
            <v>34</v>
          </cell>
          <cell r="D19">
            <v>18</v>
          </cell>
          <cell r="E19" t="str">
            <v>C SP TUB PP 150X60</v>
          </cell>
          <cell r="F19" t="str">
            <v>02</v>
          </cell>
          <cell r="G19">
            <v>40149801</v>
          </cell>
          <cell r="H19">
            <v>9</v>
          </cell>
          <cell r="I19">
            <v>60</v>
          </cell>
          <cell r="J19">
            <v>0.15</v>
          </cell>
          <cell r="M19" t="str">
            <v>000.15</v>
          </cell>
          <cell r="N19" t="str">
            <v>00060</v>
          </cell>
          <cell r="Q19" t="str">
            <v>90172</v>
          </cell>
        </row>
        <row r="20">
          <cell r="A20">
            <v>90173</v>
          </cell>
          <cell r="B20" t="str">
            <v>C. SPREAD TUB ONION 150G 60PK CBB</v>
          </cell>
          <cell r="C20">
            <v>33</v>
          </cell>
          <cell r="D20">
            <v>18</v>
          </cell>
          <cell r="E20" t="str">
            <v>C SP TUB ON 150X60</v>
          </cell>
          <cell r="F20" t="str">
            <v>02</v>
          </cell>
          <cell r="G20">
            <v>40169801</v>
          </cell>
          <cell r="H20">
            <v>9</v>
          </cell>
          <cell r="I20">
            <v>60</v>
          </cell>
          <cell r="J20">
            <v>0.15</v>
          </cell>
          <cell r="M20" t="str">
            <v>000.15</v>
          </cell>
          <cell r="N20" t="str">
            <v>00060</v>
          </cell>
          <cell r="Q20" t="str">
            <v>90173</v>
          </cell>
        </row>
        <row r="21">
          <cell r="A21">
            <v>90174</v>
          </cell>
          <cell r="B21" t="str">
            <v>C. SPREAD TUB GARLIC 150G 60PK CBB</v>
          </cell>
          <cell r="C21">
            <v>34</v>
          </cell>
          <cell r="D21">
            <v>19</v>
          </cell>
          <cell r="E21" t="str">
            <v>C SP TUB GA 1500X60</v>
          </cell>
          <cell r="F21" t="str">
            <v>02</v>
          </cell>
          <cell r="G21">
            <v>40159801</v>
          </cell>
          <cell r="H21">
            <v>9</v>
          </cell>
          <cell r="I21">
            <v>60</v>
          </cell>
          <cell r="J21">
            <v>0.15</v>
          </cell>
          <cell r="M21" t="str">
            <v>000.15</v>
          </cell>
          <cell r="N21" t="str">
            <v>00060</v>
          </cell>
          <cell r="Q21" t="str">
            <v>90174</v>
          </cell>
        </row>
        <row r="22">
          <cell r="A22">
            <v>90175</v>
          </cell>
          <cell r="B22" t="str">
            <v>C. SPREAD TUB C. CAP. 150G 60PK CBB</v>
          </cell>
          <cell r="C22">
            <v>35</v>
          </cell>
          <cell r="D22">
            <v>18</v>
          </cell>
          <cell r="E22" t="str">
            <v>C SP TUB CC 150X60</v>
          </cell>
          <cell r="F22" t="str">
            <v>02</v>
          </cell>
          <cell r="G22">
            <v>40179801</v>
          </cell>
          <cell r="H22">
            <v>9</v>
          </cell>
          <cell r="I22">
            <v>60</v>
          </cell>
          <cell r="J22">
            <v>0.15</v>
          </cell>
          <cell r="M22" t="str">
            <v>000.15</v>
          </cell>
          <cell r="N22" t="str">
            <v>00060</v>
          </cell>
          <cell r="Q22" t="str">
            <v>90175</v>
          </cell>
        </row>
        <row r="23">
          <cell r="A23">
            <v>90176</v>
          </cell>
          <cell r="B23" t="str">
            <v>D. WHITENER CARTON 500G 24PK CBB</v>
          </cell>
          <cell r="C23">
            <v>32</v>
          </cell>
          <cell r="D23">
            <v>16</v>
          </cell>
          <cell r="E23" t="str">
            <v>DW CARTON 500X24</v>
          </cell>
          <cell r="F23" t="str">
            <v>01</v>
          </cell>
          <cell r="G23">
            <v>40028402</v>
          </cell>
          <cell r="H23">
            <v>12</v>
          </cell>
          <cell r="I23">
            <v>24</v>
          </cell>
          <cell r="J23">
            <v>0.5</v>
          </cell>
          <cell r="M23" t="str">
            <v>0000.5</v>
          </cell>
          <cell r="N23" t="str">
            <v>00024</v>
          </cell>
          <cell r="Q23" t="str">
            <v>90176</v>
          </cell>
        </row>
        <row r="24">
          <cell r="A24">
            <v>90177</v>
          </cell>
          <cell r="B24" t="str">
            <v>D. WHITENER CARTON 200G 60PK CBB</v>
          </cell>
          <cell r="C24">
            <v>32</v>
          </cell>
          <cell r="D24">
            <v>16</v>
          </cell>
          <cell r="E24" t="str">
            <v>DW CARTON 200X60</v>
          </cell>
          <cell r="F24" t="str">
            <v>01</v>
          </cell>
          <cell r="G24">
            <v>40028401</v>
          </cell>
          <cell r="H24">
            <v>12</v>
          </cell>
          <cell r="I24">
            <v>60</v>
          </cell>
          <cell r="J24">
            <v>0.2</v>
          </cell>
          <cell r="M24" t="str">
            <v>0000.2</v>
          </cell>
          <cell r="N24" t="str">
            <v>00060</v>
          </cell>
          <cell r="Q24" t="str">
            <v>90177</v>
          </cell>
        </row>
        <row r="25">
          <cell r="A25">
            <v>90178</v>
          </cell>
          <cell r="B25" t="str">
            <v>D. WHITENER POUCH 1KG 12PK CBB</v>
          </cell>
          <cell r="C25">
            <v>30</v>
          </cell>
          <cell r="D25">
            <v>15</v>
          </cell>
          <cell r="E25" t="str">
            <v>DW POUCH 500X24</v>
          </cell>
          <cell r="F25" t="str">
            <v>01</v>
          </cell>
          <cell r="G25">
            <v>40028505</v>
          </cell>
          <cell r="H25">
            <v>12</v>
          </cell>
          <cell r="I25">
            <v>12</v>
          </cell>
          <cell r="J25">
            <v>1</v>
          </cell>
          <cell r="M25" t="str">
            <v>000001</v>
          </cell>
          <cell r="N25" t="str">
            <v>00012</v>
          </cell>
          <cell r="Q25" t="str">
            <v>90178</v>
          </cell>
        </row>
        <row r="26">
          <cell r="A26">
            <v>90179</v>
          </cell>
          <cell r="B26" t="str">
            <v>D. WHITENER POUCH 500G 24PK CBB</v>
          </cell>
          <cell r="C26">
            <v>31</v>
          </cell>
          <cell r="D26">
            <v>15</v>
          </cell>
          <cell r="E26" t="str">
            <v>DW POUCH 500X24</v>
          </cell>
          <cell r="F26" t="str">
            <v>01</v>
          </cell>
          <cell r="G26">
            <v>40028502</v>
          </cell>
          <cell r="H26">
            <v>12</v>
          </cell>
          <cell r="I26">
            <v>24</v>
          </cell>
          <cell r="J26">
            <v>0.5</v>
          </cell>
          <cell r="M26" t="str">
            <v>0000.5</v>
          </cell>
          <cell r="N26" t="str">
            <v>00024</v>
          </cell>
          <cell r="Q26" t="str">
            <v>90179</v>
          </cell>
        </row>
        <row r="27">
          <cell r="A27">
            <v>90180</v>
          </cell>
          <cell r="B27" t="str">
            <v>D. WHITENER POUCH 200G 60PK CBB</v>
          </cell>
          <cell r="C27">
            <v>31</v>
          </cell>
          <cell r="D27">
            <v>15</v>
          </cell>
          <cell r="E27" t="str">
            <v>DW POUCH 200X60</v>
          </cell>
          <cell r="F27" t="str">
            <v>01</v>
          </cell>
          <cell r="G27">
            <v>40028501</v>
          </cell>
          <cell r="H27">
            <v>12</v>
          </cell>
          <cell r="I27">
            <v>60</v>
          </cell>
          <cell r="J27">
            <v>0.2</v>
          </cell>
          <cell r="M27" t="str">
            <v>0000.2</v>
          </cell>
          <cell r="N27" t="str">
            <v>00060</v>
          </cell>
          <cell r="Q27" t="str">
            <v>90180</v>
          </cell>
        </row>
        <row r="28">
          <cell r="A28">
            <v>90181</v>
          </cell>
          <cell r="B28" t="str">
            <v>D. WHITENER POUCH 100G 120PK CBB</v>
          </cell>
          <cell r="C28">
            <v>32</v>
          </cell>
          <cell r="D28">
            <v>15</v>
          </cell>
          <cell r="E28" t="str">
            <v>DW POUCH 200X60</v>
          </cell>
          <cell r="F28" t="str">
            <v>01</v>
          </cell>
          <cell r="G28">
            <v>40028504</v>
          </cell>
          <cell r="H28">
            <v>12</v>
          </cell>
          <cell r="I28">
            <v>120</v>
          </cell>
          <cell r="J28">
            <v>0.1</v>
          </cell>
          <cell r="M28" t="str">
            <v>0000.1</v>
          </cell>
          <cell r="N28" t="str">
            <v>00120</v>
          </cell>
          <cell r="Q28" t="str">
            <v>90181</v>
          </cell>
        </row>
        <row r="29">
          <cell r="A29">
            <v>90182</v>
          </cell>
          <cell r="B29" t="str">
            <v>D. WHITENER POUCH 50G 180PK CBB</v>
          </cell>
          <cell r="C29">
            <v>31</v>
          </cell>
          <cell r="D29">
            <v>17</v>
          </cell>
          <cell r="E29" t="str">
            <v>DW POUCH 50 X 180</v>
          </cell>
          <cell r="F29" t="str">
            <v>01</v>
          </cell>
          <cell r="G29">
            <v>40028503</v>
          </cell>
          <cell r="H29">
            <v>9</v>
          </cell>
          <cell r="I29">
            <v>180</v>
          </cell>
          <cell r="J29">
            <v>0.05</v>
          </cell>
          <cell r="M29" t="str">
            <v>000.05</v>
          </cell>
          <cell r="N29" t="str">
            <v>00180</v>
          </cell>
          <cell r="Q29" t="str">
            <v>90182</v>
          </cell>
        </row>
        <row r="30">
          <cell r="A30">
            <v>90183</v>
          </cell>
          <cell r="B30" t="str">
            <v>D. WHITENER JAR 10KG 1PK CBB</v>
          </cell>
          <cell r="C30">
            <v>28</v>
          </cell>
          <cell r="D30">
            <v>15</v>
          </cell>
          <cell r="E30" t="str">
            <v>DW JAR 10KG X 1</v>
          </cell>
          <cell r="F30" t="str">
            <v>01</v>
          </cell>
          <cell r="G30">
            <v>40028901</v>
          </cell>
          <cell r="H30">
            <v>10</v>
          </cell>
          <cell r="I30">
            <v>1</v>
          </cell>
          <cell r="J30">
            <v>10</v>
          </cell>
          <cell r="M30" t="str">
            <v>000010</v>
          </cell>
          <cell r="N30" t="str">
            <v>00001</v>
          </cell>
          <cell r="Q30" t="str">
            <v>90183</v>
          </cell>
        </row>
        <row r="31">
          <cell r="A31">
            <v>90184</v>
          </cell>
          <cell r="B31" t="str">
            <v>D. WHITENER JAR 25KG 1PK BAG</v>
          </cell>
          <cell r="C31">
            <v>28</v>
          </cell>
          <cell r="D31">
            <v>15</v>
          </cell>
          <cell r="E31" t="str">
            <v>DW BAG 25KG X 1</v>
          </cell>
          <cell r="F31" t="str">
            <v>01</v>
          </cell>
          <cell r="G31">
            <v>40028902</v>
          </cell>
          <cell r="H31">
            <v>25</v>
          </cell>
          <cell r="I31">
            <v>1</v>
          </cell>
          <cell r="J31">
            <v>25</v>
          </cell>
          <cell r="M31" t="str">
            <v>000025</v>
          </cell>
          <cell r="N31" t="str">
            <v>00001</v>
          </cell>
        </row>
        <row r="32">
          <cell r="A32">
            <v>90185</v>
          </cell>
          <cell r="B32" t="str">
            <v>D. MIX POUCH 50G 180PK CBB</v>
          </cell>
          <cell r="C32">
            <v>26</v>
          </cell>
          <cell r="D32">
            <v>18</v>
          </cell>
          <cell r="E32" t="str">
            <v>D MIX POUCH 50X180</v>
          </cell>
          <cell r="F32" t="str">
            <v>01</v>
          </cell>
          <cell r="G32">
            <v>41481105</v>
          </cell>
          <cell r="H32">
            <v>9</v>
          </cell>
          <cell r="I32">
            <v>180</v>
          </cell>
          <cell r="J32">
            <v>0.05</v>
          </cell>
          <cell r="M32" t="str">
            <v>000.05</v>
          </cell>
          <cell r="N32" t="str">
            <v>00180</v>
          </cell>
          <cell r="Q32" t="str">
            <v>90185</v>
          </cell>
        </row>
        <row r="33">
          <cell r="A33">
            <v>90186</v>
          </cell>
          <cell r="B33" t="str">
            <v>BUTTER BLOCK 1KG 18PK CBB</v>
          </cell>
          <cell r="C33">
            <v>25</v>
          </cell>
          <cell r="D33">
            <v>13</v>
          </cell>
          <cell r="E33" t="str">
            <v>BUTTER 1KGX18</v>
          </cell>
          <cell r="F33" t="str">
            <v>03</v>
          </cell>
          <cell r="G33">
            <v>30221814</v>
          </cell>
          <cell r="H33">
            <v>18</v>
          </cell>
          <cell r="I33">
            <v>18</v>
          </cell>
          <cell r="J33">
            <v>1</v>
          </cell>
          <cell r="M33" t="str">
            <v>000001</v>
          </cell>
          <cell r="N33" t="str">
            <v>00018</v>
          </cell>
          <cell r="Q33" t="str">
            <v>90186</v>
          </cell>
        </row>
        <row r="34">
          <cell r="A34">
            <v>90187</v>
          </cell>
          <cell r="B34" t="str">
            <v>BUTTER BLOCK 100G 150PK CBB</v>
          </cell>
          <cell r="C34">
            <v>27</v>
          </cell>
          <cell r="D34">
            <v>14</v>
          </cell>
          <cell r="E34" t="str">
            <v>BUTTER 100X150</v>
          </cell>
          <cell r="F34" t="str">
            <v>03</v>
          </cell>
          <cell r="G34">
            <v>30221807</v>
          </cell>
          <cell r="H34">
            <v>15</v>
          </cell>
          <cell r="I34">
            <v>150</v>
          </cell>
          <cell r="J34">
            <v>0.1</v>
          </cell>
          <cell r="M34" t="str">
            <v>0000.1</v>
          </cell>
          <cell r="N34" t="str">
            <v>00150</v>
          </cell>
          <cell r="Q34" t="str">
            <v>90187</v>
          </cell>
        </row>
        <row r="35">
          <cell r="A35">
            <v>90188</v>
          </cell>
          <cell r="B35" t="str">
            <v>BUTTER BLOCK 500G 30PK CBB</v>
          </cell>
          <cell r="C35">
            <v>26</v>
          </cell>
          <cell r="D35">
            <v>13</v>
          </cell>
          <cell r="E35" t="str">
            <v>BUTTER 500X30</v>
          </cell>
          <cell r="F35" t="str">
            <v>03</v>
          </cell>
          <cell r="G35">
            <v>30221812</v>
          </cell>
          <cell r="H35">
            <v>15</v>
          </cell>
          <cell r="I35">
            <v>30</v>
          </cell>
          <cell r="J35">
            <v>0.5</v>
          </cell>
          <cell r="M35" t="str">
            <v>0000.5</v>
          </cell>
          <cell r="N35" t="str">
            <v>00030</v>
          </cell>
          <cell r="Q35" t="str">
            <v>90188</v>
          </cell>
        </row>
        <row r="36">
          <cell r="A36">
            <v>90189</v>
          </cell>
          <cell r="B36" t="str">
            <v>COW GHEE TIN 1LT 18PK CBB</v>
          </cell>
          <cell r="C36">
            <v>25</v>
          </cell>
          <cell r="D36">
            <v>17</v>
          </cell>
          <cell r="E36" t="str">
            <v>GHEE COW 1X18 TIN</v>
          </cell>
          <cell r="F36" t="str">
            <v>04</v>
          </cell>
          <cell r="G36">
            <v>50066001</v>
          </cell>
          <cell r="H36">
            <v>18</v>
          </cell>
          <cell r="I36">
            <v>18</v>
          </cell>
          <cell r="J36">
            <v>1</v>
          </cell>
          <cell r="M36" t="str">
            <v>000001</v>
          </cell>
          <cell r="N36" t="str">
            <v>00018</v>
          </cell>
          <cell r="Q36" t="str">
            <v>90189</v>
          </cell>
        </row>
        <row r="37">
          <cell r="A37">
            <v>90190</v>
          </cell>
          <cell r="B37" t="str">
            <v>COW GHEE CEKA 1LT 18PK CBB</v>
          </cell>
          <cell r="C37">
            <v>26</v>
          </cell>
          <cell r="D37">
            <v>19</v>
          </cell>
          <cell r="E37" t="str">
            <v>GHEE COW 1LX18 CEKA</v>
          </cell>
          <cell r="F37" t="str">
            <v>04</v>
          </cell>
          <cell r="G37">
            <v>50076101</v>
          </cell>
          <cell r="H37">
            <v>18</v>
          </cell>
          <cell r="I37">
            <v>18</v>
          </cell>
          <cell r="J37">
            <v>1</v>
          </cell>
          <cell r="M37" t="str">
            <v>000001</v>
          </cell>
          <cell r="N37" t="str">
            <v>00018</v>
          </cell>
          <cell r="Q37" t="str">
            <v>90190</v>
          </cell>
        </row>
        <row r="38">
          <cell r="A38">
            <v>90191</v>
          </cell>
          <cell r="B38" t="str">
            <v>COW GHEE CEKA 500ML 36PK CBB</v>
          </cell>
          <cell r="C38">
            <v>28</v>
          </cell>
          <cell r="D38">
            <v>19</v>
          </cell>
          <cell r="E38" t="str">
            <v>GHEE COW 500X36CEKA</v>
          </cell>
          <cell r="F38" t="str">
            <v>04</v>
          </cell>
          <cell r="G38">
            <v>50086201</v>
          </cell>
          <cell r="H38">
            <v>18</v>
          </cell>
          <cell r="I38">
            <v>36</v>
          </cell>
          <cell r="J38">
            <v>0.5</v>
          </cell>
          <cell r="M38" t="str">
            <v>0000.5</v>
          </cell>
          <cell r="N38" t="str">
            <v>00036</v>
          </cell>
          <cell r="Q38" t="str">
            <v>90191</v>
          </cell>
        </row>
        <row r="39">
          <cell r="A39">
            <v>90192</v>
          </cell>
          <cell r="B39" t="str">
            <v>COW GHEE CEKA 200ML 60PK CBB</v>
          </cell>
          <cell r="C39">
            <v>28</v>
          </cell>
          <cell r="D39">
            <v>19</v>
          </cell>
          <cell r="E39" t="str">
            <v>GHEE COW 200X60CEKA</v>
          </cell>
          <cell r="F39" t="str">
            <v>04</v>
          </cell>
          <cell r="G39">
            <v>50126501</v>
          </cell>
          <cell r="H39">
            <v>12</v>
          </cell>
          <cell r="I39">
            <v>60</v>
          </cell>
          <cell r="J39">
            <v>0.2</v>
          </cell>
          <cell r="M39" t="str">
            <v>0000.2</v>
          </cell>
          <cell r="N39" t="str">
            <v>00060</v>
          </cell>
          <cell r="O39" t="str">
            <v>wt/cbb declared for inv is 12</v>
          </cell>
          <cell r="Q39" t="str">
            <v>90192</v>
          </cell>
        </row>
        <row r="40">
          <cell r="A40">
            <v>90193</v>
          </cell>
          <cell r="B40" t="str">
            <v>COW GHEE POUCH 1LT 18PK CBB</v>
          </cell>
          <cell r="C40">
            <v>27</v>
          </cell>
          <cell r="D40">
            <v>13</v>
          </cell>
          <cell r="E40" t="str">
            <v>TO BE DELETED</v>
          </cell>
          <cell r="F40" t="str">
            <v>04</v>
          </cell>
          <cell r="G40">
            <v>50096301</v>
          </cell>
          <cell r="H40">
            <v>12</v>
          </cell>
          <cell r="I40">
            <v>12</v>
          </cell>
          <cell r="J40">
            <v>1</v>
          </cell>
          <cell r="M40" t="str">
            <v>000001</v>
          </cell>
          <cell r="N40" t="str">
            <v>00012</v>
          </cell>
          <cell r="O40" t="str">
            <v>No of pkts per cbb is 12 and net wt per cbb also 12</v>
          </cell>
        </row>
        <row r="41">
          <cell r="A41">
            <v>90194</v>
          </cell>
          <cell r="B41" t="str">
            <v>COW GHEE TIN 1LT 12PK CBB EXP</v>
          </cell>
          <cell r="C41">
            <v>29</v>
          </cell>
          <cell r="D41">
            <v>19</v>
          </cell>
          <cell r="E41" t="str">
            <v>GHEE COW 1X12TIN EX</v>
          </cell>
          <cell r="F41" t="str">
            <v>04</v>
          </cell>
          <cell r="G41">
            <v>50431518</v>
          </cell>
          <cell r="H41">
            <v>12</v>
          </cell>
          <cell r="I41">
            <v>12</v>
          </cell>
          <cell r="J41">
            <v>1</v>
          </cell>
          <cell r="M41" t="str">
            <v>000001</v>
          </cell>
          <cell r="N41" t="str">
            <v>00012</v>
          </cell>
        </row>
        <row r="42">
          <cell r="A42">
            <v>90195</v>
          </cell>
          <cell r="B42" t="str">
            <v>MIXED GHEE TIN 1LT 18PK CBB</v>
          </cell>
          <cell r="C42">
            <v>27</v>
          </cell>
          <cell r="D42">
            <v>17</v>
          </cell>
          <cell r="E42" t="str">
            <v>GHEE MIX 1X18 TIN</v>
          </cell>
          <cell r="F42" t="str">
            <v>04</v>
          </cell>
          <cell r="G42">
            <v>50016001</v>
          </cell>
          <cell r="H42">
            <v>18</v>
          </cell>
          <cell r="I42">
            <v>18</v>
          </cell>
          <cell r="J42">
            <v>1</v>
          </cell>
          <cell r="M42" t="str">
            <v>000001</v>
          </cell>
          <cell r="N42" t="str">
            <v>00018</v>
          </cell>
          <cell r="Q42" t="str">
            <v>90195</v>
          </cell>
        </row>
        <row r="43">
          <cell r="A43">
            <v>90196</v>
          </cell>
          <cell r="B43" t="str">
            <v>MIXED GHEE CEKA 1LT 18PK CBB</v>
          </cell>
          <cell r="C43">
            <v>28</v>
          </cell>
          <cell r="D43">
            <v>19</v>
          </cell>
          <cell r="E43" t="str">
            <v>GHEE MIX 1LX18 CEKA</v>
          </cell>
          <cell r="F43" t="str">
            <v>04</v>
          </cell>
          <cell r="G43">
            <v>50026101</v>
          </cell>
          <cell r="H43">
            <v>18</v>
          </cell>
          <cell r="I43">
            <v>18</v>
          </cell>
          <cell r="J43">
            <v>1</v>
          </cell>
          <cell r="M43" t="str">
            <v>000001</v>
          </cell>
          <cell r="N43" t="str">
            <v>00018</v>
          </cell>
          <cell r="Q43" t="str">
            <v>90196</v>
          </cell>
        </row>
        <row r="44">
          <cell r="A44">
            <v>90197</v>
          </cell>
          <cell r="B44" t="str">
            <v>MIXED GHEE CEKA 500ML 36PK CBB</v>
          </cell>
          <cell r="C44">
            <v>30</v>
          </cell>
          <cell r="D44">
            <v>19</v>
          </cell>
          <cell r="E44" t="str">
            <v>GHEE MIX 500X36CEKA</v>
          </cell>
          <cell r="F44" t="str">
            <v>04</v>
          </cell>
          <cell r="G44">
            <v>50036201</v>
          </cell>
          <cell r="H44">
            <v>18</v>
          </cell>
          <cell r="I44">
            <v>36</v>
          </cell>
          <cell r="J44">
            <v>0.5</v>
          </cell>
          <cell r="M44" t="str">
            <v>0000.5</v>
          </cell>
          <cell r="N44" t="str">
            <v>00036</v>
          </cell>
          <cell r="Q44" t="str">
            <v>90197</v>
          </cell>
        </row>
        <row r="45">
          <cell r="A45">
            <v>90198</v>
          </cell>
          <cell r="B45" t="str">
            <v>MIXED GHEE POUCH 1LT 18PK CBB</v>
          </cell>
          <cell r="C45">
            <v>29</v>
          </cell>
          <cell r="D45">
            <v>13</v>
          </cell>
          <cell r="E45" t="str">
            <v>TO BE DELETED</v>
          </cell>
          <cell r="F45" t="str">
            <v>04</v>
          </cell>
          <cell r="G45">
            <v>50046301</v>
          </cell>
          <cell r="H45">
            <v>12</v>
          </cell>
          <cell r="I45">
            <v>12</v>
          </cell>
          <cell r="J45">
            <v>1</v>
          </cell>
          <cell r="M45" t="str">
            <v>000001</v>
          </cell>
          <cell r="N45" t="str">
            <v>00012</v>
          </cell>
          <cell r="O45" t="str">
            <v>Net Wt per CBB should be 12 and no of pts per cbb also 12</v>
          </cell>
        </row>
        <row r="46">
          <cell r="A46">
            <v>90199</v>
          </cell>
          <cell r="B46" t="str">
            <v>MIXED GHEE TIN 1LT 12PK CBB EXP</v>
          </cell>
          <cell r="C46">
            <v>31</v>
          </cell>
          <cell r="D46">
            <v>19</v>
          </cell>
          <cell r="E46" t="str">
            <v>GHEE MIX 1X12TIN EX</v>
          </cell>
          <cell r="F46" t="str">
            <v>04</v>
          </cell>
          <cell r="G46">
            <v>50421518</v>
          </cell>
          <cell r="H46">
            <v>12</v>
          </cell>
          <cell r="I46">
            <v>12</v>
          </cell>
          <cell r="J46">
            <v>1</v>
          </cell>
          <cell r="M46" t="str">
            <v>000001</v>
          </cell>
          <cell r="N46" t="str">
            <v>00012</v>
          </cell>
        </row>
        <row r="47">
          <cell r="A47">
            <v>90200</v>
          </cell>
          <cell r="B47" t="str">
            <v>BAR CAKE FRUIT 200G 60PK CBB</v>
          </cell>
          <cell r="C47">
            <v>28</v>
          </cell>
          <cell r="D47">
            <v>17</v>
          </cell>
          <cell r="E47" t="str">
            <v>CAKE FRUIT 200X60</v>
          </cell>
          <cell r="F47" t="str">
            <v>07</v>
          </cell>
          <cell r="G47">
            <v>20047001</v>
          </cell>
          <cell r="H47">
            <v>12</v>
          </cell>
          <cell r="I47">
            <v>60</v>
          </cell>
          <cell r="J47">
            <v>0.2</v>
          </cell>
          <cell r="M47" t="str">
            <v>0000.2</v>
          </cell>
          <cell r="N47" t="str">
            <v>00060</v>
          </cell>
          <cell r="Q47" t="str">
            <v>90200</v>
          </cell>
        </row>
        <row r="48">
          <cell r="A48">
            <v>90201</v>
          </cell>
          <cell r="B48" t="str">
            <v>BAR CAKE FRUIT 100G PK CBB</v>
          </cell>
          <cell r="C48">
            <v>26</v>
          </cell>
          <cell r="D48">
            <v>18</v>
          </cell>
          <cell r="E48" t="str">
            <v>CAKE FRUIT 100X120</v>
          </cell>
          <cell r="F48" t="str">
            <v>07</v>
          </cell>
          <cell r="G48">
            <v>20255001</v>
          </cell>
          <cell r="H48">
            <v>12</v>
          </cell>
          <cell r="I48">
            <v>120</v>
          </cell>
          <cell r="J48">
            <v>0.1</v>
          </cell>
          <cell r="M48" t="str">
            <v>0000.1</v>
          </cell>
          <cell r="N48" t="str">
            <v>00120</v>
          </cell>
          <cell r="Q48" t="str">
            <v>90201</v>
          </cell>
        </row>
        <row r="49">
          <cell r="A49">
            <v>90202</v>
          </cell>
          <cell r="B49" t="str">
            <v>BAR CAKE ORANGE 200G 60PK CBB</v>
          </cell>
          <cell r="C49">
            <v>29</v>
          </cell>
          <cell r="D49">
            <v>15</v>
          </cell>
          <cell r="E49" t="str">
            <v>CAKE ORG 200X60</v>
          </cell>
          <cell r="F49" t="str">
            <v>07</v>
          </cell>
          <cell r="G49">
            <v>20067001</v>
          </cell>
          <cell r="H49">
            <v>12</v>
          </cell>
          <cell r="I49">
            <v>60</v>
          </cell>
          <cell r="J49">
            <v>0.2</v>
          </cell>
          <cell r="M49" t="str">
            <v>0000.2</v>
          </cell>
          <cell r="N49" t="str">
            <v>00060</v>
          </cell>
          <cell r="Q49" t="str">
            <v>90202</v>
          </cell>
        </row>
        <row r="50">
          <cell r="A50">
            <v>90203</v>
          </cell>
          <cell r="B50" t="str">
            <v>BAR CAKE CHOCO 200G 60PK CBB</v>
          </cell>
          <cell r="C50">
            <v>28</v>
          </cell>
          <cell r="D50">
            <v>17</v>
          </cell>
          <cell r="E50" t="str">
            <v>CAKE CHOCO 200X60</v>
          </cell>
          <cell r="F50" t="str">
            <v>07</v>
          </cell>
          <cell r="G50">
            <v>20057001</v>
          </cell>
          <cell r="H50">
            <v>12</v>
          </cell>
          <cell r="I50">
            <v>60</v>
          </cell>
          <cell r="J50">
            <v>0.2</v>
          </cell>
          <cell r="M50" t="str">
            <v>0000.2</v>
          </cell>
          <cell r="N50" t="str">
            <v>00060</v>
          </cell>
          <cell r="Q50" t="str">
            <v>90203</v>
          </cell>
        </row>
        <row r="51">
          <cell r="A51">
            <v>90204</v>
          </cell>
          <cell r="B51" t="str">
            <v>BAR CAKE V.C. 200G 60PK CBB</v>
          </cell>
          <cell r="C51">
            <v>27</v>
          </cell>
          <cell r="D51">
            <v>14</v>
          </cell>
          <cell r="E51" t="str">
            <v>CAKE VC 200X60</v>
          </cell>
          <cell r="F51" t="str">
            <v>07</v>
          </cell>
          <cell r="G51">
            <v>20077001</v>
          </cell>
          <cell r="H51">
            <v>12</v>
          </cell>
          <cell r="I51">
            <v>60</v>
          </cell>
          <cell r="J51">
            <v>0.2</v>
          </cell>
          <cell r="M51" t="str">
            <v>0000.2</v>
          </cell>
          <cell r="N51" t="str">
            <v>00060</v>
          </cell>
          <cell r="Q51" t="str">
            <v>90204</v>
          </cell>
        </row>
        <row r="52">
          <cell r="A52">
            <v>90205</v>
          </cell>
          <cell r="B52" t="str">
            <v>BAR CAKE O.C. 200G 60PK CBB</v>
          </cell>
          <cell r="C52">
            <v>27</v>
          </cell>
          <cell r="D52">
            <v>14</v>
          </cell>
          <cell r="E52" t="str">
            <v>CAKE OC 200X60</v>
          </cell>
          <cell r="F52" t="str">
            <v>07</v>
          </cell>
          <cell r="G52">
            <v>20087001</v>
          </cell>
          <cell r="H52">
            <v>12</v>
          </cell>
          <cell r="I52">
            <v>60</v>
          </cell>
          <cell r="J52">
            <v>0.2</v>
          </cell>
          <cell r="M52" t="str">
            <v>0000.2</v>
          </cell>
          <cell r="N52" t="str">
            <v>00060</v>
          </cell>
          <cell r="Q52" t="str">
            <v>90205</v>
          </cell>
        </row>
        <row r="53">
          <cell r="A53">
            <v>90206</v>
          </cell>
          <cell r="B53" t="str">
            <v>BAR CAKE BUTTER SPONGE 200G 60PK CBB</v>
          </cell>
          <cell r="C53">
            <v>36</v>
          </cell>
          <cell r="D53">
            <v>18</v>
          </cell>
          <cell r="E53" t="str">
            <v>CAKE BUTTER 200X60</v>
          </cell>
          <cell r="F53" t="str">
            <v>07</v>
          </cell>
          <cell r="G53">
            <v>20117001</v>
          </cell>
          <cell r="H53">
            <v>12</v>
          </cell>
          <cell r="I53">
            <v>60</v>
          </cell>
          <cell r="J53">
            <v>0.2</v>
          </cell>
          <cell r="M53" t="str">
            <v>0000.2</v>
          </cell>
          <cell r="N53" t="str">
            <v>00060</v>
          </cell>
          <cell r="Q53" t="str">
            <v>90206</v>
          </cell>
        </row>
        <row r="54">
          <cell r="A54">
            <v>90207</v>
          </cell>
          <cell r="B54" t="str">
            <v>BAR CAKE PLUM 300G 60PK CBB</v>
          </cell>
          <cell r="C54">
            <v>27</v>
          </cell>
          <cell r="D54">
            <v>16</v>
          </cell>
          <cell r="E54" t="str">
            <v>CAKE PLUM 300X60</v>
          </cell>
          <cell r="F54" t="str">
            <v>07</v>
          </cell>
          <cell r="G54">
            <v>20097001</v>
          </cell>
          <cell r="H54">
            <v>18</v>
          </cell>
          <cell r="I54">
            <v>60</v>
          </cell>
          <cell r="J54">
            <v>0.3</v>
          </cell>
          <cell r="M54" t="str">
            <v>0000.3</v>
          </cell>
          <cell r="N54" t="str">
            <v>00060</v>
          </cell>
        </row>
        <row r="55">
          <cell r="A55">
            <v>90208</v>
          </cell>
          <cell r="B55" t="str">
            <v>7" DRUM 400G 12 DRUM CBB</v>
          </cell>
          <cell r="C55">
            <v>24</v>
          </cell>
          <cell r="D55">
            <v>17</v>
          </cell>
          <cell r="E55" t="str">
            <v>CAKE7"DRUM 400X12</v>
          </cell>
          <cell r="F55" t="str">
            <v>07</v>
          </cell>
          <cell r="G55">
            <v>20201206</v>
          </cell>
          <cell r="H55">
            <v>4.8</v>
          </cell>
          <cell r="I55">
            <v>12</v>
          </cell>
          <cell r="J55">
            <v>0.39999999999999997</v>
          </cell>
          <cell r="M55" t="str">
            <v>0000.4</v>
          </cell>
          <cell r="N55" t="str">
            <v>00012</v>
          </cell>
        </row>
        <row r="56">
          <cell r="A56">
            <v>90209</v>
          </cell>
          <cell r="B56" t="str">
            <v>SLICE CAKE RICH FRUIT 35G 240PK CBB</v>
          </cell>
          <cell r="C56">
            <v>35</v>
          </cell>
          <cell r="D56">
            <v>17</v>
          </cell>
          <cell r="E56" t="str">
            <v>CAKE SS RF 35X240</v>
          </cell>
          <cell r="F56" t="str">
            <v>07</v>
          </cell>
          <cell r="G56">
            <v>20237101</v>
          </cell>
          <cell r="H56">
            <v>8.4</v>
          </cell>
          <cell r="I56">
            <v>240</v>
          </cell>
          <cell r="J56">
            <v>3.5000000000000003E-2</v>
          </cell>
          <cell r="M56" t="str">
            <v>00.035</v>
          </cell>
          <cell r="N56" t="str">
            <v>00240</v>
          </cell>
          <cell r="Q56" t="str">
            <v>90209</v>
          </cell>
        </row>
        <row r="57">
          <cell r="A57">
            <v>90210</v>
          </cell>
          <cell r="B57" t="str">
            <v>SLICE CAKE MAZA MIX 35G 240PK CBB</v>
          </cell>
          <cell r="C57">
            <v>33</v>
          </cell>
          <cell r="D57">
            <v>17</v>
          </cell>
          <cell r="E57" t="str">
            <v>CAKE SS MM 35X240</v>
          </cell>
          <cell r="F57" t="str">
            <v>07</v>
          </cell>
          <cell r="G57">
            <v>20247101</v>
          </cell>
          <cell r="H57">
            <v>8.4</v>
          </cell>
          <cell r="I57">
            <v>240</v>
          </cell>
          <cell r="J57">
            <v>3.5000000000000003E-2</v>
          </cell>
          <cell r="M57" t="str">
            <v>00.035</v>
          </cell>
          <cell r="N57" t="str">
            <v>00240</v>
          </cell>
          <cell r="Q57" t="str">
            <v>90210</v>
          </cell>
        </row>
        <row r="58">
          <cell r="A58">
            <v>90211</v>
          </cell>
          <cell r="B58" t="str">
            <v>SLICE CAKE VANILA 35G 240PK CBB</v>
          </cell>
          <cell r="C58">
            <v>31</v>
          </cell>
          <cell r="D58">
            <v>17</v>
          </cell>
          <cell r="E58" t="str">
            <v>CAKE SS VA 35X240</v>
          </cell>
          <cell r="F58" t="str">
            <v>07</v>
          </cell>
          <cell r="G58">
            <v>20227101</v>
          </cell>
          <cell r="H58">
            <v>8.4</v>
          </cell>
          <cell r="I58">
            <v>240</v>
          </cell>
          <cell r="J58">
            <v>3.5000000000000003E-2</v>
          </cell>
          <cell r="M58" t="str">
            <v>00.035</v>
          </cell>
          <cell r="N58" t="str">
            <v>00240</v>
          </cell>
          <cell r="Q58" t="str">
            <v>90211</v>
          </cell>
        </row>
        <row r="59">
          <cell r="A59">
            <v>90212</v>
          </cell>
          <cell r="B59" t="str">
            <v>CREAM CAKE V.C. 30G TWIN 160PK CBB</v>
          </cell>
          <cell r="C59">
            <v>34</v>
          </cell>
          <cell r="D59">
            <v>17</v>
          </cell>
          <cell r="E59" t="str">
            <v>CAKE CR 30X160 VC</v>
          </cell>
          <cell r="F59" t="str">
            <v>07</v>
          </cell>
          <cell r="G59">
            <v>21017601</v>
          </cell>
          <cell r="H59">
            <v>4.8</v>
          </cell>
          <cell r="I59">
            <v>160</v>
          </cell>
          <cell r="J59">
            <v>0.03</v>
          </cell>
          <cell r="M59" t="str">
            <v>000.03</v>
          </cell>
          <cell r="N59" t="str">
            <v>00160</v>
          </cell>
          <cell r="Q59" t="str">
            <v>90212</v>
          </cell>
        </row>
        <row r="60">
          <cell r="A60">
            <v>90213</v>
          </cell>
          <cell r="B60" t="str">
            <v>CREAM CAKE O.C. 30G TWIN 160PK CBB</v>
          </cell>
          <cell r="C60">
            <v>34</v>
          </cell>
          <cell r="D60">
            <v>17</v>
          </cell>
          <cell r="E60" t="str">
            <v>CAKE CR 30X160 OC</v>
          </cell>
          <cell r="F60" t="str">
            <v>07</v>
          </cell>
          <cell r="G60">
            <v>21027601</v>
          </cell>
          <cell r="H60">
            <v>4.8</v>
          </cell>
          <cell r="I60">
            <v>160</v>
          </cell>
          <cell r="J60">
            <v>0.03</v>
          </cell>
          <cell r="M60" t="str">
            <v>000.03</v>
          </cell>
          <cell r="N60" t="str">
            <v>00160</v>
          </cell>
          <cell r="Q60" t="str">
            <v>90213</v>
          </cell>
        </row>
        <row r="61">
          <cell r="A61">
            <v>90214</v>
          </cell>
          <cell r="B61" t="str">
            <v>CUP CAKE BUTTER 30G TWIN 160PK CBB</v>
          </cell>
          <cell r="C61">
            <v>34</v>
          </cell>
          <cell r="D61">
            <v>18</v>
          </cell>
          <cell r="E61" t="str">
            <v>CAKE CUP 30X160 BU</v>
          </cell>
          <cell r="F61" t="str">
            <v>07</v>
          </cell>
          <cell r="G61">
            <v>22191603</v>
          </cell>
          <cell r="H61">
            <v>4.8</v>
          </cell>
          <cell r="I61">
            <v>160</v>
          </cell>
          <cell r="J61">
            <v>0.03</v>
          </cell>
          <cell r="M61" t="str">
            <v>000.03</v>
          </cell>
          <cell r="N61" t="str">
            <v>00160</v>
          </cell>
          <cell r="Q61" t="str">
            <v>90214</v>
          </cell>
        </row>
        <row r="62">
          <cell r="A62">
            <v>90215</v>
          </cell>
          <cell r="B62" t="str">
            <v>CUP CAKE ORG CREAM 30G TWIN 160PK CBB</v>
          </cell>
          <cell r="C62">
            <v>37</v>
          </cell>
          <cell r="D62">
            <v>19</v>
          </cell>
          <cell r="E62" t="str">
            <v>CAKE CUP CR O30X160</v>
          </cell>
          <cell r="F62" t="str">
            <v>07</v>
          </cell>
          <cell r="G62">
            <v>22201603</v>
          </cell>
          <cell r="H62">
            <v>4.8</v>
          </cell>
          <cell r="I62">
            <v>160</v>
          </cell>
          <cell r="J62">
            <v>0.03</v>
          </cell>
          <cell r="M62" t="str">
            <v>000.03</v>
          </cell>
          <cell r="N62" t="str">
            <v>00160</v>
          </cell>
          <cell r="Q62" t="str">
            <v>90215</v>
          </cell>
        </row>
        <row r="63">
          <cell r="A63">
            <v>90216</v>
          </cell>
          <cell r="B63" t="str">
            <v>CUP CAKE PINEAPPLE TWIN 30G 160PK CBB</v>
          </cell>
          <cell r="C63">
            <v>37</v>
          </cell>
          <cell r="D63">
            <v>19</v>
          </cell>
          <cell r="E63" t="str">
            <v>CAKE CUP CR P30X160</v>
          </cell>
          <cell r="F63" t="str">
            <v>07</v>
          </cell>
          <cell r="G63">
            <v>22211603</v>
          </cell>
          <cell r="H63">
            <v>4.8</v>
          </cell>
          <cell r="I63">
            <v>160</v>
          </cell>
          <cell r="J63">
            <v>0.03</v>
          </cell>
          <cell r="M63" t="str">
            <v>000.03</v>
          </cell>
          <cell r="N63" t="str">
            <v>00160</v>
          </cell>
          <cell r="Q63" t="str">
            <v>90216</v>
          </cell>
        </row>
        <row r="64">
          <cell r="A64">
            <v>90217</v>
          </cell>
          <cell r="B64" t="str">
            <v>CUP CAKE BUTTER 75G TRAY 40PK CBB</v>
          </cell>
          <cell r="C64">
            <v>33</v>
          </cell>
          <cell r="D64">
            <v>18</v>
          </cell>
          <cell r="E64" t="str">
            <v>CAKE CUP 75X40  BU</v>
          </cell>
          <cell r="F64" t="str">
            <v>07</v>
          </cell>
          <cell r="G64">
            <v>22190506</v>
          </cell>
          <cell r="H64">
            <v>3</v>
          </cell>
          <cell r="I64">
            <v>40</v>
          </cell>
          <cell r="J64">
            <v>7.4999999999999997E-2</v>
          </cell>
          <cell r="M64" t="str">
            <v>00.075</v>
          </cell>
          <cell r="N64" t="str">
            <v>00040</v>
          </cell>
          <cell r="Q64" t="str">
            <v>90217</v>
          </cell>
        </row>
        <row r="65">
          <cell r="A65">
            <v>90218</v>
          </cell>
          <cell r="B65" t="str">
            <v>CUP CAKE ORG CREAM 75G TRAY 40PK CBB</v>
          </cell>
          <cell r="C65">
            <v>36</v>
          </cell>
          <cell r="D65">
            <v>18</v>
          </cell>
          <cell r="E65" t="str">
            <v>CAKE CUP CR O75X40</v>
          </cell>
          <cell r="F65" t="str">
            <v>07</v>
          </cell>
          <cell r="G65">
            <v>22200506</v>
          </cell>
          <cell r="H65">
            <v>3</v>
          </cell>
          <cell r="I65">
            <v>40</v>
          </cell>
          <cell r="J65">
            <v>7.4999999999999997E-2</v>
          </cell>
          <cell r="M65" t="str">
            <v>00.075</v>
          </cell>
          <cell r="N65" t="str">
            <v>00040</v>
          </cell>
          <cell r="Q65" t="str">
            <v>90218</v>
          </cell>
        </row>
        <row r="66">
          <cell r="A66">
            <v>90219</v>
          </cell>
          <cell r="B66" t="str">
            <v>CUP CAKE PINEAPPLE 75G TRAY 40PK CBB</v>
          </cell>
          <cell r="C66">
            <v>36</v>
          </cell>
          <cell r="D66">
            <v>18</v>
          </cell>
          <cell r="E66" t="str">
            <v>CAKE CUP CR P75X40</v>
          </cell>
          <cell r="F66" t="str">
            <v>07</v>
          </cell>
          <cell r="G66">
            <v>22210506</v>
          </cell>
          <cell r="H66">
            <v>3</v>
          </cell>
          <cell r="I66">
            <v>40</v>
          </cell>
          <cell r="J66">
            <v>7.4999999999999997E-2</v>
          </cell>
          <cell r="M66" t="str">
            <v>00.075</v>
          </cell>
          <cell r="N66" t="str">
            <v>00040</v>
          </cell>
          <cell r="Q66" t="str">
            <v>90219</v>
          </cell>
        </row>
        <row r="67">
          <cell r="A67">
            <v>90254</v>
          </cell>
          <cell r="B67" t="str">
            <v>DUNDEE 600G 12 DRUM CBB</v>
          </cell>
          <cell r="C67">
            <v>23</v>
          </cell>
          <cell r="D67">
            <v>18</v>
          </cell>
          <cell r="E67" t="str">
            <v>CAKE DUNDEE 600X12</v>
          </cell>
          <cell r="F67" t="str">
            <v>07</v>
          </cell>
          <cell r="G67">
            <v>20520611</v>
          </cell>
          <cell r="H67">
            <v>7.2</v>
          </cell>
          <cell r="I67">
            <v>12</v>
          </cell>
          <cell r="J67">
            <v>0.6</v>
          </cell>
          <cell r="M67" t="str">
            <v>0000.6</v>
          </cell>
          <cell r="N67" t="str">
            <v>00012</v>
          </cell>
        </row>
        <row r="68">
          <cell r="A68">
            <v>90255</v>
          </cell>
          <cell r="B68" t="str">
            <v>F. MILK CHOCOLATE 200ML 27PK TRAY</v>
          </cell>
          <cell r="C68">
            <v>33</v>
          </cell>
          <cell r="D68">
            <v>17</v>
          </cell>
          <cell r="E68" t="str">
            <v>F MILK CHO 200X27</v>
          </cell>
          <cell r="F68" t="str">
            <v>05</v>
          </cell>
          <cell r="G68">
            <v>41049101</v>
          </cell>
          <cell r="H68">
            <v>5.4</v>
          </cell>
          <cell r="I68">
            <v>27</v>
          </cell>
          <cell r="J68">
            <v>0.2</v>
          </cell>
          <cell r="M68" t="str">
            <v>0000.2</v>
          </cell>
          <cell r="N68" t="str">
            <v>00027</v>
          </cell>
          <cell r="Q68" t="str">
            <v>90255</v>
          </cell>
        </row>
        <row r="69">
          <cell r="A69">
            <v>90256</v>
          </cell>
          <cell r="B69" t="str">
            <v>F. MILK CHOCOLATE 200ML 27PK TRAY EXP</v>
          </cell>
          <cell r="C69">
            <v>37</v>
          </cell>
          <cell r="D69">
            <v>19</v>
          </cell>
          <cell r="E69" t="str">
            <v>F MILK CHO 200X27EX</v>
          </cell>
          <cell r="F69" t="str">
            <v>05</v>
          </cell>
          <cell r="G69">
            <v>42391416</v>
          </cell>
          <cell r="H69">
            <v>5.4</v>
          </cell>
          <cell r="I69">
            <v>27</v>
          </cell>
          <cell r="J69">
            <v>0.2</v>
          </cell>
          <cell r="M69" t="str">
            <v>0000.2</v>
          </cell>
          <cell r="N69" t="str">
            <v>00027</v>
          </cell>
        </row>
        <row r="70">
          <cell r="A70">
            <v>90257</v>
          </cell>
          <cell r="B70" t="str">
            <v>F. MILK CHOCOLATE 1LT 12PK TRAY</v>
          </cell>
          <cell r="C70">
            <v>31</v>
          </cell>
          <cell r="D70">
            <v>18</v>
          </cell>
          <cell r="E70" t="str">
            <v>F MILK CHO 1L X 12</v>
          </cell>
          <cell r="F70" t="str">
            <v>05</v>
          </cell>
          <cell r="G70">
            <v>41049201</v>
          </cell>
          <cell r="H70">
            <v>12</v>
          </cell>
          <cell r="I70">
            <v>12</v>
          </cell>
          <cell r="J70">
            <v>1</v>
          </cell>
          <cell r="M70" t="str">
            <v>000001</v>
          </cell>
          <cell r="N70" t="str">
            <v>00012</v>
          </cell>
          <cell r="Q70" t="str">
            <v>90257</v>
          </cell>
        </row>
        <row r="71">
          <cell r="A71">
            <v>90258</v>
          </cell>
          <cell r="B71" t="str">
            <v>F. MILK STRAWBERRY 200ML 27PK TRAY</v>
          </cell>
          <cell r="C71">
            <v>34</v>
          </cell>
          <cell r="D71">
            <v>19</v>
          </cell>
          <cell r="E71" t="str">
            <v>F MILK STR 200 X 27</v>
          </cell>
          <cell r="F71" t="str">
            <v>05</v>
          </cell>
          <cell r="G71">
            <v>41039101</v>
          </cell>
          <cell r="H71">
            <v>5.4</v>
          </cell>
          <cell r="I71">
            <v>27</v>
          </cell>
          <cell r="J71">
            <v>0.2</v>
          </cell>
          <cell r="M71" t="str">
            <v>0000.2</v>
          </cell>
          <cell r="N71" t="str">
            <v>00027</v>
          </cell>
          <cell r="Q71" t="str">
            <v>90258</v>
          </cell>
        </row>
        <row r="72">
          <cell r="A72">
            <v>90259</v>
          </cell>
          <cell r="B72" t="str">
            <v>F. MILK STRAWBERRY 200ML 27PK TRAY EXP</v>
          </cell>
          <cell r="C72">
            <v>38</v>
          </cell>
          <cell r="D72">
            <v>19</v>
          </cell>
          <cell r="E72" t="str">
            <v>F MILK STR 200X27EX</v>
          </cell>
          <cell r="F72" t="str">
            <v>05</v>
          </cell>
          <cell r="G72">
            <v>42381416</v>
          </cell>
          <cell r="H72">
            <v>5.4</v>
          </cell>
          <cell r="I72">
            <v>27</v>
          </cell>
          <cell r="J72">
            <v>0.2</v>
          </cell>
          <cell r="M72" t="str">
            <v>0000.2</v>
          </cell>
          <cell r="N72" t="str">
            <v>00027</v>
          </cell>
        </row>
        <row r="73">
          <cell r="A73">
            <v>90260</v>
          </cell>
          <cell r="B73" t="str">
            <v>F. MILK STRAWBERRY 1LT 12PK TRAY</v>
          </cell>
          <cell r="C73">
            <v>32</v>
          </cell>
          <cell r="D73">
            <v>18</v>
          </cell>
          <cell r="E73" t="str">
            <v>F MILK STR 1L X 12</v>
          </cell>
          <cell r="F73" t="str">
            <v>05</v>
          </cell>
          <cell r="G73">
            <v>41039201</v>
          </cell>
          <cell r="H73">
            <v>12</v>
          </cell>
          <cell r="I73">
            <v>12</v>
          </cell>
          <cell r="J73">
            <v>1</v>
          </cell>
          <cell r="M73" t="str">
            <v>000001</v>
          </cell>
          <cell r="N73" t="str">
            <v>00012</v>
          </cell>
          <cell r="Q73" t="str">
            <v>90260</v>
          </cell>
        </row>
        <row r="74">
          <cell r="A74">
            <v>90261</v>
          </cell>
          <cell r="B74" t="str">
            <v>LASSI 200ML 27PK TRAY</v>
          </cell>
          <cell r="C74">
            <v>21</v>
          </cell>
          <cell r="D74">
            <v>14</v>
          </cell>
          <cell r="E74" t="str">
            <v>LASSI 200 X 27</v>
          </cell>
          <cell r="F74" t="str">
            <v>06</v>
          </cell>
          <cell r="G74">
            <v>41069101</v>
          </cell>
          <cell r="H74">
            <v>5.4</v>
          </cell>
          <cell r="I74">
            <v>27</v>
          </cell>
          <cell r="J74">
            <v>0.2</v>
          </cell>
          <cell r="M74" t="str">
            <v>0000.2</v>
          </cell>
          <cell r="N74" t="str">
            <v>00027</v>
          </cell>
          <cell r="Q74" t="str">
            <v>90261</v>
          </cell>
        </row>
        <row r="75">
          <cell r="A75">
            <v>90262</v>
          </cell>
          <cell r="B75" t="str">
            <v>COLD COFFEE 200ML 27PK TRAY</v>
          </cell>
          <cell r="C75">
            <v>27</v>
          </cell>
          <cell r="D75">
            <v>16</v>
          </cell>
          <cell r="E75" t="str">
            <v>CCOFFEE 200 X 27</v>
          </cell>
          <cell r="F75" t="str">
            <v>05</v>
          </cell>
          <cell r="G75">
            <v>41079101</v>
          </cell>
          <cell r="H75">
            <v>5.4</v>
          </cell>
          <cell r="I75">
            <v>27</v>
          </cell>
          <cell r="J75">
            <v>0.2</v>
          </cell>
          <cell r="M75" t="str">
            <v>0000.2</v>
          </cell>
          <cell r="N75" t="str">
            <v>00027</v>
          </cell>
          <cell r="Q75" t="str">
            <v>90262</v>
          </cell>
        </row>
        <row r="76">
          <cell r="A76">
            <v>90265</v>
          </cell>
          <cell r="B76" t="str">
            <v>CHEESE BLOCK NATURAL 200G CEKA 30PK CBB</v>
          </cell>
          <cell r="C76">
            <v>39</v>
          </cell>
          <cell r="D76">
            <v>16</v>
          </cell>
          <cell r="E76" t="str">
            <v>C NATURAL 200X30</v>
          </cell>
          <cell r="F76" t="str">
            <v>02</v>
          </cell>
          <cell r="G76">
            <v>40015201</v>
          </cell>
          <cell r="H76">
            <v>6</v>
          </cell>
          <cell r="I76">
            <v>30</v>
          </cell>
          <cell r="J76">
            <v>0.2</v>
          </cell>
          <cell r="M76" t="str">
            <v>0000.2</v>
          </cell>
          <cell r="N76" t="str">
            <v>00030</v>
          </cell>
          <cell r="Q76" t="str">
            <v>90265</v>
          </cell>
        </row>
        <row r="77">
          <cell r="A77">
            <v>90266</v>
          </cell>
          <cell r="B77" t="str">
            <v>COLD COFFEE 200ML 24PK TRAY</v>
          </cell>
          <cell r="C77">
            <v>27</v>
          </cell>
          <cell r="D77">
            <v>16</v>
          </cell>
          <cell r="E77" t="str">
            <v>CCOFFEE 200 X 24</v>
          </cell>
          <cell r="F77" t="str">
            <v>05</v>
          </cell>
          <cell r="G77">
            <v>41079102</v>
          </cell>
          <cell r="H77">
            <v>4.8</v>
          </cell>
          <cell r="I77">
            <v>24</v>
          </cell>
          <cell r="J77">
            <v>0.19999999999999998</v>
          </cell>
          <cell r="M77" t="str">
            <v>0000.2</v>
          </cell>
          <cell r="N77" t="str">
            <v>00024</v>
          </cell>
          <cell r="Q77" t="str">
            <v>90266</v>
          </cell>
        </row>
        <row r="78">
          <cell r="A78">
            <v>90267</v>
          </cell>
          <cell r="B78" t="str">
            <v>D. MIX POUCH 100G 120PK CBB</v>
          </cell>
          <cell r="C78">
            <v>27</v>
          </cell>
          <cell r="D78">
            <v>19</v>
          </cell>
          <cell r="E78" t="str">
            <v>D MIX POUCH 100X120</v>
          </cell>
          <cell r="F78" t="str">
            <v>01</v>
          </cell>
          <cell r="G78">
            <v>40028507</v>
          </cell>
          <cell r="H78">
            <v>12</v>
          </cell>
          <cell r="I78">
            <v>120</v>
          </cell>
          <cell r="J78">
            <v>0.1</v>
          </cell>
          <cell r="M78" t="str">
            <v>0000.1</v>
          </cell>
          <cell r="N78" t="str">
            <v>00120</v>
          </cell>
          <cell r="Q78" t="str">
            <v>90267</v>
          </cell>
        </row>
        <row r="79">
          <cell r="A79">
            <v>90268</v>
          </cell>
          <cell r="B79" t="str">
            <v>F. MILK CHOCOLATE 200ML 24PK TRAY</v>
          </cell>
          <cell r="C79">
            <v>33</v>
          </cell>
          <cell r="D79">
            <v>17</v>
          </cell>
          <cell r="E79" t="str">
            <v>F MILK CHO 200X24</v>
          </cell>
          <cell r="F79" t="str">
            <v>05</v>
          </cell>
          <cell r="G79">
            <v>41049102</v>
          </cell>
          <cell r="H79">
            <v>4.8</v>
          </cell>
          <cell r="I79">
            <v>24</v>
          </cell>
          <cell r="J79">
            <v>0.19999999999999998</v>
          </cell>
          <cell r="M79" t="str">
            <v>0000.2</v>
          </cell>
          <cell r="N79" t="str">
            <v>00024</v>
          </cell>
          <cell r="Q79" t="str">
            <v>90268</v>
          </cell>
        </row>
        <row r="80">
          <cell r="A80">
            <v>90269</v>
          </cell>
          <cell r="B80" t="str">
            <v>F. MILK STRAWBERRY 200ML 24PK TRAY</v>
          </cell>
          <cell r="C80">
            <v>34</v>
          </cell>
          <cell r="D80">
            <v>19</v>
          </cell>
          <cell r="E80" t="str">
            <v>F MILK STR 200 X 24</v>
          </cell>
          <cell r="F80" t="str">
            <v>05</v>
          </cell>
          <cell r="G80">
            <v>41039102</v>
          </cell>
          <cell r="H80">
            <v>4.8</v>
          </cell>
          <cell r="I80">
            <v>24</v>
          </cell>
          <cell r="J80">
            <v>0.19999999999999998</v>
          </cell>
          <cell r="M80" t="str">
            <v>0000.2</v>
          </cell>
          <cell r="N80" t="str">
            <v>00024</v>
          </cell>
          <cell r="O80" t="str">
            <v xml:space="preserve">Description may be changed as </v>
          </cell>
          <cell r="Q80" t="str">
            <v>90269</v>
          </cell>
          <cell r="R80" t="str">
            <v>F. MILK STRAWBERRY 200ML 24PK TRAY</v>
          </cell>
        </row>
        <row r="81">
          <cell r="A81">
            <v>90270</v>
          </cell>
          <cell r="B81" t="str">
            <v>LASSI 200ML 24PK TRAY</v>
          </cell>
          <cell r="C81">
            <v>21</v>
          </cell>
          <cell r="D81">
            <v>14</v>
          </cell>
          <cell r="E81" t="str">
            <v>LASSI 200 X 24</v>
          </cell>
          <cell r="F81" t="str">
            <v>06</v>
          </cell>
          <cell r="G81">
            <v>41069102</v>
          </cell>
          <cell r="H81">
            <v>4.8</v>
          </cell>
          <cell r="I81">
            <v>24</v>
          </cell>
          <cell r="J81">
            <v>0.19999999999999998</v>
          </cell>
          <cell r="M81" t="str">
            <v>0000.2</v>
          </cell>
          <cell r="N81" t="str">
            <v>00024</v>
          </cell>
          <cell r="Q81" t="str">
            <v>90270</v>
          </cell>
        </row>
        <row r="82">
          <cell r="A82">
            <v>90271</v>
          </cell>
          <cell r="B82" t="str">
            <v>MIXED GHEE TIN 5LT 4PK CBB</v>
          </cell>
          <cell r="C82">
            <v>26</v>
          </cell>
          <cell r="D82">
            <v>19</v>
          </cell>
          <cell r="E82" t="str">
            <v>GHEE MIX 5LT X4 TIN</v>
          </cell>
          <cell r="F82" t="str">
            <v>04</v>
          </cell>
          <cell r="G82">
            <v>50015901</v>
          </cell>
          <cell r="H82">
            <v>20</v>
          </cell>
          <cell r="I82">
            <v>4</v>
          </cell>
          <cell r="J82">
            <v>5</v>
          </cell>
          <cell r="M82" t="str">
            <v>000005</v>
          </cell>
          <cell r="N82" t="str">
            <v>00004</v>
          </cell>
          <cell r="Q82" t="str">
            <v>90271</v>
          </cell>
        </row>
        <row r="83">
          <cell r="A83">
            <v>90288</v>
          </cell>
          <cell r="B83" t="str">
            <v>D. WHITENER POUCH 30G 300PK CBB</v>
          </cell>
          <cell r="C83">
            <v>31</v>
          </cell>
          <cell r="D83">
            <v>17</v>
          </cell>
          <cell r="E83" t="str">
            <v>DW POUCH 30 X 300</v>
          </cell>
          <cell r="F83" t="str">
            <v>01</v>
          </cell>
          <cell r="G83" t="str">
            <v xml:space="preserve">GM11     </v>
          </cell>
          <cell r="H83">
            <v>9</v>
          </cell>
          <cell r="I83">
            <v>300</v>
          </cell>
          <cell r="J83">
            <v>0.03</v>
          </cell>
          <cell r="M83" t="str">
            <v>000.03</v>
          </cell>
          <cell r="N83" t="str">
            <v>00300</v>
          </cell>
          <cell r="Q83" t="str">
            <v>90288</v>
          </cell>
        </row>
        <row r="84">
          <cell r="A84">
            <v>90296</v>
          </cell>
          <cell r="B84" t="str">
            <v>CHEESE BLOCK 1KG 12PK CBB LOW MELT</v>
          </cell>
          <cell r="C84">
            <v>34</v>
          </cell>
          <cell r="D84">
            <v>18</v>
          </cell>
          <cell r="E84" t="str">
            <v>C BL 1KGX12 L MELT</v>
          </cell>
          <cell r="F84" t="str">
            <v>02</v>
          </cell>
          <cell r="G84" t="str">
            <v xml:space="preserve">GM54     </v>
          </cell>
          <cell r="H84">
            <v>12</v>
          </cell>
          <cell r="I84">
            <v>12</v>
          </cell>
          <cell r="J84">
            <v>1</v>
          </cell>
          <cell r="M84" t="str">
            <v>000001</v>
          </cell>
          <cell r="N84" t="str">
            <v>00012</v>
          </cell>
        </row>
        <row r="85">
          <cell r="A85">
            <v>90300</v>
          </cell>
          <cell r="B85" t="str">
            <v>CREDIT NOTE MATERIAL - DY</v>
          </cell>
          <cell r="C85">
            <v>25</v>
          </cell>
          <cell r="D85">
            <v>19</v>
          </cell>
          <cell r="E85" t="str">
            <v>CR NOTE MATERIAL-DY</v>
          </cell>
          <cell r="G85" t="str">
            <v>CREDIT DY</v>
          </cell>
          <cell r="H85">
            <v>1</v>
          </cell>
          <cell r="I85">
            <v>1</v>
          </cell>
          <cell r="J85">
            <v>1</v>
          </cell>
          <cell r="M85" t="str">
            <v>000001</v>
          </cell>
          <cell r="N85" t="str">
            <v>00001</v>
          </cell>
        </row>
        <row r="86">
          <cell r="A86">
            <v>90316</v>
          </cell>
          <cell r="B86" t="str">
            <v>BAR CAKE CHOCO 200G 30PK CBB</v>
          </cell>
          <cell r="C86">
            <v>28</v>
          </cell>
          <cell r="D86">
            <v>17</v>
          </cell>
          <cell r="E86" t="str">
            <v>CAKE CHOCO 200X30</v>
          </cell>
          <cell r="F86" t="str">
            <v>07</v>
          </cell>
          <cell r="G86">
            <v>20057002</v>
          </cell>
          <cell r="H86">
            <v>6</v>
          </cell>
          <cell r="I86">
            <v>30</v>
          </cell>
          <cell r="J86">
            <v>0.2</v>
          </cell>
          <cell r="M86" t="str">
            <v>0000.2</v>
          </cell>
          <cell r="N86" t="str">
            <v>00030</v>
          </cell>
        </row>
        <row r="87">
          <cell r="A87">
            <v>90317</v>
          </cell>
          <cell r="B87" t="str">
            <v>BAR CAKE FRUIT 200G 30PK CBB</v>
          </cell>
          <cell r="C87">
            <v>28</v>
          </cell>
          <cell r="D87">
            <v>17</v>
          </cell>
          <cell r="E87" t="str">
            <v>CAKE FRUIT 200X30</v>
          </cell>
          <cell r="F87" t="str">
            <v>07</v>
          </cell>
          <cell r="G87">
            <v>20047002</v>
          </cell>
          <cell r="H87">
            <v>6</v>
          </cell>
          <cell r="I87">
            <v>30</v>
          </cell>
          <cell r="J87">
            <v>0.2</v>
          </cell>
          <cell r="M87" t="str">
            <v>0000.2</v>
          </cell>
          <cell r="N87" t="str">
            <v>00030</v>
          </cell>
        </row>
        <row r="88">
          <cell r="A88">
            <v>90318</v>
          </cell>
          <cell r="B88" t="str">
            <v>BAR CAKE O.C. 200G 30PK CBB</v>
          </cell>
          <cell r="C88">
            <v>27</v>
          </cell>
          <cell r="D88">
            <v>14</v>
          </cell>
          <cell r="E88" t="str">
            <v>CAKE OC 200X30</v>
          </cell>
          <cell r="F88" t="str">
            <v>07</v>
          </cell>
          <cell r="G88">
            <v>20087002</v>
          </cell>
          <cell r="H88">
            <v>6</v>
          </cell>
          <cell r="I88">
            <v>30</v>
          </cell>
          <cell r="J88">
            <v>0.2</v>
          </cell>
          <cell r="M88" t="str">
            <v>0000.2</v>
          </cell>
          <cell r="N88" t="str">
            <v>00030</v>
          </cell>
        </row>
        <row r="89">
          <cell r="A89">
            <v>90319</v>
          </cell>
          <cell r="B89" t="str">
            <v>BAR CAKE ORANGE 200G 30PK CBB</v>
          </cell>
          <cell r="C89">
            <v>29</v>
          </cell>
          <cell r="D89">
            <v>15</v>
          </cell>
          <cell r="E89" t="str">
            <v>CAKE ORG 200X30</v>
          </cell>
          <cell r="F89" t="str">
            <v>07</v>
          </cell>
          <cell r="G89">
            <v>20067002</v>
          </cell>
          <cell r="H89">
            <v>6</v>
          </cell>
          <cell r="I89">
            <v>30</v>
          </cell>
          <cell r="J89">
            <v>0.2</v>
          </cell>
          <cell r="M89" t="str">
            <v>0000.2</v>
          </cell>
          <cell r="N89" t="str">
            <v>00030</v>
          </cell>
        </row>
        <row r="90">
          <cell r="A90">
            <v>90320</v>
          </cell>
          <cell r="B90" t="str">
            <v>BAR CAKE PLUM 300G 30PK CBB</v>
          </cell>
          <cell r="C90">
            <v>27</v>
          </cell>
          <cell r="D90">
            <v>16</v>
          </cell>
          <cell r="E90" t="str">
            <v>CAKE PLUM 300X30</v>
          </cell>
          <cell r="F90" t="str">
            <v>07</v>
          </cell>
          <cell r="G90" t="str">
            <v xml:space="preserve">GM87     </v>
          </cell>
          <cell r="H90">
            <v>9</v>
          </cell>
          <cell r="I90">
            <v>30</v>
          </cell>
          <cell r="J90">
            <v>0.3</v>
          </cell>
          <cell r="M90" t="str">
            <v>0000.3</v>
          </cell>
          <cell r="N90" t="str">
            <v>00030</v>
          </cell>
        </row>
        <row r="91">
          <cell r="A91">
            <v>90321</v>
          </cell>
          <cell r="B91" t="str">
            <v>BAR CAKE V.C. 200G 30PK CBB</v>
          </cell>
          <cell r="C91">
            <v>27</v>
          </cell>
          <cell r="D91">
            <v>14</v>
          </cell>
          <cell r="E91" t="str">
            <v>CAKE VC 200X30</v>
          </cell>
          <cell r="F91" t="str">
            <v>07</v>
          </cell>
          <cell r="G91">
            <v>20077002</v>
          </cell>
          <cell r="H91">
            <v>6</v>
          </cell>
          <cell r="I91">
            <v>30</v>
          </cell>
          <cell r="J91">
            <v>0.2</v>
          </cell>
          <cell r="M91" t="str">
            <v>0000.2</v>
          </cell>
          <cell r="N91" t="str">
            <v>00030</v>
          </cell>
        </row>
        <row r="92">
          <cell r="A92">
            <v>90322</v>
          </cell>
          <cell r="B92" t="str">
            <v>CHEESE BLOCK NATURAL 1KG CEKA 12PK CBB</v>
          </cell>
          <cell r="C92">
            <v>38</v>
          </cell>
          <cell r="D92">
            <v>14</v>
          </cell>
          <cell r="E92" t="str">
            <v>C NATURAL 1X12</v>
          </cell>
          <cell r="F92" t="str">
            <v>02</v>
          </cell>
          <cell r="G92">
            <v>40019503</v>
          </cell>
          <cell r="H92">
            <v>12</v>
          </cell>
          <cell r="I92">
            <v>12</v>
          </cell>
          <cell r="J92">
            <v>1</v>
          </cell>
          <cell r="M92" t="str">
            <v>000001</v>
          </cell>
          <cell r="N92" t="str">
            <v>00012</v>
          </cell>
        </row>
        <row r="93">
          <cell r="A93">
            <v>90323</v>
          </cell>
          <cell r="B93" t="str">
            <v>CHEESE CASTED SLICES 2.27KG 8PK CBB</v>
          </cell>
          <cell r="C93">
            <v>35</v>
          </cell>
          <cell r="D93">
            <v>17</v>
          </cell>
          <cell r="E93" t="str">
            <v>C CASTED 2.27KGX8</v>
          </cell>
          <cell r="F93" t="str">
            <v>02</v>
          </cell>
          <cell r="G93">
            <v>40015101</v>
          </cell>
          <cell r="H93">
            <v>18.16</v>
          </cell>
          <cell r="I93">
            <v>8</v>
          </cell>
          <cell r="J93">
            <v>2.27</v>
          </cell>
          <cell r="M93" t="str">
            <v>002.27</v>
          </cell>
          <cell r="N93" t="str">
            <v>00008</v>
          </cell>
        </row>
        <row r="94">
          <cell r="A94">
            <v>90324</v>
          </cell>
          <cell r="B94" t="str">
            <v>CHEESE SLICES 1KG 12PK CBB</v>
          </cell>
          <cell r="C94">
            <v>26</v>
          </cell>
          <cell r="D94">
            <v>17</v>
          </cell>
          <cell r="E94" t="str">
            <v>C SLICES 1KG X 12</v>
          </cell>
          <cell r="F94" t="str">
            <v>02</v>
          </cell>
          <cell r="G94">
            <v>40018103</v>
          </cell>
          <cell r="H94">
            <v>12</v>
          </cell>
          <cell r="I94">
            <v>12</v>
          </cell>
          <cell r="J94">
            <v>1</v>
          </cell>
          <cell r="M94" t="str">
            <v>000001</v>
          </cell>
          <cell r="N94" t="str">
            <v>00012</v>
          </cell>
        </row>
        <row r="95">
          <cell r="A95">
            <v>90325</v>
          </cell>
          <cell r="B95" t="str">
            <v>COW GHEE PET 200ML 48PK CBB</v>
          </cell>
          <cell r="C95">
            <v>27</v>
          </cell>
          <cell r="D95">
            <v>19</v>
          </cell>
          <cell r="E95" t="str">
            <v>GHEE COW 200X48 PET</v>
          </cell>
          <cell r="F95" t="str">
            <v>04</v>
          </cell>
          <cell r="G95">
            <v>50067301</v>
          </cell>
          <cell r="H95">
            <v>9.6</v>
          </cell>
          <cell r="I95">
            <v>48</v>
          </cell>
          <cell r="J95">
            <v>0.19999999999999998</v>
          </cell>
          <cell r="M95" t="str">
            <v>0000.2</v>
          </cell>
          <cell r="N95" t="str">
            <v>00048</v>
          </cell>
        </row>
        <row r="96">
          <cell r="A96">
            <v>90326</v>
          </cell>
          <cell r="B96" t="str">
            <v>COW GHEE POUCH 1LT 12PK CBB</v>
          </cell>
          <cell r="C96">
            <v>27</v>
          </cell>
          <cell r="D96">
            <v>19</v>
          </cell>
          <cell r="E96" t="str">
            <v>GHEE COW 1LX12POUCH</v>
          </cell>
          <cell r="F96" t="str">
            <v>04</v>
          </cell>
          <cell r="G96" t="str">
            <v xml:space="preserve">GM88     </v>
          </cell>
          <cell r="H96">
            <v>12</v>
          </cell>
          <cell r="I96">
            <v>12</v>
          </cell>
          <cell r="J96">
            <v>1</v>
          </cell>
          <cell r="M96" t="str">
            <v>000001</v>
          </cell>
          <cell r="N96" t="str">
            <v>00012</v>
          </cell>
          <cell r="Q96" t="str">
            <v>90326</v>
          </cell>
        </row>
        <row r="97">
          <cell r="A97">
            <v>90327</v>
          </cell>
          <cell r="B97" t="str">
            <v>COW GHEE POUCH 500ML 24PK CBB</v>
          </cell>
          <cell r="C97">
            <v>29</v>
          </cell>
          <cell r="D97">
            <v>19</v>
          </cell>
          <cell r="E97" t="str">
            <v>GHEE COW ½LX24POUCH</v>
          </cell>
          <cell r="F97" t="str">
            <v>04</v>
          </cell>
          <cell r="G97">
            <v>50106401</v>
          </cell>
          <cell r="H97">
            <v>12</v>
          </cell>
          <cell r="I97">
            <v>24</v>
          </cell>
          <cell r="J97">
            <v>0.5</v>
          </cell>
          <cell r="M97" t="str">
            <v>0000.5</v>
          </cell>
          <cell r="N97" t="str">
            <v>00024</v>
          </cell>
        </row>
        <row r="98">
          <cell r="A98">
            <v>90328</v>
          </cell>
          <cell r="B98" t="str">
            <v>COW GHEE TIN 15KG 1PK CBB</v>
          </cell>
          <cell r="C98">
            <v>25</v>
          </cell>
          <cell r="D98">
            <v>17</v>
          </cell>
          <cell r="E98" t="str">
            <v>GHEE COW 15KG TIN</v>
          </cell>
          <cell r="F98" t="str">
            <v>04</v>
          </cell>
          <cell r="G98">
            <v>50136601</v>
          </cell>
          <cell r="H98">
            <v>15</v>
          </cell>
          <cell r="I98">
            <v>1</v>
          </cell>
          <cell r="J98">
            <v>15</v>
          </cell>
          <cell r="M98" t="str">
            <v>000015</v>
          </cell>
          <cell r="N98" t="str">
            <v>00001</v>
          </cell>
        </row>
        <row r="99">
          <cell r="A99">
            <v>90329</v>
          </cell>
          <cell r="B99" t="str">
            <v>MIXED GHEE TIN 15LT 1PK CBB</v>
          </cell>
          <cell r="C99">
            <v>27</v>
          </cell>
          <cell r="D99">
            <v>17</v>
          </cell>
          <cell r="E99" t="str">
            <v>GHEE MIX 15KG TIN</v>
          </cell>
          <cell r="F99" t="str">
            <v>04</v>
          </cell>
          <cell r="G99" t="str">
            <v xml:space="preserve">GM89     </v>
          </cell>
          <cell r="H99">
            <v>15</v>
          </cell>
          <cell r="I99">
            <v>1</v>
          </cell>
          <cell r="J99">
            <v>15</v>
          </cell>
          <cell r="M99" t="str">
            <v>000015</v>
          </cell>
          <cell r="N99" t="str">
            <v>00001</v>
          </cell>
        </row>
        <row r="100">
          <cell r="A100">
            <v>90330</v>
          </cell>
          <cell r="B100" t="str">
            <v>MIXED GHEE CEKA 200ML 60PK CBB</v>
          </cell>
          <cell r="C100">
            <v>30</v>
          </cell>
          <cell r="D100">
            <v>19</v>
          </cell>
          <cell r="E100" t="str">
            <v>GHEE MIX 200X60CEKA</v>
          </cell>
          <cell r="F100" t="str">
            <v>04</v>
          </cell>
          <cell r="G100">
            <v>50116501</v>
          </cell>
          <cell r="H100">
            <v>12</v>
          </cell>
          <cell r="I100">
            <v>12</v>
          </cell>
          <cell r="J100">
            <v>1</v>
          </cell>
          <cell r="M100" t="str">
            <v>000001</v>
          </cell>
          <cell r="N100" t="str">
            <v>00012</v>
          </cell>
        </row>
        <row r="101">
          <cell r="A101">
            <v>90331</v>
          </cell>
          <cell r="B101" t="str">
            <v>MIXED GHEE POUCH 500ML 24PK CBB</v>
          </cell>
          <cell r="C101">
            <v>31</v>
          </cell>
          <cell r="D101">
            <v>19</v>
          </cell>
          <cell r="E101" t="str">
            <v>GHEE MIX ½LX24POUCH</v>
          </cell>
          <cell r="F101" t="str">
            <v>04</v>
          </cell>
          <cell r="G101">
            <v>50056401</v>
          </cell>
          <cell r="H101">
            <v>12</v>
          </cell>
          <cell r="I101">
            <v>24</v>
          </cell>
          <cell r="J101">
            <v>0.5</v>
          </cell>
          <cell r="M101" t="str">
            <v>0000.5</v>
          </cell>
          <cell r="N101" t="str">
            <v>00024</v>
          </cell>
        </row>
        <row r="102">
          <cell r="A102">
            <v>90332</v>
          </cell>
          <cell r="B102" t="str">
            <v>2-IN-1 400G FEST PACK 30PK CBB</v>
          </cell>
          <cell r="C102">
            <v>30</v>
          </cell>
          <cell r="D102">
            <v>19</v>
          </cell>
          <cell r="E102" t="str">
            <v>CAKE2-IN-1 400X30FP</v>
          </cell>
          <cell r="F102" t="str">
            <v>07</v>
          </cell>
          <cell r="G102">
            <v>20127401</v>
          </cell>
          <cell r="H102">
            <v>12</v>
          </cell>
          <cell r="I102">
            <v>30</v>
          </cell>
          <cell r="J102">
            <v>0.4</v>
          </cell>
          <cell r="M102" t="str">
            <v>0000.4</v>
          </cell>
          <cell r="N102" t="str">
            <v>00030</v>
          </cell>
        </row>
        <row r="103">
          <cell r="A103">
            <v>90333</v>
          </cell>
          <cell r="B103" t="str">
            <v>3-IN-1 600G FEST PACK 20 PK CBB</v>
          </cell>
          <cell r="C103">
            <v>31</v>
          </cell>
          <cell r="D103">
            <v>19</v>
          </cell>
          <cell r="E103" t="str">
            <v>CAKE3-IN-1 400X30FP</v>
          </cell>
          <cell r="F103" t="str">
            <v>07</v>
          </cell>
          <cell r="G103">
            <v>20137401</v>
          </cell>
          <cell r="H103">
            <v>12</v>
          </cell>
          <cell r="I103">
            <v>20</v>
          </cell>
          <cell r="J103">
            <v>0.6</v>
          </cell>
          <cell r="M103" t="str">
            <v>0000.6</v>
          </cell>
          <cell r="N103" t="str">
            <v>00020</v>
          </cell>
        </row>
        <row r="104">
          <cell r="A104">
            <v>90334</v>
          </cell>
          <cell r="B104" t="str">
            <v>5-IN-1 1KG FEST PACK 12 PK CBB</v>
          </cell>
          <cell r="C104">
            <v>30</v>
          </cell>
          <cell r="D104">
            <v>19</v>
          </cell>
          <cell r="E104" t="str">
            <v>CAKE5-IN-1 400X30FP</v>
          </cell>
          <cell r="F104" t="str">
            <v>07</v>
          </cell>
          <cell r="G104">
            <v>20157401</v>
          </cell>
          <cell r="H104">
            <v>12</v>
          </cell>
          <cell r="I104">
            <v>12</v>
          </cell>
          <cell r="J104">
            <v>1</v>
          </cell>
          <cell r="M104" t="str">
            <v>000001</v>
          </cell>
          <cell r="N104" t="str">
            <v>00012</v>
          </cell>
        </row>
        <row r="105">
          <cell r="A105">
            <v>90335</v>
          </cell>
          <cell r="B105" t="str">
            <v>CREAM CAKE FEST PACK 30G TWIN 160PK CBB</v>
          </cell>
          <cell r="C105">
            <v>39</v>
          </cell>
          <cell r="D105">
            <v>17</v>
          </cell>
          <cell r="E105" t="str">
            <v>CAKE CR 30X160 FP</v>
          </cell>
          <cell r="F105" t="str">
            <v>07</v>
          </cell>
          <cell r="G105">
            <v>21037801</v>
          </cell>
          <cell r="H105">
            <v>4.8</v>
          </cell>
          <cell r="I105">
            <v>160</v>
          </cell>
          <cell r="J105">
            <v>0.03</v>
          </cell>
          <cell r="M105" t="str">
            <v>000.03</v>
          </cell>
          <cell r="N105" t="str">
            <v>00160</v>
          </cell>
        </row>
        <row r="106">
          <cell r="A106">
            <v>90336</v>
          </cell>
          <cell r="B106" t="str">
            <v>CUP CAKE FEST 30G TWIN 160PK CBB</v>
          </cell>
          <cell r="C106">
            <v>32</v>
          </cell>
          <cell r="D106">
            <v>18</v>
          </cell>
          <cell r="E106" t="str">
            <v>CAKE CUP 30X160 FP</v>
          </cell>
          <cell r="F106" t="str">
            <v>07</v>
          </cell>
          <cell r="G106">
            <v>22077801</v>
          </cell>
          <cell r="H106">
            <v>4.8</v>
          </cell>
          <cell r="I106">
            <v>160</v>
          </cell>
          <cell r="J106">
            <v>0.03</v>
          </cell>
          <cell r="M106" t="str">
            <v>000.03</v>
          </cell>
          <cell r="N106" t="str">
            <v>00160</v>
          </cell>
        </row>
        <row r="107">
          <cell r="A107">
            <v>90337</v>
          </cell>
          <cell r="B107" t="str">
            <v>BUTTER BLOCK 100G 150PK CBB PROMO</v>
          </cell>
          <cell r="C107">
            <v>33</v>
          </cell>
          <cell r="D107">
            <v>19</v>
          </cell>
          <cell r="E107" t="str">
            <v>BUTTER 100X150 PROM</v>
          </cell>
          <cell r="F107" t="str">
            <v>03</v>
          </cell>
          <cell r="G107">
            <v>30221907</v>
          </cell>
          <cell r="H107">
            <v>15</v>
          </cell>
          <cell r="I107">
            <v>150</v>
          </cell>
          <cell r="J107">
            <v>0.1</v>
          </cell>
          <cell r="M107" t="str">
            <v>0000.1</v>
          </cell>
          <cell r="N107" t="str">
            <v>00150</v>
          </cell>
        </row>
        <row r="108">
          <cell r="A108">
            <v>90338</v>
          </cell>
          <cell r="B108" t="str">
            <v>CHEESE TIN FT 400G+100G 24PK CBB PROMO</v>
          </cell>
          <cell r="C108">
            <v>38</v>
          </cell>
          <cell r="D108">
            <v>19</v>
          </cell>
          <cell r="E108" t="str">
            <v>C TIN 400X24 FT PRO</v>
          </cell>
          <cell r="F108" t="str">
            <v>02</v>
          </cell>
          <cell r="G108" t="str">
            <v xml:space="preserve">GM90     </v>
          </cell>
          <cell r="H108">
            <v>9.6</v>
          </cell>
          <cell r="I108">
            <v>24</v>
          </cell>
          <cell r="J108">
            <v>0.39999999999999997</v>
          </cell>
          <cell r="M108" t="str">
            <v>0000.4</v>
          </cell>
          <cell r="N108" t="str">
            <v>00024</v>
          </cell>
          <cell r="O108" t="str">
            <v>wt/cbb declared for inv is 9.6</v>
          </cell>
        </row>
        <row r="109">
          <cell r="A109">
            <v>90339</v>
          </cell>
          <cell r="B109" t="str">
            <v>CHEESE TIN NFT 400G+100G 24PK CBB PROMO</v>
          </cell>
          <cell r="C109">
            <v>39</v>
          </cell>
          <cell r="D109">
            <v>19</v>
          </cell>
          <cell r="E109" t="str">
            <v>C TIN 400X24NFT PRO</v>
          </cell>
          <cell r="F109" t="str">
            <v>02</v>
          </cell>
          <cell r="G109" t="str">
            <v xml:space="preserve">GM91     </v>
          </cell>
          <cell r="H109">
            <v>9.6</v>
          </cell>
          <cell r="I109">
            <v>24</v>
          </cell>
          <cell r="J109">
            <v>0.39999999999999997</v>
          </cell>
          <cell r="M109" t="str">
            <v>0000.4</v>
          </cell>
          <cell r="N109" t="str">
            <v>00024</v>
          </cell>
          <cell r="O109" t="str">
            <v>wt/cbb declared for inv is 9.6</v>
          </cell>
        </row>
        <row r="110">
          <cell r="A110">
            <v>90340</v>
          </cell>
          <cell r="B110" t="str">
            <v>D. WHITENER JAR 10KG+0.5KG 1PK CBB</v>
          </cell>
          <cell r="C110">
            <v>34</v>
          </cell>
          <cell r="D110">
            <v>19</v>
          </cell>
          <cell r="E110" t="str">
            <v>DW JAR 10KG X 1 PRO</v>
          </cell>
          <cell r="F110" t="str">
            <v>01</v>
          </cell>
          <cell r="G110" t="str">
            <v xml:space="preserve">GM92     </v>
          </cell>
          <cell r="H110">
            <v>10</v>
          </cell>
          <cell r="I110">
            <v>1</v>
          </cell>
          <cell r="J110">
            <v>10</v>
          </cell>
          <cell r="M110" t="str">
            <v>000010</v>
          </cell>
          <cell r="N110" t="str">
            <v>00001</v>
          </cell>
          <cell r="O110" t="str">
            <v>For inv pupose, net wt should be taken as 10</v>
          </cell>
        </row>
        <row r="111">
          <cell r="A111">
            <v>90399</v>
          </cell>
          <cell r="B111" t="str">
            <v>BAR CAKE MILK 200G 30PK CBB</v>
          </cell>
          <cell r="C111">
            <v>27</v>
          </cell>
          <cell r="D111">
            <v>16</v>
          </cell>
          <cell r="E111" t="str">
            <v>CAKE MILK 200X30</v>
          </cell>
          <cell r="F111" t="str">
            <v>07</v>
          </cell>
          <cell r="G111" t="str">
            <v xml:space="preserve">GM130    </v>
          </cell>
          <cell r="H111">
            <v>6</v>
          </cell>
          <cell r="I111">
            <v>30</v>
          </cell>
          <cell r="J111">
            <v>0.2</v>
          </cell>
          <cell r="M111" t="str">
            <v>0000.2</v>
          </cell>
          <cell r="N111" t="str">
            <v>00030</v>
          </cell>
        </row>
        <row r="112">
          <cell r="A112">
            <v>90400</v>
          </cell>
          <cell r="B112" t="str">
            <v>BAR CAKE MILK 200G 60PK CBB</v>
          </cell>
          <cell r="C112">
            <v>27</v>
          </cell>
          <cell r="D112">
            <v>16</v>
          </cell>
          <cell r="E112" t="str">
            <v>CAKE MILK 200X60</v>
          </cell>
          <cell r="F112" t="str">
            <v>07</v>
          </cell>
          <cell r="G112" t="str">
            <v xml:space="preserve">GM131    </v>
          </cell>
          <cell r="H112">
            <v>12</v>
          </cell>
          <cell r="I112">
            <v>60</v>
          </cell>
          <cell r="J112">
            <v>0.2</v>
          </cell>
          <cell r="M112" t="str">
            <v>0000.2</v>
          </cell>
          <cell r="N112" t="str">
            <v>00060</v>
          </cell>
        </row>
        <row r="113">
          <cell r="A113">
            <v>90401</v>
          </cell>
          <cell r="B113" t="str">
            <v>C. SPREAD TUB C. CAP. 200G 60PK CBB</v>
          </cell>
          <cell r="C113">
            <v>35</v>
          </cell>
          <cell r="D113">
            <v>18</v>
          </cell>
          <cell r="E113" t="str">
            <v>C SP TUB CC 200X60</v>
          </cell>
          <cell r="F113" t="str">
            <v>02</v>
          </cell>
          <cell r="G113" t="str">
            <v xml:space="preserve">GM132    </v>
          </cell>
          <cell r="H113">
            <v>12</v>
          </cell>
          <cell r="I113">
            <v>60</v>
          </cell>
          <cell r="J113">
            <v>0.2</v>
          </cell>
          <cell r="M113" t="str">
            <v>0000.2</v>
          </cell>
          <cell r="N113" t="str">
            <v>00060</v>
          </cell>
        </row>
        <row r="114">
          <cell r="A114">
            <v>90402</v>
          </cell>
          <cell r="B114" t="str">
            <v>C. SPREAD TUB PEPPER 200G 60PK CBB</v>
          </cell>
          <cell r="C114">
            <v>34</v>
          </cell>
          <cell r="D114">
            <v>18</v>
          </cell>
          <cell r="E114" t="str">
            <v>C SP TUB PP 200X60</v>
          </cell>
          <cell r="F114" t="str">
            <v>02</v>
          </cell>
          <cell r="G114" t="str">
            <v xml:space="preserve">GM133    </v>
          </cell>
          <cell r="H114">
            <v>12</v>
          </cell>
          <cell r="I114">
            <v>60</v>
          </cell>
          <cell r="J114">
            <v>0.2</v>
          </cell>
          <cell r="M114" t="str">
            <v>0000.2</v>
          </cell>
          <cell r="N114" t="str">
            <v>00060</v>
          </cell>
        </row>
        <row r="115">
          <cell r="A115">
            <v>90403</v>
          </cell>
          <cell r="B115" t="str">
            <v>C. SPREAD TUB PLAIN 200G 60PK CBB</v>
          </cell>
          <cell r="C115">
            <v>33</v>
          </cell>
          <cell r="D115">
            <v>18</v>
          </cell>
          <cell r="E115" t="str">
            <v>C SP TUB PL 200X60</v>
          </cell>
          <cell r="F115" t="str">
            <v>02</v>
          </cell>
          <cell r="G115" t="str">
            <v xml:space="preserve">GM134    </v>
          </cell>
          <cell r="H115">
            <v>12</v>
          </cell>
          <cell r="I115">
            <v>60</v>
          </cell>
          <cell r="J115">
            <v>0.2</v>
          </cell>
          <cell r="M115" t="str">
            <v>0000.2</v>
          </cell>
          <cell r="N115" t="str">
            <v>00060</v>
          </cell>
        </row>
        <row r="116">
          <cell r="A116">
            <v>90404</v>
          </cell>
          <cell r="B116" t="str">
            <v>CHEESE BLOCK 400G CEKA 30PK CBB PL BOX</v>
          </cell>
          <cell r="C116">
            <v>38</v>
          </cell>
          <cell r="D116">
            <v>17</v>
          </cell>
          <cell r="E116" t="str">
            <v xml:space="preserve">C BL CEKA 400X30 </v>
          </cell>
          <cell r="F116" t="str">
            <v>02</v>
          </cell>
          <cell r="G116" t="str">
            <v xml:space="preserve">GM135    </v>
          </cell>
          <cell r="H116">
            <v>12</v>
          </cell>
          <cell r="I116">
            <v>30</v>
          </cell>
          <cell r="J116">
            <v>0.4</v>
          </cell>
          <cell r="M116" t="str">
            <v>0000.4</v>
          </cell>
          <cell r="N116" t="str">
            <v>00030</v>
          </cell>
          <cell r="O116" t="str">
            <v>wt/cbb 12</v>
          </cell>
        </row>
        <row r="117">
          <cell r="A117">
            <v>90405</v>
          </cell>
          <cell r="B117" t="str">
            <v>CHEESE SLICES PEPPER 100G 120PK CBB</v>
          </cell>
          <cell r="C117">
            <v>35</v>
          </cell>
          <cell r="D117">
            <v>19</v>
          </cell>
          <cell r="E117" t="str">
            <v>C SLICES PP 100X120</v>
          </cell>
          <cell r="F117" t="str">
            <v>02</v>
          </cell>
          <cell r="G117" t="str">
            <v xml:space="preserve">GM136    </v>
          </cell>
          <cell r="H117">
            <v>12</v>
          </cell>
          <cell r="I117">
            <v>120</v>
          </cell>
          <cell r="J117">
            <v>0.1</v>
          </cell>
          <cell r="M117" t="str">
            <v>0000.1</v>
          </cell>
          <cell r="N117" t="str">
            <v>00120</v>
          </cell>
        </row>
        <row r="118">
          <cell r="A118">
            <v>90406</v>
          </cell>
          <cell r="B118" t="str">
            <v>CHEESE TIN 200G 48PK CBB</v>
          </cell>
          <cell r="C118">
            <v>24</v>
          </cell>
          <cell r="D118">
            <v>14</v>
          </cell>
          <cell r="E118" t="str">
            <v>C TIN 200 X 48</v>
          </cell>
          <cell r="F118" t="str">
            <v>02</v>
          </cell>
          <cell r="G118" t="str">
            <v xml:space="preserve">GM137    </v>
          </cell>
          <cell r="H118">
            <v>9.6</v>
          </cell>
          <cell r="I118">
            <v>48</v>
          </cell>
          <cell r="J118">
            <v>0.19999999999999998</v>
          </cell>
          <cell r="M118" t="str">
            <v>0000.2</v>
          </cell>
          <cell r="N118" t="str">
            <v>00048</v>
          </cell>
        </row>
        <row r="119">
          <cell r="A119">
            <v>90407</v>
          </cell>
          <cell r="B119" t="str">
            <v>CHEESE TIN 500G 24PK CBB</v>
          </cell>
          <cell r="C119">
            <v>24</v>
          </cell>
          <cell r="D119">
            <v>14</v>
          </cell>
          <cell r="E119" t="str">
            <v>C TIN 500 X 24</v>
          </cell>
          <cell r="F119" t="str">
            <v>02</v>
          </cell>
          <cell r="G119" t="str">
            <v xml:space="preserve">GM138    </v>
          </cell>
          <cell r="H119">
            <v>12</v>
          </cell>
          <cell r="I119">
            <v>24</v>
          </cell>
          <cell r="J119">
            <v>0.5</v>
          </cell>
          <cell r="M119" t="str">
            <v>0000.5</v>
          </cell>
          <cell r="N119" t="str">
            <v>00024</v>
          </cell>
        </row>
        <row r="120">
          <cell r="A120">
            <v>90408</v>
          </cell>
          <cell r="B120" t="str">
            <v>D. WHITENER POUCH 1KG 12PK CBB PROMO</v>
          </cell>
          <cell r="C120">
            <v>36</v>
          </cell>
          <cell r="D120">
            <v>17</v>
          </cell>
          <cell r="E120" t="str">
            <v>DW POUCH 1KG X 12</v>
          </cell>
          <cell r="F120" t="str">
            <v>01</v>
          </cell>
          <cell r="G120" t="str">
            <v xml:space="preserve">GM139    </v>
          </cell>
          <cell r="H120">
            <v>12</v>
          </cell>
          <cell r="I120">
            <v>12</v>
          </cell>
          <cell r="J120">
            <v>1</v>
          </cell>
          <cell r="M120" t="str">
            <v>000001</v>
          </cell>
          <cell r="N120" t="str">
            <v>00012</v>
          </cell>
        </row>
        <row r="121">
          <cell r="A121">
            <v>90409</v>
          </cell>
          <cell r="B121" t="str">
            <v>D. WHITENER POUCH 200G 60PK CBB PROMO</v>
          </cell>
          <cell r="C121">
            <v>37</v>
          </cell>
          <cell r="D121">
            <v>19</v>
          </cell>
          <cell r="E121" t="str">
            <v>DW POUCH 200X60 PRO</v>
          </cell>
          <cell r="F121" t="str">
            <v>01</v>
          </cell>
          <cell r="G121" t="str">
            <v xml:space="preserve">GM140    </v>
          </cell>
          <cell r="H121">
            <v>12</v>
          </cell>
          <cell r="I121">
            <v>60</v>
          </cell>
          <cell r="J121">
            <v>0.2</v>
          </cell>
          <cell r="M121" t="str">
            <v>0000.2</v>
          </cell>
          <cell r="N121" t="str">
            <v>00060</v>
          </cell>
        </row>
        <row r="122">
          <cell r="A122">
            <v>90410</v>
          </cell>
          <cell r="B122" t="str">
            <v>D. WHITENER POUCH 500G 24PK CBB PROMO</v>
          </cell>
          <cell r="C122">
            <v>37</v>
          </cell>
          <cell r="D122">
            <v>19</v>
          </cell>
          <cell r="E122" t="str">
            <v>DW POUCH 500X24 PRO</v>
          </cell>
          <cell r="F122" t="str">
            <v>01</v>
          </cell>
          <cell r="G122" t="str">
            <v xml:space="preserve">GM141    </v>
          </cell>
          <cell r="H122">
            <v>12</v>
          </cell>
          <cell r="I122">
            <v>24</v>
          </cell>
          <cell r="J122">
            <v>0.5</v>
          </cell>
          <cell r="M122" t="str">
            <v>0000.5</v>
          </cell>
          <cell r="N122" t="str">
            <v>00024</v>
          </cell>
        </row>
        <row r="123">
          <cell r="A123">
            <v>90411</v>
          </cell>
          <cell r="B123" t="str">
            <v>D. WHITENER POUCH 50G 180PK CBB PROMO</v>
          </cell>
          <cell r="C123">
            <v>37</v>
          </cell>
          <cell r="D123">
            <v>19</v>
          </cell>
          <cell r="E123" t="str">
            <v>DW POUCH 50X180 PRO</v>
          </cell>
          <cell r="F123" t="str">
            <v>01</v>
          </cell>
          <cell r="G123" t="str">
            <v xml:space="preserve">GM142    </v>
          </cell>
          <cell r="H123">
            <v>9</v>
          </cell>
          <cell r="I123">
            <v>180</v>
          </cell>
          <cell r="J123">
            <v>0.05</v>
          </cell>
          <cell r="M123" t="str">
            <v>000.05</v>
          </cell>
          <cell r="N123" t="str">
            <v>00180</v>
          </cell>
        </row>
        <row r="124">
          <cell r="A124">
            <v>90412</v>
          </cell>
          <cell r="B124" t="str">
            <v>D. WHITENER SACHET 3G 2000PK CBB</v>
          </cell>
          <cell r="C124">
            <v>32</v>
          </cell>
          <cell r="D124">
            <v>17</v>
          </cell>
          <cell r="E124" t="str">
            <v>DW SACHET 3GX2000</v>
          </cell>
          <cell r="F124" t="str">
            <v>01</v>
          </cell>
          <cell r="G124" t="str">
            <v xml:space="preserve">GM143    </v>
          </cell>
          <cell r="H124">
            <v>6</v>
          </cell>
          <cell r="I124">
            <v>2000</v>
          </cell>
          <cell r="J124">
            <v>3.0000000000000001E-3</v>
          </cell>
          <cell r="M124" t="str">
            <v>00.003</v>
          </cell>
          <cell r="N124" t="str">
            <v>02000</v>
          </cell>
        </row>
        <row r="125">
          <cell r="A125">
            <v>90413</v>
          </cell>
          <cell r="B125" t="str">
            <v>SLICE CAKE MAZA MIX 35G 240PK CBB FEST</v>
          </cell>
          <cell r="C125">
            <v>38</v>
          </cell>
          <cell r="D125">
            <v>19</v>
          </cell>
          <cell r="E125" t="str">
            <v>CAKE SS MM 35X240FP</v>
          </cell>
          <cell r="F125" t="str">
            <v>07</v>
          </cell>
          <cell r="G125" t="str">
            <v xml:space="preserve">GM144    </v>
          </cell>
          <cell r="H125">
            <v>8.4</v>
          </cell>
          <cell r="I125">
            <v>240</v>
          </cell>
          <cell r="J125">
            <v>3.5000000000000003E-2</v>
          </cell>
          <cell r="M125" t="str">
            <v>00.035</v>
          </cell>
          <cell r="N125" t="str">
            <v>00240</v>
          </cell>
        </row>
        <row r="126">
          <cell r="A126">
            <v>90414</v>
          </cell>
          <cell r="B126" t="str">
            <v>BAR CAKE BUTTER SPONGE 200G 30PK CBB</v>
          </cell>
          <cell r="C126">
            <v>36</v>
          </cell>
          <cell r="D126">
            <v>18</v>
          </cell>
          <cell r="E126" t="str">
            <v>CAKE BUTTER 200X30</v>
          </cell>
          <cell r="F126" t="str">
            <v>07</v>
          </cell>
          <cell r="G126" t="str">
            <v xml:space="preserve">GM145    </v>
          </cell>
          <cell r="H126">
            <v>6</v>
          </cell>
          <cell r="I126">
            <v>30</v>
          </cell>
          <cell r="J126">
            <v>0.2</v>
          </cell>
          <cell r="M126" t="str">
            <v>0000.2</v>
          </cell>
          <cell r="N126" t="str">
            <v>00030</v>
          </cell>
          <cell r="O126" t="str">
            <v>Net wt per cbb 6</v>
          </cell>
        </row>
        <row r="127">
          <cell r="A127">
            <v>90415</v>
          </cell>
          <cell r="B127" t="str">
            <v>MILK UHT TTPK 1LT 12PK CBB</v>
          </cell>
          <cell r="C127">
            <v>26</v>
          </cell>
          <cell r="D127">
            <v>18</v>
          </cell>
          <cell r="E127" t="str">
            <v>UHT TTPK 1LTR X 12</v>
          </cell>
          <cell r="F127" t="str">
            <v>08</v>
          </cell>
          <cell r="G127" t="str">
            <v xml:space="preserve">GM146    </v>
          </cell>
          <cell r="H127">
            <v>12</v>
          </cell>
          <cell r="I127">
            <v>12</v>
          </cell>
          <cell r="J127">
            <v>1</v>
          </cell>
          <cell r="M127" t="str">
            <v>000001</v>
          </cell>
          <cell r="N127" t="str">
            <v>00012</v>
          </cell>
          <cell r="O127" t="str">
            <v>Wt per CBB should be 12</v>
          </cell>
        </row>
        <row r="128">
          <cell r="A128">
            <v>90416</v>
          </cell>
          <cell r="B128" t="str">
            <v>MILK UHT TTPK 250ML 24PK CBB</v>
          </cell>
          <cell r="C128">
            <v>28</v>
          </cell>
          <cell r="D128">
            <v>18</v>
          </cell>
          <cell r="E128" t="str">
            <v>UHT TTPK 250M X 24</v>
          </cell>
          <cell r="F128" t="str">
            <v>08</v>
          </cell>
          <cell r="G128" t="str">
            <v xml:space="preserve">GM147    </v>
          </cell>
          <cell r="H128">
            <v>6</v>
          </cell>
          <cell r="I128">
            <v>24</v>
          </cell>
          <cell r="J128">
            <v>0.25</v>
          </cell>
          <cell r="M128" t="str">
            <v>000.25</v>
          </cell>
          <cell r="N128" t="str">
            <v>00024</v>
          </cell>
          <cell r="O128" t="str">
            <v>Wt per CBB should be 6</v>
          </cell>
        </row>
        <row r="129">
          <cell r="A129">
            <v>90417</v>
          </cell>
          <cell r="B129" t="str">
            <v>MILK FULL CREAM 1LT POUCH PACK</v>
          </cell>
          <cell r="C129">
            <v>30</v>
          </cell>
          <cell r="D129">
            <v>17</v>
          </cell>
          <cell r="E129" t="str">
            <v>MILK FULL CR 1LTR</v>
          </cell>
          <cell r="F129" t="str">
            <v>09</v>
          </cell>
          <cell r="G129" t="str">
            <v xml:space="preserve">GM148    </v>
          </cell>
          <cell r="H129">
            <v>1</v>
          </cell>
          <cell r="I129">
            <v>1</v>
          </cell>
          <cell r="J129">
            <v>1</v>
          </cell>
          <cell r="M129" t="str">
            <v>000001</v>
          </cell>
          <cell r="N129" t="str">
            <v>00001</v>
          </cell>
        </row>
        <row r="130">
          <cell r="A130">
            <v>90418</v>
          </cell>
          <cell r="B130" t="str">
            <v>MILK FULL CREAM 500ML POUCH PACK</v>
          </cell>
          <cell r="C130">
            <v>32</v>
          </cell>
          <cell r="D130">
            <v>18</v>
          </cell>
          <cell r="E130" t="str">
            <v>MILK FULL CR ½ LTR</v>
          </cell>
          <cell r="F130" t="str">
            <v>09</v>
          </cell>
          <cell r="G130" t="str">
            <v xml:space="preserve">GM149    </v>
          </cell>
          <cell r="H130">
            <v>0.5</v>
          </cell>
          <cell r="I130">
            <v>1</v>
          </cell>
          <cell r="J130">
            <v>0.5</v>
          </cell>
          <cell r="M130" t="str">
            <v>0000.5</v>
          </cell>
          <cell r="N130" t="str">
            <v>00001</v>
          </cell>
        </row>
        <row r="131">
          <cell r="A131">
            <v>90419</v>
          </cell>
          <cell r="B131" t="str">
            <v>MILK TONED 1LT POUCH PACK</v>
          </cell>
          <cell r="C131">
            <v>25</v>
          </cell>
          <cell r="D131">
            <v>19</v>
          </cell>
          <cell r="E131" t="str">
            <v>MILK TONED 1L POUCH</v>
          </cell>
          <cell r="F131" t="str">
            <v>09</v>
          </cell>
          <cell r="G131" t="str">
            <v xml:space="preserve">GM150    </v>
          </cell>
          <cell r="H131">
            <v>1</v>
          </cell>
          <cell r="I131">
            <v>1</v>
          </cell>
          <cell r="J131">
            <v>1</v>
          </cell>
          <cell r="M131" t="str">
            <v>000001</v>
          </cell>
          <cell r="N131" t="str">
            <v>00001</v>
          </cell>
        </row>
        <row r="132">
          <cell r="A132">
            <v>90420</v>
          </cell>
          <cell r="B132" t="str">
            <v>MILK TONED 500 ML POUCH PACK</v>
          </cell>
          <cell r="C132">
            <v>28</v>
          </cell>
          <cell r="D132">
            <v>19</v>
          </cell>
          <cell r="E132" t="str">
            <v>MILK TONED½ L POUCH</v>
          </cell>
          <cell r="F132" t="str">
            <v>09</v>
          </cell>
          <cell r="G132" t="str">
            <v xml:space="preserve">GM151    </v>
          </cell>
          <cell r="H132">
            <v>0.5</v>
          </cell>
          <cell r="I132">
            <v>1</v>
          </cell>
          <cell r="J132">
            <v>0.5</v>
          </cell>
          <cell r="M132" t="str">
            <v>0000.5</v>
          </cell>
          <cell r="N132" t="str">
            <v>00001</v>
          </cell>
        </row>
        <row r="133">
          <cell r="A133">
            <v>90421</v>
          </cell>
          <cell r="B133" t="str">
            <v>MILK DOUBLE TONED 500 ML POUCH PACK</v>
          </cell>
          <cell r="C133">
            <v>35</v>
          </cell>
          <cell r="D133">
            <v>19</v>
          </cell>
          <cell r="E133" t="str">
            <v>MILK DOUBLETONED ½L</v>
          </cell>
          <cell r="F133" t="str">
            <v>09</v>
          </cell>
          <cell r="G133" t="str">
            <v xml:space="preserve">GM152    </v>
          </cell>
          <cell r="H133">
            <v>0.5</v>
          </cell>
          <cell r="I133">
            <v>1</v>
          </cell>
          <cell r="J133">
            <v>0.5</v>
          </cell>
          <cell r="M133" t="str">
            <v>0000.5</v>
          </cell>
          <cell r="N133" t="str">
            <v>00001</v>
          </cell>
        </row>
        <row r="134">
          <cell r="A134">
            <v>90425</v>
          </cell>
          <cell r="B134" t="str">
            <v>CHEESE BLOCK 400G CEKA 36PK CBB APO</v>
          </cell>
          <cell r="C134">
            <v>35</v>
          </cell>
          <cell r="D134">
            <v>19</v>
          </cell>
          <cell r="E134" t="str">
            <v>C BL CEKA 400X36APO</v>
          </cell>
          <cell r="F134" t="str">
            <v>02</v>
          </cell>
          <cell r="G134">
            <v>40018801</v>
          </cell>
          <cell r="H134">
            <v>14.4</v>
          </cell>
          <cell r="I134">
            <v>36</v>
          </cell>
          <cell r="J134">
            <v>0.4</v>
          </cell>
          <cell r="M134" t="str">
            <v>0000.4</v>
          </cell>
          <cell r="N134" t="str">
            <v>00024</v>
          </cell>
        </row>
        <row r="135">
          <cell r="A135">
            <v>90426</v>
          </cell>
          <cell r="B135" t="str">
            <v>MIXED GHEE PET 200ML 48PK CBB</v>
          </cell>
          <cell r="C135">
            <v>29</v>
          </cell>
          <cell r="D135">
            <v>19</v>
          </cell>
          <cell r="E135" t="str">
            <v>GHEEMIXCOW200X48PET</v>
          </cell>
          <cell r="F135" t="str">
            <v>04</v>
          </cell>
          <cell r="G135">
            <v>50067301</v>
          </cell>
          <cell r="H135">
            <v>9.6</v>
          </cell>
          <cell r="I135">
            <v>48</v>
          </cell>
          <cell r="J135">
            <v>0.19999999999999998</v>
          </cell>
          <cell r="M135" t="str">
            <v>0000.2</v>
          </cell>
          <cell r="N135" t="str">
            <v>00048</v>
          </cell>
        </row>
        <row r="136">
          <cell r="A136">
            <v>90427</v>
          </cell>
          <cell r="B136" t="str">
            <v>MIXED GHEE POUCH 1LT 12PK CBB</v>
          </cell>
          <cell r="C136">
            <v>29</v>
          </cell>
          <cell r="D136">
            <v>19</v>
          </cell>
          <cell r="E136" t="str">
            <v>GHEE MIX 1LX12POUCH</v>
          </cell>
          <cell r="F136" t="str">
            <v>04</v>
          </cell>
          <cell r="G136">
            <v>50046301</v>
          </cell>
          <cell r="H136">
            <v>12</v>
          </cell>
          <cell r="I136">
            <v>12</v>
          </cell>
          <cell r="J136">
            <v>1</v>
          </cell>
          <cell r="M136" t="str">
            <v>000001</v>
          </cell>
          <cell r="N136" t="str">
            <v>00012</v>
          </cell>
          <cell r="O136" t="str">
            <v>Net Wt per CBB should be 12 and no of pts per cbb also 12</v>
          </cell>
          <cell r="Q136" t="str">
            <v>90427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Page"/>
      <sheetName val="DR"/>
      <sheetName val="DR-Anx"/>
      <sheetName val="AR"/>
      <sheetName val="CARO"/>
      <sheetName val="CAROApp"/>
      <sheetName val="BS"/>
      <sheetName val="PL"/>
      <sheetName val="FundFlow"/>
      <sheetName val="Instructions"/>
      <sheetName val="BSSch"/>
      <sheetName val="FASch"/>
      <sheetName val="PLSch"/>
      <sheetName val="Notes"/>
      <sheetName val="PartIV"/>
      <sheetName val="GR-BS"/>
      <sheetName val="GR-PL"/>
      <sheetName val="AS22"/>
      <sheetName val="115JB"/>
      <sheetName val="115JB-Anx"/>
      <sheetName val="3CA"/>
      <sheetName val="3CA-Anx"/>
      <sheetName val="3CD"/>
      <sheetName val="145A-Exclusive"/>
      <sheetName val="145-Incusive"/>
      <sheetName val="3CD-145A-Anx"/>
      <sheetName val="3CD-Dep-Anx"/>
      <sheetName val="3CD-40A(3)-Anx"/>
      <sheetName val="3CD-40A(2)(b)-Anx"/>
      <sheetName val="3CD-269SS-T-Anx"/>
      <sheetName val="3CD-CFLoss-Anx"/>
      <sheetName val="3CD-Ratios-Anx "/>
      <sheetName val="Names"/>
      <sheetName val="IT"/>
      <sheetName val="Mast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>
        <row r="3">
          <cell r="C3" t="str">
            <v>Portalplayer (India) Private Limited</v>
          </cell>
        </row>
        <row r="7">
          <cell r="C7" t="str">
            <v>Private Limited Company</v>
          </cell>
        </row>
        <row r="11">
          <cell r="C11" t="str">
            <v>AABCP7418F</v>
          </cell>
        </row>
        <row r="19">
          <cell r="C19" t="str">
            <v>Deloitte Haskins &amp; Sells</v>
          </cell>
        </row>
        <row r="28">
          <cell r="C28" t="str">
            <v>31-03-2006</v>
          </cell>
        </row>
        <row r="34">
          <cell r="C34" t="str">
            <v>2006-07</v>
          </cell>
        </row>
        <row r="46">
          <cell r="C46" t="str">
            <v>Mercantile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s"/>
      <sheetName val="CellColor"/>
      <sheetName val="Sheet1 (2)"/>
      <sheetName val="Enable_Macros"/>
      <sheetName val="AllElements_OLD"/>
      <sheetName val="AllElements"/>
      <sheetName val="General_Information"/>
      <sheetName val="General_Information_1"/>
      <sheetName val="SourcesandApplicationofFunds"/>
      <sheetName val="TotalAssetsandLiabilties"/>
      <sheetName val="Schedule_ShareCapital"/>
      <sheetName val="Schedule_ShareCapital_1"/>
      <sheetName val="Schedule_ShareCapital_2"/>
      <sheetName val="Schedule_FixedAssets"/>
      <sheetName val="Schedule_FixedAssets_NetGross"/>
      <sheetName val="Schedule_Reserves_Surplus"/>
      <sheetName val="Schedule_ReserveSurplus_Summary"/>
      <sheetName val="Schedule_SecuredDebt"/>
      <sheetName val="Schedule_UnsecuredDebt"/>
      <sheetName val="Schedule_Investments"/>
      <sheetName val="Schedule_SundryDebtors"/>
      <sheetName val="Schedule_CashandBankBalances"/>
      <sheetName val="Schedule_Inventories"/>
      <sheetName val="Schedule_OtherCurrentAssets"/>
      <sheetName val="Schedule_LoansandAdvances"/>
      <sheetName val="Schedule_CurrentLiabilities"/>
      <sheetName val="Schedule_Provisions"/>
      <sheetName val="Schedule_Misc_Expenditure"/>
      <sheetName val="AdditionalDetailsBalanceSheet"/>
      <sheetName val="AdditionalDetailsBalanceSheet_1"/>
      <sheetName val="AdditionalDetailsBalanceSheet_2"/>
      <sheetName val="AdditionalDetailsBalanceSheet_3"/>
      <sheetName val="AdditionalDetailsBalanceSheet_4"/>
      <sheetName val="IncomeStatement_Main"/>
      <sheetName val="IncomeStatement_Alternative"/>
      <sheetName val="AdditionalDetailsIncomeStatemnt"/>
      <sheetName val="AdditionalDetailsIncomeStmnt_1"/>
      <sheetName val="AdditionalDetailsIncomeStmnt_2"/>
      <sheetName val="AdditionalDetailsIncomeStmnt_3"/>
      <sheetName val="AdditionalDetailsIncomeStmnt_4"/>
      <sheetName val="Schedule_Income"/>
      <sheetName val="Schedule_Expenditure"/>
      <sheetName val="StatementofCashFlow,Indirect"/>
      <sheetName val="StatementofCashFlow,Direct"/>
      <sheetName val="NotesAccountingPolicies"/>
      <sheetName val="NotesChangesInAccountingPolicy"/>
      <sheetName val="NotesEventsOccuringAfterBSDate"/>
      <sheetName val="NotesPriorPeriodExItem"/>
      <sheetName val="Sheet1"/>
      <sheetName val="NotesForeignExchangeTrans"/>
      <sheetName val="NotesGovernmentGrants"/>
      <sheetName val="NotesAmalgamation"/>
      <sheetName val="NotesAmalgamation_1"/>
      <sheetName val="NotesEmployeeBenefits"/>
      <sheetName val="NotesSegmentReporting"/>
      <sheetName val="NotesSegmentReporting_1"/>
      <sheetName val="NotesSegmentReporting_11"/>
      <sheetName val="NotesSegmentReporting_2"/>
      <sheetName val="NotesSegmentReporting_22"/>
      <sheetName val="NotesRelatedParties"/>
      <sheetName val="NotesRelatedParties_1"/>
      <sheetName val="Sheet4"/>
      <sheetName val="NotesRelatedParties_2"/>
      <sheetName val="NotesLeases"/>
      <sheetName val="NotesEarningsPerShare"/>
      <sheetName val="NotesSubsidiaryInformation"/>
      <sheetName val="NotesSubsidiaryInformation_1"/>
      <sheetName val="NotesSubsidiaryInformation_2"/>
      <sheetName val="NotesSubsidiaryInformation_3"/>
      <sheetName val="NotesDeferredTaxAssetLiability"/>
      <sheetName val="NotesInvestmentsInAssociate"/>
      <sheetName val="NotesInvestmentsInAssociate_1"/>
      <sheetName val="NotesInvestmentsInJointVenture"/>
      <sheetName val="NoteInvestmentsInJointVenture_1"/>
      <sheetName val="NotesDiscontinuingOperations"/>
      <sheetName val="NotesIntangibleAssets"/>
      <sheetName val="NotesImpairmentOfAssets"/>
      <sheetName val="NotesProvisionsAndContingency"/>
      <sheetName val="NotesCashFlowStatement"/>
      <sheetName val="NotesCashFlowStatement_1"/>
      <sheetName val="NotesCashFlowStatement_2"/>
      <sheetName val="NotesDueToMMSEnterprise"/>
      <sheetName val="NotesDueToMMSEnterprise_1"/>
      <sheetName val="NotesDueToMMSEnterprise_2"/>
      <sheetName val="Sheet2"/>
    </sheetNames>
    <sheetDataSet>
      <sheetData sheetId="0">
        <row r="1">
          <cell r="B1" t="str">
            <v>Equity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MDL-Butter"/>
      <sheetName val="MDL-Ghee"/>
      <sheetName val="DDIL-Ghee"/>
      <sheetName val="DDIL-Butter"/>
      <sheetName val="FM"/>
      <sheetName val="DPDW"/>
      <sheetName val="Cheese"/>
      <sheetName val="freight"/>
      <sheetName val="mdlfrt0001"/>
      <sheetName val="mdlfrt9900"/>
      <sheetName val="freight9900"/>
      <sheetName val="Rates"/>
      <sheetName val="Freight-Q-1"/>
      <sheetName val="Ann -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99">
          <cell r="B99" t="str">
            <v>Normal</v>
          </cell>
          <cell r="E99" t="str">
            <v>Refrigerated</v>
          </cell>
        </row>
        <row r="100">
          <cell r="B100" t="str">
            <v>EITA</v>
          </cell>
          <cell r="C100" t="str">
            <v>FCIL</v>
          </cell>
          <cell r="D100" t="str">
            <v>Shrinath</v>
          </cell>
          <cell r="E100" t="str">
            <v>Mehta</v>
          </cell>
          <cell r="F100" t="str">
            <v>NFT</v>
          </cell>
          <cell r="G100" t="str">
            <v>Gati</v>
          </cell>
        </row>
        <row r="101">
          <cell r="A101" t="str">
            <v>Ahmedabad</v>
          </cell>
          <cell r="B101">
            <v>7000</v>
          </cell>
          <cell r="D101">
            <v>6200</v>
          </cell>
          <cell r="E101">
            <v>16350</v>
          </cell>
          <cell r="F101">
            <v>16350</v>
          </cell>
          <cell r="H101">
            <v>7000</v>
          </cell>
          <cell r="I101">
            <v>16350</v>
          </cell>
        </row>
        <row r="102">
          <cell r="A102" t="str">
            <v>Ambattur</v>
          </cell>
          <cell r="D102">
            <v>13850</v>
          </cell>
          <cell r="E102">
            <v>24000</v>
          </cell>
          <cell r="F102">
            <v>24000</v>
          </cell>
          <cell r="G102">
            <v>24640</v>
          </cell>
          <cell r="H102">
            <v>13850</v>
          </cell>
          <cell r="I102">
            <v>24000</v>
          </cell>
        </row>
        <row r="103">
          <cell r="A103" t="str">
            <v>Aslali</v>
          </cell>
          <cell r="B103">
            <v>7000</v>
          </cell>
          <cell r="D103">
            <v>6200</v>
          </cell>
          <cell r="E103">
            <v>16350</v>
          </cell>
          <cell r="F103">
            <v>16350</v>
          </cell>
          <cell r="H103">
            <v>7000</v>
          </cell>
          <cell r="I103">
            <v>16350</v>
          </cell>
        </row>
        <row r="104">
          <cell r="A104" t="str">
            <v>Avinashi</v>
          </cell>
          <cell r="D104">
            <v>13850</v>
          </cell>
          <cell r="H104">
            <v>13850</v>
          </cell>
        </row>
        <row r="105">
          <cell r="A105" t="str">
            <v>Bangalore</v>
          </cell>
          <cell r="D105">
            <v>10350</v>
          </cell>
          <cell r="E105">
            <v>21800</v>
          </cell>
          <cell r="F105">
            <v>21800</v>
          </cell>
          <cell r="G105">
            <v>22400</v>
          </cell>
          <cell r="H105">
            <v>10350</v>
          </cell>
          <cell r="I105">
            <v>22400</v>
          </cell>
        </row>
        <row r="106">
          <cell r="A106" t="str">
            <v>Baruipur</v>
          </cell>
        </row>
        <row r="107">
          <cell r="A107" t="str">
            <v>Bhandup</v>
          </cell>
          <cell r="D107">
            <v>4300</v>
          </cell>
          <cell r="E107">
            <v>8700</v>
          </cell>
          <cell r="H107">
            <v>4300</v>
          </cell>
          <cell r="I107">
            <v>8700</v>
          </cell>
        </row>
        <row r="108">
          <cell r="A108" t="str">
            <v>Bhiwandi</v>
          </cell>
          <cell r="D108">
            <v>4100</v>
          </cell>
          <cell r="E108">
            <v>8700</v>
          </cell>
          <cell r="F108">
            <v>8000</v>
          </cell>
          <cell r="H108">
            <v>4100</v>
          </cell>
          <cell r="I108">
            <v>8700</v>
          </cell>
        </row>
        <row r="109">
          <cell r="A109" t="str">
            <v>Burdwan</v>
          </cell>
          <cell r="B109">
            <v>25800</v>
          </cell>
          <cell r="C109">
            <v>25800</v>
          </cell>
          <cell r="H109">
            <v>25800</v>
          </cell>
        </row>
        <row r="110">
          <cell r="A110" t="str">
            <v>Calcutta</v>
          </cell>
          <cell r="B110">
            <v>25800</v>
          </cell>
          <cell r="C110">
            <v>25800</v>
          </cell>
          <cell r="F110">
            <v>52000</v>
          </cell>
          <cell r="G110">
            <v>52000</v>
          </cell>
          <cell r="H110">
            <v>25800</v>
          </cell>
          <cell r="I110">
            <v>52000</v>
          </cell>
        </row>
        <row r="111">
          <cell r="A111" t="str">
            <v>Calicut</v>
          </cell>
          <cell r="D111">
            <v>14175</v>
          </cell>
          <cell r="H111">
            <v>14175</v>
          </cell>
        </row>
        <row r="112">
          <cell r="A112" t="str">
            <v>Cuttack</v>
          </cell>
          <cell r="B112">
            <v>20000</v>
          </cell>
          <cell r="C112">
            <v>20000</v>
          </cell>
          <cell r="H112">
            <v>20000</v>
          </cell>
        </row>
        <row r="113">
          <cell r="A113" t="str">
            <v>Delhi</v>
          </cell>
          <cell r="B113">
            <v>17700</v>
          </cell>
          <cell r="C113">
            <v>17700</v>
          </cell>
          <cell r="D113">
            <v>16350</v>
          </cell>
          <cell r="E113">
            <v>26700</v>
          </cell>
          <cell r="F113">
            <v>26700</v>
          </cell>
          <cell r="H113">
            <v>17700</v>
          </cell>
          <cell r="I113">
            <v>26700</v>
          </cell>
        </row>
        <row r="114">
          <cell r="A114" t="str">
            <v>Dhanbad</v>
          </cell>
          <cell r="B114">
            <v>24000</v>
          </cell>
          <cell r="H114">
            <v>24000</v>
          </cell>
        </row>
        <row r="115">
          <cell r="A115" t="str">
            <v>Ghaziabad</v>
          </cell>
          <cell r="B115">
            <v>18000</v>
          </cell>
          <cell r="C115">
            <v>18000</v>
          </cell>
          <cell r="D115">
            <v>16700</v>
          </cell>
          <cell r="E115">
            <v>26700</v>
          </cell>
          <cell r="F115">
            <v>26700</v>
          </cell>
          <cell r="H115">
            <v>18000</v>
          </cell>
          <cell r="I115">
            <v>26700</v>
          </cell>
        </row>
        <row r="116">
          <cell r="A116" t="str">
            <v>Goa</v>
          </cell>
          <cell r="D116">
            <v>6425</v>
          </cell>
          <cell r="E116">
            <v>14700</v>
          </cell>
          <cell r="F116">
            <v>14700</v>
          </cell>
          <cell r="H116">
            <v>6425</v>
          </cell>
          <cell r="I116">
            <v>14700</v>
          </cell>
        </row>
        <row r="117">
          <cell r="A117" t="str">
            <v>Guwahati</v>
          </cell>
          <cell r="B117">
            <v>39500</v>
          </cell>
          <cell r="C117">
            <v>39500</v>
          </cell>
          <cell r="H117">
            <v>39500</v>
          </cell>
        </row>
        <row r="118">
          <cell r="A118" t="str">
            <v>Hubli</v>
          </cell>
          <cell r="D118">
            <v>6500</v>
          </cell>
          <cell r="H118">
            <v>6500</v>
          </cell>
        </row>
        <row r="119">
          <cell r="A119" t="str">
            <v>Hyderabad</v>
          </cell>
          <cell r="D119">
            <v>6300</v>
          </cell>
          <cell r="E119">
            <v>11500</v>
          </cell>
          <cell r="F119">
            <v>11500</v>
          </cell>
          <cell r="H119">
            <v>6300</v>
          </cell>
          <cell r="I119">
            <v>11500</v>
          </cell>
        </row>
        <row r="120">
          <cell r="A120" t="str">
            <v>Indore</v>
          </cell>
          <cell r="B120">
            <v>8250</v>
          </cell>
          <cell r="D120">
            <v>6300</v>
          </cell>
          <cell r="H120">
            <v>8250</v>
          </cell>
        </row>
        <row r="121">
          <cell r="A121" t="str">
            <v>Jabalpur</v>
          </cell>
          <cell r="B121">
            <v>11800</v>
          </cell>
          <cell r="H121">
            <v>11800</v>
          </cell>
        </row>
        <row r="122">
          <cell r="A122" t="str">
            <v>Jadavpur</v>
          </cell>
        </row>
        <row r="123">
          <cell r="A123" t="str">
            <v>Jaipur</v>
          </cell>
          <cell r="B123">
            <v>14100</v>
          </cell>
          <cell r="C123">
            <v>14100</v>
          </cell>
          <cell r="H123">
            <v>14100</v>
          </cell>
        </row>
        <row r="124">
          <cell r="A124" t="str">
            <v>Jammu</v>
          </cell>
          <cell r="C124">
            <v>27730</v>
          </cell>
          <cell r="H124">
            <v>27730</v>
          </cell>
        </row>
        <row r="125">
          <cell r="A125" t="str">
            <v>Kanpur</v>
          </cell>
          <cell r="B125">
            <v>17700</v>
          </cell>
          <cell r="C125">
            <v>17700</v>
          </cell>
          <cell r="H125">
            <v>17700</v>
          </cell>
        </row>
        <row r="126">
          <cell r="A126" t="str">
            <v>Kochi</v>
          </cell>
          <cell r="D126">
            <v>15250</v>
          </cell>
          <cell r="H126">
            <v>15250</v>
          </cell>
        </row>
        <row r="127">
          <cell r="A127" t="str">
            <v>Kundli</v>
          </cell>
        </row>
        <row r="128">
          <cell r="A128" t="str">
            <v>Ludhiana</v>
          </cell>
          <cell r="B128">
            <v>20000</v>
          </cell>
          <cell r="H128">
            <v>20000</v>
          </cell>
        </row>
        <row r="129">
          <cell r="A129" t="str">
            <v>Madurai</v>
          </cell>
          <cell r="D129">
            <v>14700</v>
          </cell>
          <cell r="H129">
            <v>14700</v>
          </cell>
        </row>
        <row r="130">
          <cell r="A130" t="str">
            <v>Mavelikara</v>
          </cell>
          <cell r="D130">
            <v>16350</v>
          </cell>
          <cell r="H130">
            <v>16350</v>
          </cell>
        </row>
        <row r="131">
          <cell r="A131" t="str">
            <v>Nagpur</v>
          </cell>
          <cell r="B131">
            <v>7100</v>
          </cell>
          <cell r="D131">
            <v>5900</v>
          </cell>
          <cell r="H131">
            <v>7100</v>
          </cell>
        </row>
        <row r="132">
          <cell r="A132" t="str">
            <v>Narol</v>
          </cell>
          <cell r="B132">
            <v>7000</v>
          </cell>
          <cell r="D132">
            <v>6200</v>
          </cell>
          <cell r="E132">
            <v>16350</v>
          </cell>
          <cell r="H132">
            <v>7000</v>
          </cell>
        </row>
        <row r="133">
          <cell r="A133" t="str">
            <v>PARWANOO</v>
          </cell>
        </row>
        <row r="134">
          <cell r="A134" t="str">
            <v>Patna</v>
          </cell>
          <cell r="B134">
            <v>25300</v>
          </cell>
          <cell r="C134">
            <v>25300</v>
          </cell>
          <cell r="H134">
            <v>25300</v>
          </cell>
        </row>
        <row r="135">
          <cell r="A135" t="str">
            <v>Pondicherry</v>
          </cell>
          <cell r="D135">
            <v>13625</v>
          </cell>
          <cell r="H135">
            <v>13625</v>
          </cell>
        </row>
        <row r="136">
          <cell r="A136" t="str">
            <v>Raipur</v>
          </cell>
          <cell r="B136">
            <v>9400</v>
          </cell>
          <cell r="C136">
            <v>9400</v>
          </cell>
          <cell r="D136">
            <v>8700</v>
          </cell>
          <cell r="H136">
            <v>9400</v>
          </cell>
        </row>
        <row r="137">
          <cell r="A137" t="str">
            <v>Rajgurunagar</v>
          </cell>
          <cell r="D137">
            <v>2100</v>
          </cell>
          <cell r="E137">
            <v>3800</v>
          </cell>
          <cell r="H137">
            <v>2100</v>
          </cell>
          <cell r="I137">
            <v>3800</v>
          </cell>
        </row>
        <row r="138">
          <cell r="A138" t="str">
            <v>Rourkela</v>
          </cell>
          <cell r="B138">
            <v>19550</v>
          </cell>
          <cell r="C138">
            <v>19550</v>
          </cell>
          <cell r="H138">
            <v>19550</v>
          </cell>
        </row>
        <row r="139">
          <cell r="A139" t="str">
            <v>Salem</v>
          </cell>
          <cell r="D139">
            <v>12000</v>
          </cell>
          <cell r="H139">
            <v>12000</v>
          </cell>
        </row>
        <row r="140">
          <cell r="A140" t="str">
            <v>Satara</v>
          </cell>
          <cell r="D140">
            <v>2100</v>
          </cell>
          <cell r="H140">
            <v>2100</v>
          </cell>
        </row>
        <row r="141">
          <cell r="A141" t="str">
            <v>Shibpur</v>
          </cell>
        </row>
        <row r="142">
          <cell r="A142" t="str">
            <v>Shuklaganj</v>
          </cell>
        </row>
        <row r="143">
          <cell r="A143" t="str">
            <v>Siliguri</v>
          </cell>
          <cell r="B143">
            <v>29900</v>
          </cell>
          <cell r="C143">
            <v>29900</v>
          </cell>
          <cell r="H143">
            <v>29900</v>
          </cell>
        </row>
        <row r="144">
          <cell r="A144" t="str">
            <v>Trichy</v>
          </cell>
          <cell r="D144">
            <v>14700</v>
          </cell>
          <cell r="H144">
            <v>14700</v>
          </cell>
        </row>
        <row r="145">
          <cell r="A145" t="str">
            <v>UNNAO</v>
          </cell>
        </row>
        <row r="146">
          <cell r="A146" t="str">
            <v>Vijaywada</v>
          </cell>
          <cell r="D146">
            <v>7600</v>
          </cell>
          <cell r="H146">
            <v>7600</v>
          </cell>
        </row>
        <row r="147">
          <cell r="A147" t="str">
            <v>Zirakpur</v>
          </cell>
          <cell r="B147">
            <v>20000</v>
          </cell>
          <cell r="C147">
            <v>20000</v>
          </cell>
          <cell r="H147">
            <v>20000</v>
          </cell>
        </row>
        <row r="148">
          <cell r="A148" t="str">
            <v>Baramati (APO)</v>
          </cell>
          <cell r="H148">
            <v>2100</v>
          </cell>
          <cell r="I148">
            <v>3800</v>
          </cell>
        </row>
        <row r="149">
          <cell r="A149" t="str">
            <v>Baramati</v>
          </cell>
          <cell r="H149">
            <v>2100</v>
          </cell>
          <cell r="I149">
            <v>3800</v>
          </cell>
        </row>
        <row r="150">
          <cell r="A150" t="str">
            <v>Raj'nagar</v>
          </cell>
          <cell r="D150">
            <v>2100</v>
          </cell>
          <cell r="E150">
            <v>3800</v>
          </cell>
          <cell r="H150">
            <v>2100</v>
          </cell>
          <cell r="I150">
            <v>3800</v>
          </cell>
        </row>
        <row r="151">
          <cell r="A151" t="str">
            <v>Vijawada</v>
          </cell>
          <cell r="D151">
            <v>6300</v>
          </cell>
          <cell r="E151">
            <v>11500</v>
          </cell>
          <cell r="F151">
            <v>11500</v>
          </cell>
          <cell r="H151">
            <v>6300</v>
          </cell>
          <cell r="I151">
            <v>11500</v>
          </cell>
        </row>
      </sheetData>
      <sheetData sheetId="13" refreshError="1"/>
      <sheetData sheetId="14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"/>
      <sheetName val="L"/>
      <sheetName val="UV"/>
      <sheetName val="BB"/>
      <sheetName val="NN"/>
      <sheetName val="SS"/>
      <sheetName val="15"/>
      <sheetName val="20"/>
      <sheetName val="30"/>
      <sheetName val="A"/>
      <sheetName val="#REF"/>
      <sheetName val="Sch 10-12"/>
      <sheetName val="sales analysis"/>
      <sheetName val="TB11-12"/>
      <sheetName val="Valuation"/>
      <sheetName val="UPTO MARCH"/>
      <sheetName val="FY 10-11(May10)"/>
      <sheetName val="FY 10-11(June10)"/>
      <sheetName val="FY 10-11(July10)"/>
      <sheetName val="FY 10-11(Aug10)"/>
      <sheetName val="FY 10-11(Oct10)"/>
      <sheetName val="FY 10-11(Nov10)"/>
      <sheetName val="GL Working Nov"/>
      <sheetName val="GL WorkingOct"/>
      <sheetName val="Part Sales Nov"/>
      <sheetName val="Part SalesOct"/>
      <sheetName val="Export Others Nov"/>
      <sheetName val="Export OthersOct"/>
      <sheetName val="ME Nov"/>
      <sheetName val="Merchant ExportOct"/>
      <sheetName val="FY 10-11(Sept10)"/>
      <sheetName val="GL WorkingSept"/>
      <sheetName val="Sheet2"/>
      <sheetName val="Sheet1"/>
      <sheetName val="Export-OtherSept"/>
      <sheetName val="Summ Cost"/>
      <sheetName val="Part SalesSept"/>
      <sheetName val="Merchant ExportSept"/>
      <sheetName val="GL Work Aug10"/>
      <sheetName val="M E Aug10"/>
      <sheetName val="Exp-Ot Aug10"/>
      <sheetName val="P S Aug10"/>
      <sheetName val="Sales July"/>
      <sheetName val="PS Cost July"/>
      <sheetName val="Exp Oth July"/>
      <sheetName val="ME Costing July"/>
      <sheetName val="Sales June"/>
      <sheetName val="PS Cost June"/>
      <sheetName val="Exp Oth Cost June"/>
      <sheetName val="ME Costing June"/>
      <sheetName val="SalesMay"/>
      <sheetName val="ME CostingMay"/>
      <sheetName val="May-Cost"/>
      <sheetName val="Sales March"/>
      <sheetName val="Cost March"/>
      <sheetName val="ME-Cost March"/>
      <sheetName val="FINAL"/>
      <sheetName val="DEC11"/>
      <sheetName val="JAN12"/>
      <sheetName val="ALL PURCH"/>
      <sheetName val="PIVOT"/>
      <sheetName val="TX CODE"/>
      <sheetName val="WORKING"/>
      <sheetName val="FDR BUDGET 2001 EISENACH"/>
      <sheetName val="ADVS1"/>
      <sheetName val="FY 10-11(Oct10_x0000_"/>
      <sheetName val="PUR"/>
      <sheetName val="FY 10-11(Oct10"/>
      <sheetName val="FY 10-11(Oct10?"/>
      <sheetName val="Sheet4"/>
      <sheetName val="FY 10-11(Oct10_x005f_x0000_"/>
      <sheetName val="FY 10-11(Oct10_"/>
      <sheetName val="BS1"/>
      <sheetName val="FY 10-11(Oct10_x005f_x005f_x005f_x0000_"/>
      <sheetName val="NSV N KGs"/>
      <sheetName val="S&amp;OI_print T5 T6 T7"/>
      <sheetName val="Pie_printֹCUR"/>
      <sheetName val="BU List"/>
    </sheetNames>
    <sheetDataSet>
      <sheetData sheetId="0" refreshError="1">
        <row r="1">
          <cell r="A1" t="str">
            <v>MAHARASHTRA DAIRY PRODUCTS MANUFACTURING CO. PVT LTD.</v>
          </cell>
          <cell r="B1" t="str">
            <v>Form  No</v>
          </cell>
          <cell r="C1" t="str">
            <v>Name Of Consignor*</v>
          </cell>
          <cell r="D1" t="str">
            <v>Address Of Consignor*</v>
          </cell>
          <cell r="E1" t="str">
            <v>Destination from which the goods dispatched*</v>
          </cell>
          <cell r="F1" t="str">
            <v>Vehicle Number</v>
          </cell>
          <cell r="G1" t="str">
            <v>Transport Company Name</v>
          </cell>
          <cell r="H1" t="str">
            <v>Transport Compnay Address</v>
          </cell>
          <cell r="I1" t="str">
            <v>Bilty LR No</v>
          </cell>
          <cell r="J1" t="str">
            <v>Bilty Date</v>
          </cell>
          <cell r="K1" t="str">
            <v>Invoice No*</v>
          </cell>
        </row>
        <row r="2">
          <cell r="A2" t="str">
            <v>INVENTORY - BOMBAY</v>
          </cell>
          <cell r="B2">
            <v>1835383</v>
          </cell>
          <cell r="C2" t="str">
            <v>Suzlon Energy Limited</v>
          </cell>
          <cell r="D2" t="str">
            <v>RS no 216 4 217 2A Titane Petle Cms Titane petle Road Tahsil sakri</v>
          </cell>
          <cell r="E2" t="str">
            <v>Nandurbar</v>
          </cell>
          <cell r="F2">
            <v>0</v>
          </cell>
          <cell r="G2" t="str">
            <v>Com Vehicle</v>
          </cell>
          <cell r="H2">
            <v>0</v>
          </cell>
          <cell r="I2">
            <v>0</v>
          </cell>
          <cell r="J2">
            <v>0</v>
          </cell>
          <cell r="K2">
            <v>4906118499</v>
          </cell>
        </row>
        <row r="3">
          <cell r="A3" t="str">
            <v>AUDIT: 31/03/97</v>
          </cell>
          <cell r="B3">
            <v>1841719</v>
          </cell>
          <cell r="C3" t="str">
            <v>Suzlon Energy Limited</v>
          </cell>
          <cell r="D3" t="str">
            <v>Chalkewadi Satara</v>
          </cell>
          <cell r="E3" t="str">
            <v>Satara Regional Warehouse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</row>
        <row r="4">
          <cell r="A4">
            <v>3</v>
          </cell>
          <cell r="B4">
            <v>1851574</v>
          </cell>
          <cell r="C4" t="str">
            <v>Asmita Enterprises</v>
          </cell>
          <cell r="D4" t="str">
            <v>Sector no 7  plot no 125 pcntda Bhosari pune 411026</v>
          </cell>
          <cell r="E4" t="str">
            <v>Pune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</row>
        <row r="5">
          <cell r="A5">
            <v>4</v>
          </cell>
          <cell r="B5" t="str">
            <v>AA-ADJ</v>
          </cell>
          <cell r="C5" t="str">
            <v>W/P</v>
          </cell>
          <cell r="D5" t="str">
            <v>UNADJ</v>
          </cell>
          <cell r="E5" t="str">
            <v>CAJE</v>
          </cell>
          <cell r="F5">
            <v>0</v>
          </cell>
          <cell r="G5" t="str">
            <v>PAJE</v>
          </cell>
          <cell r="H5">
            <v>0</v>
          </cell>
          <cell r="I5" t="str">
            <v>PRJE</v>
          </cell>
          <cell r="J5">
            <v>0</v>
          </cell>
          <cell r="K5" t="str">
            <v>AA-ADJ</v>
          </cell>
        </row>
        <row r="6">
          <cell r="A6" t="str">
            <v>CAPTION</v>
          </cell>
          <cell r="B6" t="str">
            <v>AA-ADJ</v>
          </cell>
          <cell r="C6" t="str">
            <v>W/P</v>
          </cell>
          <cell r="D6" t="str">
            <v>UNADJ</v>
          </cell>
          <cell r="E6" t="str">
            <v>CAJE</v>
          </cell>
          <cell r="F6" t="str">
            <v>PAJE</v>
          </cell>
          <cell r="G6" t="str">
            <v>PAJE</v>
          </cell>
          <cell r="H6" t="str">
            <v>PRJE</v>
          </cell>
          <cell r="I6" t="str">
            <v>PRJE</v>
          </cell>
          <cell r="J6" t="str">
            <v>AA-ADJ</v>
          </cell>
          <cell r="K6" t="str">
            <v>AA-ADJ</v>
          </cell>
        </row>
        <row r="7">
          <cell r="A7" t="str">
            <v>CAPTION</v>
          </cell>
          <cell r="B7">
            <v>35127</v>
          </cell>
          <cell r="C7" t="str">
            <v>REF</v>
          </cell>
          <cell r="D7">
            <v>35492</v>
          </cell>
          <cell r="E7" t="str">
            <v>Dr</v>
          </cell>
          <cell r="F7" t="str">
            <v>(Cr)</v>
          </cell>
          <cell r="G7" t="str">
            <v>Dr</v>
          </cell>
          <cell r="H7" t="str">
            <v>(Cr)</v>
          </cell>
          <cell r="I7" t="str">
            <v>Dr</v>
          </cell>
          <cell r="J7" t="str">
            <v>(Cr)</v>
          </cell>
          <cell r="K7">
            <v>35492</v>
          </cell>
        </row>
        <row r="8">
          <cell r="A8" t="str">
            <v>Salary &amp; wages</v>
          </cell>
          <cell r="B8" t="str">
            <v>at 31.03.96</v>
          </cell>
          <cell r="C8" t="str">
            <v>additions</v>
          </cell>
          <cell r="D8" t="str">
            <v>deletions</v>
          </cell>
          <cell r="E8" t="str">
            <v>at 31.03.97</v>
          </cell>
          <cell r="F8" t="str">
            <v>Dr/&lt;Cr&gt;</v>
          </cell>
          <cell r="G8" t="str">
            <v>Adjusted</v>
          </cell>
          <cell r="H8" t="str">
            <v>at 31.03.96</v>
          </cell>
          <cell r="I8" t="str">
            <v>the year</v>
          </cell>
          <cell r="J8" t="str">
            <v>assets sold</v>
          </cell>
          <cell r="K8" t="str">
            <v>at 31.03.97</v>
          </cell>
        </row>
        <row r="9">
          <cell r="A9" t="str">
            <v>Finished products</v>
          </cell>
          <cell r="B9">
            <v>691089</v>
          </cell>
          <cell r="C9" t="str">
            <v>RAMKRISHNA IRON WORKS PVTLTD</v>
          </cell>
          <cell r="D9" t="str">
            <v>Office : 26 Gobind Mahal 86B Netaji Subhash Road Marine Drive Mumbai –400 002Fact : A322 harihar Complex Village Dapode Near Gajananad Petrol Pump Mankoli  Naka Bhiwandi421302</v>
          </cell>
          <cell r="E9" t="str">
            <v>Mumbai</v>
          </cell>
          <cell r="F9">
            <v>0</v>
          </cell>
          <cell r="G9" t="str">
            <v>TCI XPS</v>
          </cell>
          <cell r="H9">
            <v>0</v>
          </cell>
          <cell r="I9">
            <v>0</v>
          </cell>
          <cell r="J9">
            <v>0</v>
          </cell>
          <cell r="K9">
            <v>57</v>
          </cell>
        </row>
        <row r="10">
          <cell r="A10" t="str">
            <v xml:space="preserve">  - at head office</v>
          </cell>
          <cell r="B10">
            <v>171034</v>
          </cell>
          <cell r="C10" t="str">
            <v/>
          </cell>
          <cell r="D10" t="str">
            <v>Chalkewadi Satara</v>
          </cell>
          <cell r="E10" t="str">
            <v>Satara Regional Warehouse</v>
          </cell>
          <cell r="F10">
            <v>0</v>
          </cell>
          <cell r="G10" t="str">
            <v>TCI Freight</v>
          </cell>
          <cell r="H10">
            <v>-427039</v>
          </cell>
          <cell r="I10">
            <v>0</v>
          </cell>
          <cell r="J10">
            <v>11012012</v>
          </cell>
          <cell r="K10" t="str">
            <v>SELSRW1112496</v>
          </cell>
        </row>
        <row r="11">
          <cell r="A11" t="str">
            <v>Interest accrued but not due</v>
          </cell>
          <cell r="B11">
            <v>108926</v>
          </cell>
          <cell r="C11" t="str">
            <v>Jayco Safety Products Pvt Ltd</v>
          </cell>
          <cell r="D11" t="str">
            <v>Jayco Safety Products Pvt LtdPlot No 734Valsad 999999</v>
          </cell>
          <cell r="E11" t="str">
            <v>VALSAD</v>
          </cell>
          <cell r="F11">
            <v>0</v>
          </cell>
          <cell r="G11" t="str">
            <v>ARCL</v>
          </cell>
          <cell r="H11">
            <v>0</v>
          </cell>
          <cell r="I11">
            <v>0</v>
          </cell>
          <cell r="J11">
            <v>0</v>
          </cell>
          <cell r="K11" t="str">
            <v>TRD508</v>
          </cell>
        </row>
        <row r="12">
          <cell r="A12" t="str">
            <v>Semi finished products</v>
          </cell>
          <cell r="B12">
            <v>959953</v>
          </cell>
          <cell r="C12" t="str">
            <v>Tacklers VAT No :27240664072V Dt 01042008CST No :27240664072 C Dt25071962</v>
          </cell>
          <cell r="D12" t="str">
            <v>Jayco Safety Products Pvt LtdPlot No 734Valsad 999999</v>
          </cell>
          <cell r="E12" t="str">
            <v>Mumbai</v>
          </cell>
          <cell r="F12">
            <v>0</v>
          </cell>
          <cell r="G12">
            <v>0</v>
          </cell>
          <cell r="H12">
            <v>-147699</v>
          </cell>
          <cell r="I12">
            <v>0</v>
          </cell>
          <cell r="J12">
            <v>0</v>
          </cell>
          <cell r="K12" t="str">
            <v>457 &amp; 458</v>
          </cell>
        </row>
        <row r="13">
          <cell r="A13" t="str">
            <v xml:space="preserve">  - Interest payable (Term loan)</v>
          </cell>
          <cell r="B13">
            <v>0</v>
          </cell>
          <cell r="C13" t="str">
            <v>Tacklers VAT No :27240664072V Dt 01042008CST No :27240664072 C Dt25071962</v>
          </cell>
          <cell r="D13" t="str">
            <v>Jayco Safety Products Pvt LtdPlot No 734Valsad 999999</v>
          </cell>
          <cell r="E13" t="str">
            <v>Mumbai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460</v>
          </cell>
        </row>
        <row r="14">
          <cell r="A14" t="str">
            <v xml:space="preserve">   - in current accounts</v>
          </cell>
          <cell r="B14">
            <v>0</v>
          </cell>
          <cell r="C14" t="str">
            <v>Tacklers VAT No :27240664072V Dt 01042008CST No :27240664072 C Dt25071962</v>
          </cell>
          <cell r="D14" t="str">
            <v>Jayco Safety Products Pvt LtdPlot No 734Valsad 999999</v>
          </cell>
          <cell r="E14" t="str">
            <v>Mumbai</v>
          </cell>
          <cell r="F14">
            <v>0</v>
          </cell>
          <cell r="G14">
            <v>0</v>
          </cell>
          <cell r="H14">
            <v>-1441418</v>
          </cell>
          <cell r="I14">
            <v>0</v>
          </cell>
          <cell r="J14">
            <v>0</v>
          </cell>
          <cell r="K14">
            <v>459</v>
          </cell>
        </row>
        <row r="15">
          <cell r="A15" t="str">
            <v xml:space="preserve">Raw materials </v>
          </cell>
          <cell r="B15">
            <v>2751349</v>
          </cell>
          <cell r="C15" t="str">
            <v>Impex Tools</v>
          </cell>
          <cell r="D15" t="str">
            <v>Jayco Safety Products Pvt LtdPlot No 734Valsad 999999</v>
          </cell>
          <cell r="E15" t="str">
            <v>PUNE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8018</v>
          </cell>
        </row>
        <row r="16">
          <cell r="A16" t="str">
            <v>Other liabilities</v>
          </cell>
          <cell r="B16">
            <v>103655</v>
          </cell>
          <cell r="C16" t="str">
            <v>RAMKRISHNA IRON WORKS PVT.LTD V A T TIN No.27880346821 V w.e.f 01.04.2006C S T  TIN No.27880346821 C w.e.f 01.04.2006</v>
          </cell>
          <cell r="D16" t="str">
            <v>Office : 26, Gobind Mahal, 86-B, Netaji Subhash Road, Marine Drive, Mumbai –400 002Fact : A-3/22, hari-har Complex, Village-Dapode, Near Gajananad Petrol Pump, Mankoli Naka, Bhiwandi-421302</v>
          </cell>
          <cell r="E16" t="str">
            <v>Mumbai</v>
          </cell>
          <cell r="F16">
            <v>0</v>
          </cell>
          <cell r="G16" t="str">
            <v>TCI XPS</v>
          </cell>
          <cell r="H16">
            <v>-905935</v>
          </cell>
          <cell r="I16">
            <v>0</v>
          </cell>
          <cell r="J16">
            <v>0</v>
          </cell>
          <cell r="K16">
            <v>62</v>
          </cell>
        </row>
        <row r="17">
          <cell r="A17" t="str">
            <v xml:space="preserve">   - gift of joy coupons</v>
          </cell>
          <cell r="B17">
            <v>-21500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</row>
        <row r="18">
          <cell r="A18" t="str">
            <v>Packing materials</v>
          </cell>
          <cell r="B18">
            <v>508158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-128109</v>
          </cell>
          <cell r="I18">
            <v>0</v>
          </cell>
          <cell r="J18">
            <v>0</v>
          </cell>
          <cell r="K18">
            <v>0</v>
          </cell>
        </row>
        <row r="19">
          <cell r="A19" t="str">
            <v xml:space="preserve">   - Security deposit</v>
          </cell>
          <cell r="B19">
            <v>-280345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</row>
        <row r="20">
          <cell r="A20" t="str">
            <v xml:space="preserve">   - Employees inc-tax on salary</v>
          </cell>
          <cell r="B20">
            <v>-46639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-47396</v>
          </cell>
          <cell r="I20">
            <v>0</v>
          </cell>
          <cell r="J20">
            <v>0</v>
          </cell>
          <cell r="K20">
            <v>0</v>
          </cell>
        </row>
        <row r="21">
          <cell r="A21" t="str">
            <v>Toppings and dry goods</v>
          </cell>
          <cell r="B21">
            <v>2035374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2">
          <cell r="A22" t="str">
            <v xml:space="preserve">   - Advance against machinery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-604048</v>
          </cell>
          <cell r="I22">
            <v>0</v>
          </cell>
          <cell r="J22">
            <v>0</v>
          </cell>
          <cell r="K22">
            <v>0</v>
          </cell>
        </row>
        <row r="23">
          <cell r="A23" t="str">
            <v xml:space="preserve">   - outstanding liabilities</v>
          </cell>
          <cell r="B23">
            <v>-843461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</row>
        <row r="24">
          <cell r="A24" t="str">
            <v>Other inventory</v>
          </cell>
          <cell r="B24">
            <v>2742866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</row>
        <row r="25">
          <cell r="A25" t="str">
            <v xml:space="preserve">   - Vysya Bank</v>
          </cell>
          <cell r="B25">
            <v>880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</row>
        <row r="26">
          <cell r="A26" t="str">
            <v>Provisions</v>
          </cell>
          <cell r="B26">
            <v>215782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</row>
        <row r="27">
          <cell r="A27" t="str">
            <v>Total</v>
          </cell>
          <cell r="B27">
            <v>9688789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8">
          <cell r="A28" t="str">
            <v>Prov for taxation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</row>
      </sheetData>
      <sheetData sheetId="1" refreshError="1"/>
      <sheetData sheetId="2" refreshError="1">
        <row r="1">
          <cell r="A1" t="str">
            <v>MAHARASHTRA DAIRY PRODUCTS MANUFACTURING CO. PVT LTD.</v>
          </cell>
          <cell r="B1" t="str">
            <v>Form  No</v>
          </cell>
          <cell r="C1" t="str">
            <v>Name Of Consignor*</v>
          </cell>
          <cell r="D1" t="str">
            <v>Address Of Consignor*</v>
          </cell>
          <cell r="E1" t="str">
            <v>Destination from which the goods dispatched*</v>
          </cell>
          <cell r="F1" t="str">
            <v>Vehicle Number</v>
          </cell>
          <cell r="G1" t="str">
            <v>Transport Company Name</v>
          </cell>
          <cell r="H1" t="str">
            <v>Transport Compnay Address</v>
          </cell>
          <cell r="I1" t="str">
            <v>Bilty LR No</v>
          </cell>
          <cell r="J1" t="str">
            <v>Bilty Date</v>
          </cell>
          <cell r="K1" t="str">
            <v>Invoice No*</v>
          </cell>
          <cell r="L1" t="str">
            <v>Invoice Date*</v>
          </cell>
        </row>
        <row r="2">
          <cell r="A2" t="str">
            <v>FIXED ASSETS - LEAD</v>
          </cell>
          <cell r="B2">
            <v>1835383</v>
          </cell>
          <cell r="C2" t="str">
            <v>Suzlon Energy Limited</v>
          </cell>
          <cell r="D2" t="str">
            <v>RS no 216 4 217 2A Titane Petle Cms Titane petle Road Tahsil sakri</v>
          </cell>
          <cell r="E2" t="str">
            <v>Nandurbar</v>
          </cell>
          <cell r="F2">
            <v>0</v>
          </cell>
          <cell r="G2" t="str">
            <v>Com Vehicle</v>
          </cell>
          <cell r="H2">
            <v>0</v>
          </cell>
          <cell r="I2">
            <v>0</v>
          </cell>
          <cell r="J2">
            <v>0</v>
          </cell>
          <cell r="K2">
            <v>4906118499</v>
          </cell>
          <cell r="L2">
            <v>21122011</v>
          </cell>
        </row>
        <row r="3">
          <cell r="A3" t="str">
            <v>AUDIT: 31/03/97</v>
          </cell>
          <cell r="B3">
            <v>1841719</v>
          </cell>
          <cell r="C3" t="str">
            <v>Suzlon Energy Limited</v>
          </cell>
          <cell r="D3" t="str">
            <v>Chalkewadi Satara</v>
          </cell>
          <cell r="E3" t="str">
            <v>Satara Regional Warehouse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</row>
        <row r="4">
          <cell r="A4">
            <v>3</v>
          </cell>
          <cell r="B4">
            <v>1851574</v>
          </cell>
          <cell r="C4" t="str">
            <v>Asmita Enterprises</v>
          </cell>
          <cell r="D4" t="str">
            <v>Sector no 7  plot no 125 pcntda Bhosari pune 411026</v>
          </cell>
          <cell r="E4" t="str">
            <v>Pune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A5">
            <v>4</v>
          </cell>
          <cell r="B5" t="str">
            <v>AA-ADJ</v>
          </cell>
          <cell r="C5" t="str">
            <v>W/P</v>
          </cell>
          <cell r="D5" t="str">
            <v>UNADJ</v>
          </cell>
          <cell r="E5" t="str">
            <v>CAJE</v>
          </cell>
          <cell r="F5">
            <v>0</v>
          </cell>
          <cell r="G5" t="str">
            <v>PAJE</v>
          </cell>
          <cell r="H5">
            <v>0</v>
          </cell>
          <cell r="I5" t="str">
            <v>PRJE</v>
          </cell>
          <cell r="J5">
            <v>0</v>
          </cell>
          <cell r="K5" t="str">
            <v>AA-ADJ</v>
          </cell>
          <cell r="L5">
            <v>0</v>
          </cell>
        </row>
        <row r="6">
          <cell r="A6" t="str">
            <v>CAPTION</v>
          </cell>
          <cell r="B6" t="str">
            <v>Gross block</v>
          </cell>
          <cell r="C6" t="str">
            <v>UNADJ</v>
          </cell>
          <cell r="D6" t="str">
            <v>CAJE</v>
          </cell>
          <cell r="E6" t="str">
            <v>CAJE</v>
          </cell>
          <cell r="F6" t="str">
            <v>PAJE</v>
          </cell>
          <cell r="G6" t="str">
            <v>PAJE</v>
          </cell>
          <cell r="H6" t="str">
            <v>Accumulated Depreciation</v>
          </cell>
          <cell r="I6" t="str">
            <v>PRJE</v>
          </cell>
          <cell r="J6" t="str">
            <v>AA-ADJ</v>
          </cell>
          <cell r="K6" t="str">
            <v>AA-ADJ</v>
          </cell>
          <cell r="L6">
            <v>7012012</v>
          </cell>
          <cell r="N6" t="str">
            <v>Net Block</v>
          </cell>
        </row>
        <row r="7">
          <cell r="A7" t="str">
            <v>Description</v>
          </cell>
          <cell r="B7">
            <v>35127</v>
          </cell>
          <cell r="C7">
            <v>35492</v>
          </cell>
          <cell r="D7" t="str">
            <v>Dr</v>
          </cell>
          <cell r="E7" t="str">
            <v>unadjust'd</v>
          </cell>
          <cell r="F7" t="str">
            <v>adjustm's</v>
          </cell>
          <cell r="G7" t="str">
            <v>Final</v>
          </cell>
          <cell r="H7" t="str">
            <v>Dr</v>
          </cell>
          <cell r="I7" t="str">
            <v>charge for</v>
          </cell>
          <cell r="J7" t="str">
            <v>acc dep on</v>
          </cell>
          <cell r="K7" t="str">
            <v>unadjust'd</v>
          </cell>
          <cell r="L7" t="str">
            <v>adjustm's</v>
          </cell>
          <cell r="M7" t="str">
            <v xml:space="preserve">Final </v>
          </cell>
        </row>
        <row r="8">
          <cell r="A8" t="str">
            <v>Salary &amp; wages</v>
          </cell>
          <cell r="B8" t="str">
            <v>at 31.03.96</v>
          </cell>
          <cell r="C8" t="str">
            <v>additions</v>
          </cell>
          <cell r="D8" t="str">
            <v>deletions</v>
          </cell>
          <cell r="E8" t="str">
            <v>at 31.03.97</v>
          </cell>
          <cell r="F8" t="str">
            <v>Dr/&lt;Cr&gt;</v>
          </cell>
          <cell r="G8" t="str">
            <v>Adjusted</v>
          </cell>
          <cell r="H8" t="str">
            <v>at 31.03.96</v>
          </cell>
          <cell r="I8" t="str">
            <v>the year</v>
          </cell>
          <cell r="J8" t="str">
            <v>assets sold</v>
          </cell>
          <cell r="K8" t="str">
            <v>at 31.03.97</v>
          </cell>
          <cell r="L8" t="str">
            <v>Dr/&lt;Cr&gt;</v>
          </cell>
          <cell r="M8" t="str">
            <v>Adjusted</v>
          </cell>
          <cell r="N8" t="str">
            <v>at 31.03.96</v>
          </cell>
          <cell r="O8" t="str">
            <v>at 31.03.97</v>
          </cell>
        </row>
        <row r="9">
          <cell r="A9" t="str">
            <v>Share capital</v>
          </cell>
          <cell r="B9">
            <v>-15211658</v>
          </cell>
          <cell r="C9" t="str">
            <v>RAMKRISHNA IRON WORKS PVTLTD</v>
          </cell>
          <cell r="D9" t="str">
            <v>Office : 26 Gobind Mahal 86B Netaji Subhash Road Marine Drive Mumbai –400 002Fact : A322 harihar Complex Village Dapode Near Gajananad Petrol Pump Mankoli  Naka Bhiwandi421302</v>
          </cell>
          <cell r="E9" t="str">
            <v>Mumbai</v>
          </cell>
          <cell r="F9">
            <v>0</v>
          </cell>
          <cell r="G9" t="str">
            <v>TCI XPS</v>
          </cell>
          <cell r="H9">
            <v>0</v>
          </cell>
          <cell r="I9">
            <v>0</v>
          </cell>
          <cell r="J9">
            <v>0</v>
          </cell>
          <cell r="K9">
            <v>57</v>
          </cell>
          <cell r="L9">
            <v>1102012</v>
          </cell>
        </row>
        <row r="10">
          <cell r="A10" t="str">
            <v>Equipment</v>
          </cell>
          <cell r="B10">
            <v>4656586</v>
          </cell>
          <cell r="C10">
            <v>0</v>
          </cell>
          <cell r="D10" t="str">
            <v>Chalkewadi Satara</v>
          </cell>
          <cell r="E10" t="str">
            <v>Satara Regional Warehouse</v>
          </cell>
          <cell r="F10">
            <v>0</v>
          </cell>
          <cell r="G10" t="str">
            <v>TCI Freight</v>
          </cell>
          <cell r="H10">
            <v>-427039</v>
          </cell>
          <cell r="I10">
            <v>0</v>
          </cell>
          <cell r="J10">
            <v>11012012</v>
          </cell>
          <cell r="K10" t="str">
            <v>SELSRW1112496</v>
          </cell>
          <cell r="L10">
            <v>11012012</v>
          </cell>
          <cell r="N10">
            <v>4229547</v>
          </cell>
        </row>
        <row r="11">
          <cell r="A11" t="str">
            <v>500,000 equity shares of Rs 100 each</v>
          </cell>
          <cell r="B11">
            <v>50000000</v>
          </cell>
          <cell r="C11" t="str">
            <v>Jayco Safety Products Pvt Ltd</v>
          </cell>
          <cell r="D11" t="str">
            <v>Jayco Safety Products Pvt LtdPlot No 734Valsad 999999</v>
          </cell>
          <cell r="E11" t="str">
            <v>VALSAD</v>
          </cell>
          <cell r="F11">
            <v>0</v>
          </cell>
          <cell r="G11" t="str">
            <v>ARCL</v>
          </cell>
          <cell r="H11">
            <v>0</v>
          </cell>
          <cell r="I11">
            <v>0</v>
          </cell>
          <cell r="J11">
            <v>0</v>
          </cell>
          <cell r="K11" t="str">
            <v>TRD508</v>
          </cell>
          <cell r="L11">
            <v>40921</v>
          </cell>
        </row>
        <row r="12">
          <cell r="A12" t="str">
            <v>Building</v>
          </cell>
          <cell r="B12">
            <v>508670</v>
          </cell>
          <cell r="C12" t="str">
            <v>Tacklers VAT No :27240664072V Dt 01042008CST No :27240664072 C Dt25071962</v>
          </cell>
          <cell r="D12" t="str">
            <v>Jayco Safety Products Pvt LtdPlot No 734Valsad 999999</v>
          </cell>
          <cell r="E12" t="str">
            <v>Mumbai</v>
          </cell>
          <cell r="F12">
            <v>0</v>
          </cell>
          <cell r="G12">
            <v>0</v>
          </cell>
          <cell r="H12">
            <v>-147699</v>
          </cell>
          <cell r="I12">
            <v>0</v>
          </cell>
          <cell r="J12">
            <v>0</v>
          </cell>
          <cell r="K12" t="str">
            <v>457 &amp; 458</v>
          </cell>
          <cell r="L12">
            <v>1162012</v>
          </cell>
          <cell r="N12">
            <v>360971</v>
          </cell>
        </row>
        <row r="13">
          <cell r="A13" t="str">
            <v>Issued</v>
          </cell>
          <cell r="B13">
            <v>-2453496</v>
          </cell>
          <cell r="C13" t="str">
            <v>Tacklers VAT No :27240664072V Dt 01042008CST No :27240664072 C Dt25071962</v>
          </cell>
          <cell r="D13" t="str">
            <v>Jayco Safety Products Pvt LtdPlot No 734Valsad 999999</v>
          </cell>
          <cell r="E13" t="str">
            <v>Mumbai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460</v>
          </cell>
          <cell r="L13">
            <v>1162012</v>
          </cell>
        </row>
        <row r="14">
          <cell r="A14" t="str">
            <v>Plant &amp; Machinery</v>
          </cell>
          <cell r="B14">
            <v>1669959</v>
          </cell>
          <cell r="C14" t="str">
            <v>Tacklers VAT No :27240664072V Dt 01042008CST No :27240664072 C Dt25071962</v>
          </cell>
          <cell r="D14" t="str">
            <v>Jayco Safety Products Pvt LtdPlot No 734Valsad 999999</v>
          </cell>
          <cell r="E14" t="str">
            <v>Mumbai</v>
          </cell>
          <cell r="F14">
            <v>0</v>
          </cell>
          <cell r="G14">
            <v>0</v>
          </cell>
          <cell r="H14">
            <v>-1441418</v>
          </cell>
          <cell r="I14">
            <v>0</v>
          </cell>
          <cell r="J14">
            <v>0</v>
          </cell>
          <cell r="K14">
            <v>459</v>
          </cell>
          <cell r="L14">
            <v>1162012</v>
          </cell>
          <cell r="N14">
            <v>228541</v>
          </cell>
        </row>
        <row r="15">
          <cell r="A15" t="str">
            <v xml:space="preserve">Raw materials </v>
          </cell>
          <cell r="B15">
            <v>2751349</v>
          </cell>
          <cell r="C15" t="str">
            <v>Impex Tools</v>
          </cell>
          <cell r="D15" t="str">
            <v>Jayco Safety Products Pvt LtdPlot No 734Valsad 999999</v>
          </cell>
          <cell r="E15" t="str">
            <v>PUNE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8018</v>
          </cell>
          <cell r="L15">
            <v>160112</v>
          </cell>
        </row>
        <row r="16">
          <cell r="A16" t="str">
            <v>Furniture &amp; Fixtures</v>
          </cell>
          <cell r="B16">
            <v>5171706</v>
          </cell>
          <cell r="C16" t="str">
            <v>RAMKRISHNA IRON WORKS PVT.LTD V A T TIN No.27880346821 V w.e.f 01.04.2006C S T  TIN No.27880346821 C w.e.f 01.04.2006</v>
          </cell>
          <cell r="D16" t="str">
            <v>Office : 26, Gobind Mahal, 86-B, Netaji Subhash Road, Marine Drive, Mumbai –400 002Fact : A-3/22, hari-har Complex, Village-Dapode, Near Gajananad Petrol Pump, Mankoli Naka, Bhiwandi-421302</v>
          </cell>
          <cell r="E16" t="str">
            <v>Mumbai</v>
          </cell>
          <cell r="F16">
            <v>0</v>
          </cell>
          <cell r="G16" t="str">
            <v>TCI XPS</v>
          </cell>
          <cell r="H16">
            <v>-905935</v>
          </cell>
          <cell r="I16">
            <v>0</v>
          </cell>
          <cell r="J16">
            <v>0</v>
          </cell>
          <cell r="K16">
            <v>62</v>
          </cell>
          <cell r="L16">
            <v>40927</v>
          </cell>
          <cell r="N16">
            <v>4265771</v>
          </cell>
        </row>
        <row r="17">
          <cell r="A17" t="str">
            <v>131,000 eq shares of Rs 100 each fully pd-up</v>
          </cell>
          <cell r="B17">
            <v>-20950000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A18" t="str">
            <v>Electrical goods</v>
          </cell>
          <cell r="B18">
            <v>1318870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-128109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N18">
            <v>1190761</v>
          </cell>
        </row>
        <row r="19">
          <cell r="A19" t="str">
            <v xml:space="preserve">   - Security deposit</v>
          </cell>
          <cell r="B19">
            <v>-20950000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</row>
        <row r="20">
          <cell r="A20" t="str">
            <v>Other equipment</v>
          </cell>
          <cell r="B20">
            <v>764498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-47396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N20">
            <v>717102</v>
          </cell>
        </row>
        <row r="21">
          <cell r="A21" t="str">
            <v>Reserves</v>
          </cell>
          <cell r="B21">
            <v>2481236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</row>
        <row r="22">
          <cell r="A22" t="str">
            <v>Vehicles</v>
          </cell>
          <cell r="B22">
            <v>717944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-604048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113896</v>
          </cell>
        </row>
        <row r="23">
          <cell r="A23" t="str">
            <v>Profit and loss account</v>
          </cell>
          <cell r="B23">
            <v>15979295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</row>
        <row r="24">
          <cell r="A24" t="str">
            <v>CWIP</v>
          </cell>
          <cell r="B24">
            <v>153140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153140</v>
          </cell>
        </row>
        <row r="25">
          <cell r="A25" t="str">
            <v>Investment allowance reserve</v>
          </cell>
          <cell r="B25">
            <v>-322395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</row>
        <row r="26">
          <cell r="A26" t="str">
            <v>Total</v>
          </cell>
          <cell r="B26">
            <v>14961373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-3701644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11259729</v>
          </cell>
        </row>
        <row r="27">
          <cell r="A27" t="str">
            <v>Prov for doubtful debts</v>
          </cell>
          <cell r="B27">
            <v>-715782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</row>
      </sheetData>
      <sheetData sheetId="3" refreshError="1">
        <row r="1">
          <cell r="A1" t="str">
            <v>MAHARASHTRA DAIRY PRODUCTS MANUFACTURING CO. PVT LTD.</v>
          </cell>
          <cell r="B1" t="str">
            <v>Form  No</v>
          </cell>
          <cell r="C1" t="str">
            <v>Name Of Consignor*</v>
          </cell>
          <cell r="D1" t="str">
            <v>Address Of Consignor*</v>
          </cell>
          <cell r="E1" t="str">
            <v>Destination from which the goods dispatched*</v>
          </cell>
          <cell r="F1" t="str">
            <v>Vehicle Number</v>
          </cell>
          <cell r="G1" t="str">
            <v>Transport Company Name</v>
          </cell>
          <cell r="H1" t="str">
            <v>Transport Compnay Address</v>
          </cell>
          <cell r="I1" t="str">
            <v>Bilty LR No</v>
          </cell>
          <cell r="J1" t="str">
            <v>Bilty Date</v>
          </cell>
        </row>
        <row r="2">
          <cell r="A2" t="str">
            <v>CURRENT LIABILITIES - LEAD</v>
          </cell>
          <cell r="B2">
            <v>1835383</v>
          </cell>
          <cell r="C2" t="str">
            <v>Suzlon Energy Limited</v>
          </cell>
          <cell r="D2" t="str">
            <v>RS no 216 4 217 2A Titane Petle Cms Titane petle Road Tahsil sakri</v>
          </cell>
          <cell r="E2" t="str">
            <v>Nandurbar</v>
          </cell>
          <cell r="F2">
            <v>0</v>
          </cell>
          <cell r="G2" t="str">
            <v>Com Vehicle</v>
          </cell>
          <cell r="H2">
            <v>0</v>
          </cell>
          <cell r="I2">
            <v>0</v>
          </cell>
          <cell r="J2">
            <v>0</v>
          </cell>
        </row>
        <row r="3">
          <cell r="A3" t="str">
            <v>AUDIT: 31/03/97</v>
          </cell>
          <cell r="B3">
            <v>1841719</v>
          </cell>
          <cell r="C3" t="str">
            <v>Suzlon Energy Limited</v>
          </cell>
          <cell r="D3" t="str">
            <v>Chalkewadi Satara</v>
          </cell>
          <cell r="E3" t="str">
            <v>Satara Regional Warehouse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</row>
        <row r="4">
          <cell r="A4">
            <v>3</v>
          </cell>
          <cell r="B4">
            <v>1851574</v>
          </cell>
          <cell r="C4" t="str">
            <v>Asmita Enterprises</v>
          </cell>
          <cell r="D4" t="str">
            <v>Sector no 7  plot no 125 pcntda Bhosari pune 411026</v>
          </cell>
          <cell r="E4" t="str">
            <v>Pune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</row>
        <row r="5">
          <cell r="A5">
            <v>4</v>
          </cell>
          <cell r="B5" t="str">
            <v>AA-ADJ</v>
          </cell>
          <cell r="C5" t="str">
            <v>W/P</v>
          </cell>
          <cell r="D5" t="str">
            <v>UNADJ</v>
          </cell>
          <cell r="E5" t="str">
            <v>CAJE</v>
          </cell>
          <cell r="F5">
            <v>0</v>
          </cell>
          <cell r="G5" t="str">
            <v>PAJE</v>
          </cell>
          <cell r="H5">
            <v>0</v>
          </cell>
          <cell r="I5" t="str">
            <v>PRJE</v>
          </cell>
          <cell r="J5">
            <v>0</v>
          </cell>
        </row>
        <row r="6">
          <cell r="A6" t="str">
            <v>CAPTION</v>
          </cell>
          <cell r="B6" t="str">
            <v>AA-ADJ</v>
          </cell>
          <cell r="C6" t="str">
            <v>UNADJ</v>
          </cell>
          <cell r="D6" t="str">
            <v>CAJE</v>
          </cell>
          <cell r="E6" t="str">
            <v>CAJE</v>
          </cell>
          <cell r="F6" t="str">
            <v>PAJE</v>
          </cell>
          <cell r="G6" t="str">
            <v>PAJE</v>
          </cell>
          <cell r="H6" t="str">
            <v>PRJE</v>
          </cell>
          <cell r="I6" t="str">
            <v>PRJE</v>
          </cell>
          <cell r="J6" t="str">
            <v>AA-ADJ</v>
          </cell>
        </row>
        <row r="7">
          <cell r="A7" t="str">
            <v>CAPTION</v>
          </cell>
          <cell r="B7">
            <v>35127</v>
          </cell>
          <cell r="C7">
            <v>35492</v>
          </cell>
          <cell r="D7" t="str">
            <v>Dr</v>
          </cell>
          <cell r="E7" t="str">
            <v>(Cr)</v>
          </cell>
          <cell r="F7" t="str">
            <v>Dr</v>
          </cell>
          <cell r="G7" t="str">
            <v>(Cr)</v>
          </cell>
          <cell r="H7" t="str">
            <v>Dr</v>
          </cell>
          <cell r="I7" t="str">
            <v>(Cr)</v>
          </cell>
          <cell r="J7">
            <v>35492</v>
          </cell>
        </row>
        <row r="8">
          <cell r="A8" t="str">
            <v>Salary &amp; wages</v>
          </cell>
          <cell r="B8" t="str">
            <v>at 31.03.96</v>
          </cell>
          <cell r="C8" t="str">
            <v>additions</v>
          </cell>
          <cell r="D8" t="str">
            <v>deletions</v>
          </cell>
          <cell r="E8" t="str">
            <v>at 31.03.97</v>
          </cell>
          <cell r="F8" t="str">
            <v>Dr/&lt;Cr&gt;</v>
          </cell>
          <cell r="G8" t="str">
            <v>Adjusted</v>
          </cell>
          <cell r="H8" t="str">
            <v>at 31.03.96</v>
          </cell>
          <cell r="I8" t="str">
            <v>the year</v>
          </cell>
          <cell r="J8" t="str">
            <v>assets sold</v>
          </cell>
        </row>
        <row r="9">
          <cell r="A9" t="str">
            <v>Sundry creditors</v>
          </cell>
          <cell r="B9">
            <v>-15211658</v>
          </cell>
          <cell r="C9" t="str">
            <v>RAMKRISHNA IRON WORKS PVTLTD</v>
          </cell>
          <cell r="D9" t="str">
            <v>Office : 26 Gobind Mahal 86B Netaji Subhash Road Marine Drive Mumbai –400 002Fact : A322 harihar Complex Village Dapode Near Gajananad Petrol Pump Mankoli  Naka Bhiwandi421302</v>
          </cell>
          <cell r="E9" t="str">
            <v>Mumbai</v>
          </cell>
          <cell r="F9">
            <v>0</v>
          </cell>
          <cell r="G9" t="str">
            <v>TCI XPS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 xml:space="preserve">  - at head office</v>
          </cell>
          <cell r="B10">
            <v>171034</v>
          </cell>
          <cell r="C10" t="str">
            <v/>
          </cell>
          <cell r="D10" t="str">
            <v>Chalkewadi Satara</v>
          </cell>
          <cell r="E10" t="str">
            <v>Satara Regional Warehouse</v>
          </cell>
          <cell r="F10">
            <v>0</v>
          </cell>
          <cell r="G10" t="str">
            <v>TCI Freight</v>
          </cell>
          <cell r="H10">
            <v>-427039</v>
          </cell>
          <cell r="I10">
            <v>0</v>
          </cell>
          <cell r="J10">
            <v>11012012</v>
          </cell>
        </row>
        <row r="11">
          <cell r="A11" t="str">
            <v>Interest accrued but not due</v>
          </cell>
          <cell r="B11">
            <v>-813918</v>
          </cell>
          <cell r="C11" t="str">
            <v>Jayco Safety Products Pvt Ltd</v>
          </cell>
          <cell r="D11" t="str">
            <v>Jayco Safety Products Pvt LtdPlot No 734Valsad 999999</v>
          </cell>
          <cell r="E11" t="str">
            <v>VALSAD</v>
          </cell>
          <cell r="F11">
            <v>0</v>
          </cell>
          <cell r="G11" t="str">
            <v>ARCL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 xml:space="preserve">  - Interest payable (CC a/c)</v>
          </cell>
          <cell r="B12">
            <v>0</v>
          </cell>
          <cell r="C12" t="str">
            <v>Tacklers VAT No :27240664072V Dt 01042008CST No :27240664072 C Dt25071962</v>
          </cell>
          <cell r="D12" t="str">
            <v>Jayco Safety Products Pvt LtdPlot No 734Valsad 999999</v>
          </cell>
          <cell r="E12" t="str">
            <v>Mumbai</v>
          </cell>
          <cell r="F12">
            <v>0</v>
          </cell>
          <cell r="G12">
            <v>0</v>
          </cell>
          <cell r="H12">
            <v>-147699</v>
          </cell>
          <cell r="I12">
            <v>0</v>
          </cell>
          <cell r="J12">
            <v>0</v>
          </cell>
        </row>
        <row r="13">
          <cell r="A13" t="str">
            <v xml:space="preserve">  - Interest payable (Term loan)</v>
          </cell>
          <cell r="B13">
            <v>0</v>
          </cell>
          <cell r="C13" t="str">
            <v>Tacklers VAT No :27240664072V Dt 01042008CST No :27240664072 C Dt25071962</v>
          </cell>
          <cell r="D13" t="str">
            <v>Jayco Safety Products Pvt LtdPlot No 734Valsad 999999</v>
          </cell>
          <cell r="E13" t="str">
            <v>Mumbai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 xml:space="preserve">   - in current accounts</v>
          </cell>
          <cell r="B14">
            <v>0</v>
          </cell>
          <cell r="C14" t="str">
            <v>Tacklers VAT No :27240664072V Dt 01042008CST No :27240664072 C Dt25071962</v>
          </cell>
          <cell r="D14" t="str">
            <v>Jayco Safety Products Pvt LtdPlot No 734Valsad 999999</v>
          </cell>
          <cell r="E14" t="str">
            <v>Mumbai</v>
          </cell>
          <cell r="F14">
            <v>0</v>
          </cell>
          <cell r="G14">
            <v>0</v>
          </cell>
          <cell r="H14">
            <v>-1441418</v>
          </cell>
          <cell r="I14">
            <v>0</v>
          </cell>
          <cell r="J14">
            <v>0</v>
          </cell>
        </row>
        <row r="15">
          <cell r="A15" t="str">
            <v>Dividend received</v>
          </cell>
          <cell r="B15">
            <v>-1500</v>
          </cell>
          <cell r="C15" t="str">
            <v>Impex Tools</v>
          </cell>
          <cell r="D15" t="str">
            <v>Jayco Safety Products Pvt LtdPlot No 734Valsad 999999</v>
          </cell>
          <cell r="E15" t="str">
            <v>PUNE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</row>
        <row r="16">
          <cell r="A16" t="str">
            <v>Other liabilities</v>
          </cell>
          <cell r="B16">
            <v>103655</v>
          </cell>
          <cell r="C16" t="str">
            <v>RAMKRISHNA IRON WORKS PVT.LTD V A T TIN No.27880346821 V w.e.f 01.04.2006C S T  TIN No.27880346821 C w.e.f 01.04.2006</v>
          </cell>
          <cell r="D16" t="str">
            <v>Office : 26, Gobind Mahal, 86-B, Netaji Subhash Road, Marine Drive, Mumbai –400 002Fact : A-3/22, hari-har Complex, Village-Dapode, Near Gajananad Petrol Pump, Mankoli Naka, Bhiwandi-421302</v>
          </cell>
          <cell r="E16" t="str">
            <v>Mumbai</v>
          </cell>
          <cell r="F16">
            <v>0</v>
          </cell>
          <cell r="G16" t="str">
            <v>TCI XPS</v>
          </cell>
          <cell r="H16">
            <v>-905935</v>
          </cell>
          <cell r="I16">
            <v>0</v>
          </cell>
          <cell r="J16">
            <v>0</v>
          </cell>
        </row>
        <row r="17">
          <cell r="A17" t="str">
            <v xml:space="preserve">   - gift of joy coupons</v>
          </cell>
          <cell r="B17">
            <v>-21500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A18" t="str">
            <v xml:space="preserve">   - Debtors showing credit balance</v>
          </cell>
          <cell r="B18">
            <v>-183526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-128109</v>
          </cell>
          <cell r="I18">
            <v>0</v>
          </cell>
          <cell r="J18">
            <v>0</v>
          </cell>
        </row>
        <row r="19">
          <cell r="A19" t="str">
            <v xml:space="preserve">   - Security deposit</v>
          </cell>
          <cell r="B19">
            <v>-280345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 xml:space="preserve">   - Employees inc-tax on salary</v>
          </cell>
          <cell r="B20">
            <v>-46639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-47396</v>
          </cell>
          <cell r="I20">
            <v>0</v>
          </cell>
          <cell r="J20">
            <v>0</v>
          </cell>
        </row>
        <row r="21">
          <cell r="A21" t="str">
            <v xml:space="preserve">   - TDS payable (others)</v>
          </cell>
          <cell r="B21">
            <v>-718739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 xml:space="preserve">   - Advance against machinery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-604048</v>
          </cell>
          <cell r="I22">
            <v>0</v>
          </cell>
          <cell r="J22">
            <v>0</v>
          </cell>
        </row>
        <row r="23">
          <cell r="A23" t="str">
            <v xml:space="preserve">   - outstanding liabilities</v>
          </cell>
          <cell r="B23">
            <v>-843461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CWIP</v>
          </cell>
          <cell r="B24">
            <v>-2094210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Investment allowance reserve</v>
          </cell>
          <cell r="B25">
            <v>-322395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Provisions</v>
          </cell>
          <cell r="B26">
            <v>14961373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-3701644</v>
          </cell>
          <cell r="I26">
            <v>0</v>
          </cell>
          <cell r="J26">
            <v>0</v>
          </cell>
        </row>
        <row r="27">
          <cell r="A27" t="str">
            <v>Prov for doubtful debts</v>
          </cell>
          <cell r="B27">
            <v>-715782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A28" t="str">
            <v>Prov for taxation</v>
          </cell>
          <cell r="B28">
            <v>0</v>
          </cell>
        </row>
        <row r="29">
          <cell r="A29" t="str">
            <v>Provision for gratuity</v>
          </cell>
          <cell r="B29">
            <v>-153741</v>
          </cell>
        </row>
        <row r="30">
          <cell r="B30">
            <v>-869523</v>
          </cell>
        </row>
        <row r="32">
          <cell r="A32" t="str">
            <v>Accrued expenses</v>
          </cell>
        </row>
        <row r="33">
          <cell r="A33" t="str">
            <v xml:space="preserve">   - Audit fees payable</v>
          </cell>
          <cell r="B33">
            <v>-160000</v>
          </cell>
        </row>
        <row r="34">
          <cell r="A34" t="str">
            <v xml:space="preserve">   - Electricity charges payable</v>
          </cell>
          <cell r="B34">
            <v>-299954</v>
          </cell>
        </row>
        <row r="35">
          <cell r="A35" t="str">
            <v xml:space="preserve">   - Employees professional tax</v>
          </cell>
          <cell r="B35">
            <v>-2170</v>
          </cell>
        </row>
        <row r="36">
          <cell r="A36" t="str">
            <v xml:space="preserve">   - Professional charges payable</v>
          </cell>
          <cell r="B36">
            <v>-230700</v>
          </cell>
        </row>
        <row r="37">
          <cell r="A37" t="str">
            <v xml:space="preserve">   - Sales tax payable</v>
          </cell>
          <cell r="B37">
            <v>-615461</v>
          </cell>
        </row>
        <row r="38">
          <cell r="A38" t="str">
            <v xml:space="preserve">   - CST payable at bombay</v>
          </cell>
          <cell r="B38">
            <v>-64564</v>
          </cell>
        </row>
        <row r="39">
          <cell r="A39" t="str">
            <v xml:space="preserve">   - Trav/convy payable</v>
          </cell>
          <cell r="B39">
            <v>-37490</v>
          </cell>
        </row>
        <row r="40">
          <cell r="A40" t="str">
            <v xml:space="preserve">   - Telephone chargees payable</v>
          </cell>
          <cell r="B40">
            <v>-66008</v>
          </cell>
        </row>
        <row r="41">
          <cell r="A41" t="str">
            <v xml:space="preserve">   - Water charges payable</v>
          </cell>
          <cell r="B41">
            <v>-11000</v>
          </cell>
        </row>
        <row r="42">
          <cell r="A42" t="str">
            <v xml:space="preserve">   - Unpaid salary &amp; wages</v>
          </cell>
          <cell r="B42">
            <v>-195859</v>
          </cell>
        </row>
        <row r="43">
          <cell r="A43" t="str">
            <v xml:space="preserve">   - ESIC payable</v>
          </cell>
          <cell r="B43">
            <v>-3591</v>
          </cell>
        </row>
        <row r="44">
          <cell r="A44" t="str">
            <v xml:space="preserve">   - PF payable</v>
          </cell>
          <cell r="B44">
            <v>-25832</v>
          </cell>
        </row>
        <row r="45">
          <cell r="A45" t="str">
            <v xml:space="preserve">   - Customs duty payable</v>
          </cell>
          <cell r="B45">
            <v>0</v>
          </cell>
        </row>
        <row r="46">
          <cell r="A46" t="str">
            <v xml:space="preserve">   - LTA Payable</v>
          </cell>
          <cell r="B46">
            <v>-56861</v>
          </cell>
        </row>
        <row r="47">
          <cell r="A47" t="str">
            <v xml:space="preserve">   - Employees labour welfare fund</v>
          </cell>
          <cell r="B47">
            <v>-213</v>
          </cell>
        </row>
        <row r="48">
          <cell r="A48" t="str">
            <v xml:space="preserve">   - other accrued expenses</v>
          </cell>
          <cell r="B48">
            <v>-10080</v>
          </cell>
        </row>
        <row r="49">
          <cell r="B49">
            <v>-1779783</v>
          </cell>
        </row>
        <row r="51">
          <cell r="A51" t="str">
            <v>Current portion of long term debt</v>
          </cell>
          <cell r="B51">
            <v>-1740000</v>
          </cell>
        </row>
        <row r="53">
          <cell r="A53" t="str">
            <v>Total</v>
          </cell>
          <cell r="B53">
            <v>-21695174</v>
          </cell>
        </row>
      </sheetData>
      <sheetData sheetId="4" refreshError="1">
        <row r="1">
          <cell r="A1" t="str">
            <v>MAHARASHTRA DAIRY PRODUCTS MANUFACTURING CO. PVT LTD.</v>
          </cell>
          <cell r="B1" t="str">
            <v>Form  No</v>
          </cell>
          <cell r="C1" t="str">
            <v>Name Of Consignor*</v>
          </cell>
          <cell r="D1" t="str">
            <v>Address Of Consignor*</v>
          </cell>
          <cell r="E1" t="str">
            <v>Destination from which the goods dispatched*</v>
          </cell>
          <cell r="F1" t="str">
            <v>Vehicle Number</v>
          </cell>
          <cell r="G1" t="str">
            <v>Transport Company Name</v>
          </cell>
          <cell r="H1" t="str">
            <v>Transport Compnay Address</v>
          </cell>
          <cell r="I1" t="str">
            <v>Bilty LR No</v>
          </cell>
          <cell r="J1" t="str">
            <v>Bilty Date</v>
          </cell>
        </row>
        <row r="2">
          <cell r="A2" t="str">
            <v>SECURED/UNSECURED LOANS</v>
          </cell>
          <cell r="B2">
            <v>1835383</v>
          </cell>
          <cell r="C2" t="str">
            <v>Suzlon Energy Limited</v>
          </cell>
          <cell r="D2" t="str">
            <v>RS no 216 4 217 2A Titane Petle Cms Titane petle Road Tahsil sakri</v>
          </cell>
          <cell r="E2" t="str">
            <v>Nandurbar</v>
          </cell>
          <cell r="F2">
            <v>0</v>
          </cell>
          <cell r="G2" t="str">
            <v>Com Vehicle</v>
          </cell>
          <cell r="H2">
            <v>0</v>
          </cell>
          <cell r="I2">
            <v>0</v>
          </cell>
          <cell r="J2">
            <v>0</v>
          </cell>
        </row>
        <row r="3">
          <cell r="A3" t="str">
            <v>AUDIT: 31/03/97</v>
          </cell>
          <cell r="B3">
            <v>1841719</v>
          </cell>
          <cell r="C3" t="str">
            <v>Suzlon Energy Limited</v>
          </cell>
          <cell r="D3" t="str">
            <v>Chalkewadi Satara</v>
          </cell>
          <cell r="E3" t="str">
            <v>Satara Regional Warehouse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</row>
        <row r="4">
          <cell r="A4">
            <v>3</v>
          </cell>
          <cell r="B4">
            <v>1851574</v>
          </cell>
          <cell r="C4" t="str">
            <v>Asmita Enterprises</v>
          </cell>
          <cell r="D4" t="str">
            <v>Sector no 7  plot no 125 pcntda Bhosari pune 411026</v>
          </cell>
          <cell r="E4" t="str">
            <v>Pune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</row>
        <row r="5">
          <cell r="A5">
            <v>4</v>
          </cell>
          <cell r="B5" t="str">
            <v>AA-ADJ</v>
          </cell>
          <cell r="C5" t="str">
            <v>W/P</v>
          </cell>
          <cell r="D5" t="str">
            <v>UNADJ</v>
          </cell>
          <cell r="E5" t="str">
            <v>CAJE</v>
          </cell>
          <cell r="F5">
            <v>0</v>
          </cell>
          <cell r="G5" t="str">
            <v>PAJE</v>
          </cell>
          <cell r="H5">
            <v>0</v>
          </cell>
          <cell r="I5" t="str">
            <v>PRJE</v>
          </cell>
          <cell r="J5">
            <v>0</v>
          </cell>
        </row>
        <row r="6">
          <cell r="A6" t="str">
            <v>CAPTION</v>
          </cell>
          <cell r="B6" t="str">
            <v>AA-ADJ</v>
          </cell>
          <cell r="C6" t="str">
            <v>UNADJ</v>
          </cell>
          <cell r="D6" t="str">
            <v>CAJE</v>
          </cell>
          <cell r="E6" t="str">
            <v>CAJE</v>
          </cell>
          <cell r="F6" t="str">
            <v>PAJE</v>
          </cell>
          <cell r="G6" t="str">
            <v>PAJE</v>
          </cell>
          <cell r="H6" t="str">
            <v>PRJE</v>
          </cell>
          <cell r="I6" t="str">
            <v>PRJE</v>
          </cell>
          <cell r="J6" t="str">
            <v>AA-ADJ</v>
          </cell>
        </row>
        <row r="7">
          <cell r="A7" t="str">
            <v>CAPTION</v>
          </cell>
          <cell r="B7">
            <v>35127</v>
          </cell>
          <cell r="C7">
            <v>35492</v>
          </cell>
          <cell r="D7" t="str">
            <v>Dr</v>
          </cell>
          <cell r="E7" t="str">
            <v>(Cr)</v>
          </cell>
          <cell r="F7" t="str">
            <v>Dr</v>
          </cell>
          <cell r="G7" t="str">
            <v>(Cr)</v>
          </cell>
          <cell r="H7" t="str">
            <v>Dr</v>
          </cell>
          <cell r="I7" t="str">
            <v>(Cr)</v>
          </cell>
          <cell r="J7">
            <v>35492</v>
          </cell>
        </row>
        <row r="8">
          <cell r="A8" t="str">
            <v>Salary &amp; wages</v>
          </cell>
          <cell r="B8" t="str">
            <v>at 31.03.96</v>
          </cell>
          <cell r="C8" t="str">
            <v>additions</v>
          </cell>
          <cell r="D8" t="str">
            <v>deletions</v>
          </cell>
          <cell r="E8" t="str">
            <v>at 31.03.97</v>
          </cell>
          <cell r="F8" t="str">
            <v>Dr/&lt;Cr&gt;</v>
          </cell>
          <cell r="G8" t="str">
            <v>Adjusted</v>
          </cell>
          <cell r="H8" t="str">
            <v>at 31.03.96</v>
          </cell>
          <cell r="I8" t="str">
            <v>the year</v>
          </cell>
          <cell r="J8" t="str">
            <v>assets sold</v>
          </cell>
        </row>
        <row r="9">
          <cell r="A9" t="str">
            <v>Secured loans</v>
          </cell>
          <cell r="B9">
            <v>691089</v>
          </cell>
          <cell r="C9" t="str">
            <v>RAMKRISHNA IRON WORKS PVTLTD</v>
          </cell>
          <cell r="D9" t="str">
            <v>Office : 26 Gobind Mahal 86B Netaji Subhash Road Marine Drive Mumbai –400 002Fact : A322 harihar Complex Village Dapode Near Gajananad Petrol Pump Mankoli  Naka Bhiwandi421302</v>
          </cell>
          <cell r="E9" t="str">
            <v>Mumbai</v>
          </cell>
          <cell r="F9">
            <v>0</v>
          </cell>
          <cell r="G9" t="str">
            <v>TCI XPS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 xml:space="preserve">  - Bank OD with Saraswat bank (CC 982)</v>
          </cell>
          <cell r="B10">
            <v>-2673293</v>
          </cell>
          <cell r="C10">
            <v>0</v>
          </cell>
          <cell r="D10" t="str">
            <v>Chalkewadi Satara</v>
          </cell>
          <cell r="E10" t="str">
            <v>Satara Regional Warehouse</v>
          </cell>
          <cell r="F10">
            <v>0</v>
          </cell>
          <cell r="G10" t="str">
            <v>TCI Freight</v>
          </cell>
          <cell r="H10">
            <v>-427039</v>
          </cell>
          <cell r="I10">
            <v>0</v>
          </cell>
          <cell r="J10">
            <v>11012012</v>
          </cell>
        </row>
        <row r="11">
          <cell r="A11" t="str">
            <v>Interest accrued but not due</v>
          </cell>
          <cell r="B11">
            <v>108926</v>
          </cell>
          <cell r="C11" t="str">
            <v>Jayco Safety Products Pvt Ltd</v>
          </cell>
          <cell r="D11" t="str">
            <v>Jayco Safety Products Pvt LtdPlot No 734Valsad 999999</v>
          </cell>
          <cell r="E11" t="str">
            <v>VALSAD</v>
          </cell>
          <cell r="F11">
            <v>0</v>
          </cell>
          <cell r="G11" t="str">
            <v>ARCL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 xml:space="preserve">  - Term loan from Saraswat bank (a/c # 2107) </v>
          </cell>
          <cell r="B12">
            <v>-2599845</v>
          </cell>
          <cell r="C12" t="str">
            <v>Tacklers VAT No :27240664072V Dt 01042008CST No :27240664072 C Dt25071962</v>
          </cell>
          <cell r="D12" t="str">
            <v>Jayco Safety Products Pvt LtdPlot No 734Valsad 999999</v>
          </cell>
          <cell r="E12" t="str">
            <v>Mumbai</v>
          </cell>
          <cell r="F12">
            <v>0</v>
          </cell>
          <cell r="G12">
            <v>0</v>
          </cell>
          <cell r="H12">
            <v>-147699</v>
          </cell>
          <cell r="I12">
            <v>0</v>
          </cell>
          <cell r="J12">
            <v>0</v>
          </cell>
        </row>
        <row r="13">
          <cell r="A13" t="str">
            <v xml:space="preserve">  - Term loan from Saraswat bank (a/c # 2330) </v>
          </cell>
          <cell r="B13">
            <v>-2453496</v>
          </cell>
          <cell r="C13" t="str">
            <v>Tacklers VAT No :27240664072V Dt 01042008CST No :27240664072 C Dt25071962</v>
          </cell>
          <cell r="D13" t="str">
            <v>Jayco Safety Products Pvt LtdPlot No 734Valsad 999999</v>
          </cell>
          <cell r="E13" t="str">
            <v>Mumbai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>Plant &amp; Machinery</v>
          </cell>
          <cell r="B14">
            <v>-5053341</v>
          </cell>
          <cell r="C14" t="str">
            <v>Tacklers VAT No :27240664072V Dt 01042008CST No :27240664072 C Dt25071962</v>
          </cell>
          <cell r="D14" t="str">
            <v>Jayco Safety Products Pvt LtdPlot No 734Valsad 999999</v>
          </cell>
          <cell r="E14" t="str">
            <v>Mumbai</v>
          </cell>
          <cell r="F14">
            <v>0</v>
          </cell>
          <cell r="G14">
            <v>0</v>
          </cell>
          <cell r="H14">
            <v>-1441418</v>
          </cell>
          <cell r="I14">
            <v>0</v>
          </cell>
          <cell r="J14">
            <v>0</v>
          </cell>
        </row>
        <row r="15">
          <cell r="A15" t="str">
            <v xml:space="preserve">Raw materials </v>
          </cell>
          <cell r="B15">
            <v>2751349</v>
          </cell>
          <cell r="C15" t="str">
            <v>Impex Tools</v>
          </cell>
          <cell r="D15" t="str">
            <v>Jayco Safety Products Pvt LtdPlot No 734Valsad 999999</v>
          </cell>
          <cell r="E15" t="str">
            <v>PUNE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</row>
        <row r="16">
          <cell r="A16" t="str">
            <v>Unsecured loans</v>
          </cell>
          <cell r="B16">
            <v>0</v>
          </cell>
          <cell r="C16" t="str">
            <v>RAMKRISHNA IRON WORKS PVT.LTD V A T TIN No.27880346821 V w.e.f 01.04.2006C S T  TIN No.27880346821 C w.e.f 01.04.2006</v>
          </cell>
          <cell r="D16" t="str">
            <v>Office : 26, Gobind Mahal, 86-B, Netaji Subhash Road, Marine Drive, Mumbai –400 002Fact : A-3/22, hari-har Complex, Village-Dapode, Near Gajananad Petrol Pump, Mankoli Naka, Bhiwandi-421302</v>
          </cell>
          <cell r="E16" t="str">
            <v>Mumbai</v>
          </cell>
          <cell r="F16">
            <v>0</v>
          </cell>
          <cell r="G16" t="str">
            <v>TCI XPS</v>
          </cell>
          <cell r="H16">
            <v>-905935</v>
          </cell>
          <cell r="I16">
            <v>0</v>
          </cell>
          <cell r="J16">
            <v>0</v>
          </cell>
        </row>
        <row r="17">
          <cell r="A17" t="str">
            <v xml:space="preserve">   - gift of joy coupons</v>
          </cell>
          <cell r="B17">
            <v>-21500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A18" t="str">
            <v>Total</v>
          </cell>
          <cell r="B18">
            <v>-7726634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-128109</v>
          </cell>
          <cell r="I18">
            <v>0</v>
          </cell>
          <cell r="J18">
            <v>0</v>
          </cell>
        </row>
        <row r="19">
          <cell r="A19" t="str">
            <v>Balances with excise and customs authorities</v>
          </cell>
          <cell r="B19">
            <v>10874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</sheetData>
      <sheetData sheetId="5" refreshError="1">
        <row r="1">
          <cell r="A1" t="str">
            <v>MAHARASHTRA DAIRY PRODUCTS MANUFACTURING CO. PVT LTD.</v>
          </cell>
          <cell r="B1" t="str">
            <v>Form  No</v>
          </cell>
          <cell r="C1" t="str">
            <v>Name Of Consignor*</v>
          </cell>
          <cell r="D1" t="str">
            <v>Address Of Consignor*</v>
          </cell>
          <cell r="E1" t="str">
            <v>Destination from which the goods dispatched*</v>
          </cell>
          <cell r="F1" t="str">
            <v>Vehicle Number</v>
          </cell>
          <cell r="G1" t="str">
            <v>Transport Company Name</v>
          </cell>
          <cell r="H1" t="str">
            <v>Transport Compnay Address</v>
          </cell>
          <cell r="I1" t="str">
            <v>Bilty LR No</v>
          </cell>
          <cell r="J1" t="str">
            <v>Bilty Date</v>
          </cell>
        </row>
        <row r="2">
          <cell r="A2" t="str">
            <v>SHARE CAPITAL AND RESERVES</v>
          </cell>
          <cell r="B2">
            <v>1835383</v>
          </cell>
          <cell r="C2" t="str">
            <v>Suzlon Energy Limited</v>
          </cell>
          <cell r="D2" t="str">
            <v>RS no 216 4 217 2A Titane Petle Cms Titane petle Road Tahsil sakri</v>
          </cell>
          <cell r="E2" t="str">
            <v>Nandurbar</v>
          </cell>
          <cell r="F2">
            <v>0</v>
          </cell>
          <cell r="G2" t="str">
            <v>Com Vehicle</v>
          </cell>
          <cell r="H2">
            <v>0</v>
          </cell>
          <cell r="I2">
            <v>0</v>
          </cell>
          <cell r="J2">
            <v>0</v>
          </cell>
        </row>
        <row r="3">
          <cell r="A3" t="str">
            <v>AUDIT: 31/03/97</v>
          </cell>
          <cell r="B3">
            <v>1841719</v>
          </cell>
          <cell r="C3" t="str">
            <v>Suzlon Energy Limited</v>
          </cell>
          <cell r="D3" t="str">
            <v>Chalkewadi Satara</v>
          </cell>
          <cell r="E3" t="str">
            <v>Satara Regional Warehouse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</row>
        <row r="4">
          <cell r="A4">
            <v>3</v>
          </cell>
          <cell r="B4">
            <v>1851574</v>
          </cell>
          <cell r="C4" t="str">
            <v>Asmita Enterprises</v>
          </cell>
          <cell r="D4" t="str">
            <v>Sector no 7  plot no 125 pcntda Bhosari pune 411026</v>
          </cell>
          <cell r="E4" t="str">
            <v>Pune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</row>
        <row r="5">
          <cell r="A5">
            <v>4</v>
          </cell>
          <cell r="B5" t="str">
            <v>AA-ADJ</v>
          </cell>
          <cell r="C5" t="str">
            <v>W/P</v>
          </cell>
          <cell r="D5" t="str">
            <v>UNADJ</v>
          </cell>
          <cell r="E5" t="str">
            <v>CAJE</v>
          </cell>
          <cell r="F5">
            <v>0</v>
          </cell>
          <cell r="G5" t="str">
            <v>PAJE</v>
          </cell>
          <cell r="H5">
            <v>0</v>
          </cell>
          <cell r="I5" t="str">
            <v>PRJE</v>
          </cell>
          <cell r="J5">
            <v>0</v>
          </cell>
        </row>
        <row r="6">
          <cell r="A6" t="str">
            <v>CAPTION</v>
          </cell>
          <cell r="B6" t="str">
            <v>AA-ADJ</v>
          </cell>
          <cell r="C6" t="str">
            <v>UNADJ</v>
          </cell>
          <cell r="D6" t="str">
            <v>CAJE</v>
          </cell>
          <cell r="E6" t="str">
            <v>CAJE</v>
          </cell>
          <cell r="F6" t="str">
            <v>PAJE</v>
          </cell>
          <cell r="G6" t="str">
            <v>PAJE</v>
          </cell>
          <cell r="H6" t="str">
            <v>PRJE</v>
          </cell>
          <cell r="I6" t="str">
            <v>PRJE</v>
          </cell>
          <cell r="J6" t="str">
            <v>AA-ADJ</v>
          </cell>
        </row>
        <row r="7">
          <cell r="A7" t="str">
            <v>CAPTION</v>
          </cell>
          <cell r="B7">
            <v>35127</v>
          </cell>
          <cell r="C7">
            <v>35492</v>
          </cell>
          <cell r="D7" t="str">
            <v>Dr</v>
          </cell>
          <cell r="E7" t="str">
            <v>(Cr)</v>
          </cell>
          <cell r="F7" t="str">
            <v>Dr</v>
          </cell>
          <cell r="G7" t="str">
            <v>(Cr)</v>
          </cell>
          <cell r="H7" t="str">
            <v>Dr</v>
          </cell>
          <cell r="I7" t="str">
            <v>(Cr)</v>
          </cell>
          <cell r="J7">
            <v>35492</v>
          </cell>
        </row>
        <row r="8">
          <cell r="A8" t="str">
            <v>Salary &amp; wages</v>
          </cell>
          <cell r="B8" t="str">
            <v>at 31.03.96</v>
          </cell>
          <cell r="C8" t="str">
            <v>additions</v>
          </cell>
          <cell r="D8" t="str">
            <v>deletions</v>
          </cell>
          <cell r="E8" t="str">
            <v>at 31.03.97</v>
          </cell>
          <cell r="F8" t="str">
            <v>Dr/&lt;Cr&gt;</v>
          </cell>
          <cell r="G8" t="str">
            <v>Adjusted</v>
          </cell>
          <cell r="H8" t="str">
            <v>at 31.03.96</v>
          </cell>
          <cell r="I8" t="str">
            <v>the year</v>
          </cell>
          <cell r="J8" t="str">
            <v>assets sold</v>
          </cell>
        </row>
        <row r="9">
          <cell r="A9" t="str">
            <v>Share capital</v>
          </cell>
          <cell r="B9">
            <v>22424713</v>
          </cell>
          <cell r="C9" t="str">
            <v>RAMKRISHNA IRON WORKS PVTLTD</v>
          </cell>
          <cell r="D9" t="str">
            <v>Office : 26 Gobind Mahal 86B Netaji Subhash Road Marine Drive Mumbai –400 002Fact : A322 harihar Complex Village Dapode Near Gajananad Petrol Pump Mankoli  Naka Bhiwandi421302</v>
          </cell>
          <cell r="E9" t="str">
            <v>Mumbai</v>
          </cell>
          <cell r="F9">
            <v>0</v>
          </cell>
          <cell r="G9" t="str">
            <v>TCI XPS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>Authorised</v>
          </cell>
          <cell r="B10">
            <v>4656586</v>
          </cell>
          <cell r="C10">
            <v>0</v>
          </cell>
          <cell r="D10" t="str">
            <v>Chalkewadi Satara</v>
          </cell>
          <cell r="E10" t="str">
            <v>Satara Regional Warehouse</v>
          </cell>
          <cell r="F10">
            <v>0</v>
          </cell>
          <cell r="G10" t="str">
            <v>TCI Freight</v>
          </cell>
          <cell r="H10">
            <v>-427039</v>
          </cell>
          <cell r="I10">
            <v>0</v>
          </cell>
          <cell r="J10">
            <v>11012012</v>
          </cell>
        </row>
        <row r="11">
          <cell r="A11" t="str">
            <v>500,000 equity shares of Rs 100 each</v>
          </cell>
          <cell r="B11">
            <v>50000000</v>
          </cell>
          <cell r="C11" t="str">
            <v>Jayco Safety Products Pvt Ltd</v>
          </cell>
          <cell r="D11" t="str">
            <v>Jayco Safety Products Pvt LtdPlot No 734Valsad 999999</v>
          </cell>
          <cell r="E11" t="str">
            <v>VALSAD</v>
          </cell>
          <cell r="F11">
            <v>0</v>
          </cell>
          <cell r="G11" t="str">
            <v>ARCL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>Building</v>
          </cell>
          <cell r="B12">
            <v>508670</v>
          </cell>
          <cell r="C12" t="str">
            <v>Tacklers VAT No :27240664072V Dt 01042008CST No :27240664072 C Dt25071962</v>
          </cell>
          <cell r="D12" t="str">
            <v>Jayco Safety Products Pvt LtdPlot No 734Valsad 999999</v>
          </cell>
          <cell r="E12" t="str">
            <v>Mumbai</v>
          </cell>
          <cell r="F12">
            <v>0</v>
          </cell>
          <cell r="G12">
            <v>0</v>
          </cell>
          <cell r="H12">
            <v>-147699</v>
          </cell>
          <cell r="I12">
            <v>0</v>
          </cell>
          <cell r="J12">
            <v>0</v>
          </cell>
        </row>
        <row r="13">
          <cell r="A13" t="str">
            <v>Issued</v>
          </cell>
          <cell r="B13">
            <v>291784</v>
          </cell>
          <cell r="C13" t="str">
            <v>Tacklers VAT No :27240664072V Dt 01042008CST No :27240664072 C Dt25071962</v>
          </cell>
          <cell r="D13" t="str">
            <v>Jayco Safety Products Pvt LtdPlot No 734Valsad 999999</v>
          </cell>
          <cell r="E13" t="str">
            <v>Mumbai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>209,500 equity shares of Rs 100 each</v>
          </cell>
          <cell r="B14">
            <v>20950000</v>
          </cell>
          <cell r="C14" t="str">
            <v>Tacklers VAT No :27240664072V Dt 01042008CST No :27240664072 C Dt25071962</v>
          </cell>
          <cell r="D14" t="str">
            <v>Jayco Safety Products Pvt LtdPlot No 734Valsad 999999</v>
          </cell>
          <cell r="E14" t="str">
            <v>Mumbai</v>
          </cell>
          <cell r="F14">
            <v>0</v>
          </cell>
          <cell r="G14">
            <v>0</v>
          </cell>
          <cell r="H14">
            <v>-1441418</v>
          </cell>
          <cell r="I14">
            <v>0</v>
          </cell>
          <cell r="J14">
            <v>0</v>
          </cell>
        </row>
        <row r="15">
          <cell r="A15" t="str">
            <v>Excise duty</v>
          </cell>
          <cell r="B15">
            <v>2044129</v>
          </cell>
          <cell r="C15" t="str">
            <v>Impex Tools</v>
          </cell>
          <cell r="D15" t="str">
            <v>Jayco Safety Products Pvt LtdPlot No 734Valsad 999999</v>
          </cell>
          <cell r="E15" t="str">
            <v>PUNE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</row>
        <row r="16">
          <cell r="A16" t="str">
            <v>Paid-up</v>
          </cell>
          <cell r="B16">
            <v>5171706</v>
          </cell>
          <cell r="C16" t="str">
            <v>RAMKRISHNA IRON WORKS PVT.LTD V A T TIN No.27880346821 V w.e.f 01.04.2006C S T  TIN No.27880346821 C w.e.f 01.04.2006</v>
          </cell>
          <cell r="D16" t="str">
            <v>Office : 26, Gobind Mahal, 86-B, Netaji Subhash Road, Marine Drive, Mumbai –400 002Fact : A-3/22, hari-har Complex, Village-Dapode, Near Gajananad Petrol Pump, Mankoli Naka, Bhiwandi-421302</v>
          </cell>
          <cell r="E16" t="str">
            <v>Mumbai</v>
          </cell>
          <cell r="F16">
            <v>0</v>
          </cell>
          <cell r="G16" t="str">
            <v>TCI XPS</v>
          </cell>
          <cell r="H16">
            <v>-905935</v>
          </cell>
          <cell r="I16">
            <v>0</v>
          </cell>
          <cell r="J16">
            <v>0</v>
          </cell>
        </row>
        <row r="17">
          <cell r="A17" t="str">
            <v>131,000 eq shares of Rs 100 each fully pd-up</v>
          </cell>
          <cell r="B17">
            <v>-20950000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A18" t="str">
            <v>Advances against capital</v>
          </cell>
          <cell r="B18">
            <v>1318870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-128109</v>
          </cell>
          <cell r="I18">
            <v>0</v>
          </cell>
          <cell r="J18">
            <v>0</v>
          </cell>
        </row>
        <row r="19">
          <cell r="A19" t="str">
            <v>Total</v>
          </cell>
          <cell r="B19">
            <v>-20950000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Selling &amp; distribution</v>
          </cell>
          <cell r="B20">
            <v>1372298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-47396</v>
          </cell>
          <cell r="I20">
            <v>0</v>
          </cell>
          <cell r="J20">
            <v>0</v>
          </cell>
        </row>
        <row r="21">
          <cell r="A21" t="str">
            <v>Reserves</v>
          </cell>
          <cell r="B21">
            <v>-1597209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General reserve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-604048</v>
          </cell>
          <cell r="I22">
            <v>0</v>
          </cell>
          <cell r="J22">
            <v>0</v>
          </cell>
        </row>
        <row r="23">
          <cell r="A23" t="str">
            <v>Profit and loss account</v>
          </cell>
          <cell r="B23">
            <v>15979295</v>
          </cell>
        </row>
        <row r="24">
          <cell r="A24" t="str">
            <v>Add : Profit for the year</v>
          </cell>
          <cell r="B24">
            <v>-2094210</v>
          </cell>
        </row>
        <row r="25">
          <cell r="A25" t="str">
            <v>Investment allowance reserve</v>
          </cell>
          <cell r="B25">
            <v>-322395</v>
          </cell>
        </row>
        <row r="26">
          <cell r="A26" t="str">
            <v>Provisions</v>
          </cell>
          <cell r="B26">
            <v>14961373</v>
          </cell>
          <cell r="H26">
            <v>-3701644</v>
          </cell>
        </row>
        <row r="27">
          <cell r="A27" t="str">
            <v>Prov for doubtful debts</v>
          </cell>
          <cell r="B27">
            <v>-715782</v>
          </cell>
        </row>
        <row r="28">
          <cell r="A28" t="str">
            <v>Prov for taxation</v>
          </cell>
          <cell r="B28">
            <v>0</v>
          </cell>
        </row>
      </sheetData>
      <sheetData sheetId="6" refreshError="1">
        <row r="1">
          <cell r="A1" t="str">
            <v>MAHARASHTRA DAIRY PRODUCTS MANUFACTURING CO. PVT LTD.</v>
          </cell>
          <cell r="B1" t="str">
            <v>Form  No</v>
          </cell>
          <cell r="C1" t="str">
            <v>Name Of Consignor*</v>
          </cell>
          <cell r="D1" t="str">
            <v>Address Of Consignor*</v>
          </cell>
          <cell r="E1" t="str">
            <v>Destination from which the goods dispatched*</v>
          </cell>
          <cell r="F1" t="str">
            <v>Vehicle Number</v>
          </cell>
          <cell r="G1" t="str">
            <v>Transport Company Name</v>
          </cell>
          <cell r="H1" t="str">
            <v>Transport Compnay Address</v>
          </cell>
          <cell r="I1" t="str">
            <v>Bilty LR No</v>
          </cell>
          <cell r="J1" t="str">
            <v>Bilty Date</v>
          </cell>
        </row>
        <row r="2">
          <cell r="A2" t="str">
            <v>OTHER INCOME</v>
          </cell>
          <cell r="B2">
            <v>1835383</v>
          </cell>
          <cell r="C2" t="str">
            <v>Suzlon Energy Limited</v>
          </cell>
          <cell r="D2" t="str">
            <v>RS no 216 4 217 2A Titane Petle Cms Titane petle Road Tahsil sakri</v>
          </cell>
          <cell r="E2" t="str">
            <v>Nandurbar</v>
          </cell>
          <cell r="F2">
            <v>0</v>
          </cell>
          <cell r="G2" t="str">
            <v>Com Vehicle</v>
          </cell>
          <cell r="H2">
            <v>0</v>
          </cell>
          <cell r="I2">
            <v>0</v>
          </cell>
          <cell r="J2">
            <v>0</v>
          </cell>
        </row>
        <row r="3">
          <cell r="A3" t="str">
            <v>AUDIT: 31/03/97</v>
          </cell>
          <cell r="B3">
            <v>1841719</v>
          </cell>
          <cell r="C3" t="str">
            <v>Suzlon Energy Limited</v>
          </cell>
          <cell r="D3" t="str">
            <v>Chalkewadi Satara</v>
          </cell>
          <cell r="E3" t="str">
            <v>Satara Regional Warehouse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</row>
        <row r="4">
          <cell r="A4">
            <v>3</v>
          </cell>
          <cell r="B4">
            <v>1851574</v>
          </cell>
          <cell r="C4" t="str">
            <v>Asmita Enterprises</v>
          </cell>
          <cell r="D4" t="str">
            <v>Sector no 7  plot no 125 pcntda Bhosari pune 411026</v>
          </cell>
          <cell r="E4" t="str">
            <v>Pune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</row>
        <row r="5">
          <cell r="A5">
            <v>4</v>
          </cell>
          <cell r="B5" t="str">
            <v>AA-ADJ</v>
          </cell>
          <cell r="C5" t="str">
            <v>W/P</v>
          </cell>
          <cell r="D5" t="str">
            <v>UNADJ</v>
          </cell>
          <cell r="E5" t="str">
            <v>CAJE</v>
          </cell>
          <cell r="F5">
            <v>0</v>
          </cell>
          <cell r="G5" t="str">
            <v>PAJE</v>
          </cell>
          <cell r="H5">
            <v>0</v>
          </cell>
          <cell r="I5" t="str">
            <v>PRJE</v>
          </cell>
          <cell r="J5">
            <v>0</v>
          </cell>
        </row>
        <row r="6">
          <cell r="A6" t="str">
            <v>CAPTION</v>
          </cell>
          <cell r="B6" t="str">
            <v>AA-ADJ</v>
          </cell>
          <cell r="C6" t="str">
            <v>UNADJ</v>
          </cell>
          <cell r="D6" t="str">
            <v>CAJE</v>
          </cell>
          <cell r="E6" t="str">
            <v>CAJE</v>
          </cell>
          <cell r="F6" t="str">
            <v>PAJE</v>
          </cell>
          <cell r="G6" t="str">
            <v>PAJE</v>
          </cell>
          <cell r="H6" t="str">
            <v>PRJE</v>
          </cell>
          <cell r="I6" t="str">
            <v>PRJE</v>
          </cell>
          <cell r="J6" t="str">
            <v>AA-ADJ</v>
          </cell>
        </row>
        <row r="7">
          <cell r="A7" t="str">
            <v>CAPTION</v>
          </cell>
          <cell r="B7">
            <v>35127</v>
          </cell>
          <cell r="C7">
            <v>35492</v>
          </cell>
          <cell r="D7" t="str">
            <v>Dr</v>
          </cell>
          <cell r="E7" t="str">
            <v>(Cr)</v>
          </cell>
          <cell r="F7" t="str">
            <v>Dr</v>
          </cell>
          <cell r="G7" t="str">
            <v>(Cr)</v>
          </cell>
          <cell r="H7" t="str">
            <v>Dr</v>
          </cell>
          <cell r="I7" t="str">
            <v>(Cr)</v>
          </cell>
          <cell r="J7">
            <v>35492</v>
          </cell>
        </row>
        <row r="8">
          <cell r="A8" t="str">
            <v>Salary &amp; wages</v>
          </cell>
          <cell r="B8" t="str">
            <v>at 31.03.96</v>
          </cell>
          <cell r="C8" t="str">
            <v>additions</v>
          </cell>
          <cell r="D8" t="str">
            <v>deletions</v>
          </cell>
          <cell r="E8" t="str">
            <v>at 31.03.97</v>
          </cell>
          <cell r="F8" t="str">
            <v>Dr/&lt;Cr&gt;</v>
          </cell>
          <cell r="G8" t="str">
            <v>Adjusted</v>
          </cell>
          <cell r="H8" t="str">
            <v>at 31.03.96</v>
          </cell>
          <cell r="I8" t="str">
            <v>the year</v>
          </cell>
          <cell r="J8" t="str">
            <v>assets sold</v>
          </cell>
        </row>
        <row r="9">
          <cell r="A9" t="str">
            <v>Interest income</v>
          </cell>
          <cell r="B9">
            <v>-51172</v>
          </cell>
          <cell r="C9" t="str">
            <v>RAMKRISHNA IRON WORKS PVTLTD</v>
          </cell>
          <cell r="D9" t="str">
            <v>Office : 26 Gobind Mahal 86B Netaji Subhash Road Marine Drive Mumbai –400 002Fact : A322 harihar Complex Village Dapode Near Gajananad Petrol Pump Mankoli  Naka Bhiwandi421302</v>
          </cell>
          <cell r="E9" t="str">
            <v>Mumbai</v>
          </cell>
          <cell r="F9">
            <v>0</v>
          </cell>
          <cell r="G9" t="str">
            <v>TCI XPS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>Equipment</v>
          </cell>
          <cell r="B10">
            <v>4656586</v>
          </cell>
          <cell r="C10" t="str">
            <v/>
          </cell>
          <cell r="D10" t="str">
            <v>Chalkewadi Satara</v>
          </cell>
          <cell r="E10" t="str">
            <v>Satara Regional Warehouse</v>
          </cell>
          <cell r="F10">
            <v>0</v>
          </cell>
          <cell r="G10" t="str">
            <v>TCI Freight</v>
          </cell>
          <cell r="H10">
            <v>-427039</v>
          </cell>
          <cell r="I10">
            <v>0</v>
          </cell>
          <cell r="J10">
            <v>11012012</v>
          </cell>
        </row>
        <row r="11">
          <cell r="A11" t="str">
            <v>Professional charges</v>
          </cell>
          <cell r="B11">
            <v>-813918</v>
          </cell>
          <cell r="C11" t="str">
            <v>Jayco Safety Products Pvt Ltd</v>
          </cell>
          <cell r="D11" t="str">
            <v>Jayco Safety Products Pvt LtdPlot No 734Valsad 999999</v>
          </cell>
          <cell r="E11" t="str">
            <v>VALSAD</v>
          </cell>
          <cell r="F11">
            <v>0</v>
          </cell>
          <cell r="G11" t="str">
            <v>ARCL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 xml:space="preserve">  - Interest payable (CC a/c)</v>
          </cell>
          <cell r="B12">
            <v>0</v>
          </cell>
          <cell r="C12" t="str">
            <v>Tacklers VAT No :27240664072V Dt 01042008CST No :27240664072 C Dt25071962</v>
          </cell>
          <cell r="D12" t="str">
            <v>Jayco Safety Products Pvt LtdPlot No 734Valsad 999999</v>
          </cell>
          <cell r="E12" t="str">
            <v>Mumbai</v>
          </cell>
          <cell r="F12">
            <v>0</v>
          </cell>
          <cell r="G12">
            <v>0</v>
          </cell>
          <cell r="H12">
            <v>-147699</v>
          </cell>
          <cell r="I12">
            <v>0</v>
          </cell>
          <cell r="J12">
            <v>0</v>
          </cell>
        </row>
        <row r="13">
          <cell r="A13" t="str">
            <v>Profit on sale of asset</v>
          </cell>
          <cell r="B13">
            <v>-418642</v>
          </cell>
          <cell r="C13" t="str">
            <v>Tacklers VAT No :27240664072V Dt 01042008CST No :27240664072 C Dt25071962</v>
          </cell>
          <cell r="D13" t="str">
            <v>Jayco Safety Products Pvt LtdPlot No 734Valsad 999999</v>
          </cell>
          <cell r="E13" t="str">
            <v>Mumbai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>Plant &amp; Machinery</v>
          </cell>
          <cell r="B14">
            <v>0</v>
          </cell>
          <cell r="C14" t="str">
            <v>Tacklers VAT No :27240664072V Dt 01042008CST No :27240664072 C Dt25071962</v>
          </cell>
          <cell r="D14" t="str">
            <v>Jayco Safety Products Pvt LtdPlot No 734Valsad 999999</v>
          </cell>
          <cell r="E14" t="str">
            <v>Mumbai</v>
          </cell>
          <cell r="F14">
            <v>0</v>
          </cell>
          <cell r="G14">
            <v>0</v>
          </cell>
          <cell r="H14">
            <v>-1441418</v>
          </cell>
          <cell r="I14">
            <v>0</v>
          </cell>
          <cell r="J14">
            <v>0</v>
          </cell>
        </row>
        <row r="15">
          <cell r="A15" t="str">
            <v>Dividend received</v>
          </cell>
          <cell r="B15">
            <v>-1500</v>
          </cell>
          <cell r="C15" t="str">
            <v>Impex Tools</v>
          </cell>
          <cell r="D15" t="str">
            <v>Jayco Safety Products Pvt LtdPlot No 734Valsad 999999</v>
          </cell>
          <cell r="E15" t="str">
            <v>PUNE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</row>
        <row r="16">
          <cell r="A16" t="str">
            <v>Other liabilities</v>
          </cell>
          <cell r="B16">
            <v>5171706</v>
          </cell>
          <cell r="C16" t="str">
            <v>RAMKRISHNA IRON WORKS PVT.LTD V A T TIN No.27880346821 V w.e.f 01.04.2006C S T  TIN No.27880346821 C w.e.f 01.04.2006</v>
          </cell>
          <cell r="D16" t="str">
            <v>Office : 26, Gobind Mahal, 86-B, Netaji Subhash Road, Marine Drive, Mumbai –400 002Fact : A-3/22, hari-har Complex, Village-Dapode, Near Gajananad Petrol Pump, Mankoli Naka, Bhiwandi-421302</v>
          </cell>
          <cell r="E16" t="str">
            <v>Mumbai</v>
          </cell>
          <cell r="F16">
            <v>0</v>
          </cell>
          <cell r="G16" t="str">
            <v>TCI XPS</v>
          </cell>
          <cell r="H16">
            <v>-905935</v>
          </cell>
          <cell r="I16">
            <v>0</v>
          </cell>
          <cell r="J16">
            <v>0</v>
          </cell>
        </row>
        <row r="17">
          <cell r="A17" t="str">
            <v xml:space="preserve">Royalty </v>
          </cell>
          <cell r="B17">
            <v>-249845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A18" t="str">
            <v xml:space="preserve">   - Debtors showing credit balance</v>
          </cell>
          <cell r="B18">
            <v>-183526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-128109</v>
          </cell>
          <cell r="I18">
            <v>0</v>
          </cell>
          <cell r="J18">
            <v>0</v>
          </cell>
        </row>
        <row r="19">
          <cell r="A19" t="str">
            <v>Misc income</v>
          </cell>
          <cell r="B19">
            <v>-62132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Selling &amp; distribution</v>
          </cell>
          <cell r="B20">
            <v>1372298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-47396</v>
          </cell>
          <cell r="I20">
            <v>0</v>
          </cell>
          <cell r="J20">
            <v>0</v>
          </cell>
        </row>
        <row r="21">
          <cell r="A21" t="str">
            <v>Total</v>
          </cell>
          <cell r="B21">
            <v>-1597209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General reserve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-604048</v>
          </cell>
          <cell r="I22">
            <v>0</v>
          </cell>
          <cell r="J22">
            <v>0</v>
          </cell>
        </row>
      </sheetData>
      <sheetData sheetId="7" refreshError="1">
        <row r="1">
          <cell r="A1" t="str">
            <v>MAHARASHTRA DAIRY PRODUCTS MANUFACTURING CO. PVT LTD.</v>
          </cell>
          <cell r="B1" t="str">
            <v>Form  No</v>
          </cell>
          <cell r="C1" t="str">
            <v>Name Of Consignor*</v>
          </cell>
          <cell r="D1" t="str">
            <v>Address Of Consignor*</v>
          </cell>
          <cell r="E1" t="str">
            <v>Destination from which the goods dispatched*</v>
          </cell>
          <cell r="F1" t="str">
            <v>Vehicle Number</v>
          </cell>
          <cell r="G1" t="str">
            <v>Transport Company Name</v>
          </cell>
          <cell r="H1" t="str">
            <v>Transport Compnay Address</v>
          </cell>
          <cell r="I1" t="str">
            <v>Bilty LR No</v>
          </cell>
          <cell r="J1" t="str">
            <v>Bilty Date</v>
          </cell>
        </row>
        <row r="2">
          <cell r="A2" t="str">
            <v>COST OF SALES</v>
          </cell>
          <cell r="B2">
            <v>1835383</v>
          </cell>
          <cell r="C2" t="str">
            <v>Suzlon Energy Limited</v>
          </cell>
          <cell r="D2" t="str">
            <v>RS no 216 4 217 2A Titane Petle Cms Titane petle Road Tahsil sakri</v>
          </cell>
          <cell r="E2" t="str">
            <v>Nandurbar</v>
          </cell>
          <cell r="F2">
            <v>0</v>
          </cell>
          <cell r="G2" t="str">
            <v>Com Vehicle</v>
          </cell>
          <cell r="H2">
            <v>0</v>
          </cell>
          <cell r="I2">
            <v>0</v>
          </cell>
          <cell r="J2">
            <v>0</v>
          </cell>
        </row>
        <row r="3">
          <cell r="A3" t="str">
            <v>AUDIT: 31/03/97</v>
          </cell>
          <cell r="B3">
            <v>1841719</v>
          </cell>
          <cell r="C3" t="str">
            <v>Suzlon Energy Limited</v>
          </cell>
          <cell r="D3" t="str">
            <v>Chalkewadi Satara</v>
          </cell>
          <cell r="E3" t="str">
            <v>Satara Regional Warehouse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</row>
        <row r="4">
          <cell r="A4">
            <v>3</v>
          </cell>
          <cell r="B4">
            <v>1851574</v>
          </cell>
          <cell r="C4" t="str">
            <v>Asmita Enterprises</v>
          </cell>
          <cell r="D4" t="str">
            <v>Sector no 7  plot no 125 pcntda Bhosari pune 411026</v>
          </cell>
          <cell r="E4" t="str">
            <v>Pune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</row>
        <row r="5">
          <cell r="A5">
            <v>4</v>
          </cell>
          <cell r="B5" t="str">
            <v>AA-ADJ</v>
          </cell>
          <cell r="C5" t="str">
            <v>W/P</v>
          </cell>
          <cell r="D5" t="str">
            <v>UNADJ</v>
          </cell>
          <cell r="E5" t="str">
            <v>CAJE</v>
          </cell>
          <cell r="F5">
            <v>0</v>
          </cell>
          <cell r="G5" t="str">
            <v>PAJE</v>
          </cell>
          <cell r="H5">
            <v>0</v>
          </cell>
          <cell r="I5" t="str">
            <v>PRJE</v>
          </cell>
          <cell r="J5">
            <v>0</v>
          </cell>
        </row>
        <row r="6">
          <cell r="A6" t="str">
            <v>CAPTION</v>
          </cell>
          <cell r="B6" t="str">
            <v>AA-ADJ</v>
          </cell>
          <cell r="C6" t="str">
            <v>UNADJ</v>
          </cell>
          <cell r="D6" t="str">
            <v>CAJE</v>
          </cell>
          <cell r="E6" t="str">
            <v>Dr</v>
          </cell>
          <cell r="F6" t="str">
            <v>PAJE</v>
          </cell>
          <cell r="G6" t="str">
            <v>Dr</v>
          </cell>
          <cell r="H6" t="str">
            <v>PRJE</v>
          </cell>
          <cell r="I6" t="str">
            <v>Dr</v>
          </cell>
          <cell r="J6" t="str">
            <v>AA-ADJ</v>
          </cell>
        </row>
        <row r="7">
          <cell r="A7" t="str">
            <v>CAPTION</v>
          </cell>
          <cell r="B7">
            <v>35127</v>
          </cell>
          <cell r="C7">
            <v>35492</v>
          </cell>
          <cell r="D7" t="str">
            <v>Dr</v>
          </cell>
          <cell r="E7" t="str">
            <v>(Cr)</v>
          </cell>
          <cell r="F7" t="str">
            <v>Dr</v>
          </cell>
          <cell r="G7" t="str">
            <v>(Cr)</v>
          </cell>
          <cell r="H7" t="str">
            <v>Dr</v>
          </cell>
          <cell r="I7" t="str">
            <v>(Cr)</v>
          </cell>
          <cell r="J7">
            <v>35492</v>
          </cell>
        </row>
        <row r="8">
          <cell r="A8" t="str">
            <v>Salary &amp; wages</v>
          </cell>
          <cell r="B8">
            <v>1442831</v>
          </cell>
          <cell r="C8" t="str">
            <v>additions</v>
          </cell>
          <cell r="D8" t="str">
            <v>deletions</v>
          </cell>
          <cell r="E8" t="str">
            <v>at 31.03.97</v>
          </cell>
          <cell r="F8" t="str">
            <v>Dr/&lt;Cr&gt;</v>
          </cell>
          <cell r="G8" t="str">
            <v>Adjusted</v>
          </cell>
          <cell r="H8" t="str">
            <v>at 31.03.96</v>
          </cell>
          <cell r="I8" t="str">
            <v>the year</v>
          </cell>
          <cell r="J8" t="str">
            <v>assets sold</v>
          </cell>
        </row>
        <row r="9">
          <cell r="A9" t="str">
            <v>Raw &amp; packing material consumed</v>
          </cell>
          <cell r="B9">
            <v>22424713</v>
          </cell>
          <cell r="C9" t="str">
            <v>RAMKRISHNA IRON WORKS PVTLTD</v>
          </cell>
          <cell r="D9" t="str">
            <v>Office : 26 Gobind Mahal 86B Netaji Subhash Road Marine Drive Mumbai –400 002Fact : A322 harihar Complex Village Dapode Near Gajananad Petrol Pump Mankoli  Naka Bhiwandi421302</v>
          </cell>
          <cell r="E9" t="str">
            <v>Mumbai</v>
          </cell>
          <cell r="F9">
            <v>0</v>
          </cell>
          <cell r="G9" t="str">
            <v>TCI XPS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>Water &amp; electricity</v>
          </cell>
          <cell r="B10">
            <v>1723478</v>
          </cell>
          <cell r="C10" t="str">
            <v/>
          </cell>
          <cell r="D10" t="str">
            <v>Chalkewadi Satara</v>
          </cell>
          <cell r="E10" t="str">
            <v>Satara Regional Warehouse</v>
          </cell>
          <cell r="F10">
            <v>0</v>
          </cell>
          <cell r="G10" t="str">
            <v>TCI Freight</v>
          </cell>
          <cell r="H10">
            <v>-427039</v>
          </cell>
          <cell r="I10">
            <v>0</v>
          </cell>
          <cell r="J10">
            <v>11012012</v>
          </cell>
        </row>
        <row r="11">
          <cell r="A11" t="str">
            <v>Power &amp; Fuel</v>
          </cell>
          <cell r="B11">
            <v>150915</v>
          </cell>
          <cell r="C11" t="str">
            <v>Jayco Safety Products Pvt Ltd</v>
          </cell>
          <cell r="D11" t="str">
            <v>Jayco Safety Products Pvt LtdPlot No 734Valsad 999999</v>
          </cell>
          <cell r="E11" t="str">
            <v>VALSAD</v>
          </cell>
          <cell r="F11">
            <v>0</v>
          </cell>
          <cell r="G11" t="str">
            <v>ARCL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>Travel &amp; Conveyance</v>
          </cell>
          <cell r="B12">
            <v>1777018</v>
          </cell>
          <cell r="C12" t="str">
            <v>Tacklers VAT No :27240664072V Dt 01042008CST No :27240664072 C Dt25071962</v>
          </cell>
          <cell r="D12" t="str">
            <v>Jayco Safety Products Pvt LtdPlot No 734Valsad 999999</v>
          </cell>
          <cell r="E12" t="str">
            <v>Mumbai</v>
          </cell>
          <cell r="F12">
            <v>0</v>
          </cell>
          <cell r="G12">
            <v>0</v>
          </cell>
          <cell r="H12">
            <v>-147699</v>
          </cell>
          <cell r="I12">
            <v>0</v>
          </cell>
          <cell r="J12">
            <v>0</v>
          </cell>
        </row>
        <row r="13">
          <cell r="A13" t="str">
            <v>Inc/dec in finished goods</v>
          </cell>
          <cell r="B13">
            <v>291784</v>
          </cell>
          <cell r="C13" t="str">
            <v>Tacklers VAT No :27240664072V Dt 01042008CST No :27240664072 C Dt25071962</v>
          </cell>
          <cell r="D13" t="str">
            <v>Jayco Safety Products Pvt LtdPlot No 734Valsad 999999</v>
          </cell>
          <cell r="E13" t="str">
            <v>Mumbai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>Printing &amp; stationary</v>
          </cell>
          <cell r="B14">
            <v>342296</v>
          </cell>
          <cell r="C14" t="str">
            <v>Tacklers VAT No :27240664072V Dt 01042008CST No :27240664072 C Dt25071962</v>
          </cell>
          <cell r="D14" t="str">
            <v>Jayco Safety Products Pvt LtdPlot No 734Valsad 999999</v>
          </cell>
          <cell r="E14" t="str">
            <v>Mumbai</v>
          </cell>
          <cell r="F14">
            <v>0</v>
          </cell>
          <cell r="G14">
            <v>0</v>
          </cell>
          <cell r="H14">
            <v>-1441418</v>
          </cell>
          <cell r="I14">
            <v>0</v>
          </cell>
          <cell r="J14">
            <v>0</v>
          </cell>
        </row>
        <row r="15">
          <cell r="A15" t="str">
            <v>Excise duty</v>
          </cell>
          <cell r="B15">
            <v>2044129</v>
          </cell>
          <cell r="C15" t="str">
            <v>Impex Tools</v>
          </cell>
          <cell r="D15" t="str">
            <v>Jayco Safety Products Pvt LtdPlot No 734Valsad 999999</v>
          </cell>
          <cell r="E15" t="str">
            <v>PUNE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</row>
        <row r="16">
          <cell r="A16" t="str">
            <v>Advt &amp; publicity</v>
          </cell>
          <cell r="B16">
            <v>1803031</v>
          </cell>
          <cell r="C16" t="str">
            <v>RAMKRISHNA IRON WORKS PVT.LTD V A T TIN No.27880346821 V w.e.f 01.04.2006C S T  TIN No.27880346821 C w.e.f 01.04.2006</v>
          </cell>
          <cell r="D16" t="str">
            <v>Office : 26, Gobind Mahal, 86-B, Netaji Subhash Road, Marine Drive, Mumbai –400 002Fact : A-3/22, hari-har Complex, Village-Dapode, Near Gajananad Petrol Pump, Mankoli Naka, Bhiwandi-421302</v>
          </cell>
          <cell r="E16" t="str">
            <v>Mumbai</v>
          </cell>
          <cell r="F16">
            <v>0</v>
          </cell>
          <cell r="G16" t="str">
            <v>TCI XPS</v>
          </cell>
          <cell r="H16">
            <v>-905935</v>
          </cell>
          <cell r="I16">
            <v>0</v>
          </cell>
          <cell r="J16">
            <v>0</v>
          </cell>
        </row>
        <row r="17">
          <cell r="A17" t="str">
            <v>Processing charges</v>
          </cell>
          <cell r="B17">
            <v>3708459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A18" t="str">
            <v>Cleaning exp</v>
          </cell>
          <cell r="B18">
            <v>229772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-128109</v>
          </cell>
          <cell r="I18">
            <v>0</v>
          </cell>
          <cell r="J18">
            <v>0</v>
          </cell>
        </row>
        <row r="19">
          <cell r="A19" t="str">
            <v>Total</v>
          </cell>
          <cell r="B19">
            <v>28620000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Selling &amp; distribution</v>
          </cell>
          <cell r="B20">
            <v>1372298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-47396</v>
          </cell>
          <cell r="I20">
            <v>0</v>
          </cell>
          <cell r="J20">
            <v>0</v>
          </cell>
        </row>
        <row r="21">
          <cell r="A21" t="str">
            <v>Rent rates &amp; taxes</v>
          </cell>
          <cell r="B21">
            <v>633171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</sheetData>
      <sheetData sheetId="8" refreshError="1">
        <row r="1">
          <cell r="A1" t="str">
            <v>MAHARASHTRA DAIRY PRODUCTS MANUFACTURING CO. PVT LTD.</v>
          </cell>
          <cell r="B1" t="str">
            <v>Form  No</v>
          </cell>
          <cell r="C1" t="str">
            <v>Name Of Consignor*</v>
          </cell>
          <cell r="D1" t="str">
            <v>Address Of Consignor*</v>
          </cell>
          <cell r="E1" t="str">
            <v>Destination from which the goods dispatched*</v>
          </cell>
          <cell r="F1" t="str">
            <v>Vehicle Number</v>
          </cell>
          <cell r="G1" t="str">
            <v>Transport Company Name</v>
          </cell>
          <cell r="H1" t="str">
            <v>Transport Compnay Address</v>
          </cell>
          <cell r="I1" t="str">
            <v>Bilty LR No</v>
          </cell>
          <cell r="J1" t="str">
            <v>Bilty Date</v>
          </cell>
          <cell r="K1" t="str">
            <v>Invoice No*</v>
          </cell>
        </row>
        <row r="2">
          <cell r="A2" t="str">
            <v>OPERATING EXPENSES</v>
          </cell>
          <cell r="B2">
            <v>1835383</v>
          </cell>
          <cell r="C2" t="str">
            <v>Suzlon Energy Limited</v>
          </cell>
          <cell r="D2" t="str">
            <v>RS no 216 4 217 2A Titane Petle Cms Titane petle Road Tahsil sakri</v>
          </cell>
          <cell r="E2" t="str">
            <v>Nandurbar</v>
          </cell>
          <cell r="F2">
            <v>0</v>
          </cell>
          <cell r="G2" t="str">
            <v>Com Vehicle</v>
          </cell>
          <cell r="H2">
            <v>0</v>
          </cell>
          <cell r="I2">
            <v>0</v>
          </cell>
          <cell r="J2">
            <v>0</v>
          </cell>
          <cell r="K2">
            <v>4906118499</v>
          </cell>
        </row>
        <row r="3">
          <cell r="A3" t="str">
            <v>AUDIT: 31/03/97</v>
          </cell>
          <cell r="B3">
            <v>1841719</v>
          </cell>
          <cell r="C3" t="str">
            <v>Suzlon Energy Limited</v>
          </cell>
          <cell r="D3" t="str">
            <v>Chalkewadi Satara</v>
          </cell>
          <cell r="E3" t="str">
            <v>Satara Regional Warehouse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</row>
        <row r="4">
          <cell r="A4">
            <v>3</v>
          </cell>
          <cell r="B4">
            <v>1851574</v>
          </cell>
          <cell r="C4" t="str">
            <v>Asmita Enterprises</v>
          </cell>
          <cell r="D4" t="str">
            <v>Sector no 7  plot no 125 pcntda Bhosari pune 411026</v>
          </cell>
          <cell r="E4" t="str">
            <v>Pune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</row>
        <row r="5">
          <cell r="A5">
            <v>4</v>
          </cell>
          <cell r="B5" t="str">
            <v>AA-ADJ</v>
          </cell>
          <cell r="C5" t="str">
            <v>W/P</v>
          </cell>
          <cell r="D5" t="str">
            <v>UNADJ</v>
          </cell>
          <cell r="E5" t="str">
            <v>CAJE</v>
          </cell>
          <cell r="F5">
            <v>0</v>
          </cell>
          <cell r="G5" t="str">
            <v>PAJE</v>
          </cell>
          <cell r="H5">
            <v>0</v>
          </cell>
          <cell r="I5" t="str">
            <v>PRJE</v>
          </cell>
          <cell r="J5">
            <v>0</v>
          </cell>
          <cell r="K5" t="str">
            <v>AA-ADJ</v>
          </cell>
        </row>
        <row r="6">
          <cell r="A6" t="str">
            <v>CAPTION</v>
          </cell>
          <cell r="B6">
            <v>35127</v>
          </cell>
          <cell r="C6" t="str">
            <v>REF</v>
          </cell>
          <cell r="D6">
            <v>35492</v>
          </cell>
          <cell r="E6" t="str">
            <v>Dr</v>
          </cell>
          <cell r="F6" t="str">
            <v>(Cr)</v>
          </cell>
          <cell r="G6" t="str">
            <v>Dr</v>
          </cell>
          <cell r="H6" t="str">
            <v>(Cr)</v>
          </cell>
          <cell r="I6" t="str">
            <v>Dr</v>
          </cell>
          <cell r="J6" t="str">
            <v>(Cr)</v>
          </cell>
          <cell r="K6">
            <v>35492</v>
          </cell>
        </row>
        <row r="7">
          <cell r="A7" t="str">
            <v>CAPTION</v>
          </cell>
          <cell r="B7">
            <v>35127</v>
          </cell>
          <cell r="C7">
            <v>35492</v>
          </cell>
          <cell r="D7" t="str">
            <v>Dr</v>
          </cell>
          <cell r="E7" t="str">
            <v>(Cr)</v>
          </cell>
          <cell r="F7" t="str">
            <v>Dr</v>
          </cell>
          <cell r="G7" t="str">
            <v>(Cr)</v>
          </cell>
          <cell r="H7" t="str">
            <v>Dr</v>
          </cell>
          <cell r="I7" t="str">
            <v>(Cr)</v>
          </cell>
          <cell r="J7">
            <v>35492</v>
          </cell>
          <cell r="K7">
            <v>35492</v>
          </cell>
        </row>
        <row r="8">
          <cell r="A8" t="str">
            <v>Salary &amp; wages</v>
          </cell>
          <cell r="B8">
            <v>1442831</v>
          </cell>
          <cell r="C8" t="str">
            <v>additions</v>
          </cell>
          <cell r="D8" t="str">
            <v>deletions</v>
          </cell>
          <cell r="E8" t="str">
            <v>at 31.03.97</v>
          </cell>
          <cell r="F8" t="str">
            <v>Dr/&lt;Cr&gt;</v>
          </cell>
          <cell r="G8" t="str">
            <v>Adjusted</v>
          </cell>
          <cell r="H8" t="str">
            <v>at 31.03.96</v>
          </cell>
          <cell r="I8" t="str">
            <v>the year</v>
          </cell>
          <cell r="J8" t="str">
            <v>assets sold</v>
          </cell>
          <cell r="K8" t="str">
            <v>at 31.03.97</v>
          </cell>
        </row>
        <row r="9">
          <cell r="A9" t="str">
            <v>Employee welfare exp</v>
          </cell>
          <cell r="B9">
            <v>1388977</v>
          </cell>
          <cell r="C9" t="str">
            <v>RAMKRISHNA IRON WORKS PVTLTD</v>
          </cell>
          <cell r="D9" t="str">
            <v>Office : 26 Gobind Mahal 86B Netaji Subhash Road Marine Drive Mumbai –400 002Fact : A322 harihar Complex Village Dapode Near Gajananad Petrol Pump Mankoli  Naka Bhiwandi421302</v>
          </cell>
          <cell r="E9" t="str">
            <v>Mumbai</v>
          </cell>
          <cell r="F9">
            <v>0</v>
          </cell>
          <cell r="G9" t="str">
            <v>TCI XPS</v>
          </cell>
          <cell r="H9">
            <v>0</v>
          </cell>
          <cell r="I9">
            <v>0</v>
          </cell>
          <cell r="J9">
            <v>0</v>
          </cell>
          <cell r="K9">
            <v>57</v>
          </cell>
        </row>
        <row r="10">
          <cell r="A10" t="str">
            <v>Water &amp; electricity</v>
          </cell>
          <cell r="B10">
            <v>1723478</v>
          </cell>
          <cell r="C10" t="str">
            <v/>
          </cell>
          <cell r="D10" t="str">
            <v>Chalkewadi Satara</v>
          </cell>
          <cell r="E10" t="str">
            <v>Satara Regional Warehouse</v>
          </cell>
          <cell r="F10">
            <v>0</v>
          </cell>
          <cell r="G10" t="str">
            <v>TCI Freight</v>
          </cell>
          <cell r="H10">
            <v>-427039</v>
          </cell>
          <cell r="I10">
            <v>0</v>
          </cell>
          <cell r="J10">
            <v>11012012</v>
          </cell>
          <cell r="K10" t="str">
            <v>SELSRW1112496</v>
          </cell>
        </row>
        <row r="11">
          <cell r="A11" t="str">
            <v>Commission on sales</v>
          </cell>
          <cell r="B11">
            <v>3425897</v>
          </cell>
          <cell r="C11" t="str">
            <v>Jayco Safety Products Pvt Ltd</v>
          </cell>
          <cell r="D11" t="str">
            <v>Jayco Safety Products Pvt LtdPlot No 734Valsad 999999</v>
          </cell>
          <cell r="E11" t="str">
            <v>VALSAD</v>
          </cell>
          <cell r="F11">
            <v>0</v>
          </cell>
          <cell r="G11" t="str">
            <v>ARCL</v>
          </cell>
          <cell r="H11">
            <v>0</v>
          </cell>
          <cell r="I11">
            <v>0</v>
          </cell>
          <cell r="J11">
            <v>0</v>
          </cell>
          <cell r="K11" t="str">
            <v>TRD508</v>
          </cell>
        </row>
        <row r="12">
          <cell r="A12" t="str">
            <v>Travel &amp; Conveyance</v>
          </cell>
          <cell r="B12">
            <v>1777018</v>
          </cell>
          <cell r="C12" t="str">
            <v>Tacklers VAT No :27240664072V Dt 01042008CST No :27240664072 C Dt25071962</v>
          </cell>
          <cell r="D12" t="str">
            <v>Jayco Safety Products Pvt LtdPlot No 734Valsad 999999</v>
          </cell>
          <cell r="E12" t="str">
            <v>Mumbai</v>
          </cell>
          <cell r="F12">
            <v>0</v>
          </cell>
          <cell r="G12">
            <v>0</v>
          </cell>
          <cell r="H12">
            <v>-147699</v>
          </cell>
          <cell r="I12">
            <v>0</v>
          </cell>
          <cell r="J12">
            <v>0</v>
          </cell>
          <cell r="K12" t="str">
            <v>457 &amp; 458</v>
          </cell>
        </row>
        <row r="13">
          <cell r="A13" t="str">
            <v>Postage &amp; telephone</v>
          </cell>
          <cell r="B13">
            <v>745284</v>
          </cell>
          <cell r="C13" t="str">
            <v>Tacklers VAT No :27240664072V Dt 01042008CST No :27240664072 C Dt25071962</v>
          </cell>
          <cell r="D13" t="str">
            <v>Jayco Safety Products Pvt LtdPlot No 734Valsad 999999</v>
          </cell>
          <cell r="E13" t="str">
            <v>Mumbai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460</v>
          </cell>
        </row>
        <row r="14">
          <cell r="A14" t="str">
            <v>Printing &amp; stationary</v>
          </cell>
          <cell r="B14">
            <v>342296</v>
          </cell>
          <cell r="C14" t="str">
            <v>Tacklers VAT No :27240664072V Dt 01042008CST No :27240664072 C Dt25071962</v>
          </cell>
          <cell r="D14" t="str">
            <v>Jayco Safety Products Pvt LtdPlot No 734Valsad 999999</v>
          </cell>
          <cell r="E14" t="str">
            <v>Mumbai</v>
          </cell>
          <cell r="F14">
            <v>0</v>
          </cell>
          <cell r="G14">
            <v>0</v>
          </cell>
          <cell r="H14">
            <v>-1441418</v>
          </cell>
          <cell r="I14">
            <v>0</v>
          </cell>
          <cell r="J14">
            <v>0</v>
          </cell>
          <cell r="K14">
            <v>459</v>
          </cell>
        </row>
        <row r="15">
          <cell r="A15" t="str">
            <v>Professional fees</v>
          </cell>
          <cell r="B15">
            <v>1459871</v>
          </cell>
          <cell r="C15" t="str">
            <v>Impex Tools</v>
          </cell>
          <cell r="D15" t="str">
            <v>Jayco Safety Products Pvt LtdPlot No 734Valsad 999999</v>
          </cell>
          <cell r="E15" t="str">
            <v>PUNE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8018</v>
          </cell>
        </row>
        <row r="16">
          <cell r="A16" t="str">
            <v>Advt &amp; publicity</v>
          </cell>
          <cell r="B16">
            <v>1803031</v>
          </cell>
          <cell r="C16" t="str">
            <v>RAMKRISHNA IRON WORKS PVT.LTD V A T TIN No.27880346821 V w.e.f 01.04.2006C S T  TIN No.27880346821 C w.e.f 01.04.2006</v>
          </cell>
          <cell r="D16" t="str">
            <v>Office : 26, Gobind Mahal, 86-B, Netaji Subhash Road, Marine Drive, Mumbai –400 002Fact : A-3/22, hari-har Complex, Village-Dapode, Near Gajananad Petrol Pump, Mankoli Naka, Bhiwandi-421302</v>
          </cell>
          <cell r="E16" t="str">
            <v>Mumbai</v>
          </cell>
          <cell r="F16">
            <v>0</v>
          </cell>
          <cell r="G16" t="str">
            <v>TCI XPS</v>
          </cell>
          <cell r="H16">
            <v>-905935</v>
          </cell>
          <cell r="I16">
            <v>0</v>
          </cell>
          <cell r="J16">
            <v>0</v>
          </cell>
          <cell r="K16">
            <v>62</v>
          </cell>
        </row>
        <row r="17">
          <cell r="A17" t="str">
            <v>Hire charges</v>
          </cell>
          <cell r="B17">
            <v>586279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</row>
        <row r="18">
          <cell r="A18" t="str">
            <v>Cleaning exp</v>
          </cell>
          <cell r="B18">
            <v>229772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-128109</v>
          </cell>
          <cell r="I18">
            <v>0</v>
          </cell>
          <cell r="J18">
            <v>0</v>
          </cell>
          <cell r="K18">
            <v>0</v>
          </cell>
        </row>
        <row r="19">
          <cell r="A19" t="str">
            <v>Repairs &amp; maintenance</v>
          </cell>
          <cell r="B19">
            <v>886150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</row>
        <row r="20">
          <cell r="A20" t="str">
            <v>Selling &amp; distribution</v>
          </cell>
          <cell r="B20">
            <v>1372298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-47396</v>
          </cell>
          <cell r="I20">
            <v>0</v>
          </cell>
          <cell r="J20">
            <v>0</v>
          </cell>
          <cell r="K20">
            <v>0</v>
          </cell>
        </row>
        <row r="21">
          <cell r="A21" t="str">
            <v>Rent rates &amp; taxes</v>
          </cell>
          <cell r="B21">
            <v>633171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2">
          <cell r="A22" t="str">
            <v>Insurance</v>
          </cell>
          <cell r="B22">
            <v>136338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-604048</v>
          </cell>
          <cell r="I22">
            <v>0</v>
          </cell>
          <cell r="J22">
            <v>0</v>
          </cell>
          <cell r="K22">
            <v>0</v>
          </cell>
        </row>
        <row r="23">
          <cell r="A23" t="str">
            <v>Freight &amp; octroi</v>
          </cell>
          <cell r="B23">
            <v>816741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</row>
        <row r="24">
          <cell r="A24" t="str">
            <v>Surchage on ST/TO-tax</v>
          </cell>
          <cell r="B24">
            <v>315747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</row>
        <row r="25">
          <cell r="A25" t="str">
            <v>Misc. expenses</v>
          </cell>
          <cell r="B25">
            <v>656695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</row>
        <row r="26">
          <cell r="A26" t="str">
            <v>Prov against advances</v>
          </cell>
          <cell r="B26">
            <v>215782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</row>
        <row r="27">
          <cell r="A27" t="str">
            <v>Prov for gratuity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8">
          <cell r="A28" t="str">
            <v>Audit fees</v>
          </cell>
          <cell r="B28">
            <v>150000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</row>
        <row r="29">
          <cell r="A29" t="str">
            <v>Exchange loss</v>
          </cell>
          <cell r="B29">
            <v>411701</v>
          </cell>
        </row>
        <row r="30">
          <cell r="A30" t="str">
            <v>Total</v>
          </cell>
          <cell r="B30">
            <v>20519357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ard Fromat BS"/>
      <sheetName val="Board Format PL"/>
      <sheetName val="Balance Sheet"/>
      <sheetName val="BS Schedule"/>
      <sheetName val="Profit And Loss"/>
      <sheetName val="PL Schedule"/>
      <sheetName val="NCA_Fixed as"/>
      <sheetName val="PIVOT"/>
      <sheetName val="TB Jun 12"/>
      <sheetName val="STK SUMMARY"/>
      <sheetName val="ITEM WISE STOCK"/>
      <sheetName val="Category Wise Cost"/>
      <sheetName val="FG Valuation"/>
      <sheetName val="PRODUCTION"/>
      <sheetName val="Power &amp; Fual"/>
      <sheetName val="Excise Calculation"/>
      <sheetName val="FA Summary"/>
      <sheetName val="Fixed Assets"/>
      <sheetName val="I TAX"/>
      <sheetName val="MAT"/>
    </sheetNames>
    <sheetDataSet>
      <sheetData sheetId="0" refreshError="1"/>
      <sheetData sheetId="1" refreshError="1"/>
      <sheetData sheetId="2" refreshError="1">
        <row r="1">
          <cell r="O1">
            <v>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s"/>
      <sheetName val="Sheet2"/>
      <sheetName val="TB &amp; Grouping"/>
      <sheetName val="030603"/>
      <sheetName val="SCH"/>
      <sheetName val="Sheet1"/>
      <sheetName val="PNLBS"/>
      <sheetName val="Details"/>
    </sheetNames>
    <sheetDataSet>
      <sheetData sheetId="0">
        <row r="409">
          <cell r="I409">
            <v>148186429</v>
          </cell>
        </row>
      </sheetData>
      <sheetData sheetId="1">
        <row r="409">
          <cell r="I409">
            <v>148186429</v>
          </cell>
        </row>
      </sheetData>
      <sheetData sheetId="2">
        <row r="409">
          <cell r="I409">
            <v>148186429</v>
          </cell>
        </row>
      </sheetData>
      <sheetData sheetId="3">
        <row r="409">
          <cell r="I409">
            <v>148186429</v>
          </cell>
        </row>
      </sheetData>
      <sheetData sheetId="4" refreshError="1"/>
      <sheetData sheetId="5">
        <row r="409">
          <cell r="I409">
            <v>148186429</v>
          </cell>
        </row>
      </sheetData>
      <sheetData sheetId="6">
        <row r="409">
          <cell r="I409">
            <v>148186429</v>
          </cell>
        </row>
      </sheetData>
      <sheetData sheetId="7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s"/>
      <sheetName val="CellColor"/>
      <sheetName val="Sheet1 (2)"/>
      <sheetName val="Enable_Macros"/>
      <sheetName val="AllElements_OLD"/>
      <sheetName val="AllElements"/>
      <sheetName val="General_Information"/>
      <sheetName val="General_Information_1"/>
      <sheetName val="SourcesandApplicationofFunds"/>
      <sheetName val="TotalAssetsandLiabilties"/>
      <sheetName val="Schedule_ShareCapital"/>
      <sheetName val="Schedule_ShareCapital_1"/>
      <sheetName val="Schedule_ShareCapital_2"/>
      <sheetName val="Schedule_FixedAssets"/>
      <sheetName val="Schedule_FixedAssets_NetGross"/>
      <sheetName val="Schedule_Reserves_Surplus"/>
      <sheetName val="Schedule_ReserveSurplus_Summary"/>
      <sheetName val="Schedule_SecuredDebt"/>
      <sheetName val="Schedule_UnsecuredDebt"/>
      <sheetName val="Schedule_Investments"/>
      <sheetName val="Schedule_SundryDebtors"/>
      <sheetName val="Schedule_CashandBankBalances"/>
      <sheetName val="Schedule_Inventories"/>
      <sheetName val="Schedule_OtherCurrentAssets"/>
      <sheetName val="Schedule_LoansandAdvances"/>
      <sheetName val="Schedule_CurrentLiabilities"/>
      <sheetName val="Schedule_Provisions"/>
      <sheetName val="Schedule_Misc_Expenditure"/>
      <sheetName val="AdditionalDetailsBalanceSheet"/>
      <sheetName val="AdditionalDetailsBalanceSheet_1"/>
      <sheetName val="AdditionalDetailsBalanceSheet_2"/>
      <sheetName val="AdditionalDetailsBalanceSheet_3"/>
      <sheetName val="AdditionalDetailsBalanceSheet_4"/>
      <sheetName val="IncomeStatement_Main"/>
      <sheetName val="IncomeStatement_Alternative"/>
      <sheetName val="AdditionalDetailsIncomeStatemnt"/>
      <sheetName val="AdditionalDetailsIncomeStmnt_1"/>
      <sheetName val="AdditionalDetailsIncomeStmnt_2"/>
      <sheetName val="AdditionalDetailsIncomeStmnt_3"/>
      <sheetName val="AdditionalDetailsIncomeStmnt_4"/>
      <sheetName val="Schedule_Income"/>
      <sheetName val="Schedule_Expenditure"/>
      <sheetName val="StatementofCashFlow,Indirect"/>
      <sheetName val="StatementofCashFlow,Direct"/>
      <sheetName val="NotesAccountingPolicies"/>
      <sheetName val="NotesChangesInAccountingPolicy"/>
      <sheetName val="NotesEventsOccuringAfterBSDate"/>
      <sheetName val="NotesPriorPeriodExItem"/>
      <sheetName val="Sheet1"/>
      <sheetName val="NotesForeignExchangeTrans"/>
      <sheetName val="NotesGovernmentGrants"/>
      <sheetName val="NotesAmalgamation"/>
      <sheetName val="NotesAmalgamation_1"/>
      <sheetName val="NotesEmployeeBenefits"/>
      <sheetName val="NotesSegmentReporting"/>
      <sheetName val="NotesSegmentReporting_1"/>
      <sheetName val="NotesSegmentReporting_11"/>
      <sheetName val="NotesSegmentReporting_2"/>
      <sheetName val="NotesSegmentReporting_22"/>
      <sheetName val="NotesRelatedParties"/>
      <sheetName val="NotesRelatedParties_1"/>
      <sheetName val="Sheet4"/>
      <sheetName val="NotesRelatedParties_2"/>
      <sheetName val="NotesLeases"/>
      <sheetName val="NotesEarningsPerShare"/>
      <sheetName val="NotesSubsidiaryInformation"/>
      <sheetName val="NotesSubsidiaryInformation_1"/>
      <sheetName val="NotesSubsidiaryInformation_2"/>
      <sheetName val="NotesSubsidiaryInformation_3"/>
      <sheetName val="NotesDeferredTaxAssetLiability"/>
      <sheetName val="NotesInvestmentsInAssociate"/>
      <sheetName val="NotesInvestmentsInAssociate_1"/>
      <sheetName val="NotesInvestmentsInJointVenture"/>
      <sheetName val="NoteInvestmentsInJointVenture_1"/>
      <sheetName val="NotesDiscontinuingOperations"/>
      <sheetName val="NotesIntangibleAssets"/>
      <sheetName val="NotesImpairmentOfAssets"/>
      <sheetName val="NotesProvisionsAndContingency"/>
      <sheetName val="NotesCashFlowStatement"/>
      <sheetName val="NotesCashFlowStatement_1"/>
      <sheetName val="NotesCashFlowStatement_2"/>
      <sheetName val="NotesDueToMMSEnterprise"/>
      <sheetName val="NotesDueToMMSEnterprise_1"/>
      <sheetName val="NotesDueToMMSEnterprise_2"/>
      <sheetName val="Sheet2"/>
    </sheetNames>
    <sheetDataSet>
      <sheetData sheetId="0">
        <row r="1">
          <cell r="B1" t="str">
            <v>Equity</v>
          </cell>
          <cell r="C1" t="str">
            <v>Preference</v>
          </cell>
        </row>
        <row r="2">
          <cell r="B2" t="str">
            <v>Fully convertible debentures</v>
          </cell>
          <cell r="C2" t="str">
            <v>Partly convertible debentures</v>
          </cell>
          <cell r="D2" t="str">
            <v>Non-convertible debentures</v>
          </cell>
        </row>
        <row r="3">
          <cell r="B3" t="str">
            <v>Produced</v>
          </cell>
          <cell r="C3" t="str">
            <v>Traded</v>
          </cell>
        </row>
        <row r="4">
          <cell r="B4" t="str">
            <v>Section 4(1)(a)</v>
          </cell>
          <cell r="C4" t="str">
            <v>Section 4(1)(b)</v>
          </cell>
          <cell r="D4" t="str">
            <v>Section 4(1)c</v>
          </cell>
          <cell r="E4" t="str">
            <v>Section 4(6)</v>
          </cell>
          <cell r="F4" t="str">
            <v>Section 4(7)</v>
          </cell>
        </row>
        <row r="5">
          <cell r="B5" t="str">
            <v>Holding company</v>
          </cell>
          <cell r="C5" t="str">
            <v>Ultimate Holding company</v>
          </cell>
          <cell r="D5" t="str">
            <v>Subsidiary company</v>
          </cell>
          <cell r="E5" t="str">
            <v>Fellow Subsidiary company</v>
          </cell>
          <cell r="F5" t="str">
            <v>Associate</v>
          </cell>
          <cell r="G5" t="str">
            <v>Joint venture</v>
          </cell>
          <cell r="H5" t="str">
            <v>Key Management Personnel</v>
          </cell>
          <cell r="I5" t="str">
            <v>Relatives of Key management personnel</v>
          </cell>
          <cell r="J5" t="str">
            <v>Enterprises which are owned, or have significant influence of or are partners with Key management personnel and their relatives</v>
          </cell>
          <cell r="K5" t="str">
            <v>Others</v>
          </cell>
        </row>
        <row r="7">
          <cell r="B7" t="str">
            <v>Standalone</v>
          </cell>
          <cell r="C7" t="str">
            <v>Consolidated</v>
          </cell>
        </row>
        <row r="9">
          <cell r="B9" t="str">
            <v>Actual</v>
          </cell>
          <cell r="C9" t="str">
            <v>Thousands</v>
          </cell>
          <cell r="D9" t="str">
            <v>Lakhs</v>
          </cell>
          <cell r="E9" t="str">
            <v>Millions</v>
          </cell>
          <cell r="F9" t="str">
            <v>Crores</v>
          </cell>
          <cell r="G9" t="str">
            <v>Billions</v>
          </cell>
        </row>
        <row r="10">
          <cell r="B10" t="str">
            <v>Sources and Application of Funds [Vertical Format]</v>
          </cell>
          <cell r="C10" t="str">
            <v>Total assets and liabilities [Horizontal Format]</v>
          </cell>
        </row>
        <row r="11">
          <cell r="B11" t="str">
            <v>Main</v>
          </cell>
          <cell r="C11" t="str">
            <v>Alternative</v>
          </cell>
        </row>
        <row r="12">
          <cell r="B12" t="str">
            <v>Direct Method</v>
          </cell>
          <cell r="C12" t="str">
            <v>Indirect Method</v>
          </cell>
        </row>
        <row r="14">
          <cell r="B14" t="str">
            <v>YES</v>
          </cell>
          <cell r="C14" t="str">
            <v>NO</v>
          </cell>
        </row>
        <row r="15">
          <cell r="B15" t="str">
            <v>Current Investment</v>
          </cell>
          <cell r="C15" t="str">
            <v>Long-term Investment</v>
          </cell>
        </row>
        <row r="22">
          <cell r="B22" t="str">
            <v>AFGHANISTAN</v>
          </cell>
          <cell r="C22" t="str">
            <v>ALAND ISLANDS</v>
          </cell>
          <cell r="D22" t="str">
            <v>ALBANIA</v>
          </cell>
          <cell r="E22" t="str">
            <v>ALGERIA</v>
          </cell>
          <cell r="F22" t="str">
            <v>AMERICAN SAMOA</v>
          </cell>
          <cell r="G22" t="str">
            <v>ANDORRA</v>
          </cell>
          <cell r="H22" t="str">
            <v>ANGOLA</v>
          </cell>
          <cell r="I22" t="str">
            <v>ANGUILLA</v>
          </cell>
          <cell r="J22" t="str">
            <v>ANTARCTICA</v>
          </cell>
          <cell r="K22" t="str">
            <v>ANTIGUA AND BARBUDA</v>
          </cell>
          <cell r="L22" t="str">
            <v>ARGENTINA</v>
          </cell>
          <cell r="M22" t="str">
            <v>ARMENIA</v>
          </cell>
          <cell r="N22" t="str">
            <v>ARUBA</v>
          </cell>
          <cell r="O22" t="str">
            <v>AUSTRALIA</v>
          </cell>
          <cell r="P22" t="str">
            <v>AUSTRIA</v>
          </cell>
          <cell r="Q22" t="str">
            <v>AZERBAIJAN</v>
          </cell>
          <cell r="R22" t="str">
            <v>BAHAMAS</v>
          </cell>
          <cell r="S22" t="str">
            <v>BAHRAIN</v>
          </cell>
          <cell r="T22" t="str">
            <v>BANGLADESH</v>
          </cell>
          <cell r="U22" t="str">
            <v>BARBADOS</v>
          </cell>
          <cell r="V22" t="str">
            <v>BELARUS</v>
          </cell>
          <cell r="W22" t="str">
            <v>BELGIUM</v>
          </cell>
          <cell r="X22" t="str">
            <v>BELIZE</v>
          </cell>
          <cell r="Y22" t="str">
            <v>BENIN</v>
          </cell>
          <cell r="Z22" t="str">
            <v>BERMUDA</v>
          </cell>
          <cell r="AA22" t="str">
            <v>BHUTAN</v>
          </cell>
          <cell r="AB22" t="str">
            <v>BOLIVIA</v>
          </cell>
          <cell r="AC22" t="str">
            <v>BOSNIA AND HERZEGOVINA</v>
          </cell>
          <cell r="AD22" t="str">
            <v>BOTSWANA</v>
          </cell>
          <cell r="AE22" t="str">
            <v>BOUVET ISLAND</v>
          </cell>
          <cell r="AF22" t="str">
            <v>BRAZIL</v>
          </cell>
          <cell r="AG22" t="str">
            <v>BRITISH INDIAN OCEAN TERRITORY</v>
          </cell>
          <cell r="AH22" t="str">
            <v>BRUNEI DARUSSALAM</v>
          </cell>
          <cell r="AI22" t="str">
            <v>BULGARIA</v>
          </cell>
          <cell r="AJ22" t="str">
            <v>BURKINA FASO</v>
          </cell>
          <cell r="AK22" t="str">
            <v>BURUNDI</v>
          </cell>
          <cell r="AL22" t="str">
            <v>CAMBODIA</v>
          </cell>
          <cell r="AM22" t="str">
            <v>CAMEROON</v>
          </cell>
          <cell r="AN22" t="str">
            <v>CANADA</v>
          </cell>
          <cell r="AO22" t="str">
            <v>CAPE VERDE</v>
          </cell>
          <cell r="AP22" t="str">
            <v>CAYMAN ISLANDS</v>
          </cell>
          <cell r="AQ22" t="str">
            <v>CENTRAL AFRICAN REPUBLIC</v>
          </cell>
          <cell r="AR22" t="str">
            <v>CHAD</v>
          </cell>
          <cell r="AS22" t="str">
            <v>CHILE</v>
          </cell>
          <cell r="AT22" t="str">
            <v>CHINA</v>
          </cell>
          <cell r="AU22" t="str">
            <v>CHRISTMAS ISLAND</v>
          </cell>
          <cell r="AV22" t="str">
            <v>COCOS (KEELING) ISLANDS</v>
          </cell>
          <cell r="AW22" t="str">
            <v>COLOMBIA</v>
          </cell>
          <cell r="AX22" t="str">
            <v>COMOROS</v>
          </cell>
          <cell r="AY22" t="str">
            <v>CONGO</v>
          </cell>
          <cell r="AZ22" t="str">
            <v>CONGO, THE DEMOCRATIC REPUBLIC OF THE</v>
          </cell>
          <cell r="BA22" t="str">
            <v>COOK ISLANDS</v>
          </cell>
          <cell r="BB22" t="str">
            <v>COSTA RICA</v>
          </cell>
          <cell r="BC22" t="str">
            <v>COTE D'IVOIRE</v>
          </cell>
          <cell r="BD22" t="str">
            <v>CROATIA</v>
          </cell>
          <cell r="BE22" t="str">
            <v>CUBA</v>
          </cell>
          <cell r="BF22" t="str">
            <v>CYPRUS</v>
          </cell>
          <cell r="BG22" t="str">
            <v>CZECH REPUBLIC</v>
          </cell>
          <cell r="BH22" t="str">
            <v>DENMARK</v>
          </cell>
          <cell r="BI22" t="str">
            <v>DJIBOUTI</v>
          </cell>
          <cell r="BJ22" t="str">
            <v>DOMINICA</v>
          </cell>
          <cell r="BK22" t="str">
            <v>DOMINICAN REPUBLIC</v>
          </cell>
          <cell r="BL22" t="str">
            <v>ECUADOR</v>
          </cell>
          <cell r="BM22" t="str">
            <v>EGYPT</v>
          </cell>
          <cell r="BN22" t="str">
            <v>EL SALVADOR</v>
          </cell>
          <cell r="BO22" t="str">
            <v>EQUATORIAL GUINEA</v>
          </cell>
          <cell r="BP22" t="str">
            <v>ERITREA</v>
          </cell>
          <cell r="BQ22" t="str">
            <v>ESTONIA</v>
          </cell>
          <cell r="BR22" t="str">
            <v>ETHIOPIA</v>
          </cell>
          <cell r="BS22" t="str">
            <v>FALKLAND ISLANDS (MALVINAS)</v>
          </cell>
          <cell r="BT22" t="str">
            <v>FAROE ISLANDS</v>
          </cell>
          <cell r="BU22" t="str">
            <v>FIJI</v>
          </cell>
          <cell r="BV22" t="str">
            <v>FINLAND</v>
          </cell>
          <cell r="BW22" t="str">
            <v>FRANCE</v>
          </cell>
          <cell r="BX22" t="str">
            <v>FRENCH GUIANA</v>
          </cell>
          <cell r="BY22" t="str">
            <v>FRENCH POLYNESIA</v>
          </cell>
          <cell r="BZ22" t="str">
            <v>FRENCH SOUTHERN TERRITORIES</v>
          </cell>
          <cell r="CA22" t="str">
            <v>GABON</v>
          </cell>
          <cell r="CB22" t="str">
            <v>GAMBIA</v>
          </cell>
          <cell r="CC22" t="str">
            <v>GEORGIA</v>
          </cell>
          <cell r="CD22" t="str">
            <v>GERMANY</v>
          </cell>
          <cell r="CE22" t="str">
            <v>GHANA</v>
          </cell>
          <cell r="CF22" t="str">
            <v>GIBRALTAR</v>
          </cell>
          <cell r="CG22" t="str">
            <v>GREECE</v>
          </cell>
          <cell r="CH22" t="str">
            <v>GREENLAND</v>
          </cell>
          <cell r="CI22" t="str">
            <v>GRENADA</v>
          </cell>
          <cell r="CJ22" t="str">
            <v>GUADELOUPE</v>
          </cell>
          <cell r="CK22" t="str">
            <v>GUAM</v>
          </cell>
          <cell r="CL22" t="str">
            <v>GUATEMALA</v>
          </cell>
          <cell r="CM22" t="str">
            <v>GUERNSEY</v>
          </cell>
          <cell r="CN22" t="str">
            <v>GUINEA</v>
          </cell>
          <cell r="CO22" t="str">
            <v>GUINEA-BISSAU</v>
          </cell>
          <cell r="CP22" t="str">
            <v>GUYANA</v>
          </cell>
          <cell r="CQ22" t="str">
            <v>HAITI</v>
          </cell>
          <cell r="CR22" t="str">
            <v>HEARD ISLAND AND MCDONALD ISLANDS</v>
          </cell>
          <cell r="CS22" t="str">
            <v>HOLY SEE (VATICAN CITY STATE)</v>
          </cell>
          <cell r="CT22" t="str">
            <v>HONDURAS</v>
          </cell>
          <cell r="CU22" t="str">
            <v>HONG KONG</v>
          </cell>
          <cell r="CV22" t="str">
            <v>HUNGARY</v>
          </cell>
          <cell r="CW22" t="str">
            <v>ICELAND</v>
          </cell>
          <cell r="CX22" t="str">
            <v>INDIA</v>
          </cell>
          <cell r="CY22" t="str">
            <v>INDONESIA</v>
          </cell>
          <cell r="CZ22" t="str">
            <v>IRAN, ISLAMIC REPUBLIC OF</v>
          </cell>
          <cell r="DA22" t="str">
            <v>IRAQ</v>
          </cell>
          <cell r="DB22" t="str">
            <v>IRELAND</v>
          </cell>
          <cell r="DC22" t="str">
            <v>ISLE OF MAN</v>
          </cell>
          <cell r="DD22" t="str">
            <v>ISRAEL</v>
          </cell>
          <cell r="DE22" t="str">
            <v>ITALY</v>
          </cell>
          <cell r="DF22" t="str">
            <v>JAMAICA</v>
          </cell>
          <cell r="DG22" t="str">
            <v>JAPAN</v>
          </cell>
          <cell r="DH22" t="str">
            <v>JERSEY</v>
          </cell>
          <cell r="DI22" t="str">
            <v>JORDAN</v>
          </cell>
          <cell r="DJ22" t="str">
            <v>KAZAKHSTAN</v>
          </cell>
          <cell r="DK22" t="str">
            <v>KENYA</v>
          </cell>
          <cell r="DL22" t="str">
            <v>KIRIBATI</v>
          </cell>
          <cell r="DM22" t="str">
            <v>KOREA, DEMOCRATIC PEOPLE'S REPUBLIC OF</v>
          </cell>
          <cell r="DN22" t="str">
            <v>KOREA, REPUBLIC OF</v>
          </cell>
          <cell r="DO22" t="str">
            <v>KUWAIT</v>
          </cell>
          <cell r="DP22" t="str">
            <v>KYRGYZSTAN</v>
          </cell>
          <cell r="DQ22" t="str">
            <v>LAO PEOPLE'S DEMOCRATIC REPUBLIC</v>
          </cell>
          <cell r="DR22" t="str">
            <v>LATVIA</v>
          </cell>
          <cell r="DS22" t="str">
            <v>LEBANON</v>
          </cell>
          <cell r="DT22" t="str">
            <v>LESOTHO</v>
          </cell>
          <cell r="DU22" t="str">
            <v>LIBERIA</v>
          </cell>
          <cell r="DV22" t="str">
            <v>LIBYAN ARAB JAMAHIRIYA</v>
          </cell>
          <cell r="DW22" t="str">
            <v>LIECHTENSTEIN</v>
          </cell>
          <cell r="DX22" t="str">
            <v>LITHUANIA</v>
          </cell>
          <cell r="DY22" t="str">
            <v>LUXEMBOURG</v>
          </cell>
          <cell r="DZ22" t="str">
            <v>MACAO</v>
          </cell>
          <cell r="EA22" t="str">
            <v>MACEDONIA, THE FORMER YUGOSLAV REPUBLIC OF</v>
          </cell>
          <cell r="EB22" t="str">
            <v>MADAGASCAR</v>
          </cell>
          <cell r="EC22" t="str">
            <v>MALAWI</v>
          </cell>
          <cell r="ED22" t="str">
            <v>MALAYSIA</v>
          </cell>
          <cell r="EE22" t="str">
            <v>MALDIVES</v>
          </cell>
          <cell r="EF22" t="str">
            <v>MALI</v>
          </cell>
          <cell r="EG22" t="str">
            <v>MALTA</v>
          </cell>
          <cell r="EH22" t="str">
            <v>MARSHALL ISLANDS</v>
          </cell>
          <cell r="EI22" t="str">
            <v>MARTINIQUE</v>
          </cell>
          <cell r="EJ22" t="str">
            <v>MAURITANIA</v>
          </cell>
          <cell r="EK22" t="str">
            <v>MAURITIUS</v>
          </cell>
          <cell r="EL22" t="str">
            <v>MAYOTTE</v>
          </cell>
          <cell r="EM22" t="str">
            <v>MEXICO</v>
          </cell>
          <cell r="EN22" t="str">
            <v>MICRONESIA, FEDERATED STATES OF</v>
          </cell>
          <cell r="EO22" t="str">
            <v>MOLDOVA, REPUBLIC OF</v>
          </cell>
          <cell r="EP22" t="str">
            <v>MONACO</v>
          </cell>
          <cell r="EQ22" t="str">
            <v>MONGOLIA</v>
          </cell>
          <cell r="ER22" t="str">
            <v>MONTENEGRO</v>
          </cell>
          <cell r="ES22" t="str">
            <v>MONTSERRAT</v>
          </cell>
          <cell r="ET22" t="str">
            <v>MOROCCO</v>
          </cell>
          <cell r="EU22" t="str">
            <v>MOZAMBIQUE</v>
          </cell>
          <cell r="EV22" t="str">
            <v>MYANMAR</v>
          </cell>
          <cell r="EW22" t="str">
            <v>NAMIBIA</v>
          </cell>
          <cell r="EX22" t="str">
            <v>NAURU</v>
          </cell>
          <cell r="EY22" t="str">
            <v>NEPAL</v>
          </cell>
          <cell r="EZ22" t="str">
            <v>NETHERLANDS</v>
          </cell>
          <cell r="FA22" t="str">
            <v>NETHERLANDS ANTILLES</v>
          </cell>
          <cell r="FB22" t="str">
            <v>NEW CALEDONIA</v>
          </cell>
          <cell r="FC22" t="str">
            <v>NEW ZEALAND</v>
          </cell>
          <cell r="FD22" t="str">
            <v>NICARAGUA</v>
          </cell>
          <cell r="FE22" t="str">
            <v>NIGER</v>
          </cell>
          <cell r="FF22" t="str">
            <v>NIGERIA</v>
          </cell>
          <cell r="FG22" t="str">
            <v>NIUE</v>
          </cell>
          <cell r="FH22" t="str">
            <v>NORFOLK ISLAND</v>
          </cell>
          <cell r="FI22" t="str">
            <v>NORTHERN MARIANA ISLANDS</v>
          </cell>
          <cell r="FJ22" t="str">
            <v>NORWAY</v>
          </cell>
          <cell r="FK22" t="str">
            <v>OMAN</v>
          </cell>
          <cell r="FL22" t="str">
            <v>PAKISTAN</v>
          </cell>
          <cell r="FM22" t="str">
            <v>PALAU</v>
          </cell>
          <cell r="FN22" t="str">
            <v>PALESTINIAN TERRITORY, OCCUPIED</v>
          </cell>
          <cell r="FO22" t="str">
            <v>PANAMA</v>
          </cell>
          <cell r="FP22" t="str">
            <v>PAPUA NEW GUINEA</v>
          </cell>
          <cell r="FQ22" t="str">
            <v>PARAGUAY</v>
          </cell>
          <cell r="FR22" t="str">
            <v>PERU</v>
          </cell>
          <cell r="FS22" t="str">
            <v>PHILIPPINES</v>
          </cell>
          <cell r="FT22" t="str">
            <v>PITCAIRN</v>
          </cell>
          <cell r="FU22" t="str">
            <v>POLAND</v>
          </cell>
          <cell r="FV22" t="str">
            <v>PORTUGAL</v>
          </cell>
          <cell r="FW22" t="str">
            <v>PUERTO RICO</v>
          </cell>
          <cell r="FX22" t="str">
            <v>QATAR</v>
          </cell>
          <cell r="FY22" t="str">
            <v>REUNION</v>
          </cell>
          <cell r="FZ22" t="str">
            <v>ROMANIA</v>
          </cell>
          <cell r="GA22" t="str">
            <v>RUSSIAN FEDERATION</v>
          </cell>
          <cell r="GB22" t="str">
            <v>RWANDA</v>
          </cell>
          <cell r="GC22" t="str">
            <v>SAINT BARTHELEMY</v>
          </cell>
          <cell r="GD22" t="str">
            <v>SAINT HELENA</v>
          </cell>
          <cell r="GE22" t="str">
            <v>SAINT KITTS AND NEVIS</v>
          </cell>
          <cell r="GF22" t="str">
            <v>SAINT LUCIA</v>
          </cell>
          <cell r="GG22" t="str">
            <v>SAINT MARTIN</v>
          </cell>
          <cell r="GH22" t="str">
            <v>SAINT PIERRE AND MIQUELON</v>
          </cell>
          <cell r="GI22" t="str">
            <v>SAINT VINCENT AND THE GRENADINES</v>
          </cell>
          <cell r="GJ22" t="str">
            <v>SAMOA</v>
          </cell>
          <cell r="GK22" t="str">
            <v>SAN MARINO</v>
          </cell>
          <cell r="GL22" t="str">
            <v>SAO TOME AND PRINCIPE</v>
          </cell>
          <cell r="GM22" t="str">
            <v>SAUDI ARABIA</v>
          </cell>
          <cell r="GN22" t="str">
            <v>SENEGAL</v>
          </cell>
          <cell r="GO22" t="str">
            <v xml:space="preserve">SERBIA </v>
          </cell>
          <cell r="GP22" t="str">
            <v>SEYCHELLES</v>
          </cell>
          <cell r="GQ22" t="str">
            <v>SIERRA LEONE</v>
          </cell>
          <cell r="GR22" t="str">
            <v>SINGAPORE</v>
          </cell>
          <cell r="GS22" t="str">
            <v>SLOVAKIA</v>
          </cell>
          <cell r="GT22" t="str">
            <v>SLOVENIA</v>
          </cell>
          <cell r="GU22" t="str">
            <v>SOLOMON ISLANDS</v>
          </cell>
          <cell r="GV22" t="str">
            <v>SOMALIA</v>
          </cell>
          <cell r="GW22" t="str">
            <v>SOUTH AFRICA</v>
          </cell>
          <cell r="GX22" t="str">
            <v>SOUTH GEORGIA AND THE SOUTH SANDWICH ISLANDS</v>
          </cell>
          <cell r="GY22" t="str">
            <v>SPAIN</v>
          </cell>
          <cell r="GZ22" t="str">
            <v>SRI LANKA</v>
          </cell>
          <cell r="HA22" t="str">
            <v>SUDAN</v>
          </cell>
          <cell r="HB22" t="str">
            <v>SURINAME</v>
          </cell>
          <cell r="HC22" t="str">
            <v>SVALBARD AND JAN MAYEN</v>
          </cell>
          <cell r="HD22" t="str">
            <v>SWAZILAND</v>
          </cell>
          <cell r="HE22" t="str">
            <v>SWEDEN</v>
          </cell>
          <cell r="HF22" t="str">
            <v>SWITZERLAND</v>
          </cell>
          <cell r="HG22" t="str">
            <v>SYRIAN ARAB REPUBLIC</v>
          </cell>
          <cell r="HH22" t="str">
            <v>TAIWAN, PROVINCE OF CHINA</v>
          </cell>
          <cell r="HI22" t="str">
            <v>TAJIKISTAN</v>
          </cell>
          <cell r="HJ22" t="str">
            <v>TANZANIA, UNITED REPUBLIC OF</v>
          </cell>
          <cell r="HK22" t="str">
            <v>THAILAND</v>
          </cell>
          <cell r="HL22" t="str">
            <v>TIMOR-LESTE</v>
          </cell>
          <cell r="HM22" t="str">
            <v>TOGO</v>
          </cell>
          <cell r="HN22" t="str">
            <v>TOKELAU</v>
          </cell>
          <cell r="HO22" t="str">
            <v>TONGA</v>
          </cell>
          <cell r="HP22" t="str">
            <v>TRINIDAD AND TOBAGO</v>
          </cell>
          <cell r="HQ22" t="str">
            <v>TUNISIA</v>
          </cell>
          <cell r="HR22" t="str">
            <v>TURKEY</v>
          </cell>
          <cell r="HS22" t="str">
            <v>TURKMENISTAN</v>
          </cell>
          <cell r="HT22" t="str">
            <v>TURKS AND CAICOS ISLANDS</v>
          </cell>
          <cell r="HU22" t="str">
            <v>TUVALU</v>
          </cell>
          <cell r="HV22" t="str">
            <v>UGANDA</v>
          </cell>
          <cell r="HW22" t="str">
            <v>UKRAINE</v>
          </cell>
          <cell r="HX22" t="str">
            <v>UNITED ARAB EMIRATES</v>
          </cell>
          <cell r="HY22" t="str">
            <v>UNITED KINGDOM</v>
          </cell>
          <cell r="HZ22" t="str">
            <v>UNITED STATES</v>
          </cell>
          <cell r="IA22" t="str">
            <v>UNITED STATES MINOR OUTLYING ISLANDS</v>
          </cell>
          <cell r="IB22" t="str">
            <v>URUGUAY</v>
          </cell>
          <cell r="IC22" t="str">
            <v>UZBEKISTAN</v>
          </cell>
          <cell r="ID22" t="str">
            <v>VANUATU</v>
          </cell>
          <cell r="IE22" t="str">
            <v>VENEZUELA, BOLIVARIAN REPUBLIC OF</v>
          </cell>
          <cell r="IF22" t="str">
            <v>VIET NAM</v>
          </cell>
          <cell r="IG22" t="str">
            <v>VIRGIN ISLANDS, BRITISH</v>
          </cell>
          <cell r="IH22" t="str">
            <v>VIRGIN ISLANDS, U.S.</v>
          </cell>
          <cell r="II22" t="str">
            <v>WALLIS AND FUTUNA</v>
          </cell>
          <cell r="IJ22" t="str">
            <v>WESTERN SAHARA</v>
          </cell>
          <cell r="IK22" t="str">
            <v>YEMEN</v>
          </cell>
          <cell r="IL22" t="str">
            <v>ZAMBIA</v>
          </cell>
          <cell r="IM22" t="str">
            <v>ZIMBABWE</v>
          </cell>
        </row>
        <row r="23">
          <cell r="B23" t="str">
            <v xml:space="preserve">AED - United Arab Emirates Dirham </v>
          </cell>
          <cell r="C23" t="str">
            <v xml:space="preserve">AFN - Afghanistan Afghani </v>
          </cell>
          <cell r="D23" t="str">
            <v xml:space="preserve">ALL - Albania Lek </v>
          </cell>
          <cell r="E23" t="str">
            <v xml:space="preserve">AMD - Armenia Dram </v>
          </cell>
          <cell r="F23" t="str">
            <v xml:space="preserve">ANG - Netherlands Antilles Guilder </v>
          </cell>
          <cell r="G23" t="str">
            <v xml:space="preserve">AOA - Angola Kwanza </v>
          </cell>
          <cell r="H23" t="str">
            <v xml:space="preserve">ARS - Argentina Peso </v>
          </cell>
          <cell r="I23" t="str">
            <v xml:space="preserve">AUD - Australia Dollar </v>
          </cell>
          <cell r="J23" t="str">
            <v xml:space="preserve">AWG - Aruba Guilder </v>
          </cell>
          <cell r="K23" t="str">
            <v xml:space="preserve">AZN - Azerbaijan New Manat </v>
          </cell>
          <cell r="L23" t="str">
            <v xml:space="preserve">BAM - Bosnia and Herzegovina Convertible Marka </v>
          </cell>
          <cell r="M23" t="str">
            <v xml:space="preserve">BBD - Barbados Dollar </v>
          </cell>
          <cell r="N23" t="str">
            <v xml:space="preserve">BDT - Bangladesh Taka </v>
          </cell>
          <cell r="O23" t="str">
            <v xml:space="preserve">BGN - Bulgaria Lev </v>
          </cell>
          <cell r="P23" t="str">
            <v xml:space="preserve">BHD - Bahrain Dinar </v>
          </cell>
          <cell r="Q23" t="str">
            <v xml:space="preserve">BIF - Burundi Franc </v>
          </cell>
          <cell r="R23" t="str">
            <v xml:space="preserve">BMD - Bermuda Dollar </v>
          </cell>
          <cell r="S23" t="str">
            <v xml:space="preserve">BND - Brunei Darussalam Dollar </v>
          </cell>
          <cell r="T23" t="str">
            <v xml:space="preserve">BOB - Bolivia Boliviano </v>
          </cell>
          <cell r="U23" t="str">
            <v xml:space="preserve">BRL - Brazil Real </v>
          </cell>
          <cell r="V23" t="str">
            <v xml:space="preserve">BSD - Bahamas Dollar </v>
          </cell>
          <cell r="W23" t="str">
            <v xml:space="preserve">BTN - Bhutan Ngultrum </v>
          </cell>
          <cell r="X23" t="str">
            <v xml:space="preserve">BWP - Botswana Pula </v>
          </cell>
          <cell r="Y23" t="str">
            <v xml:space="preserve">BYR - Belarus Ruble </v>
          </cell>
          <cell r="Z23" t="str">
            <v xml:space="preserve">BZD - Belize Dollar </v>
          </cell>
          <cell r="AA23" t="str">
            <v xml:space="preserve">CAD - Canada Dollar </v>
          </cell>
          <cell r="AB23" t="str">
            <v xml:space="preserve">CDF - Congo/Kinshasa Franc </v>
          </cell>
          <cell r="AC23" t="str">
            <v xml:space="preserve">CHF - Switzerland Franc </v>
          </cell>
          <cell r="AD23" t="str">
            <v xml:space="preserve">CLP - Chile Peso </v>
          </cell>
          <cell r="AE23" t="str">
            <v xml:space="preserve">CNY - China Yuan Renminbi </v>
          </cell>
          <cell r="AF23" t="str">
            <v xml:space="preserve">COP - Colombia Peso </v>
          </cell>
          <cell r="AG23" t="str">
            <v xml:space="preserve">CRC - Costa Rica Colon </v>
          </cell>
          <cell r="AH23" t="str">
            <v xml:space="preserve">CUC - Cuba Convertible Peso </v>
          </cell>
          <cell r="AI23" t="str">
            <v xml:space="preserve">CUP - Cuba Peso </v>
          </cell>
          <cell r="AJ23" t="str">
            <v xml:space="preserve">CVE - Cape Verde Escudo </v>
          </cell>
          <cell r="AK23" t="str">
            <v xml:space="preserve">CZK - Czech Republic Koruna </v>
          </cell>
          <cell r="AL23" t="str">
            <v>DJF - Djibouti Fran</v>
          </cell>
          <cell r="AM23" t="str">
            <v xml:space="preserve">DKK - Denmark Krone </v>
          </cell>
          <cell r="AN23" t="str">
            <v xml:space="preserve">DOP - Dominican Republic Peso </v>
          </cell>
          <cell r="AO23" t="str">
            <v xml:space="preserve">DZD - Algeria Dinar </v>
          </cell>
          <cell r="AP23" t="str">
            <v xml:space="preserve">EGP - Egypt Pound </v>
          </cell>
          <cell r="AQ23" t="str">
            <v xml:space="preserve">ERN - Eritrea Nakfa </v>
          </cell>
          <cell r="AR23" t="str">
            <v xml:space="preserve">ETB - Ethiopia Birr </v>
          </cell>
          <cell r="AS23" t="str">
            <v xml:space="preserve">EUR - Euro Member Countries </v>
          </cell>
          <cell r="AT23" t="str">
            <v xml:space="preserve">FJD - Fiji Dollar </v>
          </cell>
          <cell r="AU23" t="str">
            <v xml:space="preserve">FKP - Falkland Islands (Malvinas) Pound </v>
          </cell>
          <cell r="AV23" t="str">
            <v xml:space="preserve">GBP - United Kingdom Pound </v>
          </cell>
          <cell r="AW23" t="str">
            <v xml:space="preserve">GEL - Georgia Lari </v>
          </cell>
          <cell r="AX23" t="str">
            <v xml:space="preserve">GGP - Guernsey Pound </v>
          </cell>
          <cell r="AY23" t="str">
            <v xml:space="preserve">GHS - Ghana Cedi </v>
          </cell>
          <cell r="AZ23" t="str">
            <v xml:space="preserve">GIP - Gibraltar Pound </v>
          </cell>
          <cell r="BA23" t="str">
            <v xml:space="preserve">GMD - Gambia Dalasi </v>
          </cell>
          <cell r="BB23" t="str">
            <v xml:space="preserve">GNF - Guinea Franc </v>
          </cell>
          <cell r="BC23" t="str">
            <v xml:space="preserve">GTQ - Guatemala Quetzal </v>
          </cell>
          <cell r="BD23" t="str">
            <v xml:space="preserve">GYD - Guyana Dollar </v>
          </cell>
          <cell r="BE23" t="str">
            <v xml:space="preserve">HKD - Hong Kong Dollar </v>
          </cell>
          <cell r="BF23" t="str">
            <v xml:space="preserve">HNL - Honduras Lempira </v>
          </cell>
          <cell r="BG23" t="str">
            <v xml:space="preserve">HRK - Croatia Kuna </v>
          </cell>
          <cell r="BH23" t="str">
            <v xml:space="preserve">HTG - Haiti Gourde </v>
          </cell>
          <cell r="BI23" t="str">
            <v xml:space="preserve">HUF - Hungary Forint </v>
          </cell>
          <cell r="BJ23" t="str">
            <v xml:space="preserve">IDR - Indonesia Rupiah </v>
          </cell>
          <cell r="BK23" t="str">
            <v xml:space="preserve">ILS - Israel Shekel </v>
          </cell>
          <cell r="BL23" t="str">
            <v xml:space="preserve">IMP - Isle of Man Pound </v>
          </cell>
          <cell r="BM23" t="str">
            <v xml:space="preserve">INR - India Rupee </v>
          </cell>
          <cell r="BN23" t="str">
            <v xml:space="preserve">IQD - Iraq Dinar </v>
          </cell>
          <cell r="BO23" t="str">
            <v xml:space="preserve">IRR - Iran Rial </v>
          </cell>
          <cell r="BP23" t="str">
            <v xml:space="preserve">ISK - Iceland Krona </v>
          </cell>
          <cell r="BQ23" t="str">
            <v xml:space="preserve">JEP - Jersey Pound </v>
          </cell>
          <cell r="BR23" t="str">
            <v xml:space="preserve">JMD - Jamaica Dollar </v>
          </cell>
          <cell r="BS23" t="str">
            <v xml:space="preserve">JOD - Jordan Dinar </v>
          </cell>
          <cell r="BT23" t="str">
            <v xml:space="preserve">JPY - Japan Yen </v>
          </cell>
          <cell r="BU23" t="str">
            <v xml:space="preserve">KES - Kenya Shilling </v>
          </cell>
          <cell r="BV23" t="str">
            <v xml:space="preserve">KGS - Kyrgyzstan Som </v>
          </cell>
          <cell r="BW23" t="str">
            <v xml:space="preserve">KHR - Cambodia Riel </v>
          </cell>
          <cell r="BX23" t="str">
            <v xml:space="preserve">KMF - Comoros Franc </v>
          </cell>
          <cell r="BY23" t="str">
            <v xml:space="preserve">KPW - Korea (North) Won </v>
          </cell>
          <cell r="BZ23" t="str">
            <v xml:space="preserve">KRW - Korea (South) Won </v>
          </cell>
          <cell r="CA23" t="str">
            <v xml:space="preserve">KWD - Kuwait Dinar </v>
          </cell>
          <cell r="CB23" t="str">
            <v xml:space="preserve">KYD - Cayman Islands Dollar </v>
          </cell>
          <cell r="CC23" t="str">
            <v>KZT - Kazakhstan Tenge</v>
          </cell>
          <cell r="CD23" t="str">
            <v xml:space="preserve">LAK - Laos Kip </v>
          </cell>
          <cell r="CE23" t="str">
            <v xml:space="preserve">LBP - Lebanon Pound </v>
          </cell>
          <cell r="CF23" t="str">
            <v xml:space="preserve">LKR - Sri Lanka Rupee </v>
          </cell>
          <cell r="CG23" t="str">
            <v xml:space="preserve">LRD - Liberia Dollar </v>
          </cell>
          <cell r="CH23" t="str">
            <v xml:space="preserve">LSL - Lesotho Loti </v>
          </cell>
          <cell r="CI23" t="str">
            <v xml:space="preserve">LTL - Lithuania Litas </v>
          </cell>
          <cell r="CJ23" t="str">
            <v xml:space="preserve">LVL - Latvia Lat </v>
          </cell>
          <cell r="CK23" t="str">
            <v xml:space="preserve">LYD - Libya Dinar </v>
          </cell>
          <cell r="CL23" t="str">
            <v xml:space="preserve">MAD - Morocco Dirham </v>
          </cell>
          <cell r="CM23" t="str">
            <v xml:space="preserve">MDL - Moldova Leu </v>
          </cell>
          <cell r="CN23" t="str">
            <v xml:space="preserve">MGA - Madagascar Ariary </v>
          </cell>
          <cell r="CO23" t="str">
            <v xml:space="preserve">MKD - Macedonia Denar </v>
          </cell>
          <cell r="CP23" t="str">
            <v xml:space="preserve">MMK - Myanmar (Burma) Kyat </v>
          </cell>
          <cell r="CQ23" t="str">
            <v xml:space="preserve">MNT - Mongolia Tughrik </v>
          </cell>
          <cell r="CR23" t="str">
            <v xml:space="preserve">MOP - Macau Pataca </v>
          </cell>
          <cell r="CS23" t="str">
            <v xml:space="preserve">MRO - Mauritania Ouguiya </v>
          </cell>
          <cell r="CT23" t="str">
            <v xml:space="preserve">MUR - Mauritius Rupee </v>
          </cell>
          <cell r="CU23" t="str">
            <v xml:space="preserve">MVR - Maldives (Maldive Islands) Rufiyaa </v>
          </cell>
          <cell r="CV23" t="str">
            <v xml:space="preserve">MWK - Malawi Kwacha </v>
          </cell>
          <cell r="CW23" t="str">
            <v xml:space="preserve">MXN - Mexico Peso </v>
          </cell>
          <cell r="CX23" t="str">
            <v xml:space="preserve">MYR - Malaysia Ringgit </v>
          </cell>
          <cell r="CY23" t="str">
            <v xml:space="preserve">MZN - Mozambique Metical </v>
          </cell>
          <cell r="CZ23" t="str">
            <v xml:space="preserve">NAD - Namibia Dollar </v>
          </cell>
          <cell r="DA23" t="str">
            <v xml:space="preserve">NGN - Nigeria Naira </v>
          </cell>
          <cell r="DB23" t="str">
            <v xml:space="preserve">NIO - Nicaragua Cordoba </v>
          </cell>
          <cell r="DC23" t="str">
            <v xml:space="preserve">NOK - Norway Krone </v>
          </cell>
          <cell r="DD23" t="str">
            <v xml:space="preserve">NPR - Nepal Rupee </v>
          </cell>
          <cell r="DE23" t="str">
            <v xml:space="preserve">NZD - New Zealand Dollar </v>
          </cell>
          <cell r="DF23" t="str">
            <v xml:space="preserve">OMR - Oman Rial </v>
          </cell>
          <cell r="DG23" t="str">
            <v xml:space="preserve">PAB - Panama Balboa </v>
          </cell>
          <cell r="DH23" t="str">
            <v xml:space="preserve">PEN - Peru Nuevo Sol </v>
          </cell>
          <cell r="DI23" t="str">
            <v xml:space="preserve">PGK - Papua New Guinea Kina </v>
          </cell>
          <cell r="DJ23" t="str">
            <v xml:space="preserve">PHP - Philippines Peso </v>
          </cell>
          <cell r="DK23" t="str">
            <v xml:space="preserve">PKR - Pakistan Rupee </v>
          </cell>
          <cell r="DL23" t="str">
            <v xml:space="preserve">PLN - Poland Zloty </v>
          </cell>
          <cell r="DM23" t="str">
            <v xml:space="preserve">PYG - Paraguay Guarani </v>
          </cell>
          <cell r="DN23" t="str">
            <v xml:space="preserve">QAR - Qatar Riyal </v>
          </cell>
          <cell r="DO23" t="str">
            <v xml:space="preserve">RON - Romania New Leu </v>
          </cell>
          <cell r="DP23" t="str">
            <v xml:space="preserve">RSD - Serbia Dinar </v>
          </cell>
          <cell r="DQ23" t="str">
            <v xml:space="preserve">RUB - Russia Ruble </v>
          </cell>
          <cell r="DR23" t="str">
            <v xml:space="preserve">RWF - Rwanda Franc </v>
          </cell>
          <cell r="DS23" t="str">
            <v xml:space="preserve">SAR - Saudi Arabia Riyal </v>
          </cell>
          <cell r="DT23" t="str">
            <v>SBD - Solomon Islands Dollar</v>
          </cell>
          <cell r="DU23" t="str">
            <v xml:space="preserve">SCR - Seychelles Rupee </v>
          </cell>
          <cell r="DV23" t="str">
            <v xml:space="preserve">SDG - Sudan Pound </v>
          </cell>
          <cell r="DW23" t="str">
            <v xml:space="preserve">SEK - Sweden Krona </v>
          </cell>
          <cell r="DX23" t="str">
            <v xml:space="preserve">SGD - Singapore Dollar </v>
          </cell>
          <cell r="DY23" t="str">
            <v xml:space="preserve">SHP - Saint Helena Pound </v>
          </cell>
          <cell r="DZ23" t="str">
            <v xml:space="preserve">SLL - Sierra Leone Leone </v>
          </cell>
          <cell r="EA23" t="str">
            <v xml:space="preserve">SOS - Somalia Shilling </v>
          </cell>
          <cell r="EB23" t="str">
            <v xml:space="preserve">SPL -  Seborga Luigino </v>
          </cell>
          <cell r="EC23" t="str">
            <v xml:space="preserve">SRD - Suriname Dollar </v>
          </cell>
          <cell r="ED23" t="str">
            <v xml:space="preserve">STD - São Principe and Tome Dobra </v>
          </cell>
          <cell r="EE23" t="str">
            <v xml:space="preserve">SVC - El Salvador Colon </v>
          </cell>
          <cell r="EF23" t="str">
            <v xml:space="preserve">SYP - Syria Pound </v>
          </cell>
          <cell r="EG23" t="str">
            <v xml:space="preserve">SZL - Swaziland Lilangeni </v>
          </cell>
          <cell r="EH23" t="str">
            <v xml:space="preserve">THB - Thailand Baht </v>
          </cell>
          <cell r="EI23" t="str">
            <v xml:space="preserve">TJS - Tajikistan Somoni </v>
          </cell>
          <cell r="EJ23" t="str">
            <v xml:space="preserve">TMT - Turkmenistan Manat </v>
          </cell>
          <cell r="EK23" t="str">
            <v xml:space="preserve">TND - Tunisia Dinar </v>
          </cell>
          <cell r="EL23" t="str">
            <v xml:space="preserve">TOP - Tonga Pa'anga </v>
          </cell>
          <cell r="EM23" t="str">
            <v xml:space="preserve">TRY - Turkey Lira </v>
          </cell>
          <cell r="EN23" t="str">
            <v xml:space="preserve">TTD - Trinidad and Tobago Dollar </v>
          </cell>
          <cell r="EO23" t="str">
            <v xml:space="preserve">TVD - Tuvalu Dollar </v>
          </cell>
          <cell r="EP23" t="str">
            <v xml:space="preserve">TWD - Taiwan New Dollar </v>
          </cell>
          <cell r="EQ23" t="str">
            <v xml:space="preserve">TZS - Tanzania Shilling </v>
          </cell>
          <cell r="ER23" t="str">
            <v xml:space="preserve">UAH - Ukraine Hryvna </v>
          </cell>
          <cell r="ES23" t="str">
            <v xml:space="preserve">UGX - Uganda Shilling </v>
          </cell>
          <cell r="ET23" t="str">
            <v xml:space="preserve">USD - United States Dollar </v>
          </cell>
          <cell r="EU23" t="str">
            <v xml:space="preserve">UYU - Uruguay Peso </v>
          </cell>
          <cell r="EV23" t="str">
            <v xml:space="preserve">UZS - Uzbekistan Som </v>
          </cell>
          <cell r="EW23" t="str">
            <v xml:space="preserve">VEF - Venezuela Bolivar Fuerte </v>
          </cell>
          <cell r="EX23" t="str">
            <v xml:space="preserve">VND - Viet Nam Dong </v>
          </cell>
          <cell r="EY23" t="str">
            <v xml:space="preserve">VUV - Vanuatu Vatu </v>
          </cell>
          <cell r="EZ23" t="str">
            <v xml:space="preserve">WST - Samoa Tala </v>
          </cell>
          <cell r="FA23" t="str">
            <v xml:space="preserve">XAF - Communauté Financière Africaine (BEAC) CFA Franc BEAC </v>
          </cell>
          <cell r="FB23" t="str">
            <v xml:space="preserve">XCD - East Caribbean Dollar </v>
          </cell>
          <cell r="FC23" t="str">
            <v xml:space="preserve">XDR - International Monetary Fund (IMF) Special Drawing Rights </v>
          </cell>
          <cell r="FD23" t="str">
            <v xml:space="preserve">XOF - Communauté Financière Africaine (BCEAO) Franc </v>
          </cell>
          <cell r="FE23" t="str">
            <v xml:space="preserve">XPF - Comptoirs Français du Pacifique (CFP) Franc </v>
          </cell>
          <cell r="FF23" t="str">
            <v xml:space="preserve">YER - Yemen Rial </v>
          </cell>
          <cell r="FG23" t="str">
            <v xml:space="preserve">ZAR - South Africa Rand </v>
          </cell>
          <cell r="FH23" t="str">
            <v xml:space="preserve">ZMK - Zambia Kwacha </v>
          </cell>
          <cell r="FI23" t="str">
            <v>ZWD - Zimbabwe Dollar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>
        <row r="3">
          <cell r="A3" t="str">
            <v>AABC</v>
          </cell>
        </row>
      </sheetData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BI (2)"/>
      <sheetName val="SEBI (3)"/>
      <sheetName val="SEBI"/>
      <sheetName val="Dividend"/>
      <sheetName val="SEBI Conso"/>
      <sheetName val="BS"/>
      <sheetName val="P&amp;L"/>
      <sheetName val=" Cashflow"/>
      <sheetName val="Sch A to C"/>
      <sheetName val="Sch D FA"/>
      <sheetName val="Sch E Investment"/>
      <sheetName val="Investment_"/>
      <sheetName val="Sch E Investment (2)"/>
      <sheetName val="Sch F to M"/>
      <sheetName val="Sch N to S"/>
      <sheetName val="Notes-BS"/>
      <sheetName val="Advance tax"/>
      <sheetName val="Final cashflow-"/>
      <sheetName val="VRS"/>
      <sheetName val="BS-Schedule3"/>
      <sheetName val="Doubtful advances"/>
      <sheetName val="Notes-BS 07-08"/>
      <sheetName val="Notes-P&amp;L_07-08"/>
      <sheetName val="Analysis"/>
      <sheetName val="TB Grouping"/>
      <sheetName val="Pivot"/>
      <sheetName val="Pivot FAssets"/>
      <sheetName val="Pivot Investments"/>
      <sheetName val="Pivot Vendor"/>
      <sheetName val="Pivot Cash and bank pivot"/>
      <sheetName val="Pivot-Other expenses"/>
      <sheetName val="Notes-P&amp;L"/>
      <sheetName val="Control-Workbook"/>
      <sheetName val="Mar 07 dum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tors"/>
      <sheetName val="CF"/>
      <sheetName val="CAPEX"/>
      <sheetName val="BS"/>
      <sheetName val="F C-summary"/>
      <sheetName val="Formate &amp; Legal"/>
      <sheetName val="TOTAL"/>
      <sheetName val="mis Frit"/>
      <sheetName val="QTY-HRJ"/>
      <sheetName val="Quality"/>
      <sheetName val="Out"/>
      <sheetName val="Cement T"/>
      <sheetName val="Marketing"/>
      <sheetName val="PEN-BS"/>
      <sheetName val="Pen Manu"/>
      <sheetName val="Pen IPD"/>
      <sheetName val="Pen"/>
      <sheetName val="MB"/>
      <sheetName val="GP"/>
      <sheetName val="MP"/>
      <sheetName val="Pen-Overheads"/>
      <sheetName val="Dies &amp; Moulds"/>
      <sheetName val="Sol.Salts"/>
      <sheetName val="Stains"/>
      <sheetName val="cfd"/>
      <sheetName val="Abrasive"/>
      <sheetName val="Dewas"/>
      <sheetName val="KUN"/>
      <sheetName val="KF"/>
      <sheetName val="KFE"/>
      <sheetName val="KTF"/>
      <sheetName val="KKL-BS"/>
      <sheetName val="KKW"/>
      <sheetName val="DEP07-08"/>
      <sheetName val="DEP 0607"/>
      <sheetName val="TOTAL (Tiles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S"/>
      <sheetName val="BS1"/>
      <sheetName val="BS2"/>
      <sheetName val="PL"/>
      <sheetName val="Data Sheet"/>
      <sheetName val="Dewas Wall"/>
      <sheetName val="Sch F to M"/>
    </sheetNames>
    <sheetDataSet>
      <sheetData sheetId="0" refreshError="1"/>
      <sheetData sheetId="1" refreshError="1">
        <row r="4">
          <cell r="A4" t="str">
            <v>(vi)       Details of Investments  purchased and sold  during the year</v>
          </cell>
        </row>
        <row r="6">
          <cell r="A6" t="str">
            <v xml:space="preserve">             Government and Trust Securities</v>
          </cell>
        </row>
        <row r="7">
          <cell r="B7" t="str">
            <v>Quoted</v>
          </cell>
        </row>
        <row r="8">
          <cell r="B8" t="str">
            <v xml:space="preserve"> -  Government of India, Zero Coupon Bonds 2000B</v>
          </cell>
        </row>
        <row r="9">
          <cell r="A9" t="str">
            <v xml:space="preserve">                   2,000,000 Bonds of Rs 100 each, purchased and sold during the year</v>
          </cell>
        </row>
        <row r="11">
          <cell r="B11" t="str">
            <v>Unquoted</v>
          </cell>
        </row>
        <row r="12">
          <cell r="A12" t="str">
            <v xml:space="preserve">              -  Unit Trust of India, Money Market Fund Units</v>
          </cell>
        </row>
        <row r="13">
          <cell r="A13" t="str">
            <v xml:space="preserve">                  10,388,822  Units of Rs 10 each, Purchased and Sold during the year.</v>
          </cell>
        </row>
        <row r="16">
          <cell r="A16" t="str">
            <v xml:space="preserve">              Mutual Funds (Unquoted)</v>
          </cell>
        </row>
        <row r="17">
          <cell r="A17" t="str">
            <v xml:space="preserve">               -  Birla Mutual Fund, Birla Cash Plus    </v>
          </cell>
        </row>
        <row r="18">
          <cell r="A18" t="str">
            <v xml:space="preserve">                  2,788,363 Units of Rs 10 each, Purchased and Sold during the year</v>
          </cell>
        </row>
        <row r="20">
          <cell r="A20" t="str">
            <v xml:space="preserve">               -  DSP Merrill Lynch Limited,  DSP Merrill Lynch Liquidity Growth Plan</v>
          </cell>
        </row>
        <row r="21">
          <cell r="A21" t="str">
            <v xml:space="preserve">                  3,000,000 Units of Rs 10 each, Purchased and Sold during the year</v>
          </cell>
        </row>
        <row r="23">
          <cell r="A23" t="str">
            <v>( vii )</v>
          </cell>
          <cell r="B23" t="str">
            <v>BALANCE SHEET ABSTRACT AND COMPANY'S GENERAL BUSINESS PROFILE</v>
          </cell>
        </row>
        <row r="25">
          <cell r="B25" t="str">
            <v>( a )</v>
          </cell>
          <cell r="C25" t="str">
            <v>Registration Details</v>
          </cell>
        </row>
        <row r="27">
          <cell r="C27" t="str">
            <v>Registration No.</v>
          </cell>
          <cell r="F27" t="str">
            <v>02964</v>
          </cell>
          <cell r="H27" t="str">
            <v>State Code</v>
          </cell>
          <cell r="K27" t="str">
            <v>21</v>
          </cell>
        </row>
        <row r="28">
          <cell r="C28" t="str">
            <v>Balance Sheet Date</v>
          </cell>
          <cell r="F28" t="str">
            <v>31/03/98</v>
          </cell>
        </row>
        <row r="30">
          <cell r="B30" t="str">
            <v>( b )</v>
          </cell>
          <cell r="C30" t="str">
            <v>Capital raised during the year ( Rs. '000 )</v>
          </cell>
        </row>
        <row r="32">
          <cell r="C32" t="str">
            <v>Public Issue</v>
          </cell>
          <cell r="F32" t="str">
            <v>N i l</v>
          </cell>
          <cell r="H32" t="str">
            <v>Rights Issue</v>
          </cell>
          <cell r="K32" t="str">
            <v>N i l</v>
          </cell>
        </row>
        <row r="33">
          <cell r="C33" t="str">
            <v>Bonus Issue</v>
          </cell>
          <cell r="F33" t="str">
            <v>N i l</v>
          </cell>
          <cell r="H33" t="str">
            <v>Private Placement</v>
          </cell>
          <cell r="K33" t="str">
            <v>N i l</v>
          </cell>
        </row>
        <row r="35">
          <cell r="B35" t="str">
            <v>( c )</v>
          </cell>
          <cell r="C35" t="str">
            <v>Position of Mobilisation and Deployment of Funds ( Rs. '000 )</v>
          </cell>
        </row>
        <row r="37">
          <cell r="C37" t="str">
            <v>Total Liabilities</v>
          </cell>
          <cell r="F37">
            <v>2777208</v>
          </cell>
          <cell r="H37" t="str">
            <v>Total Assets *</v>
          </cell>
          <cell r="K37">
            <v>2777207</v>
          </cell>
        </row>
        <row r="39">
          <cell r="C39" t="str">
            <v>Sources of Funds</v>
          </cell>
          <cell r="H39" t="str">
            <v>Application of Funds</v>
          </cell>
        </row>
        <row r="40">
          <cell r="C40" t="str">
            <v>Paid-up Capital</v>
          </cell>
          <cell r="F40">
            <v>185670</v>
          </cell>
          <cell r="H40" t="str">
            <v>Net Fixed Assets</v>
          </cell>
          <cell r="K40">
            <v>1353256</v>
          </cell>
        </row>
        <row r="41">
          <cell r="C41" t="str">
            <v>Reserves &amp; Surplus</v>
          </cell>
          <cell r="F41">
            <v>1421241</v>
          </cell>
          <cell r="H41" t="str">
            <v>Investments</v>
          </cell>
          <cell r="K41">
            <v>1293121</v>
          </cell>
        </row>
        <row r="42">
          <cell r="C42" t="str">
            <v>Secured Loans</v>
          </cell>
          <cell r="F42">
            <v>1170297</v>
          </cell>
          <cell r="H42" t="str">
            <v>Net Current Assets</v>
          </cell>
          <cell r="K42">
            <v>130830</v>
          </cell>
        </row>
        <row r="43">
          <cell r="C43" t="str">
            <v>Unsecured Loans</v>
          </cell>
          <cell r="F43">
            <v>0</v>
          </cell>
          <cell r="H43" t="str">
            <v>Misc. Expenditure</v>
          </cell>
          <cell r="K43" t="str">
            <v>N i l</v>
          </cell>
        </row>
        <row r="45">
          <cell r="C45" t="str">
            <v>* Net of Current Liabilities &amp; Provisions.</v>
          </cell>
        </row>
        <row r="47">
          <cell r="B47" t="str">
            <v>( d )</v>
          </cell>
          <cell r="C47" t="str">
            <v>Performance of the Company ( Rs. '000 )</v>
          </cell>
        </row>
        <row r="49">
          <cell r="C49" t="str">
            <v xml:space="preserve">Turnover </v>
          </cell>
          <cell r="K49">
            <v>10301442</v>
          </cell>
        </row>
        <row r="50">
          <cell r="C50" t="str">
            <v>Total Expenditure</v>
          </cell>
          <cell r="K50">
            <v>9856488</v>
          </cell>
        </row>
        <row r="51">
          <cell r="C51" t="str">
            <v>Profit Before Tax</v>
          </cell>
          <cell r="K51">
            <v>575593</v>
          </cell>
        </row>
        <row r="52">
          <cell r="C52" t="str">
            <v>Profit After Tax</v>
          </cell>
          <cell r="K52">
            <v>395593</v>
          </cell>
        </row>
        <row r="53">
          <cell r="C53" t="str">
            <v>Earnings per share in Rs.</v>
          </cell>
          <cell r="K53">
            <v>21.306280126420216</v>
          </cell>
        </row>
        <row r="54">
          <cell r="C54" t="str">
            <v xml:space="preserve">Dividend rate % </v>
          </cell>
          <cell r="K54">
            <v>0</v>
          </cell>
        </row>
        <row r="56">
          <cell r="B56" t="str">
            <v>( e )</v>
          </cell>
          <cell r="C56" t="str">
            <v>Generic Names of Three Principal Products / Services of Company ( as per monetary terms )</v>
          </cell>
        </row>
        <row r="58">
          <cell r="C58" t="str">
            <v>Item Code No. ( ITC Code )</v>
          </cell>
          <cell r="F58" t="str">
            <v>190530.03</v>
          </cell>
          <cell r="G58" t="str">
            <v xml:space="preserve">      Product Description</v>
          </cell>
          <cell r="J58" t="str">
            <v>BISCUIT</v>
          </cell>
        </row>
        <row r="59">
          <cell r="F59" t="str">
            <v>190530.09</v>
          </cell>
        </row>
        <row r="61">
          <cell r="C61" t="str">
            <v>Item Code No. ( ITC Code )</v>
          </cell>
          <cell r="F61" t="str">
            <v>190510.00</v>
          </cell>
          <cell r="G61" t="str">
            <v xml:space="preserve">      Product Description</v>
          </cell>
          <cell r="J61" t="str">
            <v>BREAD</v>
          </cell>
        </row>
        <row r="63">
          <cell r="C63" t="str">
            <v>Item Code No. ( ITC Code )</v>
          </cell>
          <cell r="F63" t="str">
            <v>040229.00</v>
          </cell>
          <cell r="G63" t="str">
            <v xml:space="preserve">      Product Description</v>
          </cell>
          <cell r="J63" t="str">
            <v>DAIRY PRODUCTS</v>
          </cell>
        </row>
        <row r="64">
          <cell r="F64" t="str">
            <v>040630.00</v>
          </cell>
        </row>
        <row r="66">
          <cell r="A66" t="str">
            <v>(viii)</v>
          </cell>
          <cell r="B66" t="str">
            <v>Figures in rupees have been rounded off to the nearest thousand.</v>
          </cell>
        </row>
        <row r="68">
          <cell r="A68" t="str">
            <v xml:space="preserve">( ix ) </v>
          </cell>
          <cell r="B68" t="str">
            <v>Previous year's figures have been regrouped wherever necessary.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tock (2)"/>
      <sheetName val="Stock"/>
      <sheetName val="Sheet2"/>
      <sheetName val="NSV N KGs"/>
      <sheetName val="aCalcutta"/>
      <sheetName val="aChennai "/>
      <sheetName val="aDelhi "/>
      <sheetName val="aMumbai "/>
      <sheetName val="All India"/>
      <sheetName val="Sheet5"/>
      <sheetName val="NSV PKG ACT VS B02"/>
      <sheetName val="Final"/>
      <sheetName val="Sheet4"/>
      <sheetName val="Chennai"/>
      <sheetName val="Delhi"/>
      <sheetName val="Mumbai"/>
      <sheetName val="AllIndia"/>
      <sheetName val="P&amp;L"/>
      <sheetName val="Butter Promo"/>
      <sheetName val="DDIL Butter &amp; Ghee"/>
      <sheetName val="NSV"/>
      <sheetName val="akg"/>
      <sheetName val="aCal"/>
      <sheetName val="aChe"/>
      <sheetName val="aDel"/>
      <sheetName val="aMum"/>
      <sheetName val="BS1"/>
      <sheetName val="Sch F to M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">
          <cell r="A3">
            <v>90155</v>
          </cell>
          <cell r="B3" t="str">
            <v>CHEESE TIN FT 400G 24PK CBB</v>
          </cell>
          <cell r="C3" t="str">
            <v>02</v>
          </cell>
          <cell r="E3">
            <v>1.4379999999999999</v>
          </cell>
          <cell r="F3">
            <v>2.9568000000000003</v>
          </cell>
          <cell r="G3">
            <v>9.5999999999999992E-3</v>
          </cell>
          <cell r="I3">
            <v>4.4043999999999999</v>
          </cell>
          <cell r="J3">
            <v>0</v>
          </cell>
          <cell r="K3">
            <v>232120.17045000001</v>
          </cell>
          <cell r="L3">
            <v>510722.27</v>
          </cell>
          <cell r="M3">
            <v>1638.48</v>
          </cell>
          <cell r="O3">
            <v>744480.92044999998</v>
          </cell>
        </row>
        <row r="4">
          <cell r="A4">
            <v>90157</v>
          </cell>
          <cell r="B4" t="str">
            <v>CHEESE TIN NFT 400G 24PK CBB</v>
          </cell>
          <cell r="C4" t="str">
            <v>02</v>
          </cell>
          <cell r="D4">
            <v>2.6636160000000002</v>
          </cell>
          <cell r="E4">
            <v>0.38400000000000001</v>
          </cell>
          <cell r="F4">
            <v>1.1135999999999999</v>
          </cell>
          <cell r="G4">
            <v>7.9776000000000007</v>
          </cell>
          <cell r="I4">
            <v>12.138816</v>
          </cell>
          <cell r="J4">
            <v>417654.81</v>
          </cell>
          <cell r="K4">
            <v>56917.336000000003</v>
          </cell>
          <cell r="L4">
            <v>179110.2</v>
          </cell>
          <cell r="M4">
            <v>1348262.02</v>
          </cell>
          <cell r="O4">
            <v>2001944.3659999999</v>
          </cell>
        </row>
        <row r="5">
          <cell r="A5">
            <v>90159</v>
          </cell>
          <cell r="B5" t="str">
            <v>CHEESE CUBES 200G PLAIN 60PK CBB</v>
          </cell>
          <cell r="C5" t="str">
            <v>02</v>
          </cell>
          <cell r="D5">
            <v>2.9390399999999999</v>
          </cell>
          <cell r="E5">
            <v>4.6559999999999997</v>
          </cell>
          <cell r="F5">
            <v>4.0439999999999996</v>
          </cell>
          <cell r="G5">
            <v>32.411999999999999</v>
          </cell>
          <cell r="I5">
            <v>44.05104</v>
          </cell>
          <cell r="J5">
            <v>564339.94999999995</v>
          </cell>
          <cell r="K5">
            <v>841656.23279999988</v>
          </cell>
          <cell r="L5">
            <v>784042.05</v>
          </cell>
          <cell r="M5">
            <v>6574965.6500000004</v>
          </cell>
          <cell r="O5">
            <v>8765003.8827999998</v>
          </cell>
        </row>
        <row r="6">
          <cell r="A6">
            <v>90165</v>
          </cell>
          <cell r="B6" t="str">
            <v>CHEESE SLICES 200G 60PK CBB</v>
          </cell>
          <cell r="C6" t="str">
            <v>02</v>
          </cell>
          <cell r="D6">
            <v>1.5183599999999999</v>
          </cell>
          <cell r="E6">
            <v>4.3031999999999995</v>
          </cell>
          <cell r="F6">
            <v>21.48</v>
          </cell>
          <cell r="G6">
            <v>6.5759999999999996</v>
          </cell>
          <cell r="I6">
            <v>33.877560000000003</v>
          </cell>
          <cell r="J6">
            <v>263266.61</v>
          </cell>
          <cell r="K6">
            <v>781224.73529999994</v>
          </cell>
          <cell r="L6">
            <v>4133454.26</v>
          </cell>
          <cell r="M6">
            <v>1247474.8799999999</v>
          </cell>
          <cell r="O6">
            <v>6425420.4852999998</v>
          </cell>
        </row>
        <row r="7">
          <cell r="A7">
            <v>90167</v>
          </cell>
          <cell r="B7" t="str">
            <v>CHEESE SLICES 100G 120PK CBB</v>
          </cell>
          <cell r="C7" t="str">
            <v>02</v>
          </cell>
          <cell r="D7">
            <v>0.64488000000000001</v>
          </cell>
          <cell r="E7">
            <v>2.36</v>
          </cell>
          <cell r="F7">
            <v>0.216</v>
          </cell>
          <cell r="G7">
            <v>2.04</v>
          </cell>
          <cell r="I7">
            <v>5.2608800000000002</v>
          </cell>
          <cell r="J7">
            <v>129857.95</v>
          </cell>
          <cell r="K7">
            <v>448023.37800000003</v>
          </cell>
          <cell r="L7">
            <v>43837.34</v>
          </cell>
          <cell r="M7">
            <v>437734.2</v>
          </cell>
          <cell r="O7">
            <v>1059452.868</v>
          </cell>
        </row>
        <row r="8">
          <cell r="A8">
            <v>90168</v>
          </cell>
          <cell r="B8" t="str">
            <v>CHEESE BLOCK 1KG 12PK CBB</v>
          </cell>
          <cell r="C8" t="str">
            <v>02</v>
          </cell>
          <cell r="D8">
            <v>1.8</v>
          </cell>
          <cell r="E8">
            <v>2.444</v>
          </cell>
          <cell r="F8">
            <v>0.13200000000000001</v>
          </cell>
          <cell r="G8">
            <v>13.704000000000001</v>
          </cell>
          <cell r="I8">
            <v>18.079999999999998</v>
          </cell>
          <cell r="J8">
            <v>239467.5</v>
          </cell>
          <cell r="K8">
            <v>298285.99989999994</v>
          </cell>
          <cell r="L8">
            <v>16757.05</v>
          </cell>
          <cell r="M8">
            <v>1846212.29</v>
          </cell>
          <cell r="O8">
            <v>2400722.8399</v>
          </cell>
        </row>
        <row r="9">
          <cell r="A9">
            <v>90170</v>
          </cell>
          <cell r="B9" t="str">
            <v>CHEESE BLOCK 400G CEKA 30PK CBB</v>
          </cell>
          <cell r="C9" t="str">
            <v>02</v>
          </cell>
          <cell r="D9">
            <v>0.52800000000000002</v>
          </cell>
          <cell r="E9">
            <v>1.284</v>
          </cell>
          <cell r="F9">
            <v>2.2919999999999998</v>
          </cell>
          <cell r="G9">
            <v>4.1280000000000001</v>
          </cell>
          <cell r="I9">
            <v>8.2319999999999993</v>
          </cell>
          <cell r="J9">
            <v>94004.35</v>
          </cell>
          <cell r="K9">
            <v>172843.05424999999</v>
          </cell>
          <cell r="L9">
            <v>345703.94</v>
          </cell>
          <cell r="M9">
            <v>656790.04</v>
          </cell>
          <cell r="O9">
            <v>1269341.3842500001</v>
          </cell>
        </row>
        <row r="10">
          <cell r="A10">
            <v>90171</v>
          </cell>
          <cell r="B10" t="str">
            <v>C. SPREAD TUB PLAIN 150G 60PK CBB</v>
          </cell>
          <cell r="C10" t="str">
            <v>02</v>
          </cell>
          <cell r="E10">
            <v>4.2000000000000003E-2</v>
          </cell>
          <cell r="I10">
            <v>4.2000000000000003E-2</v>
          </cell>
          <cell r="J10">
            <v>0</v>
          </cell>
          <cell r="K10">
            <v>5347.8360000000002</v>
          </cell>
          <cell r="L10">
            <v>0</v>
          </cell>
          <cell r="M10">
            <v>0</v>
          </cell>
          <cell r="O10">
            <v>5347.8360000000002</v>
          </cell>
        </row>
        <row r="11">
          <cell r="A11">
            <v>90176</v>
          </cell>
          <cell r="B11" t="str">
            <v>D. WHITENER CARTON 500G 24PK CBB</v>
          </cell>
          <cell r="C11" t="str">
            <v>01</v>
          </cell>
          <cell r="D11">
            <v>8.1720000000000006</v>
          </cell>
          <cell r="E11">
            <v>57.204000000000001</v>
          </cell>
          <cell r="F11">
            <v>7.1879999999999997</v>
          </cell>
          <cell r="G11">
            <v>4.7519999999999998</v>
          </cell>
          <cell r="I11">
            <v>77.316000000000003</v>
          </cell>
          <cell r="J11">
            <v>927694.77</v>
          </cell>
          <cell r="K11">
            <v>6106545.9628000008</v>
          </cell>
          <cell r="L11">
            <v>872189.61</v>
          </cell>
          <cell r="M11">
            <v>571959.72</v>
          </cell>
          <cell r="O11">
            <v>8478390.0628000014</v>
          </cell>
        </row>
        <row r="12">
          <cell r="A12">
            <v>90177</v>
          </cell>
          <cell r="B12" t="str">
            <v>D. WHITENER CARTON 200G 60PK CBB</v>
          </cell>
          <cell r="C12" t="str">
            <v>01</v>
          </cell>
          <cell r="D12">
            <v>4.7160000000000002</v>
          </cell>
          <cell r="E12">
            <v>9.36</v>
          </cell>
          <cell r="F12">
            <v>5.532</v>
          </cell>
          <cell r="G12">
            <v>0.98399999999999999</v>
          </cell>
          <cell r="I12">
            <v>20.591999999999999</v>
          </cell>
          <cell r="J12">
            <v>584417.26</v>
          </cell>
          <cell r="K12">
            <v>1146572.50975</v>
          </cell>
          <cell r="L12">
            <v>763066.37</v>
          </cell>
          <cell r="M12">
            <v>139133.47</v>
          </cell>
          <cell r="O12">
            <v>2633189.6097500003</v>
          </cell>
        </row>
        <row r="13">
          <cell r="A13">
            <v>90178</v>
          </cell>
          <cell r="B13" t="str">
            <v>D. WHITENER POUCH 1KG 12PK CBB</v>
          </cell>
          <cell r="C13" t="str">
            <v>01</v>
          </cell>
          <cell r="D13">
            <v>15.6</v>
          </cell>
          <cell r="E13">
            <v>4.968</v>
          </cell>
          <cell r="F13">
            <v>0.75600000000000001</v>
          </cell>
          <cell r="G13">
            <v>1.1639999999999999</v>
          </cell>
          <cell r="I13">
            <v>22.488</v>
          </cell>
          <cell r="J13">
            <v>1577773.23</v>
          </cell>
          <cell r="K13">
            <v>481723.92724999995</v>
          </cell>
          <cell r="L13">
            <v>82274.210000000006</v>
          </cell>
          <cell r="M13">
            <v>126671.72</v>
          </cell>
          <cell r="O13">
            <v>2268443.0872500003</v>
          </cell>
        </row>
        <row r="14">
          <cell r="A14">
            <v>90179</v>
          </cell>
          <cell r="B14" t="str">
            <v>D. WHITENER POUCH 500G 24PK CBB</v>
          </cell>
          <cell r="C14" t="str">
            <v>01</v>
          </cell>
          <cell r="D14">
            <v>74.659679999999994</v>
          </cell>
          <cell r="E14">
            <v>21.155999999999999</v>
          </cell>
          <cell r="F14">
            <v>2.0514999999999999</v>
          </cell>
          <cell r="G14">
            <v>2.4119999999999999</v>
          </cell>
          <cell r="I14">
            <v>100.27918</v>
          </cell>
          <cell r="J14">
            <v>7957150.1100000003</v>
          </cell>
          <cell r="K14">
            <v>2181873.1568000005</v>
          </cell>
          <cell r="L14">
            <v>239603.01</v>
          </cell>
          <cell r="M14">
            <v>283008.65000000002</v>
          </cell>
          <cell r="O14">
            <v>10661634.926800001</v>
          </cell>
        </row>
        <row r="15">
          <cell r="A15">
            <v>90180</v>
          </cell>
          <cell r="B15" t="str">
            <v>D. WHITENER POUCH 200G 60PK CBB</v>
          </cell>
          <cell r="C15" t="str">
            <v>01</v>
          </cell>
          <cell r="D15">
            <v>6.23604</v>
          </cell>
          <cell r="E15">
            <v>0.40799999999999997</v>
          </cell>
          <cell r="F15">
            <v>2.2559999999999998</v>
          </cell>
          <cell r="G15">
            <v>0.75600000000000001</v>
          </cell>
          <cell r="I15">
            <v>9.6560400000000008</v>
          </cell>
          <cell r="J15">
            <v>700672.74</v>
          </cell>
          <cell r="K15">
            <v>48029.9545</v>
          </cell>
          <cell r="L15">
            <v>293090.65000000002</v>
          </cell>
          <cell r="M15">
            <v>99185.919999999998</v>
          </cell>
          <cell r="O15">
            <v>1140979.2645</v>
          </cell>
        </row>
        <row r="16">
          <cell r="A16">
            <v>90181</v>
          </cell>
          <cell r="B16" t="str">
            <v>D. WHITENER POUCH 100G 120PK CBB</v>
          </cell>
          <cell r="C16" t="str">
            <v>01</v>
          </cell>
          <cell r="D16">
            <v>4.4011199999999997</v>
          </cell>
          <cell r="F16">
            <v>0.252</v>
          </cell>
          <cell r="G16">
            <v>0.12</v>
          </cell>
          <cell r="I16">
            <v>4.7731199999999996</v>
          </cell>
          <cell r="J16">
            <v>565441.46</v>
          </cell>
          <cell r="K16">
            <v>0</v>
          </cell>
          <cell r="L16">
            <v>34356.730000000003</v>
          </cell>
          <cell r="M16">
            <v>15408.7</v>
          </cell>
          <cell r="O16">
            <v>615206.8899999999</v>
          </cell>
        </row>
        <row r="17">
          <cell r="A17">
            <v>90182</v>
          </cell>
          <cell r="B17" t="str">
            <v>D. WHITENER POUCH 50G 180PK CBB</v>
          </cell>
          <cell r="C17" t="str">
            <v>01</v>
          </cell>
          <cell r="D17">
            <v>8.6124599999999987</v>
          </cell>
          <cell r="E17">
            <v>0.39600000000000002</v>
          </cell>
          <cell r="F17">
            <v>0.216</v>
          </cell>
          <cell r="G17">
            <v>0.504</v>
          </cell>
          <cell r="I17">
            <v>9.7284599999999983</v>
          </cell>
          <cell r="J17">
            <v>1051365</v>
          </cell>
          <cell r="K17">
            <v>54062.720000000001</v>
          </cell>
          <cell r="L17">
            <v>31407.360000000001</v>
          </cell>
          <cell r="M17">
            <v>72282.100000000006</v>
          </cell>
          <cell r="O17">
            <v>1209117.1800000002</v>
          </cell>
        </row>
        <row r="18">
          <cell r="A18">
            <v>90183</v>
          </cell>
          <cell r="B18" t="str">
            <v>D. WHITENER JAR 10KG 1PK CBB</v>
          </cell>
          <cell r="C18" t="str">
            <v>01</v>
          </cell>
          <cell r="D18">
            <v>11.63</v>
          </cell>
          <cell r="E18">
            <v>11.53</v>
          </cell>
          <cell r="F18">
            <v>8.69</v>
          </cell>
          <cell r="G18">
            <v>1.62</v>
          </cell>
          <cell r="I18">
            <v>33.47</v>
          </cell>
          <cell r="J18">
            <v>1030247.89</v>
          </cell>
          <cell r="K18">
            <v>952996.60749999993</v>
          </cell>
          <cell r="L18">
            <v>742290.14</v>
          </cell>
          <cell r="M18">
            <v>141704.59</v>
          </cell>
          <cell r="O18">
            <v>2867239.2275</v>
          </cell>
        </row>
        <row r="19">
          <cell r="A19">
            <v>90184</v>
          </cell>
          <cell r="B19" t="str">
            <v>D. WHITENER JAR 25KG 1PK BAG</v>
          </cell>
          <cell r="C19" t="str">
            <v>01</v>
          </cell>
          <cell r="E19">
            <v>29.675000000000001</v>
          </cell>
          <cell r="G19">
            <v>0.27500000000000002</v>
          </cell>
          <cell r="I19">
            <v>29.95</v>
          </cell>
          <cell r="J19">
            <v>0</v>
          </cell>
          <cell r="K19">
            <v>2359124.1570000001</v>
          </cell>
          <cell r="L19">
            <v>0</v>
          </cell>
          <cell r="M19">
            <v>23246.41</v>
          </cell>
          <cell r="O19">
            <v>2382370.5670000003</v>
          </cell>
        </row>
        <row r="20">
          <cell r="A20">
            <v>90186</v>
          </cell>
          <cell r="B20" t="str">
            <v>BUTTER BLOCK 1KG 18PK CBB</v>
          </cell>
          <cell r="C20" t="str">
            <v>03</v>
          </cell>
          <cell r="D20">
            <v>5.3639999999999999</v>
          </cell>
          <cell r="E20">
            <v>6.4329999999999998</v>
          </cell>
          <cell r="F20">
            <v>25.614000000000001</v>
          </cell>
          <cell r="G20">
            <v>36.252000000000002</v>
          </cell>
          <cell r="I20">
            <v>73.663000000000011</v>
          </cell>
          <cell r="J20">
            <v>504372.26</v>
          </cell>
          <cell r="K20">
            <v>574082.57220000005</v>
          </cell>
          <cell r="L20">
            <v>2375658.2999999998</v>
          </cell>
          <cell r="M20">
            <v>3550308.24</v>
          </cell>
          <cell r="O20">
            <v>7004421.3722000001</v>
          </cell>
        </row>
        <row r="21">
          <cell r="A21">
            <v>90187</v>
          </cell>
          <cell r="B21" t="str">
            <v>BUTTER BLOCK 100G 150PK CBB</v>
          </cell>
          <cell r="C21" t="str">
            <v>03</v>
          </cell>
          <cell r="D21">
            <v>3.1773000000000002</v>
          </cell>
          <cell r="E21">
            <v>10.2445</v>
          </cell>
          <cell r="F21">
            <v>26.01</v>
          </cell>
          <cell r="G21">
            <v>17.655000000000001</v>
          </cell>
          <cell r="I21">
            <v>57.086800000000004</v>
          </cell>
          <cell r="J21">
            <v>347461.06</v>
          </cell>
          <cell r="K21">
            <v>1073441.656</v>
          </cell>
          <cell r="L21">
            <v>2858160.47</v>
          </cell>
          <cell r="M21">
            <v>2021021.88</v>
          </cell>
          <cell r="O21">
            <v>6300085.0660000006</v>
          </cell>
        </row>
        <row r="22">
          <cell r="A22">
            <v>90188</v>
          </cell>
          <cell r="B22" t="str">
            <v>BUTTER BLOCK 500G 30PK CBB</v>
          </cell>
          <cell r="C22" t="str">
            <v>03</v>
          </cell>
          <cell r="D22">
            <v>1.74</v>
          </cell>
          <cell r="E22">
            <v>1.762</v>
          </cell>
          <cell r="F22">
            <v>35.721499999999999</v>
          </cell>
          <cell r="G22">
            <v>7.41</v>
          </cell>
          <cell r="I22">
            <v>46.633499999999998</v>
          </cell>
          <cell r="J22">
            <v>182673</v>
          </cell>
          <cell r="K22">
            <v>176531.88950000002</v>
          </cell>
          <cell r="L22">
            <v>3760508.98</v>
          </cell>
          <cell r="M22">
            <v>803483.66</v>
          </cell>
          <cell r="O22">
            <v>4923197.5295000002</v>
          </cell>
        </row>
        <row r="23">
          <cell r="A23">
            <v>90189</v>
          </cell>
          <cell r="B23" t="str">
            <v>COW GHEE TIN 1LT 18PK CBB</v>
          </cell>
          <cell r="C23" t="str">
            <v>04</v>
          </cell>
          <cell r="D23">
            <v>2.016</v>
          </cell>
          <cell r="E23">
            <v>1.998</v>
          </cell>
          <cell r="F23">
            <v>5.5069999999999997</v>
          </cell>
          <cell r="G23">
            <v>4.6980000000000004</v>
          </cell>
          <cell r="I23">
            <v>14.219000000000001</v>
          </cell>
          <cell r="J23">
            <v>227379.4</v>
          </cell>
          <cell r="K23">
            <v>212231.14350000001</v>
          </cell>
          <cell r="L23">
            <v>535439.4</v>
          </cell>
          <cell r="M23">
            <v>513400.69</v>
          </cell>
          <cell r="O23">
            <v>1488450.6335</v>
          </cell>
        </row>
        <row r="24">
          <cell r="A24">
            <v>90190</v>
          </cell>
          <cell r="B24" t="str">
            <v>COW GHEE CEKA 1LT 18PK CBB</v>
          </cell>
          <cell r="C24" t="str">
            <v>04</v>
          </cell>
          <cell r="D24">
            <v>0.29196</v>
          </cell>
          <cell r="E24">
            <v>0.72</v>
          </cell>
          <cell r="F24">
            <v>14.436</v>
          </cell>
          <cell r="G24">
            <v>5.13</v>
          </cell>
          <cell r="I24">
            <v>20.577960000000001</v>
          </cell>
          <cell r="J24">
            <v>31798.799999999999</v>
          </cell>
          <cell r="K24">
            <v>72309.231249999997</v>
          </cell>
          <cell r="L24">
            <v>1339781.1000000001</v>
          </cell>
          <cell r="M24">
            <v>542326.47</v>
          </cell>
          <cell r="O24">
            <v>1986215.6012500001</v>
          </cell>
        </row>
        <row r="25">
          <cell r="A25">
            <v>90191</v>
          </cell>
          <cell r="B25" t="str">
            <v>COW GHEE CEKA 500ML 36PK CBB</v>
          </cell>
          <cell r="C25" t="str">
            <v>04</v>
          </cell>
          <cell r="D25">
            <v>1.02294</v>
          </cell>
          <cell r="E25">
            <v>1.4035</v>
          </cell>
          <cell r="F25">
            <v>2.0880000000000001</v>
          </cell>
          <cell r="G25">
            <v>3.6360000000000001</v>
          </cell>
          <cell r="I25">
            <v>8.1504399999999997</v>
          </cell>
          <cell r="J25">
            <v>115742.22</v>
          </cell>
          <cell r="K25">
            <v>150079.07925000001</v>
          </cell>
          <cell r="L25">
            <v>201147.48</v>
          </cell>
          <cell r="M25">
            <v>406033.02</v>
          </cell>
          <cell r="O25">
            <v>873001.79925000004</v>
          </cell>
        </row>
        <row r="26">
          <cell r="A26">
            <v>90192</v>
          </cell>
          <cell r="B26" t="str">
            <v>COW GHEE CEKA 200ML 60PK CBB</v>
          </cell>
          <cell r="C26" t="str">
            <v>04</v>
          </cell>
          <cell r="D26">
            <v>0.312</v>
          </cell>
          <cell r="E26">
            <v>0.81479999999999997</v>
          </cell>
          <cell r="G26">
            <v>2.4</v>
          </cell>
          <cell r="I26">
            <v>3.5267999999999997</v>
          </cell>
          <cell r="J26">
            <v>36901.360000000001</v>
          </cell>
          <cell r="K26">
            <v>92700.823199999999</v>
          </cell>
          <cell r="L26">
            <v>0</v>
          </cell>
          <cell r="M26">
            <v>315182.84999999998</v>
          </cell>
          <cell r="O26">
            <v>444785.03319999995</v>
          </cell>
        </row>
        <row r="27">
          <cell r="A27">
            <v>90195</v>
          </cell>
          <cell r="B27" t="str">
            <v>MIXED GHEE TIN 1LT 18PK CBB</v>
          </cell>
          <cell r="C27" t="str">
            <v>04</v>
          </cell>
          <cell r="D27">
            <v>7.5060000000000002</v>
          </cell>
          <cell r="F27">
            <v>14.022</v>
          </cell>
          <cell r="G27">
            <v>7.9740000000000002</v>
          </cell>
          <cell r="I27">
            <v>29.501999999999999</v>
          </cell>
          <cell r="J27">
            <v>772068.88</v>
          </cell>
          <cell r="K27">
            <v>0</v>
          </cell>
          <cell r="L27">
            <v>1441627.66</v>
          </cell>
          <cell r="M27">
            <v>881368.79</v>
          </cell>
          <cell r="O27">
            <v>3095065.33</v>
          </cell>
        </row>
        <row r="28">
          <cell r="A28">
            <v>90196</v>
          </cell>
          <cell r="B28" t="str">
            <v>MIXED GHEE CEKA 1LT 18PK CBB</v>
          </cell>
          <cell r="C28" t="str">
            <v>04</v>
          </cell>
          <cell r="D28">
            <v>1.6020000000000001</v>
          </cell>
          <cell r="F28">
            <v>38.268000000000001</v>
          </cell>
          <cell r="G28">
            <v>3.7440000000000002</v>
          </cell>
          <cell r="I28">
            <v>43.613999999999997</v>
          </cell>
          <cell r="J28">
            <v>160312.9</v>
          </cell>
          <cell r="K28">
            <v>0</v>
          </cell>
          <cell r="L28">
            <v>3793541.18</v>
          </cell>
          <cell r="M28">
            <v>391287.72</v>
          </cell>
          <cell r="O28">
            <v>4345141.8</v>
          </cell>
        </row>
        <row r="29">
          <cell r="A29">
            <v>90197</v>
          </cell>
          <cell r="B29" t="str">
            <v>MIXED GHEE CEKA 500ML 36PK CBB</v>
          </cell>
          <cell r="C29" t="str">
            <v>04</v>
          </cell>
          <cell r="D29">
            <v>2.7719999999999998</v>
          </cell>
          <cell r="F29">
            <v>10.242000000000001</v>
          </cell>
          <cell r="G29">
            <v>5.7060000000000004</v>
          </cell>
          <cell r="I29">
            <v>18.720000000000002</v>
          </cell>
          <cell r="J29">
            <v>289567.98</v>
          </cell>
          <cell r="K29">
            <v>0</v>
          </cell>
          <cell r="L29">
            <v>1048718.45</v>
          </cell>
          <cell r="M29">
            <v>627282.41</v>
          </cell>
          <cell r="O29">
            <v>1965568.8399999999</v>
          </cell>
        </row>
        <row r="30">
          <cell r="A30">
            <v>90200</v>
          </cell>
          <cell r="B30" t="str">
            <v>BAR CAKE FRUIT 200G 60PK CBB</v>
          </cell>
          <cell r="C30" t="str">
            <v>07</v>
          </cell>
          <cell r="D30">
            <v>56.68356</v>
          </cell>
          <cell r="E30">
            <v>3.1320000000000001</v>
          </cell>
          <cell r="F30">
            <v>43.152000000000001</v>
          </cell>
          <cell r="G30">
            <v>9.4320000000000004</v>
          </cell>
          <cell r="I30">
            <v>112.39955999999999</v>
          </cell>
          <cell r="J30">
            <v>5357825.76</v>
          </cell>
          <cell r="K30">
            <v>266508.60989999998</v>
          </cell>
          <cell r="L30">
            <v>3982410.45</v>
          </cell>
          <cell r="M30">
            <v>814427.67</v>
          </cell>
          <cell r="O30">
            <v>10421172.489899999</v>
          </cell>
        </row>
        <row r="31">
          <cell r="A31">
            <v>90201</v>
          </cell>
          <cell r="B31" t="str">
            <v>BAR CAKE FRUIT 100G PK CBB</v>
          </cell>
          <cell r="C31" t="str">
            <v>07</v>
          </cell>
          <cell r="D31">
            <v>29.13456</v>
          </cell>
          <cell r="E31">
            <v>7.8239999999999998</v>
          </cell>
          <cell r="F31">
            <v>14.928000000000001</v>
          </cell>
          <cell r="G31">
            <v>4.1520000000000001</v>
          </cell>
          <cell r="I31">
            <v>56.038560000000004</v>
          </cell>
          <cell r="J31">
            <v>2746494.78</v>
          </cell>
          <cell r="K31">
            <v>670581.54960000003</v>
          </cell>
          <cell r="L31">
            <v>1378727.33</v>
          </cell>
          <cell r="M31">
            <v>365475.7</v>
          </cell>
          <cell r="O31">
            <v>5161279.3596000001</v>
          </cell>
        </row>
        <row r="32">
          <cell r="A32">
            <v>90203</v>
          </cell>
          <cell r="B32" t="str">
            <v>BAR CAKE CHOCO 200G 60PK CBB</v>
          </cell>
          <cell r="C32" t="str">
            <v>07</v>
          </cell>
          <cell r="D32">
            <v>0.72</v>
          </cell>
          <cell r="E32">
            <v>2.5920000000000001</v>
          </cell>
          <cell r="F32">
            <v>1.8</v>
          </cell>
          <cell r="G32">
            <v>3.6480000000000001</v>
          </cell>
          <cell r="I32">
            <v>8.76</v>
          </cell>
          <cell r="J32">
            <v>69014.52</v>
          </cell>
          <cell r="K32">
            <v>221163.22950000002</v>
          </cell>
          <cell r="L32">
            <v>166036.6</v>
          </cell>
          <cell r="M32">
            <v>324351</v>
          </cell>
          <cell r="O32">
            <v>780565.34950000001</v>
          </cell>
        </row>
        <row r="33">
          <cell r="A33">
            <v>90204</v>
          </cell>
          <cell r="B33" t="str">
            <v>BAR CAKE V.C. 200G 60PK CBB</v>
          </cell>
          <cell r="C33" t="str">
            <v>07</v>
          </cell>
          <cell r="D33">
            <v>0.26400000000000001</v>
          </cell>
          <cell r="E33">
            <v>3.7440000000000002</v>
          </cell>
          <cell r="F33">
            <v>1.032</v>
          </cell>
          <cell r="G33">
            <v>3</v>
          </cell>
          <cell r="I33">
            <v>8.0399999999999991</v>
          </cell>
          <cell r="J33">
            <v>25879.51</v>
          </cell>
          <cell r="K33">
            <v>320754.8934</v>
          </cell>
          <cell r="L33">
            <v>95087.96</v>
          </cell>
          <cell r="M33">
            <v>266523.76</v>
          </cell>
          <cell r="O33">
            <v>708246.12340000004</v>
          </cell>
        </row>
        <row r="34">
          <cell r="A34">
            <v>90205</v>
          </cell>
          <cell r="B34" t="str">
            <v>BAR CAKE O.C. 200G 60PK CBB</v>
          </cell>
          <cell r="C34" t="str">
            <v>07</v>
          </cell>
          <cell r="D34">
            <v>0.28799999999999998</v>
          </cell>
          <cell r="E34">
            <v>3.3479999999999999</v>
          </cell>
          <cell r="F34">
            <v>1.32</v>
          </cell>
          <cell r="G34">
            <v>3.552</v>
          </cell>
          <cell r="I34">
            <v>8.5079999999999991</v>
          </cell>
          <cell r="J34">
            <v>28164.66</v>
          </cell>
          <cell r="K34">
            <v>286914.6618</v>
          </cell>
          <cell r="L34">
            <v>121512.13</v>
          </cell>
          <cell r="M34">
            <v>314678.18</v>
          </cell>
          <cell r="O34">
            <v>751269.63179999997</v>
          </cell>
        </row>
        <row r="35">
          <cell r="A35">
            <v>90206</v>
          </cell>
          <cell r="B35" t="str">
            <v>BAR CAKE BUTTER SPONGE 200G 60PK CBB</v>
          </cell>
          <cell r="C35" t="str">
            <v>07</v>
          </cell>
          <cell r="D35">
            <v>0.24</v>
          </cell>
          <cell r="E35">
            <v>2.508</v>
          </cell>
          <cell r="F35">
            <v>0.91200000000000003</v>
          </cell>
          <cell r="G35">
            <v>2.2440000000000002</v>
          </cell>
          <cell r="I35">
            <v>5.9039999999999999</v>
          </cell>
          <cell r="J35">
            <v>23841.98</v>
          </cell>
          <cell r="K35">
            <v>214642.42260000002</v>
          </cell>
          <cell r="L35">
            <v>84193.54</v>
          </cell>
          <cell r="M35">
            <v>199750.96</v>
          </cell>
          <cell r="O35">
            <v>522428.90260000003</v>
          </cell>
        </row>
        <row r="36">
          <cell r="A36">
            <v>90265</v>
          </cell>
          <cell r="B36" t="str">
            <v>CHEESE BLOCK NATURAL 200G CEKA 30PK CBB</v>
          </cell>
          <cell r="C36" t="str">
            <v>02</v>
          </cell>
          <cell r="E36">
            <v>4.2000000000000003E-2</v>
          </cell>
          <cell r="F36">
            <v>0.15</v>
          </cell>
          <cell r="G36">
            <v>0.34799999999999998</v>
          </cell>
          <cell r="I36">
            <v>0.54</v>
          </cell>
          <cell r="J36">
            <v>0</v>
          </cell>
          <cell r="K36">
            <v>6376.0136999999995</v>
          </cell>
          <cell r="L36">
            <v>24239.27</v>
          </cell>
          <cell r="M36">
            <v>60943</v>
          </cell>
          <cell r="O36">
            <v>91558.2837</v>
          </cell>
        </row>
        <row r="37">
          <cell r="A37">
            <v>90266</v>
          </cell>
          <cell r="B37" t="str">
            <v>COLD COFFEE 200ML 24PK TRAY</v>
          </cell>
          <cell r="C37" t="str">
            <v>05</v>
          </cell>
          <cell r="D37">
            <v>0.26880000000000004</v>
          </cell>
          <cell r="E37">
            <v>3.8275999999999999</v>
          </cell>
          <cell r="F37">
            <v>1.8864000000000001</v>
          </cell>
          <cell r="G37">
            <v>4.0271999999999997</v>
          </cell>
          <cell r="I37">
            <v>10.01</v>
          </cell>
          <cell r="J37">
            <v>11101.44</v>
          </cell>
          <cell r="K37">
            <v>165311.37234999996</v>
          </cell>
          <cell r="L37">
            <v>83445.41</v>
          </cell>
          <cell r="M37">
            <v>192221.99</v>
          </cell>
          <cell r="O37">
            <v>452080.21234999993</v>
          </cell>
        </row>
        <row r="38">
          <cell r="A38">
            <v>90267</v>
          </cell>
          <cell r="B38" t="str">
            <v>D. MIX POUCH 100G 120PK CBB</v>
          </cell>
          <cell r="C38" t="str">
            <v>01</v>
          </cell>
          <cell r="E38">
            <v>0.06</v>
          </cell>
          <cell r="F38">
            <v>0.34799999999999998</v>
          </cell>
          <cell r="G38">
            <v>0.312</v>
          </cell>
          <cell r="I38">
            <v>0.72</v>
          </cell>
          <cell r="J38">
            <v>0</v>
          </cell>
          <cell r="K38">
            <v>5821.335</v>
          </cell>
          <cell r="L38">
            <v>27937.919999999998</v>
          </cell>
          <cell r="M38">
            <v>31344.75</v>
          </cell>
          <cell r="O38">
            <v>65104.004999999997</v>
          </cell>
        </row>
        <row r="39">
          <cell r="A39">
            <v>90268</v>
          </cell>
          <cell r="B39" t="str">
            <v>F. MILK CHOCOLATE 200ML 24PK TRAY</v>
          </cell>
          <cell r="C39" t="str">
            <v>05</v>
          </cell>
          <cell r="D39">
            <v>0.31680000000000003</v>
          </cell>
          <cell r="E39">
            <v>8.1636000000000006</v>
          </cell>
          <cell r="F39">
            <v>1.776</v>
          </cell>
          <cell r="G39">
            <v>6.9023999999999992</v>
          </cell>
          <cell r="I39">
            <v>17.158799999999999</v>
          </cell>
          <cell r="J39">
            <v>13089.09</v>
          </cell>
          <cell r="K39">
            <v>353998.89735000004</v>
          </cell>
          <cell r="L39">
            <v>77362.67</v>
          </cell>
          <cell r="M39">
            <v>328800.83</v>
          </cell>
          <cell r="O39">
            <v>773251.48735000007</v>
          </cell>
        </row>
        <row r="40">
          <cell r="A40">
            <v>90269</v>
          </cell>
          <cell r="B40" t="str">
            <v>F. MILK STRAWBERRY 200ML 24PK TRAY</v>
          </cell>
          <cell r="C40" t="str">
            <v>05</v>
          </cell>
          <cell r="D40">
            <v>0.22559999999999999</v>
          </cell>
          <cell r="E40">
            <v>7.9880000000000004</v>
          </cell>
          <cell r="F40">
            <v>1.4159999999999999</v>
          </cell>
          <cell r="G40">
            <v>6.3647999999999998</v>
          </cell>
          <cell r="I40">
            <v>15.994399999999999</v>
          </cell>
          <cell r="J40">
            <v>9317.2800000000007</v>
          </cell>
          <cell r="K40">
            <v>347043.92684999999</v>
          </cell>
          <cell r="L40">
            <v>62133.440000000002</v>
          </cell>
          <cell r="M40">
            <v>303274.07</v>
          </cell>
          <cell r="O40">
            <v>721768.71684999997</v>
          </cell>
        </row>
        <row r="41">
          <cell r="A41">
            <v>90270</v>
          </cell>
          <cell r="B41" t="str">
            <v>LASSI 200ML 24PK TRAY</v>
          </cell>
          <cell r="C41" t="str">
            <v>06</v>
          </cell>
          <cell r="D41">
            <v>0.20740800000000001</v>
          </cell>
          <cell r="E41">
            <v>2.9220000000000002</v>
          </cell>
          <cell r="F41">
            <v>0.75360000000000005</v>
          </cell>
          <cell r="G41">
            <v>2.3759999999999999</v>
          </cell>
          <cell r="I41">
            <v>6.2590079999999997</v>
          </cell>
          <cell r="J41">
            <v>8527.43</v>
          </cell>
          <cell r="K41">
            <v>119492.81624999999</v>
          </cell>
          <cell r="L41">
            <v>33046.71</v>
          </cell>
          <cell r="M41">
            <v>112055.14</v>
          </cell>
          <cell r="O41">
            <v>273122.09625</v>
          </cell>
        </row>
        <row r="42">
          <cell r="A42">
            <v>90271</v>
          </cell>
          <cell r="B42" t="str">
            <v>MIXED GHEE TIN 5LT 4PK CBB</v>
          </cell>
          <cell r="C42" t="str">
            <v>04</v>
          </cell>
          <cell r="D42">
            <v>5.98</v>
          </cell>
          <cell r="F42">
            <v>4.9527600000000005</v>
          </cell>
          <cell r="G42">
            <v>1.4</v>
          </cell>
          <cell r="I42">
            <v>12.332760000000002</v>
          </cell>
          <cell r="J42">
            <v>612775.93999999994</v>
          </cell>
          <cell r="K42">
            <v>0</v>
          </cell>
          <cell r="L42">
            <v>552043.1</v>
          </cell>
          <cell r="M42">
            <v>146578.21</v>
          </cell>
          <cell r="O42">
            <v>1311397.25</v>
          </cell>
        </row>
        <row r="43">
          <cell r="A43">
            <v>90296</v>
          </cell>
          <cell r="B43" t="str">
            <v>CHEESE BLOCK 1KG 12PK CBB LOW MELT</v>
          </cell>
          <cell r="C43" t="str">
            <v>02</v>
          </cell>
          <cell r="E43">
            <v>1.2E-2</v>
          </cell>
          <cell r="F43">
            <v>4.8000000000000001E-2</v>
          </cell>
          <cell r="G43">
            <v>1.0920000000000001</v>
          </cell>
          <cell r="I43">
            <v>1.1520000000000001</v>
          </cell>
          <cell r="J43">
            <v>0</v>
          </cell>
          <cell r="K43">
            <v>1444.8828999999998</v>
          </cell>
          <cell r="L43">
            <v>5966.64</v>
          </cell>
          <cell r="M43">
            <v>144537.57</v>
          </cell>
          <cell r="O43">
            <v>151949.09290000002</v>
          </cell>
        </row>
        <row r="44">
          <cell r="A44">
            <v>90316</v>
          </cell>
          <cell r="B44" t="str">
            <v>BAR CAKE CHOCO 200G 30PK CBB</v>
          </cell>
          <cell r="C44" t="str">
            <v>07</v>
          </cell>
          <cell r="F44">
            <v>3.0779999999999998</v>
          </cell>
          <cell r="I44">
            <v>3.0779999999999998</v>
          </cell>
          <cell r="J44">
            <v>0</v>
          </cell>
          <cell r="K44">
            <v>0</v>
          </cell>
          <cell r="L44">
            <v>277358.58</v>
          </cell>
          <cell r="M44">
            <v>0</v>
          </cell>
          <cell r="O44">
            <v>277358.58</v>
          </cell>
        </row>
        <row r="45">
          <cell r="A45">
            <v>90317</v>
          </cell>
          <cell r="B45" t="str">
            <v>BAR CAKE FRUIT 200G 30PK CBB</v>
          </cell>
          <cell r="C45" t="str">
            <v>07</v>
          </cell>
          <cell r="F45">
            <v>32.770400000000002</v>
          </cell>
          <cell r="I45">
            <v>32.770400000000002</v>
          </cell>
          <cell r="J45">
            <v>0</v>
          </cell>
          <cell r="K45">
            <v>0</v>
          </cell>
          <cell r="L45">
            <v>2684797.18</v>
          </cell>
          <cell r="M45">
            <v>0</v>
          </cell>
          <cell r="O45">
            <v>2684797.18</v>
          </cell>
        </row>
        <row r="46">
          <cell r="A46">
            <v>90318</v>
          </cell>
          <cell r="B46" t="str">
            <v>BAR CAKE O.C. 200G 30PK CBB</v>
          </cell>
          <cell r="C46" t="str">
            <v>07</v>
          </cell>
          <cell r="F46">
            <v>0.372</v>
          </cell>
          <cell r="I46">
            <v>0.372</v>
          </cell>
          <cell r="J46">
            <v>0</v>
          </cell>
          <cell r="K46">
            <v>0</v>
          </cell>
          <cell r="L46">
            <v>33520.92</v>
          </cell>
          <cell r="M46">
            <v>0</v>
          </cell>
          <cell r="O46">
            <v>33520.92</v>
          </cell>
        </row>
        <row r="47">
          <cell r="A47">
            <v>90321</v>
          </cell>
          <cell r="B47" t="str">
            <v>BAR CAKE V.C. 200G 30PK CBB</v>
          </cell>
          <cell r="C47" t="str">
            <v>07</v>
          </cell>
          <cell r="F47">
            <v>0.42599999999999999</v>
          </cell>
          <cell r="I47">
            <v>0.42599999999999999</v>
          </cell>
          <cell r="J47">
            <v>0</v>
          </cell>
          <cell r="K47">
            <v>0</v>
          </cell>
          <cell r="L47">
            <v>38386.86</v>
          </cell>
          <cell r="M47">
            <v>0</v>
          </cell>
          <cell r="O47">
            <v>38386.86</v>
          </cell>
        </row>
        <row r="48">
          <cell r="A48">
            <v>90322</v>
          </cell>
          <cell r="B48" t="str">
            <v>CHEESE BLOCK NATURAL 1KG CEKA 12PK CBB</v>
          </cell>
          <cell r="C48" t="str">
            <v>02</v>
          </cell>
          <cell r="E48">
            <v>4.8000000000000001E-2</v>
          </cell>
          <cell r="F48">
            <v>0.24</v>
          </cell>
          <cell r="G48">
            <v>0.16800000000000001</v>
          </cell>
          <cell r="I48">
            <v>0.45599999999999996</v>
          </cell>
          <cell r="J48">
            <v>0</v>
          </cell>
          <cell r="K48">
            <v>6297.44</v>
          </cell>
          <cell r="L48">
            <v>31152.6</v>
          </cell>
          <cell r="M48">
            <v>24096.73</v>
          </cell>
          <cell r="O48">
            <v>61546.770000000004</v>
          </cell>
        </row>
        <row r="49">
          <cell r="A49">
            <v>90323</v>
          </cell>
          <cell r="B49" t="str">
            <v>CHEESE CASTED SLICES 2.27KG 8PK CBB</v>
          </cell>
          <cell r="C49" t="str">
            <v>02</v>
          </cell>
          <cell r="E49">
            <v>7.2639999999999996E-2</v>
          </cell>
          <cell r="G49">
            <v>0.8716799999999999</v>
          </cell>
          <cell r="I49">
            <v>0.94431999999999994</v>
          </cell>
          <cell r="J49">
            <v>0</v>
          </cell>
          <cell r="K49">
            <v>11233.84</v>
          </cell>
          <cell r="L49">
            <v>0</v>
          </cell>
          <cell r="M49">
            <v>144312</v>
          </cell>
          <cell r="O49">
            <v>155545.84</v>
          </cell>
        </row>
        <row r="50">
          <cell r="A50">
            <v>90325</v>
          </cell>
          <cell r="B50" t="str">
            <v>COW GHEE PET 200ML 48PK CBB</v>
          </cell>
          <cell r="C50" t="str">
            <v>04</v>
          </cell>
          <cell r="D50">
            <v>3.7142399999999998</v>
          </cell>
          <cell r="E50">
            <v>4.3008000000000006</v>
          </cell>
          <cell r="G50">
            <v>0.65279999999999994</v>
          </cell>
          <cell r="I50">
            <v>8.66784</v>
          </cell>
          <cell r="J50">
            <v>464394.75</v>
          </cell>
          <cell r="K50">
            <v>568715.29965000006</v>
          </cell>
          <cell r="L50">
            <v>0</v>
          </cell>
          <cell r="M50">
            <v>97050.38</v>
          </cell>
          <cell r="O50">
            <v>1130160.4296500001</v>
          </cell>
        </row>
        <row r="51">
          <cell r="A51">
            <v>90326</v>
          </cell>
          <cell r="B51" t="str">
            <v>COW GHEE POUCH 1LT 12PK CBB</v>
          </cell>
          <cell r="C51" t="str">
            <v>04</v>
          </cell>
          <cell r="E51">
            <v>13.903</v>
          </cell>
          <cell r="G51">
            <v>10.584</v>
          </cell>
          <cell r="I51">
            <v>24.487000000000002</v>
          </cell>
          <cell r="J51">
            <v>0</v>
          </cell>
          <cell r="K51">
            <v>1291828.94765</v>
          </cell>
          <cell r="L51">
            <v>0</v>
          </cell>
          <cell r="M51">
            <v>1098128.06</v>
          </cell>
          <cell r="O51">
            <v>2389957.00765</v>
          </cell>
        </row>
        <row r="52">
          <cell r="A52">
            <v>90327</v>
          </cell>
          <cell r="B52" t="str">
            <v>COW GHEE POUCH 500ML 24PK CBB</v>
          </cell>
          <cell r="C52" t="str">
            <v>04</v>
          </cell>
          <cell r="E52">
            <v>6.0114999999999998</v>
          </cell>
          <cell r="G52">
            <v>4.9320000000000004</v>
          </cell>
          <cell r="I52">
            <v>10.9435</v>
          </cell>
          <cell r="J52">
            <v>0</v>
          </cell>
          <cell r="K52">
            <v>569854.57040000008</v>
          </cell>
          <cell r="L52">
            <v>0</v>
          </cell>
          <cell r="M52">
            <v>516816.96</v>
          </cell>
          <cell r="O52">
            <v>1086671.5304</v>
          </cell>
        </row>
        <row r="53">
          <cell r="A53">
            <v>90328</v>
          </cell>
          <cell r="B53" t="str">
            <v>COW GHEE TIN 15KG 1PK CBB</v>
          </cell>
          <cell r="C53" t="str">
            <v>04</v>
          </cell>
          <cell r="E53">
            <v>8.2949999999999999</v>
          </cell>
          <cell r="I53">
            <v>8.2949999999999999</v>
          </cell>
          <cell r="J53">
            <v>0</v>
          </cell>
          <cell r="K53">
            <v>867534.09274999995</v>
          </cell>
          <cell r="L53">
            <v>0</v>
          </cell>
          <cell r="M53">
            <v>0</v>
          </cell>
          <cell r="O53">
            <v>867534.09274999995</v>
          </cell>
        </row>
        <row r="54">
          <cell r="A54">
            <v>90330</v>
          </cell>
          <cell r="B54" t="str">
            <v>MIXED GHEE CEKA 200ML 60PK CBB</v>
          </cell>
          <cell r="C54" t="str">
            <v>04</v>
          </cell>
          <cell r="F54">
            <v>1.8240000000000001</v>
          </cell>
          <cell r="G54">
            <v>1.272</v>
          </cell>
          <cell r="I54">
            <v>3.0960000000000001</v>
          </cell>
          <cell r="J54">
            <v>0</v>
          </cell>
          <cell r="K54">
            <v>0</v>
          </cell>
          <cell r="L54">
            <v>206527.67</v>
          </cell>
          <cell r="M54">
            <v>153715.54</v>
          </cell>
          <cell r="O54">
            <v>360243.21</v>
          </cell>
        </row>
        <row r="55">
          <cell r="A55">
            <v>90338</v>
          </cell>
          <cell r="B55" t="str">
            <v>CHEESE TIN FT 400G+100G 24PK CBB PROMO</v>
          </cell>
          <cell r="C55" t="str">
            <v>02</v>
          </cell>
          <cell r="E55">
            <v>0.24</v>
          </cell>
          <cell r="I55">
            <v>0.24</v>
          </cell>
          <cell r="J55">
            <v>0</v>
          </cell>
          <cell r="K55">
            <v>40257.22625</v>
          </cell>
          <cell r="L55">
            <v>0</v>
          </cell>
          <cell r="M55">
            <v>0</v>
          </cell>
          <cell r="O55">
            <v>40257.22625</v>
          </cell>
        </row>
        <row r="56">
          <cell r="A56">
            <v>90339</v>
          </cell>
          <cell r="B56" t="str">
            <v>CHEESE TIN NFT 400G+100G 24PK CBB PROMO</v>
          </cell>
          <cell r="C56" t="str">
            <v>02</v>
          </cell>
          <cell r="F56">
            <v>1.452</v>
          </cell>
          <cell r="I56">
            <v>1.452</v>
          </cell>
          <cell r="J56">
            <v>0</v>
          </cell>
          <cell r="K56">
            <v>0</v>
          </cell>
          <cell r="L56">
            <v>185464.06</v>
          </cell>
          <cell r="M56">
            <v>0</v>
          </cell>
          <cell r="O56">
            <v>185464.06</v>
          </cell>
        </row>
        <row r="57">
          <cell r="A57">
            <v>90340</v>
          </cell>
          <cell r="B57" t="str">
            <v>D. WHITENER JAR 10KG+0.5KG 1PK CBB</v>
          </cell>
          <cell r="C57" t="str">
            <v>01</v>
          </cell>
          <cell r="D57">
            <v>139.93350000000001</v>
          </cell>
          <cell r="E57">
            <v>20.67</v>
          </cell>
          <cell r="G57">
            <v>2.0579999999999998</v>
          </cell>
          <cell r="I57">
            <v>162.66149999999999</v>
          </cell>
          <cell r="J57">
            <v>11635348.25</v>
          </cell>
          <cell r="K57">
            <v>1726988.3019999999</v>
          </cell>
          <cell r="L57">
            <v>0</v>
          </cell>
          <cell r="M57">
            <v>166056</v>
          </cell>
          <cell r="O57">
            <v>13528392.551999999</v>
          </cell>
        </row>
        <row r="58">
          <cell r="A58">
            <v>90401</v>
          </cell>
          <cell r="B58" t="str">
            <v>C. SPREAD TUB C. CAP. 200G 60PK CBB</v>
          </cell>
          <cell r="C58" t="str">
            <v>02</v>
          </cell>
          <cell r="E58">
            <v>0.57599999999999996</v>
          </cell>
          <cell r="F58">
            <v>0.67200000000000004</v>
          </cell>
          <cell r="G58">
            <v>1.1519999999999999</v>
          </cell>
          <cell r="I58">
            <v>2.4</v>
          </cell>
          <cell r="J58">
            <v>0</v>
          </cell>
          <cell r="K58">
            <v>69066.797449999998</v>
          </cell>
          <cell r="L58">
            <v>87145.99</v>
          </cell>
          <cell r="M58">
            <v>159938.43</v>
          </cell>
          <cell r="O58">
            <v>316151.21745</v>
          </cell>
        </row>
        <row r="59">
          <cell r="A59">
            <v>90402</v>
          </cell>
          <cell r="B59" t="str">
            <v>C. SPREAD TUB PEPPER 200G 60PK CBB</v>
          </cell>
          <cell r="C59" t="str">
            <v>02</v>
          </cell>
          <cell r="E59">
            <v>0.77400000000000002</v>
          </cell>
          <cell r="F59">
            <v>0.86399999999999999</v>
          </cell>
          <cell r="G59">
            <v>1.3440000000000001</v>
          </cell>
          <cell r="I59">
            <v>2.9820000000000002</v>
          </cell>
          <cell r="J59">
            <v>0</v>
          </cell>
          <cell r="K59">
            <v>94333.366450000001</v>
          </cell>
          <cell r="L59">
            <v>112204.05</v>
          </cell>
          <cell r="M59">
            <v>184446.82</v>
          </cell>
          <cell r="O59">
            <v>390984.23645000003</v>
          </cell>
        </row>
        <row r="60">
          <cell r="A60">
            <v>90403</v>
          </cell>
          <cell r="B60" t="str">
            <v>C. SPREAD TUB PLAIN 200G 60PK CBB</v>
          </cell>
          <cell r="C60" t="str">
            <v>02</v>
          </cell>
          <cell r="D60">
            <v>0.72684000000000004</v>
          </cell>
          <cell r="E60">
            <v>1.776</v>
          </cell>
          <cell r="F60">
            <v>2.88</v>
          </cell>
          <cell r="G60">
            <v>3.2519999999999998</v>
          </cell>
          <cell r="I60">
            <v>8.6348400000000005</v>
          </cell>
          <cell r="J60">
            <v>88669.6</v>
          </cell>
          <cell r="K60">
            <v>208908.77259999997</v>
          </cell>
          <cell r="L60">
            <v>347882.98</v>
          </cell>
          <cell r="M60">
            <v>419504.77</v>
          </cell>
          <cell r="O60">
            <v>1064966.1225999999</v>
          </cell>
        </row>
        <row r="61">
          <cell r="A61">
            <v>90404</v>
          </cell>
          <cell r="B61" t="str">
            <v>CHEESE BLOCK 400G CEKA 30PK CBB PL BOX</v>
          </cell>
          <cell r="C61" t="str">
            <v>02</v>
          </cell>
          <cell r="D61">
            <v>0.38400000000000001</v>
          </cell>
          <cell r="E61">
            <v>0.06</v>
          </cell>
          <cell r="G61">
            <v>3.24</v>
          </cell>
          <cell r="I61">
            <v>3.6840000000000002</v>
          </cell>
          <cell r="J61">
            <v>73267.600000000006</v>
          </cell>
          <cell r="K61">
            <v>8286.9637500000008</v>
          </cell>
          <cell r="L61">
            <v>0</v>
          </cell>
          <cell r="M61">
            <v>520695.46</v>
          </cell>
          <cell r="O61">
            <v>602250.02375000005</v>
          </cell>
        </row>
        <row r="62">
          <cell r="A62">
            <v>90409</v>
          </cell>
          <cell r="B62" t="str">
            <v>D. WHITENER POUCH 200G 60PK CBB PROMO</v>
          </cell>
          <cell r="C62" t="str">
            <v>01</v>
          </cell>
          <cell r="D62">
            <v>58.475999999999999</v>
          </cell>
          <cell r="I62">
            <v>58.475999999999999</v>
          </cell>
          <cell r="J62">
            <v>6133932.0300000003</v>
          </cell>
          <cell r="K62">
            <v>0</v>
          </cell>
          <cell r="L62">
            <v>0</v>
          </cell>
          <cell r="M62">
            <v>0</v>
          </cell>
          <cell r="O62">
            <v>6133932.0300000003</v>
          </cell>
        </row>
        <row r="63">
          <cell r="A63">
            <v>90411</v>
          </cell>
          <cell r="B63" t="str">
            <v>D. WHITENER POUCH 50G 180PK CBB PROMO</v>
          </cell>
          <cell r="C63" t="str">
            <v>01</v>
          </cell>
          <cell r="D63">
            <v>6.6689999999999996</v>
          </cell>
          <cell r="I63">
            <v>6.6689999999999996</v>
          </cell>
          <cell r="J63">
            <v>705994.55</v>
          </cell>
          <cell r="K63">
            <v>0</v>
          </cell>
          <cell r="L63">
            <v>0</v>
          </cell>
          <cell r="M63">
            <v>0</v>
          </cell>
          <cell r="O63">
            <v>705994.55</v>
          </cell>
        </row>
        <row r="64">
          <cell r="A64">
            <v>90412</v>
          </cell>
          <cell r="B64" t="str">
            <v>D. WHITENER SACHET 3G 2000PK CBB</v>
          </cell>
          <cell r="C64" t="str">
            <v>01</v>
          </cell>
          <cell r="D64">
            <v>0.26994000000000001</v>
          </cell>
          <cell r="E64">
            <v>0.14399999999999999</v>
          </cell>
          <cell r="G64">
            <v>0.3</v>
          </cell>
          <cell r="I64">
            <v>0.71394000000000002</v>
          </cell>
          <cell r="J64">
            <v>51914.02</v>
          </cell>
          <cell r="K64">
            <v>29459.598399999999</v>
          </cell>
          <cell r="L64">
            <v>0</v>
          </cell>
          <cell r="M64">
            <v>55000</v>
          </cell>
          <cell r="O64">
            <v>136373.61839999998</v>
          </cell>
        </row>
        <row r="65">
          <cell r="A65">
            <v>90414</v>
          </cell>
          <cell r="B65" t="str">
            <v>BAR CAKE BUTTER SPONGE 200G 30PK CBB</v>
          </cell>
          <cell r="C65" t="str">
            <v>07</v>
          </cell>
          <cell r="F65">
            <v>4.8000000000000001E-2</v>
          </cell>
          <cell r="I65">
            <v>4.8000000000000001E-2</v>
          </cell>
          <cell r="J65">
            <v>0</v>
          </cell>
          <cell r="K65">
            <v>0</v>
          </cell>
          <cell r="L65">
            <v>4325.28</v>
          </cell>
          <cell r="M65">
            <v>0</v>
          </cell>
          <cell r="O65">
            <v>4325.28</v>
          </cell>
        </row>
        <row r="66">
          <cell r="A66">
            <v>90425</v>
          </cell>
          <cell r="B66" t="str">
            <v>Cheese 400g APO</v>
          </cell>
          <cell r="C66" t="str">
            <v>02</v>
          </cell>
          <cell r="H66">
            <v>18</v>
          </cell>
          <cell r="I66">
            <v>18</v>
          </cell>
          <cell r="N66">
            <v>2312820</v>
          </cell>
          <cell r="O66">
            <v>2312820</v>
          </cell>
        </row>
        <row r="67">
          <cell r="A67">
            <v>90427</v>
          </cell>
          <cell r="B67" t="str">
            <v>MIXED GHEE POUCH 1LT 12PK CBB</v>
          </cell>
          <cell r="C67" t="str">
            <v>04</v>
          </cell>
          <cell r="F67">
            <v>30.875</v>
          </cell>
          <cell r="G67">
            <v>2.1960000000000002</v>
          </cell>
          <cell r="I67">
            <v>33.070999999999998</v>
          </cell>
          <cell r="J67">
            <v>0</v>
          </cell>
          <cell r="K67">
            <v>0</v>
          </cell>
          <cell r="L67">
            <v>2929520.74</v>
          </cell>
          <cell r="M67">
            <v>216347.48</v>
          </cell>
          <cell r="O67">
            <v>3145868.22</v>
          </cell>
        </row>
        <row r="68">
          <cell r="A68">
            <v>90488</v>
          </cell>
          <cell r="B68" t="str">
            <v>BUTTER BLOCK 100G 180PK CBB INST</v>
          </cell>
          <cell r="C68" t="str">
            <v>03</v>
          </cell>
          <cell r="F68">
            <v>8.4239999999999995</v>
          </cell>
          <cell r="G68">
            <v>1.512</v>
          </cell>
          <cell r="I68">
            <v>9.9359999999999999</v>
          </cell>
          <cell r="J68">
            <v>0</v>
          </cell>
          <cell r="K68">
            <v>0</v>
          </cell>
          <cell r="L68">
            <v>820096.44</v>
          </cell>
          <cell r="M68">
            <v>155363.41</v>
          </cell>
          <cell r="O68">
            <v>975459.85</v>
          </cell>
        </row>
        <row r="69">
          <cell r="A69">
            <v>90490</v>
          </cell>
          <cell r="B69" t="str">
            <v>COW GHEE PET 500ML 36PK CBB</v>
          </cell>
          <cell r="C69" t="str">
            <v>04</v>
          </cell>
          <cell r="D69">
            <v>0.91800000000000004</v>
          </cell>
          <cell r="E69">
            <v>4.1219999999999999</v>
          </cell>
          <cell r="G69">
            <v>1.1879999999999999</v>
          </cell>
          <cell r="I69">
            <v>6.2279999999999998</v>
          </cell>
          <cell r="J69">
            <v>103862.52</v>
          </cell>
          <cell r="K69">
            <v>483933.07549999998</v>
          </cell>
          <cell r="L69">
            <v>0</v>
          </cell>
          <cell r="M69">
            <v>152989.6</v>
          </cell>
          <cell r="O69">
            <v>740785.19549999991</v>
          </cell>
        </row>
        <row r="70">
          <cell r="A70">
            <v>90503</v>
          </cell>
          <cell r="B70" t="str">
            <v>BUTTER BLOCK 500G 30PK CBB PROMO</v>
          </cell>
          <cell r="C70" t="str">
            <v>03</v>
          </cell>
          <cell r="D70">
            <v>9.5250000000000004</v>
          </cell>
          <cell r="E70">
            <v>2.5649999999999999</v>
          </cell>
          <cell r="G70">
            <v>28.65</v>
          </cell>
          <cell r="I70">
            <v>40.739999999999995</v>
          </cell>
          <cell r="J70">
            <v>992629.66</v>
          </cell>
          <cell r="K70">
            <v>258804.86905000004</v>
          </cell>
          <cell r="L70">
            <v>0</v>
          </cell>
          <cell r="M70">
            <v>3181626.93</v>
          </cell>
          <cell r="O70">
            <v>4433061.4590499997</v>
          </cell>
        </row>
        <row r="71">
          <cell r="A71">
            <v>90504</v>
          </cell>
          <cell r="B71" t="str">
            <v>CHEESE SLICES 200G 60PK CBB PROMO</v>
          </cell>
          <cell r="C71" t="str">
            <v>02</v>
          </cell>
          <cell r="D71">
            <v>6.4320000000000004</v>
          </cell>
          <cell r="E71">
            <v>4.2477999999999998</v>
          </cell>
          <cell r="G71">
            <v>30.527999999999999</v>
          </cell>
          <cell r="I71">
            <v>41.207799999999999</v>
          </cell>
          <cell r="J71">
            <v>1245380.8700000001</v>
          </cell>
          <cell r="K71">
            <v>766791.59340000001</v>
          </cell>
          <cell r="L71">
            <v>0</v>
          </cell>
          <cell r="M71">
            <v>6365091.7000000002</v>
          </cell>
          <cell r="O71">
            <v>8377264.1634</v>
          </cell>
        </row>
        <row r="72">
          <cell r="A72">
            <v>90513</v>
          </cell>
          <cell r="B72" t="str">
            <v>MIXED GHEE TIN 1LT 12PK CBB</v>
          </cell>
          <cell r="C72" t="str">
            <v>04</v>
          </cell>
          <cell r="F72">
            <v>9.7680000000000007</v>
          </cell>
          <cell r="I72">
            <v>9.7680000000000007</v>
          </cell>
          <cell r="J72">
            <v>0</v>
          </cell>
          <cell r="K72">
            <v>0</v>
          </cell>
          <cell r="L72">
            <v>991934.09</v>
          </cell>
          <cell r="M72">
            <v>0</v>
          </cell>
          <cell r="O72">
            <v>991934.09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 (2)"/>
      <sheetName val="Summary Sheet - V Aggarwal"/>
      <sheetName val="CONSO BALANCE SHEET"/>
      <sheetName val="SUMMARY SHEET- Mike Report"/>
      <sheetName val="Sheet2"/>
      <sheetName val="      Index        "/>
      <sheetName val="      Index         (2)"/>
      <sheetName val="RMC BalanceSheet"/>
      <sheetName val="FPIPL Balance Sheet"/>
      <sheetName val="Conso Cash Flow"/>
      <sheetName val="FPIPL Cash Flow"/>
      <sheetName val="RMC Cash Flow"/>
      <sheetName val="CONSO P&amp;L WISE"/>
      <sheetName val="RMC P&amp;L REGION WISE"/>
      <sheetName val="FPIPL P&amp;L REGION WISE"/>
      <sheetName val="CONSO P&amp;L"/>
      <sheetName val="RMC P&amp;L"/>
      <sheetName val="FPIPL P&amp;L(((("/>
      <sheetName val="Debtors Summary-Dec M"/>
      <sheetName val="Debtors Summary - Mumbai"/>
      <sheetName val="Debtors Summary-Dec C"/>
      <sheetName val="Debtors Summary- Chennai"/>
      <sheetName val="Debtors Summary - DEC (Bang)"/>
      <sheetName val="Debtors Bang"/>
      <sheetName val="Debtors HYD "/>
      <sheetName val="Debtors Ageing Conso "/>
      <sheetName val="FPIPL BNG DRS"/>
      <sheetName val="Debtors Summary - Dec HYD "/>
      <sheetName val="FPIPL CONSO DRS"/>
      <sheetName val="RMC + FPIPL CONSO DRS"/>
      <sheetName val="Debtors Summary-Conso-Dec"/>
      <sheetName val="MUMBAI P&amp;L"/>
      <sheetName val="CONSO MUMBAI"/>
      <sheetName val="CONSO MUMBAI TRANSPORT"/>
      <sheetName val="MAHAPE - TRNSP"/>
      <sheetName val="KANDIVILI TRANSPORT"/>
      <sheetName val="KURLA TRANSPORT"/>
      <sheetName val="THANE TRANSPORT"/>
      <sheetName val="MAHAPE"/>
      <sheetName val="KANDIVILI PLANT"/>
      <sheetName val="KURLA PLANT"/>
      <sheetName val="THANE"/>
      <sheetName val="PUNE"/>
      <sheetName val="PUNE TRANSPORT "/>
      <sheetName val="TANHEE HEIGHTS"/>
      <sheetName val="(PUNE TRANSPORT)"/>
      <sheetName val="PUMP - MUM"/>
      <sheetName val="MU - Clab"/>
      <sheetName val="AMBERNATH QUARRY"/>
      <sheetName val="ADMIN 1 MUMBAI"/>
      <sheetName val="ADMIN 2 MUMBAI"/>
      <sheetName val="MUMBAI REGIONAL"/>
      <sheetName val="CHENNAI P&amp;L"/>
      <sheetName val="Chennai Plant Conso"/>
      <sheetName val="THIRU"/>
      <sheetName val="Poonamhalley"/>
      <sheetName val="Chennai TRPT Conso"/>
      <sheetName val="THIRU - TRNSP"/>
      <sheetName val="POONAM - TRNSP"/>
      <sheetName val="CHENNAI - PUMPING"/>
      <sheetName val="CH - CLAB"/>
      <sheetName val="KEERAPAKKAM QUARRY"/>
      <sheetName val="CH - ADMIN 1"/>
      <sheetName val="CH - ADMIN 2"/>
      <sheetName val="CH - REGIONAL"/>
      <sheetName val="BANGALORE P&amp;L"/>
      <sheetName val="BANGALORE P&amp;L (Excl Mysore)"/>
      <sheetName val="BANGALORE P&amp;L (OLD)"/>
      <sheetName val="(BANGALORE PLANT CONSO(B&amp;M))"/>
      <sheetName val="BANG- PLANT CONSO (EXCL MYS)"/>
      <sheetName val="(CONSO BANGALORE PUMPING)"/>
      <sheetName val="(CONSO RMC BANGALORE PUMPING )"/>
      <sheetName val="CONSO BNG PUMPING"/>
      <sheetName val="BANG LINE PUMP"/>
      <sheetName val="BANG BOOM PUMP"/>
      <sheetName val="RMC BNG PUMPING (Excl Mysore)"/>
      <sheetName val="(BANGALORE TRANSPORT CONSO)"/>
      <sheetName val="BNG TRPT CONSO (EXCL MYSORE)"/>
      <sheetName val="TRS 92"/>
      <sheetName val="(HARLUR TRANSPORT)"/>
      <sheetName val="(YELAHANKA TRANSPORT)"/>
      <sheetName val="(WF TRANSPORT)"/>
      <sheetName val="(VEERASANDRA TRANSPORT)"/>
      <sheetName val="HARLUR PLANT"/>
      <sheetName val="YELAHANKA PLANT"/>
      <sheetName val="Chart1"/>
      <sheetName val="BLR PLANT-WF"/>
      <sheetName val="VEERASANDRA PLANT"/>
      <sheetName val="Mysore P&amp;L"/>
      <sheetName val="MYSORE PLANT"/>
      <sheetName val="MYSORE PUMPING"/>
      <sheetName val="MYSORE TRANSPORT"/>
      <sheetName val="HARLUR QUARRY"/>
      <sheetName val="HARLUR QUARRY TPT"/>
      <sheetName val="H'Lur CRUSHER PRODN"/>
      <sheetName val="YEL CRUSHER"/>
      <sheetName val="YELHANKA PRODN"/>
      <sheetName val="BEGUR QUARRY"/>
      <sheetName val="BLR TRANS"/>
      <sheetName val="BANGALORE LAB"/>
      <sheetName val="CONSO BANGALORE ADMIN 1"/>
      <sheetName val="RMC BANGALORE ADMIN 1"/>
      <sheetName val="FPIPL-BANGALORE ADMIN 1 "/>
      <sheetName val="CONSO BANGALORE ADMIN 2"/>
      <sheetName val="RMC - BANGALORE ADMIN 2 "/>
      <sheetName val="FPIPL-BANGALORE ADMIN 2"/>
      <sheetName val="CONSO  BANGALORE REGIONAL"/>
      <sheetName val="RMC - BANGALORE REGIONAL"/>
      <sheetName val="FPIPL-BANGALORE ADMIN 1"/>
      <sheetName val="FPIPL - BANGALORE REGIONAL"/>
      <sheetName val="FPIPL - Corporate (Bng)"/>
      <sheetName val="HYDERABAD P&amp;L"/>
      <sheetName val="HYD PLANT CONSO"/>
      <sheetName val="TRANSPORT CONSO"/>
      <sheetName val="HYD - PUMPING"/>
      <sheetName val="NACHARAM"/>
      <sheetName val="BOLLARAM PLANT"/>
      <sheetName val="(BOLLARAM TRANSPORT)"/>
      <sheetName val="(NACHARAM TRANSPORT)"/>
      <sheetName val="HYD - CLAB"/>
      <sheetName val="HYD - ADMIN1"/>
      <sheetName val="HYD - ADMIN 2"/>
      <sheetName val="HYD - REGIONAL"/>
      <sheetName val="CORP 1"/>
      <sheetName val="CORP 2"/>
      <sheetName val="CORPORATE"/>
      <sheetName val="TALOJA"/>
      <sheetName val="MUMBAI FAR 2004"/>
      <sheetName val="WORKINGS"/>
    </sheetNames>
    <sheetDataSet>
      <sheetData sheetId="0"/>
      <sheetData sheetId="1"/>
      <sheetData sheetId="2"/>
      <sheetData sheetId="3" refreshError="1">
        <row r="3">
          <cell r="C3" t="str">
            <v>Budget Mar 05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uidelines"/>
      <sheetName val="Form"/>
      <sheetName val="Challan"/>
      <sheetName val="Annexure-I"/>
      <sheetName val="ImportSheet"/>
      <sheetName val="Param"/>
      <sheetName val="outPut"/>
    </sheetNames>
    <sheetDataSet>
      <sheetData sheetId="0"/>
      <sheetData sheetId="1"/>
      <sheetData sheetId="2" refreshError="1">
        <row r="7">
          <cell r="A7">
            <v>1</v>
          </cell>
          <cell r="B7" t="str">
            <v>194C</v>
          </cell>
          <cell r="C7">
            <v>124</v>
          </cell>
          <cell r="D7">
            <v>12</v>
          </cell>
          <cell r="E7">
            <v>3</v>
          </cell>
          <cell r="F7">
            <v>0</v>
          </cell>
          <cell r="G7">
            <v>0</v>
          </cell>
          <cell r="I7">
            <v>139</v>
          </cell>
          <cell r="J7" t="str">
            <v>32139</v>
          </cell>
          <cell r="L7">
            <v>270042</v>
          </cell>
          <cell r="N7">
            <v>38755</v>
          </cell>
          <cell r="P7">
            <v>296</v>
          </cell>
          <cell r="Q7" t="str">
            <v>No</v>
          </cell>
          <cell r="R7">
            <v>0</v>
          </cell>
          <cell r="S7">
            <v>0</v>
          </cell>
        </row>
        <row r="8">
          <cell r="A8">
            <v>2</v>
          </cell>
          <cell r="B8" t="str">
            <v>194C</v>
          </cell>
          <cell r="C8">
            <v>57</v>
          </cell>
          <cell r="D8">
            <v>6</v>
          </cell>
          <cell r="E8">
            <v>1</v>
          </cell>
          <cell r="F8">
            <v>0</v>
          </cell>
          <cell r="G8">
            <v>0</v>
          </cell>
          <cell r="I8">
            <v>64</v>
          </cell>
          <cell r="J8" t="str">
            <v>32139</v>
          </cell>
          <cell r="L8">
            <v>270042</v>
          </cell>
          <cell r="N8">
            <v>38755</v>
          </cell>
          <cell r="P8">
            <v>296</v>
          </cell>
          <cell r="Q8" t="str">
            <v>No</v>
          </cell>
          <cell r="R8">
            <v>0</v>
          </cell>
          <cell r="S8">
            <v>0</v>
          </cell>
        </row>
        <row r="9">
          <cell r="A9">
            <v>3</v>
          </cell>
          <cell r="B9" t="str">
            <v>194C</v>
          </cell>
          <cell r="C9">
            <v>680</v>
          </cell>
          <cell r="D9">
            <v>68</v>
          </cell>
          <cell r="E9">
            <v>15</v>
          </cell>
          <cell r="F9">
            <v>0</v>
          </cell>
          <cell r="G9">
            <v>0</v>
          </cell>
          <cell r="I9">
            <v>763</v>
          </cell>
          <cell r="J9" t="str">
            <v>32139</v>
          </cell>
          <cell r="L9">
            <v>270042</v>
          </cell>
          <cell r="N9">
            <v>38755</v>
          </cell>
          <cell r="P9">
            <v>296</v>
          </cell>
          <cell r="Q9" t="str">
            <v>No</v>
          </cell>
          <cell r="R9">
            <v>0</v>
          </cell>
          <cell r="S9">
            <v>0</v>
          </cell>
        </row>
        <row r="10">
          <cell r="A10">
            <v>4</v>
          </cell>
          <cell r="B10" t="str">
            <v>194C</v>
          </cell>
          <cell r="C10">
            <v>44</v>
          </cell>
          <cell r="D10">
            <v>5</v>
          </cell>
          <cell r="E10">
            <v>1</v>
          </cell>
          <cell r="F10">
            <v>0</v>
          </cell>
          <cell r="G10">
            <v>0</v>
          </cell>
          <cell r="I10">
            <v>50</v>
          </cell>
          <cell r="J10" t="str">
            <v>32137</v>
          </cell>
          <cell r="L10">
            <v>270042</v>
          </cell>
          <cell r="N10">
            <v>38755</v>
          </cell>
          <cell r="P10">
            <v>295</v>
          </cell>
          <cell r="Q10" t="str">
            <v>No</v>
          </cell>
          <cell r="R10">
            <v>0</v>
          </cell>
          <cell r="S10">
            <v>0</v>
          </cell>
        </row>
        <row r="11">
          <cell r="A11">
            <v>5</v>
          </cell>
          <cell r="B11" t="str">
            <v>194C</v>
          </cell>
          <cell r="C11">
            <v>633</v>
          </cell>
          <cell r="D11">
            <v>63</v>
          </cell>
          <cell r="E11">
            <v>14</v>
          </cell>
          <cell r="F11">
            <v>0</v>
          </cell>
          <cell r="G11">
            <v>0</v>
          </cell>
          <cell r="I11">
            <v>710</v>
          </cell>
          <cell r="J11" t="str">
            <v>32137</v>
          </cell>
          <cell r="L11">
            <v>270042</v>
          </cell>
          <cell r="N11">
            <v>38755</v>
          </cell>
          <cell r="P11">
            <v>295</v>
          </cell>
          <cell r="Q11" t="str">
            <v>No</v>
          </cell>
          <cell r="R11">
            <v>0</v>
          </cell>
          <cell r="S11">
            <v>0</v>
          </cell>
        </row>
        <row r="12">
          <cell r="A12">
            <v>6</v>
          </cell>
          <cell r="B12" t="str">
            <v>194C</v>
          </cell>
          <cell r="C12">
            <v>172</v>
          </cell>
          <cell r="D12">
            <v>17</v>
          </cell>
          <cell r="E12">
            <v>4</v>
          </cell>
          <cell r="F12">
            <v>0</v>
          </cell>
          <cell r="G12">
            <v>0</v>
          </cell>
          <cell r="I12">
            <v>193</v>
          </cell>
          <cell r="J12" t="str">
            <v>32139</v>
          </cell>
          <cell r="L12">
            <v>270042</v>
          </cell>
          <cell r="N12">
            <v>38755</v>
          </cell>
          <cell r="P12">
            <v>296</v>
          </cell>
          <cell r="Q12" t="str">
            <v>No</v>
          </cell>
          <cell r="R12">
            <v>0</v>
          </cell>
          <cell r="S12">
            <v>0</v>
          </cell>
        </row>
        <row r="13">
          <cell r="A13">
            <v>7</v>
          </cell>
          <cell r="B13" t="str">
            <v>194C</v>
          </cell>
          <cell r="C13">
            <v>29</v>
          </cell>
          <cell r="D13">
            <v>3</v>
          </cell>
          <cell r="E13">
            <v>1</v>
          </cell>
          <cell r="F13">
            <v>0</v>
          </cell>
          <cell r="G13">
            <v>0</v>
          </cell>
          <cell r="I13">
            <v>33</v>
          </cell>
          <cell r="J13" t="str">
            <v>32139</v>
          </cell>
          <cell r="L13">
            <v>270042</v>
          </cell>
          <cell r="N13">
            <v>38755</v>
          </cell>
          <cell r="P13">
            <v>296</v>
          </cell>
          <cell r="Q13" t="str">
            <v>No</v>
          </cell>
          <cell r="R13">
            <v>0</v>
          </cell>
          <cell r="S13">
            <v>0</v>
          </cell>
        </row>
        <row r="14">
          <cell r="A14">
            <v>8</v>
          </cell>
          <cell r="B14" t="str">
            <v>194C</v>
          </cell>
          <cell r="C14">
            <v>135</v>
          </cell>
          <cell r="D14">
            <v>14</v>
          </cell>
          <cell r="E14">
            <v>3</v>
          </cell>
          <cell r="F14">
            <v>0</v>
          </cell>
          <cell r="G14">
            <v>0</v>
          </cell>
          <cell r="I14">
            <v>152</v>
          </cell>
          <cell r="J14" t="str">
            <v>32139</v>
          </cell>
          <cell r="L14">
            <v>270042</v>
          </cell>
          <cell r="N14">
            <v>38755</v>
          </cell>
          <cell r="P14">
            <v>296</v>
          </cell>
          <cell r="Q14" t="str">
            <v>No</v>
          </cell>
          <cell r="R14">
            <v>0</v>
          </cell>
          <cell r="S14">
            <v>0</v>
          </cell>
        </row>
        <row r="15">
          <cell r="A15">
            <v>9</v>
          </cell>
          <cell r="B15" t="str">
            <v>194C</v>
          </cell>
          <cell r="C15">
            <v>18</v>
          </cell>
          <cell r="D15">
            <v>2</v>
          </cell>
          <cell r="E15">
            <v>0</v>
          </cell>
          <cell r="F15">
            <v>0</v>
          </cell>
          <cell r="G15">
            <v>0</v>
          </cell>
          <cell r="I15">
            <v>20</v>
          </cell>
          <cell r="J15" t="str">
            <v>32139</v>
          </cell>
          <cell r="L15">
            <v>270042</v>
          </cell>
          <cell r="N15">
            <v>38755</v>
          </cell>
          <cell r="P15">
            <v>296</v>
          </cell>
          <cell r="Q15" t="str">
            <v>No</v>
          </cell>
          <cell r="R15">
            <v>0</v>
          </cell>
          <cell r="S15">
            <v>0</v>
          </cell>
        </row>
        <row r="16">
          <cell r="A16">
            <v>10</v>
          </cell>
          <cell r="B16" t="str">
            <v>194C</v>
          </cell>
          <cell r="C16">
            <v>4</v>
          </cell>
          <cell r="D16">
            <v>0</v>
          </cell>
          <cell r="E16">
            <v>1</v>
          </cell>
          <cell r="F16">
            <v>0</v>
          </cell>
          <cell r="G16">
            <v>0</v>
          </cell>
          <cell r="I16">
            <v>5</v>
          </cell>
          <cell r="J16" t="str">
            <v>32139</v>
          </cell>
          <cell r="L16">
            <v>270042</v>
          </cell>
          <cell r="N16">
            <v>38755</v>
          </cell>
          <cell r="P16">
            <v>296</v>
          </cell>
          <cell r="Q16" t="str">
            <v>No</v>
          </cell>
          <cell r="R16">
            <v>0</v>
          </cell>
          <cell r="S16">
            <v>0</v>
          </cell>
        </row>
        <row r="17">
          <cell r="A17">
            <v>11</v>
          </cell>
          <cell r="B17" t="str">
            <v>194C</v>
          </cell>
          <cell r="C17">
            <v>177</v>
          </cell>
          <cell r="D17">
            <v>18</v>
          </cell>
          <cell r="E17">
            <v>4</v>
          </cell>
          <cell r="F17">
            <v>0</v>
          </cell>
          <cell r="G17">
            <v>0</v>
          </cell>
          <cell r="I17">
            <v>199</v>
          </cell>
          <cell r="J17" t="str">
            <v>32139</v>
          </cell>
          <cell r="L17">
            <v>270042</v>
          </cell>
          <cell r="N17">
            <v>38755</v>
          </cell>
          <cell r="P17">
            <v>296</v>
          </cell>
          <cell r="Q17" t="str">
            <v>No</v>
          </cell>
          <cell r="R17">
            <v>0</v>
          </cell>
          <cell r="S17">
            <v>0</v>
          </cell>
        </row>
        <row r="18">
          <cell r="A18">
            <v>12</v>
          </cell>
          <cell r="B18" t="str">
            <v>194C</v>
          </cell>
          <cell r="C18">
            <v>12</v>
          </cell>
          <cell r="D18">
            <v>1</v>
          </cell>
          <cell r="E18">
            <v>1</v>
          </cell>
          <cell r="F18">
            <v>0</v>
          </cell>
          <cell r="G18">
            <v>0</v>
          </cell>
          <cell r="I18">
            <v>14</v>
          </cell>
          <cell r="J18" t="str">
            <v>32139</v>
          </cell>
          <cell r="L18">
            <v>270042</v>
          </cell>
          <cell r="N18">
            <v>38755</v>
          </cell>
          <cell r="P18">
            <v>296</v>
          </cell>
          <cell r="Q18" t="str">
            <v>No</v>
          </cell>
          <cell r="R18">
            <v>0</v>
          </cell>
          <cell r="S18">
            <v>0</v>
          </cell>
        </row>
        <row r="19">
          <cell r="A19">
            <v>13</v>
          </cell>
          <cell r="B19" t="str">
            <v>194C</v>
          </cell>
          <cell r="C19">
            <v>1506</v>
          </cell>
          <cell r="D19">
            <v>151</v>
          </cell>
          <cell r="E19">
            <v>33</v>
          </cell>
          <cell r="F19">
            <v>0</v>
          </cell>
          <cell r="G19">
            <v>0</v>
          </cell>
          <cell r="I19">
            <v>1690</v>
          </cell>
          <cell r="J19" t="str">
            <v>32137</v>
          </cell>
          <cell r="L19">
            <v>270042</v>
          </cell>
          <cell r="N19">
            <v>38755</v>
          </cell>
          <cell r="P19">
            <v>295</v>
          </cell>
          <cell r="Q19" t="str">
            <v>No</v>
          </cell>
          <cell r="R19">
            <v>0</v>
          </cell>
          <cell r="S19">
            <v>0</v>
          </cell>
        </row>
        <row r="20">
          <cell r="A20">
            <v>14</v>
          </cell>
          <cell r="B20" t="str">
            <v>194C</v>
          </cell>
          <cell r="C20">
            <v>1140</v>
          </cell>
          <cell r="D20">
            <v>114</v>
          </cell>
          <cell r="E20">
            <v>25</v>
          </cell>
          <cell r="F20">
            <v>0</v>
          </cell>
          <cell r="G20">
            <v>0</v>
          </cell>
          <cell r="I20">
            <v>1279</v>
          </cell>
          <cell r="J20" t="str">
            <v>1296</v>
          </cell>
          <cell r="L20">
            <v>270042</v>
          </cell>
          <cell r="N20">
            <v>38784</v>
          </cell>
          <cell r="P20">
            <v>12</v>
          </cell>
          <cell r="Q20" t="str">
            <v>No</v>
          </cell>
          <cell r="R20">
            <v>0</v>
          </cell>
          <cell r="S20">
            <v>0</v>
          </cell>
        </row>
        <row r="21">
          <cell r="A21">
            <v>15</v>
          </cell>
          <cell r="B21" t="str">
            <v>194C</v>
          </cell>
          <cell r="C21">
            <v>167</v>
          </cell>
          <cell r="D21">
            <v>17</v>
          </cell>
          <cell r="E21">
            <v>4</v>
          </cell>
          <cell r="F21">
            <v>0</v>
          </cell>
          <cell r="G21">
            <v>0</v>
          </cell>
          <cell r="I21">
            <v>188</v>
          </cell>
          <cell r="J21" t="str">
            <v>1296</v>
          </cell>
          <cell r="L21">
            <v>270042</v>
          </cell>
          <cell r="N21">
            <v>38784</v>
          </cell>
          <cell r="P21">
            <v>12</v>
          </cell>
          <cell r="Q21" t="str">
            <v>No</v>
          </cell>
          <cell r="R21">
            <v>0</v>
          </cell>
          <cell r="S21">
            <v>0</v>
          </cell>
        </row>
        <row r="22">
          <cell r="A22">
            <v>16</v>
          </cell>
          <cell r="B22" t="str">
            <v>194C</v>
          </cell>
          <cell r="C22">
            <v>749</v>
          </cell>
          <cell r="D22">
            <v>75</v>
          </cell>
          <cell r="E22">
            <v>17</v>
          </cell>
          <cell r="F22">
            <v>0</v>
          </cell>
          <cell r="G22">
            <v>0</v>
          </cell>
          <cell r="I22">
            <v>841</v>
          </cell>
          <cell r="J22" t="str">
            <v>1298</v>
          </cell>
          <cell r="L22">
            <v>270042</v>
          </cell>
          <cell r="N22">
            <v>38784</v>
          </cell>
          <cell r="P22">
            <v>7</v>
          </cell>
          <cell r="Q22" t="str">
            <v>No</v>
          </cell>
          <cell r="R22">
            <v>0</v>
          </cell>
          <cell r="S22">
            <v>0</v>
          </cell>
        </row>
        <row r="23">
          <cell r="A23">
            <v>17</v>
          </cell>
          <cell r="B23" t="str">
            <v>194C</v>
          </cell>
          <cell r="C23">
            <v>14</v>
          </cell>
          <cell r="D23">
            <v>1</v>
          </cell>
          <cell r="E23">
            <v>1</v>
          </cell>
          <cell r="F23">
            <v>0</v>
          </cell>
          <cell r="G23">
            <v>0</v>
          </cell>
          <cell r="I23">
            <v>16</v>
          </cell>
          <cell r="J23" t="str">
            <v>1298</v>
          </cell>
          <cell r="L23">
            <v>270042</v>
          </cell>
          <cell r="N23">
            <v>38784</v>
          </cell>
          <cell r="P23">
            <v>7</v>
          </cell>
          <cell r="Q23" t="str">
            <v>No</v>
          </cell>
          <cell r="R23">
            <v>0</v>
          </cell>
          <cell r="S23">
            <v>0</v>
          </cell>
        </row>
        <row r="24">
          <cell r="A24">
            <v>18</v>
          </cell>
          <cell r="B24" t="str">
            <v>194C</v>
          </cell>
          <cell r="C24">
            <v>44</v>
          </cell>
          <cell r="D24">
            <v>4</v>
          </cell>
          <cell r="E24">
            <v>2</v>
          </cell>
          <cell r="F24">
            <v>0</v>
          </cell>
          <cell r="G24">
            <v>0</v>
          </cell>
          <cell r="I24">
            <v>50</v>
          </cell>
          <cell r="J24" t="str">
            <v>1296</v>
          </cell>
          <cell r="L24">
            <v>270042</v>
          </cell>
          <cell r="N24">
            <v>38784</v>
          </cell>
          <cell r="P24">
            <v>12</v>
          </cell>
          <cell r="Q24" t="str">
            <v>No</v>
          </cell>
          <cell r="R24">
            <v>0</v>
          </cell>
          <cell r="S24">
            <v>0</v>
          </cell>
        </row>
        <row r="25">
          <cell r="A25">
            <v>19</v>
          </cell>
          <cell r="B25" t="str">
            <v>194C</v>
          </cell>
          <cell r="C25">
            <v>4</v>
          </cell>
          <cell r="D25">
            <v>0</v>
          </cell>
          <cell r="E25">
            <v>1</v>
          </cell>
          <cell r="F25">
            <v>0</v>
          </cell>
          <cell r="G25">
            <v>0</v>
          </cell>
          <cell r="I25">
            <v>5</v>
          </cell>
          <cell r="J25" t="str">
            <v>1298</v>
          </cell>
          <cell r="L25">
            <v>270042</v>
          </cell>
          <cell r="N25">
            <v>38784</v>
          </cell>
          <cell r="P25">
            <v>7</v>
          </cell>
          <cell r="Q25" t="str">
            <v>No</v>
          </cell>
          <cell r="R25">
            <v>0</v>
          </cell>
          <cell r="S25">
            <v>0</v>
          </cell>
        </row>
        <row r="26">
          <cell r="A26">
            <v>20</v>
          </cell>
          <cell r="B26" t="str">
            <v>194C</v>
          </cell>
          <cell r="C26">
            <v>15</v>
          </cell>
          <cell r="D26">
            <v>2</v>
          </cell>
          <cell r="E26">
            <v>0</v>
          </cell>
          <cell r="F26">
            <v>0</v>
          </cell>
          <cell r="G26">
            <v>0</v>
          </cell>
          <cell r="I26">
            <v>17</v>
          </cell>
          <cell r="J26" t="str">
            <v>1298</v>
          </cell>
          <cell r="L26">
            <v>270042</v>
          </cell>
          <cell r="N26">
            <v>38784</v>
          </cell>
          <cell r="P26">
            <v>7</v>
          </cell>
          <cell r="Q26" t="str">
            <v>No</v>
          </cell>
          <cell r="R26">
            <v>0</v>
          </cell>
          <cell r="S26">
            <v>0</v>
          </cell>
        </row>
        <row r="27">
          <cell r="A27">
            <v>21</v>
          </cell>
          <cell r="B27" t="str">
            <v>194C</v>
          </cell>
          <cell r="C27">
            <v>633</v>
          </cell>
          <cell r="D27">
            <v>63</v>
          </cell>
          <cell r="E27">
            <v>14</v>
          </cell>
          <cell r="F27">
            <v>0</v>
          </cell>
          <cell r="G27">
            <v>0</v>
          </cell>
          <cell r="I27">
            <v>710</v>
          </cell>
          <cell r="J27" t="str">
            <v>1296</v>
          </cell>
          <cell r="L27">
            <v>270042</v>
          </cell>
          <cell r="N27">
            <v>38784</v>
          </cell>
          <cell r="P27">
            <v>12</v>
          </cell>
          <cell r="Q27" t="str">
            <v>No</v>
          </cell>
          <cell r="R27">
            <v>0</v>
          </cell>
          <cell r="S27">
            <v>0</v>
          </cell>
        </row>
        <row r="28">
          <cell r="A28">
            <v>22</v>
          </cell>
          <cell r="B28" t="str">
            <v>194C</v>
          </cell>
          <cell r="C28">
            <v>171</v>
          </cell>
          <cell r="D28">
            <v>17</v>
          </cell>
          <cell r="E28">
            <v>5</v>
          </cell>
          <cell r="F28">
            <v>0</v>
          </cell>
          <cell r="G28">
            <v>0</v>
          </cell>
          <cell r="I28">
            <v>193</v>
          </cell>
          <cell r="J28" t="str">
            <v>1296</v>
          </cell>
          <cell r="L28">
            <v>270042</v>
          </cell>
          <cell r="N28">
            <v>38784</v>
          </cell>
          <cell r="P28">
            <v>12</v>
          </cell>
          <cell r="Q28" t="str">
            <v>No</v>
          </cell>
          <cell r="R28">
            <v>0</v>
          </cell>
          <cell r="S28">
            <v>0</v>
          </cell>
        </row>
        <row r="29">
          <cell r="A29">
            <v>23</v>
          </cell>
          <cell r="B29" t="str">
            <v>194C</v>
          </cell>
          <cell r="C29">
            <v>75</v>
          </cell>
          <cell r="D29">
            <v>8</v>
          </cell>
          <cell r="E29">
            <v>2</v>
          </cell>
          <cell r="F29">
            <v>0</v>
          </cell>
          <cell r="G29">
            <v>0</v>
          </cell>
          <cell r="I29">
            <v>85</v>
          </cell>
          <cell r="J29" t="str">
            <v>1296</v>
          </cell>
          <cell r="L29">
            <v>270042</v>
          </cell>
          <cell r="N29">
            <v>38784</v>
          </cell>
          <cell r="P29">
            <v>12</v>
          </cell>
          <cell r="Q29" t="str">
            <v>No</v>
          </cell>
          <cell r="R29">
            <v>0</v>
          </cell>
          <cell r="S29">
            <v>0</v>
          </cell>
        </row>
        <row r="30">
          <cell r="A30">
            <v>24</v>
          </cell>
          <cell r="B30" t="str">
            <v>194C</v>
          </cell>
          <cell r="C30">
            <v>41</v>
          </cell>
          <cell r="D30">
            <v>4</v>
          </cell>
          <cell r="E30">
            <v>1</v>
          </cell>
          <cell r="F30">
            <v>0</v>
          </cell>
          <cell r="G30">
            <v>0</v>
          </cell>
          <cell r="I30">
            <v>46</v>
          </cell>
          <cell r="J30" t="str">
            <v>1296</v>
          </cell>
          <cell r="L30">
            <v>270042</v>
          </cell>
          <cell r="N30">
            <v>38784</v>
          </cell>
          <cell r="P30">
            <v>12</v>
          </cell>
          <cell r="Q30" t="str">
            <v>No</v>
          </cell>
          <cell r="R30">
            <v>0</v>
          </cell>
          <cell r="S30">
            <v>0</v>
          </cell>
        </row>
        <row r="31">
          <cell r="A31">
            <v>25</v>
          </cell>
          <cell r="B31" t="str">
            <v>194C</v>
          </cell>
          <cell r="C31">
            <v>749</v>
          </cell>
          <cell r="D31">
            <v>75</v>
          </cell>
          <cell r="E31">
            <v>17</v>
          </cell>
          <cell r="F31">
            <v>0</v>
          </cell>
          <cell r="G31">
            <v>0</v>
          </cell>
          <cell r="I31">
            <v>841</v>
          </cell>
          <cell r="J31" t="str">
            <v>58425</v>
          </cell>
          <cell r="L31">
            <v>6930001</v>
          </cell>
          <cell r="N31">
            <v>38866</v>
          </cell>
          <cell r="P31">
            <v>35116</v>
          </cell>
          <cell r="Q31" t="str">
            <v>No</v>
          </cell>
          <cell r="R31">
            <v>0</v>
          </cell>
          <cell r="S31">
            <v>0</v>
          </cell>
        </row>
        <row r="32">
          <cell r="A32">
            <v>26</v>
          </cell>
          <cell r="B32" t="str">
            <v>194C</v>
          </cell>
          <cell r="C32">
            <v>4</v>
          </cell>
          <cell r="D32">
            <v>0</v>
          </cell>
          <cell r="E32">
            <v>1</v>
          </cell>
          <cell r="F32">
            <v>0</v>
          </cell>
          <cell r="G32">
            <v>0</v>
          </cell>
          <cell r="I32">
            <v>5</v>
          </cell>
          <cell r="J32" t="str">
            <v>032173</v>
          </cell>
          <cell r="L32">
            <v>6930001</v>
          </cell>
          <cell r="N32">
            <v>38814</v>
          </cell>
          <cell r="P32">
            <v>24475</v>
          </cell>
          <cell r="Q32" t="str">
            <v>No</v>
          </cell>
          <cell r="R32">
            <v>0</v>
          </cell>
          <cell r="S32">
            <v>0</v>
          </cell>
        </row>
        <row r="33">
          <cell r="A33">
            <v>27</v>
          </cell>
          <cell r="B33" t="str">
            <v>194C</v>
          </cell>
          <cell r="C33">
            <v>13</v>
          </cell>
          <cell r="D33">
            <v>1</v>
          </cell>
          <cell r="E33">
            <v>1</v>
          </cell>
          <cell r="F33">
            <v>0</v>
          </cell>
          <cell r="G33">
            <v>0</v>
          </cell>
          <cell r="I33">
            <v>15</v>
          </cell>
          <cell r="J33" t="str">
            <v>58425</v>
          </cell>
          <cell r="L33">
            <v>6930001</v>
          </cell>
          <cell r="N33">
            <v>38866</v>
          </cell>
          <cell r="P33">
            <v>35116</v>
          </cell>
          <cell r="Q33" t="str">
            <v>No</v>
          </cell>
          <cell r="R33">
            <v>0</v>
          </cell>
          <cell r="S33">
            <v>0</v>
          </cell>
        </row>
        <row r="34">
          <cell r="A34">
            <v>28</v>
          </cell>
          <cell r="B34" t="str">
            <v>194C</v>
          </cell>
          <cell r="C34">
            <v>1687</v>
          </cell>
          <cell r="D34">
            <v>169</v>
          </cell>
          <cell r="E34">
            <v>38</v>
          </cell>
          <cell r="F34">
            <v>0</v>
          </cell>
          <cell r="G34">
            <v>0</v>
          </cell>
          <cell r="I34">
            <v>1894</v>
          </cell>
          <cell r="J34" t="str">
            <v>032173</v>
          </cell>
          <cell r="L34">
            <v>6930001</v>
          </cell>
          <cell r="N34">
            <v>38814</v>
          </cell>
          <cell r="P34">
            <v>24475</v>
          </cell>
          <cell r="Q34" t="str">
            <v>No</v>
          </cell>
          <cell r="R34">
            <v>0</v>
          </cell>
          <cell r="S34">
            <v>0</v>
          </cell>
        </row>
        <row r="35">
          <cell r="A35">
            <v>29</v>
          </cell>
          <cell r="B35" t="str">
            <v>194C</v>
          </cell>
          <cell r="C35">
            <v>4</v>
          </cell>
          <cell r="D35">
            <v>0</v>
          </cell>
          <cell r="E35">
            <v>1</v>
          </cell>
          <cell r="F35">
            <v>0</v>
          </cell>
          <cell r="G35">
            <v>0</v>
          </cell>
          <cell r="I35">
            <v>5</v>
          </cell>
          <cell r="J35" t="str">
            <v>032174</v>
          </cell>
          <cell r="L35">
            <v>6930001</v>
          </cell>
          <cell r="N35">
            <v>38814</v>
          </cell>
          <cell r="P35">
            <v>24476</v>
          </cell>
          <cell r="Q35" t="str">
            <v>No</v>
          </cell>
          <cell r="R35">
            <v>0</v>
          </cell>
          <cell r="S35">
            <v>0</v>
          </cell>
        </row>
        <row r="36">
          <cell r="A36">
            <v>30</v>
          </cell>
          <cell r="B36" t="str">
            <v>194C</v>
          </cell>
          <cell r="C36">
            <v>13</v>
          </cell>
          <cell r="D36">
            <v>1</v>
          </cell>
          <cell r="E36">
            <v>1</v>
          </cell>
          <cell r="F36">
            <v>0</v>
          </cell>
          <cell r="G36">
            <v>0</v>
          </cell>
          <cell r="I36">
            <v>15</v>
          </cell>
          <cell r="J36" t="str">
            <v>032174</v>
          </cell>
          <cell r="L36">
            <v>6930001</v>
          </cell>
          <cell r="N36">
            <v>38814</v>
          </cell>
          <cell r="P36">
            <v>24476</v>
          </cell>
          <cell r="Q36" t="str">
            <v>No</v>
          </cell>
          <cell r="R36">
            <v>0</v>
          </cell>
          <cell r="S36">
            <v>0</v>
          </cell>
        </row>
        <row r="37">
          <cell r="A37">
            <v>31</v>
          </cell>
          <cell r="B37" t="str">
            <v>194C</v>
          </cell>
          <cell r="C37">
            <v>20</v>
          </cell>
          <cell r="D37">
            <v>2</v>
          </cell>
          <cell r="E37">
            <v>0</v>
          </cell>
          <cell r="F37">
            <v>0</v>
          </cell>
          <cell r="G37">
            <v>0</v>
          </cell>
          <cell r="I37">
            <v>22</v>
          </cell>
          <cell r="J37" t="str">
            <v>58425</v>
          </cell>
          <cell r="L37">
            <v>6930001</v>
          </cell>
          <cell r="N37">
            <v>38866</v>
          </cell>
          <cell r="P37">
            <v>35116</v>
          </cell>
          <cell r="Q37" t="str">
            <v>No</v>
          </cell>
          <cell r="R37">
            <v>0</v>
          </cell>
          <cell r="S37">
            <v>0</v>
          </cell>
        </row>
        <row r="38">
          <cell r="A38">
            <v>32</v>
          </cell>
          <cell r="B38" t="str">
            <v>194C</v>
          </cell>
          <cell r="C38">
            <v>31</v>
          </cell>
          <cell r="D38">
            <v>3</v>
          </cell>
          <cell r="E38">
            <v>1</v>
          </cell>
          <cell r="F38">
            <v>0</v>
          </cell>
          <cell r="G38">
            <v>0</v>
          </cell>
          <cell r="I38">
            <v>35</v>
          </cell>
          <cell r="J38" t="str">
            <v>58425</v>
          </cell>
          <cell r="L38">
            <v>6930001</v>
          </cell>
          <cell r="N38">
            <v>38866</v>
          </cell>
          <cell r="P38">
            <v>35116</v>
          </cell>
          <cell r="Q38" t="str">
            <v>No</v>
          </cell>
          <cell r="R38">
            <v>0</v>
          </cell>
          <cell r="S38">
            <v>0</v>
          </cell>
        </row>
        <row r="39">
          <cell r="A39">
            <v>33</v>
          </cell>
          <cell r="B39" t="str">
            <v>194C</v>
          </cell>
          <cell r="C39">
            <v>7</v>
          </cell>
          <cell r="D39">
            <v>1</v>
          </cell>
          <cell r="E39">
            <v>0</v>
          </cell>
          <cell r="F39">
            <v>0</v>
          </cell>
          <cell r="G39">
            <v>0</v>
          </cell>
          <cell r="I39">
            <v>8</v>
          </cell>
          <cell r="J39" t="str">
            <v>58425</v>
          </cell>
          <cell r="L39">
            <v>6930001</v>
          </cell>
          <cell r="N39">
            <v>38866</v>
          </cell>
          <cell r="P39">
            <v>35116</v>
          </cell>
          <cell r="Q39" t="str">
            <v>No</v>
          </cell>
          <cell r="R39">
            <v>0</v>
          </cell>
          <cell r="S39">
            <v>0</v>
          </cell>
        </row>
        <row r="40">
          <cell r="A40">
            <v>34</v>
          </cell>
          <cell r="B40" t="str">
            <v>194C</v>
          </cell>
          <cell r="C40">
            <v>481</v>
          </cell>
          <cell r="D40">
            <v>48</v>
          </cell>
          <cell r="E40">
            <v>12</v>
          </cell>
          <cell r="F40">
            <v>0</v>
          </cell>
          <cell r="G40">
            <v>0</v>
          </cell>
          <cell r="I40">
            <v>541</v>
          </cell>
          <cell r="J40" t="str">
            <v>58424</v>
          </cell>
          <cell r="L40">
            <v>6930001</v>
          </cell>
          <cell r="N40">
            <v>38868</v>
          </cell>
          <cell r="P40">
            <v>35117</v>
          </cell>
          <cell r="Q40" t="str">
            <v>No</v>
          </cell>
          <cell r="R40">
            <v>0</v>
          </cell>
          <cell r="S40">
            <v>0</v>
          </cell>
        </row>
        <row r="41">
          <cell r="A41">
            <v>35</v>
          </cell>
          <cell r="B41" t="str">
            <v>194C</v>
          </cell>
          <cell r="C41">
            <v>66</v>
          </cell>
          <cell r="D41">
            <v>7</v>
          </cell>
          <cell r="E41">
            <v>2</v>
          </cell>
          <cell r="F41">
            <v>0</v>
          </cell>
          <cell r="G41">
            <v>0</v>
          </cell>
          <cell r="I41">
            <v>75</v>
          </cell>
          <cell r="J41" t="str">
            <v>58424</v>
          </cell>
          <cell r="L41">
            <v>6930001</v>
          </cell>
          <cell r="N41">
            <v>38868</v>
          </cell>
          <cell r="P41">
            <v>35117</v>
          </cell>
          <cell r="Q41" t="str">
            <v>No</v>
          </cell>
          <cell r="R41">
            <v>0</v>
          </cell>
          <cell r="S41">
            <v>0</v>
          </cell>
        </row>
        <row r="42">
          <cell r="A42">
            <v>36</v>
          </cell>
          <cell r="B42" t="str">
            <v>194C</v>
          </cell>
          <cell r="C42">
            <v>8</v>
          </cell>
          <cell r="D42">
            <v>1</v>
          </cell>
          <cell r="E42">
            <v>0</v>
          </cell>
          <cell r="F42">
            <v>0</v>
          </cell>
          <cell r="G42">
            <v>0</v>
          </cell>
          <cell r="I42">
            <v>9</v>
          </cell>
          <cell r="J42" t="str">
            <v>58424</v>
          </cell>
          <cell r="L42">
            <v>6930001</v>
          </cell>
          <cell r="N42">
            <v>38868</v>
          </cell>
          <cell r="P42">
            <v>35117</v>
          </cell>
          <cell r="Q42" t="str">
            <v>No</v>
          </cell>
          <cell r="R42">
            <v>0</v>
          </cell>
          <cell r="S42">
            <v>0</v>
          </cell>
        </row>
        <row r="43">
          <cell r="A43">
            <v>37</v>
          </cell>
          <cell r="B43" t="str">
            <v>194C</v>
          </cell>
          <cell r="C43">
            <v>19</v>
          </cell>
          <cell r="D43">
            <v>2</v>
          </cell>
          <cell r="E43">
            <v>1</v>
          </cell>
          <cell r="F43">
            <v>0</v>
          </cell>
          <cell r="G43">
            <v>0</v>
          </cell>
          <cell r="I43">
            <v>22</v>
          </cell>
          <cell r="J43" t="str">
            <v>58425</v>
          </cell>
          <cell r="L43">
            <v>6930001</v>
          </cell>
          <cell r="N43">
            <v>38866</v>
          </cell>
          <cell r="P43">
            <v>35116</v>
          </cell>
          <cell r="Q43" t="str">
            <v>No</v>
          </cell>
          <cell r="R43">
            <v>0</v>
          </cell>
          <cell r="S43">
            <v>0</v>
          </cell>
        </row>
        <row r="44">
          <cell r="A44">
            <v>38</v>
          </cell>
          <cell r="B44" t="str">
            <v>194C</v>
          </cell>
          <cell r="C44">
            <v>3</v>
          </cell>
          <cell r="D44">
            <v>0</v>
          </cell>
          <cell r="E44">
            <v>1</v>
          </cell>
          <cell r="F44">
            <v>0</v>
          </cell>
          <cell r="G44">
            <v>0</v>
          </cell>
          <cell r="I44">
            <v>4</v>
          </cell>
          <cell r="J44" t="str">
            <v>58425</v>
          </cell>
          <cell r="L44">
            <v>6930001</v>
          </cell>
          <cell r="N44">
            <v>38866</v>
          </cell>
          <cell r="P44">
            <v>35116</v>
          </cell>
          <cell r="Q44" t="str">
            <v>No</v>
          </cell>
          <cell r="R44">
            <v>0</v>
          </cell>
          <cell r="S44">
            <v>0</v>
          </cell>
        </row>
        <row r="45">
          <cell r="A45">
            <v>39</v>
          </cell>
          <cell r="B45" t="str">
            <v>194C</v>
          </cell>
          <cell r="C45">
            <v>749</v>
          </cell>
          <cell r="D45">
            <v>75</v>
          </cell>
          <cell r="E45">
            <v>17</v>
          </cell>
          <cell r="F45">
            <v>0</v>
          </cell>
          <cell r="G45">
            <v>0</v>
          </cell>
          <cell r="I45">
            <v>841</v>
          </cell>
          <cell r="J45" t="str">
            <v>032174</v>
          </cell>
          <cell r="L45">
            <v>6930001</v>
          </cell>
          <cell r="N45">
            <v>38814</v>
          </cell>
          <cell r="P45">
            <v>24476</v>
          </cell>
          <cell r="Q45" t="str">
            <v>No</v>
          </cell>
          <cell r="R45">
            <v>0</v>
          </cell>
          <cell r="S45">
            <v>0</v>
          </cell>
        </row>
        <row r="46">
          <cell r="A46">
            <v>40</v>
          </cell>
          <cell r="B46" t="str">
            <v>194C</v>
          </cell>
          <cell r="C46">
            <v>132</v>
          </cell>
          <cell r="D46">
            <v>13</v>
          </cell>
          <cell r="E46">
            <v>4</v>
          </cell>
          <cell r="F46">
            <v>0</v>
          </cell>
          <cell r="G46">
            <v>0</v>
          </cell>
          <cell r="I46">
            <v>149</v>
          </cell>
          <cell r="J46" t="str">
            <v>58425</v>
          </cell>
          <cell r="L46">
            <v>6930001</v>
          </cell>
          <cell r="N46">
            <v>38866</v>
          </cell>
          <cell r="P46">
            <v>35116</v>
          </cell>
          <cell r="Q46" t="str">
            <v>No</v>
          </cell>
          <cell r="R46">
            <v>0</v>
          </cell>
          <cell r="S46">
            <v>0</v>
          </cell>
        </row>
        <row r="47">
          <cell r="A47">
            <v>41</v>
          </cell>
          <cell r="B47" t="str">
            <v>194C</v>
          </cell>
          <cell r="C47">
            <v>633</v>
          </cell>
          <cell r="D47">
            <v>63</v>
          </cell>
          <cell r="E47">
            <v>14</v>
          </cell>
          <cell r="F47">
            <v>0</v>
          </cell>
          <cell r="G47">
            <v>0</v>
          </cell>
          <cell r="I47">
            <v>710</v>
          </cell>
          <cell r="J47" t="str">
            <v>58424</v>
          </cell>
          <cell r="L47">
            <v>6930001</v>
          </cell>
          <cell r="N47">
            <v>38868</v>
          </cell>
          <cell r="P47">
            <v>35117</v>
          </cell>
          <cell r="Q47" t="str">
            <v>No</v>
          </cell>
          <cell r="R47">
            <v>0</v>
          </cell>
          <cell r="S47">
            <v>0</v>
          </cell>
        </row>
        <row r="48">
          <cell r="A48">
            <v>42</v>
          </cell>
          <cell r="B48" t="str">
            <v>194C</v>
          </cell>
          <cell r="C48">
            <v>56</v>
          </cell>
          <cell r="D48">
            <v>6</v>
          </cell>
          <cell r="E48">
            <v>2</v>
          </cell>
          <cell r="F48">
            <v>0</v>
          </cell>
          <cell r="G48">
            <v>0</v>
          </cell>
          <cell r="I48">
            <v>64</v>
          </cell>
          <cell r="J48" t="str">
            <v>58425</v>
          </cell>
          <cell r="L48">
            <v>6930001</v>
          </cell>
          <cell r="N48">
            <v>38866</v>
          </cell>
          <cell r="P48">
            <v>35116</v>
          </cell>
          <cell r="Q48" t="str">
            <v>No</v>
          </cell>
          <cell r="R48">
            <v>0</v>
          </cell>
          <cell r="S48">
            <v>0</v>
          </cell>
        </row>
        <row r="49">
          <cell r="A49">
            <v>43</v>
          </cell>
          <cell r="B49" t="str">
            <v>194C</v>
          </cell>
          <cell r="C49">
            <v>59</v>
          </cell>
          <cell r="D49">
            <v>6</v>
          </cell>
          <cell r="E49">
            <v>1</v>
          </cell>
          <cell r="F49">
            <v>0</v>
          </cell>
          <cell r="G49">
            <v>0</v>
          </cell>
          <cell r="I49">
            <v>66</v>
          </cell>
          <cell r="J49" t="str">
            <v>58425</v>
          </cell>
          <cell r="L49">
            <v>6930001</v>
          </cell>
          <cell r="N49">
            <v>38866</v>
          </cell>
          <cell r="P49">
            <v>35116</v>
          </cell>
          <cell r="Q49" t="str">
            <v>No</v>
          </cell>
          <cell r="R49">
            <v>0</v>
          </cell>
          <cell r="S49">
            <v>0</v>
          </cell>
        </row>
        <row r="50">
          <cell r="A50">
            <v>44</v>
          </cell>
          <cell r="B50" t="str">
            <v>194C</v>
          </cell>
          <cell r="C50">
            <v>44</v>
          </cell>
          <cell r="D50">
            <v>4</v>
          </cell>
          <cell r="E50">
            <v>2</v>
          </cell>
          <cell r="F50">
            <v>0</v>
          </cell>
          <cell r="G50">
            <v>0</v>
          </cell>
          <cell r="I50">
            <v>50</v>
          </cell>
          <cell r="J50" t="str">
            <v>58424</v>
          </cell>
          <cell r="L50">
            <v>6930001</v>
          </cell>
          <cell r="N50">
            <v>38868</v>
          </cell>
          <cell r="P50">
            <v>35117</v>
          </cell>
          <cell r="Q50" t="str">
            <v>No</v>
          </cell>
          <cell r="R50">
            <v>0</v>
          </cell>
          <cell r="S50">
            <v>0</v>
          </cell>
        </row>
        <row r="51">
          <cell r="A51">
            <v>45</v>
          </cell>
          <cell r="B51" t="str">
            <v>194C</v>
          </cell>
          <cell r="C51">
            <v>14</v>
          </cell>
          <cell r="D51">
            <v>1</v>
          </cell>
          <cell r="E51">
            <v>2</v>
          </cell>
          <cell r="F51">
            <v>0</v>
          </cell>
          <cell r="G51">
            <v>0</v>
          </cell>
          <cell r="I51">
            <v>17</v>
          </cell>
          <cell r="J51" t="str">
            <v>58425</v>
          </cell>
          <cell r="L51">
            <v>6930001</v>
          </cell>
          <cell r="N51">
            <v>38866</v>
          </cell>
          <cell r="P51">
            <v>35116</v>
          </cell>
          <cell r="Q51" t="str">
            <v>No</v>
          </cell>
          <cell r="R51">
            <v>0</v>
          </cell>
          <cell r="S51">
            <v>0</v>
          </cell>
        </row>
        <row r="52">
          <cell r="A52">
            <v>46</v>
          </cell>
          <cell r="B52" t="str">
            <v>194C</v>
          </cell>
          <cell r="C52">
            <v>44</v>
          </cell>
          <cell r="D52">
            <v>4</v>
          </cell>
          <cell r="E52">
            <v>2</v>
          </cell>
          <cell r="F52">
            <v>0</v>
          </cell>
          <cell r="G52">
            <v>0</v>
          </cell>
          <cell r="I52">
            <v>50</v>
          </cell>
          <cell r="J52" t="str">
            <v>58424</v>
          </cell>
          <cell r="L52">
            <v>6930001</v>
          </cell>
          <cell r="N52">
            <v>38868</v>
          </cell>
          <cell r="P52">
            <v>35117</v>
          </cell>
          <cell r="Q52" t="str">
            <v>No</v>
          </cell>
          <cell r="R52">
            <v>0</v>
          </cell>
          <cell r="S52">
            <v>0</v>
          </cell>
        </row>
        <row r="53">
          <cell r="A53">
            <v>47</v>
          </cell>
          <cell r="B53" t="str">
            <v>194C</v>
          </cell>
          <cell r="C53">
            <v>263</v>
          </cell>
          <cell r="D53">
            <v>26</v>
          </cell>
          <cell r="E53">
            <v>7</v>
          </cell>
          <cell r="F53">
            <v>0</v>
          </cell>
          <cell r="G53">
            <v>0</v>
          </cell>
          <cell r="I53">
            <v>296</v>
          </cell>
          <cell r="J53" t="str">
            <v>58424</v>
          </cell>
          <cell r="L53">
            <v>6930001</v>
          </cell>
          <cell r="N53">
            <v>38868</v>
          </cell>
          <cell r="P53">
            <v>35117</v>
          </cell>
          <cell r="Q53" t="str">
            <v>No</v>
          </cell>
          <cell r="R53">
            <v>0</v>
          </cell>
          <cell r="S53">
            <v>0</v>
          </cell>
        </row>
        <row r="54">
          <cell r="A54">
            <v>48</v>
          </cell>
          <cell r="B54" t="str">
            <v>194C</v>
          </cell>
          <cell r="C54">
            <v>612</v>
          </cell>
          <cell r="D54">
            <v>61</v>
          </cell>
          <cell r="E54">
            <v>14</v>
          </cell>
          <cell r="F54">
            <v>0</v>
          </cell>
          <cell r="G54">
            <v>0</v>
          </cell>
          <cell r="I54">
            <v>687</v>
          </cell>
          <cell r="J54" t="str">
            <v>58424</v>
          </cell>
          <cell r="L54">
            <v>6930001</v>
          </cell>
          <cell r="N54">
            <v>38868</v>
          </cell>
          <cell r="P54">
            <v>35117</v>
          </cell>
          <cell r="Q54" t="str">
            <v>No</v>
          </cell>
          <cell r="R54">
            <v>0</v>
          </cell>
          <cell r="S54">
            <v>0</v>
          </cell>
        </row>
        <row r="55">
          <cell r="A55">
            <v>49</v>
          </cell>
          <cell r="B55" t="str">
            <v>194C</v>
          </cell>
          <cell r="C55">
            <v>749</v>
          </cell>
          <cell r="D55">
            <v>75</v>
          </cell>
          <cell r="E55">
            <v>17</v>
          </cell>
          <cell r="F55">
            <v>0</v>
          </cell>
          <cell r="G55">
            <v>0</v>
          </cell>
          <cell r="I55">
            <v>841</v>
          </cell>
          <cell r="J55" t="str">
            <v>58425</v>
          </cell>
          <cell r="L55">
            <v>6930001</v>
          </cell>
          <cell r="N55">
            <v>38866</v>
          </cell>
          <cell r="P55">
            <v>35116</v>
          </cell>
          <cell r="Q55" t="str">
            <v>No</v>
          </cell>
          <cell r="R55">
            <v>0</v>
          </cell>
          <cell r="S55">
            <v>0</v>
          </cell>
        </row>
        <row r="56">
          <cell r="A56">
            <v>50</v>
          </cell>
          <cell r="B56" t="str">
            <v>194C</v>
          </cell>
          <cell r="C56">
            <v>29</v>
          </cell>
          <cell r="D56">
            <v>3</v>
          </cell>
          <cell r="E56">
            <v>1</v>
          </cell>
          <cell r="F56">
            <v>0</v>
          </cell>
          <cell r="G56">
            <v>0</v>
          </cell>
          <cell r="I56">
            <v>33</v>
          </cell>
          <cell r="J56" t="str">
            <v>58425</v>
          </cell>
          <cell r="L56">
            <v>6930001</v>
          </cell>
          <cell r="N56">
            <v>38866</v>
          </cell>
          <cell r="P56">
            <v>35116</v>
          </cell>
          <cell r="Q56" t="str">
            <v>No</v>
          </cell>
          <cell r="R56">
            <v>0</v>
          </cell>
          <cell r="S56">
            <v>0</v>
          </cell>
        </row>
        <row r="57">
          <cell r="A57">
            <v>51</v>
          </cell>
          <cell r="B57" t="str">
            <v>194C</v>
          </cell>
          <cell r="C57">
            <v>52</v>
          </cell>
          <cell r="D57">
            <v>5</v>
          </cell>
          <cell r="E57">
            <v>2</v>
          </cell>
          <cell r="F57">
            <v>0</v>
          </cell>
          <cell r="G57">
            <v>0</v>
          </cell>
          <cell r="I57">
            <v>59</v>
          </cell>
          <cell r="J57" t="str">
            <v>58425</v>
          </cell>
          <cell r="L57">
            <v>6930001</v>
          </cell>
          <cell r="N57">
            <v>38866</v>
          </cell>
          <cell r="P57">
            <v>35116</v>
          </cell>
          <cell r="Q57" t="str">
            <v>No</v>
          </cell>
          <cell r="R57">
            <v>0</v>
          </cell>
          <cell r="S57">
            <v>0</v>
          </cell>
        </row>
        <row r="58">
          <cell r="A58">
            <v>52</v>
          </cell>
          <cell r="B58" t="str">
            <v>194C</v>
          </cell>
          <cell r="C58">
            <v>23</v>
          </cell>
          <cell r="D58">
            <v>2</v>
          </cell>
          <cell r="E58">
            <v>1</v>
          </cell>
          <cell r="F58">
            <v>0</v>
          </cell>
          <cell r="G58">
            <v>0</v>
          </cell>
          <cell r="I58">
            <v>26</v>
          </cell>
          <cell r="J58" t="str">
            <v>58425</v>
          </cell>
          <cell r="L58">
            <v>6930001</v>
          </cell>
          <cell r="N58">
            <v>38866</v>
          </cell>
          <cell r="P58">
            <v>35116</v>
          </cell>
          <cell r="Q58" t="str">
            <v>No</v>
          </cell>
          <cell r="R58">
            <v>0</v>
          </cell>
          <cell r="S58">
            <v>0</v>
          </cell>
        </row>
        <row r="59">
          <cell r="A59">
            <v>53</v>
          </cell>
          <cell r="B59" t="str">
            <v>194C</v>
          </cell>
          <cell r="C59">
            <v>4</v>
          </cell>
          <cell r="D59">
            <v>0</v>
          </cell>
          <cell r="E59">
            <v>1</v>
          </cell>
          <cell r="F59">
            <v>0</v>
          </cell>
          <cell r="G59">
            <v>0</v>
          </cell>
          <cell r="I59">
            <v>5</v>
          </cell>
          <cell r="J59" t="str">
            <v>58425</v>
          </cell>
          <cell r="L59">
            <v>6930001</v>
          </cell>
          <cell r="N59">
            <v>38866</v>
          </cell>
          <cell r="P59">
            <v>35116</v>
          </cell>
          <cell r="Q59" t="str">
            <v>No</v>
          </cell>
          <cell r="R59">
            <v>0</v>
          </cell>
          <cell r="S59">
            <v>0</v>
          </cell>
        </row>
        <row r="60">
          <cell r="A60">
            <v>54</v>
          </cell>
          <cell r="B60" t="str">
            <v>194C</v>
          </cell>
          <cell r="C60">
            <v>633</v>
          </cell>
          <cell r="D60">
            <v>63</v>
          </cell>
          <cell r="E60">
            <v>14</v>
          </cell>
          <cell r="F60">
            <v>0</v>
          </cell>
          <cell r="G60">
            <v>0</v>
          </cell>
          <cell r="I60">
            <v>710</v>
          </cell>
          <cell r="J60" t="str">
            <v>58424</v>
          </cell>
          <cell r="L60">
            <v>6930001</v>
          </cell>
          <cell r="N60">
            <v>38868</v>
          </cell>
          <cell r="P60">
            <v>35117</v>
          </cell>
          <cell r="Q60" t="str">
            <v>No</v>
          </cell>
          <cell r="R60">
            <v>0</v>
          </cell>
          <cell r="S60">
            <v>0</v>
          </cell>
        </row>
        <row r="61">
          <cell r="A61">
            <v>55</v>
          </cell>
          <cell r="B61" t="str">
            <v>194C</v>
          </cell>
          <cell r="C61">
            <v>80</v>
          </cell>
          <cell r="D61">
            <v>8</v>
          </cell>
          <cell r="E61">
            <v>2</v>
          </cell>
          <cell r="F61">
            <v>0</v>
          </cell>
          <cell r="G61">
            <v>0</v>
          </cell>
          <cell r="I61">
            <v>90</v>
          </cell>
          <cell r="J61" t="str">
            <v>58425</v>
          </cell>
          <cell r="L61">
            <v>6930001</v>
          </cell>
          <cell r="N61">
            <v>38866</v>
          </cell>
          <cell r="P61">
            <v>35116</v>
          </cell>
          <cell r="Q61" t="str">
            <v>No</v>
          </cell>
          <cell r="R61">
            <v>0</v>
          </cell>
          <cell r="S61">
            <v>0</v>
          </cell>
        </row>
        <row r="62">
          <cell r="A62">
            <v>56</v>
          </cell>
          <cell r="B62" t="str">
            <v>194C</v>
          </cell>
          <cell r="C62">
            <v>633</v>
          </cell>
          <cell r="D62">
            <v>63</v>
          </cell>
          <cell r="E62">
            <v>14</v>
          </cell>
          <cell r="F62">
            <v>0</v>
          </cell>
          <cell r="G62">
            <v>0</v>
          </cell>
          <cell r="I62">
            <v>710</v>
          </cell>
          <cell r="J62" t="str">
            <v>58424</v>
          </cell>
          <cell r="L62">
            <v>6930001</v>
          </cell>
          <cell r="N62">
            <v>38868</v>
          </cell>
          <cell r="P62">
            <v>35117</v>
          </cell>
          <cell r="Q62" t="str">
            <v>No</v>
          </cell>
          <cell r="R62">
            <v>0</v>
          </cell>
          <cell r="S62">
            <v>0</v>
          </cell>
        </row>
        <row r="63">
          <cell r="A63">
            <v>57</v>
          </cell>
          <cell r="B63" t="str">
            <v>194C</v>
          </cell>
          <cell r="C63">
            <v>37</v>
          </cell>
          <cell r="D63">
            <v>4</v>
          </cell>
          <cell r="E63">
            <v>1</v>
          </cell>
          <cell r="F63">
            <v>0</v>
          </cell>
          <cell r="G63">
            <v>0</v>
          </cell>
          <cell r="I63">
            <v>42</v>
          </cell>
          <cell r="J63" t="str">
            <v>58424</v>
          </cell>
          <cell r="L63">
            <v>6930001</v>
          </cell>
          <cell r="N63">
            <v>38868</v>
          </cell>
          <cell r="P63">
            <v>35117</v>
          </cell>
          <cell r="Q63" t="str">
            <v>No</v>
          </cell>
          <cell r="R63">
            <v>0</v>
          </cell>
          <cell r="S63">
            <v>0</v>
          </cell>
        </row>
        <row r="64">
          <cell r="A64">
            <v>58</v>
          </cell>
          <cell r="B64" t="str">
            <v>194C</v>
          </cell>
          <cell r="C64">
            <v>10</v>
          </cell>
          <cell r="D64">
            <v>1</v>
          </cell>
          <cell r="E64">
            <v>1</v>
          </cell>
          <cell r="F64">
            <v>0</v>
          </cell>
          <cell r="G64">
            <v>0</v>
          </cell>
          <cell r="I64">
            <v>12</v>
          </cell>
          <cell r="J64" t="str">
            <v>58425</v>
          </cell>
          <cell r="L64">
            <v>6930001</v>
          </cell>
          <cell r="N64">
            <v>38866</v>
          </cell>
          <cell r="P64">
            <v>35116</v>
          </cell>
          <cell r="Q64" t="str">
            <v>No</v>
          </cell>
          <cell r="R64">
            <v>0</v>
          </cell>
          <cell r="S64">
            <v>0</v>
          </cell>
        </row>
        <row r="65">
          <cell r="A65">
            <v>59</v>
          </cell>
          <cell r="B65" t="str">
            <v>194C</v>
          </cell>
          <cell r="C65">
            <v>67</v>
          </cell>
          <cell r="D65">
            <v>7</v>
          </cell>
          <cell r="E65">
            <v>2</v>
          </cell>
          <cell r="F65">
            <v>0</v>
          </cell>
          <cell r="G65">
            <v>0</v>
          </cell>
          <cell r="I65">
            <v>76</v>
          </cell>
          <cell r="J65" t="str">
            <v>58425</v>
          </cell>
          <cell r="L65">
            <v>6930001</v>
          </cell>
          <cell r="N65">
            <v>38866</v>
          </cell>
          <cell r="P65">
            <v>35116</v>
          </cell>
          <cell r="Q65" t="str">
            <v>No</v>
          </cell>
          <cell r="R65">
            <v>0</v>
          </cell>
          <cell r="S65">
            <v>0</v>
          </cell>
        </row>
        <row r="66">
          <cell r="A66">
            <v>60</v>
          </cell>
          <cell r="B66" t="str">
            <v>194C</v>
          </cell>
          <cell r="C66">
            <v>1656</v>
          </cell>
          <cell r="D66">
            <v>166</v>
          </cell>
          <cell r="E66">
            <v>36</v>
          </cell>
          <cell r="F66">
            <v>0</v>
          </cell>
          <cell r="G66">
            <v>0</v>
          </cell>
          <cell r="I66">
            <v>1858</v>
          </cell>
          <cell r="J66" t="str">
            <v>58424</v>
          </cell>
          <cell r="L66">
            <v>6930001</v>
          </cell>
          <cell r="N66">
            <v>38868</v>
          </cell>
          <cell r="P66">
            <v>35117</v>
          </cell>
          <cell r="Q66" t="str">
            <v>No</v>
          </cell>
          <cell r="R66">
            <v>0</v>
          </cell>
          <cell r="S66">
            <v>0</v>
          </cell>
        </row>
        <row r="67">
          <cell r="A67">
            <v>61</v>
          </cell>
          <cell r="B67" t="str">
            <v>194C</v>
          </cell>
          <cell r="C67">
            <v>1009</v>
          </cell>
          <cell r="D67">
            <v>101</v>
          </cell>
          <cell r="E67">
            <v>22</v>
          </cell>
          <cell r="F67">
            <v>0</v>
          </cell>
          <cell r="G67">
            <v>0</v>
          </cell>
          <cell r="I67">
            <v>1132</v>
          </cell>
          <cell r="J67" t="str">
            <v>58424</v>
          </cell>
          <cell r="L67">
            <v>6930001</v>
          </cell>
          <cell r="N67">
            <v>38868</v>
          </cell>
          <cell r="P67">
            <v>35117</v>
          </cell>
          <cell r="Q67" t="str">
            <v>No</v>
          </cell>
          <cell r="R67">
            <v>0</v>
          </cell>
          <cell r="S67">
            <v>0</v>
          </cell>
        </row>
        <row r="68">
          <cell r="A68">
            <v>62</v>
          </cell>
          <cell r="B68" t="str">
            <v>194C</v>
          </cell>
          <cell r="C68">
            <v>481</v>
          </cell>
          <cell r="D68">
            <v>48</v>
          </cell>
          <cell r="E68">
            <v>11</v>
          </cell>
          <cell r="F68">
            <v>0</v>
          </cell>
          <cell r="G68">
            <v>0</v>
          </cell>
          <cell r="I68">
            <v>540</v>
          </cell>
          <cell r="J68" t="str">
            <v>58424</v>
          </cell>
          <cell r="L68">
            <v>6930001</v>
          </cell>
          <cell r="N68">
            <v>38868</v>
          </cell>
          <cell r="P68">
            <v>35117</v>
          </cell>
          <cell r="Q68" t="str">
            <v>No</v>
          </cell>
          <cell r="R68">
            <v>0</v>
          </cell>
          <cell r="S68">
            <v>0</v>
          </cell>
        </row>
        <row r="69">
          <cell r="A69">
            <v>63</v>
          </cell>
          <cell r="B69" t="str">
            <v>194C</v>
          </cell>
          <cell r="C69">
            <v>481</v>
          </cell>
          <cell r="D69">
            <v>48</v>
          </cell>
          <cell r="E69">
            <v>11</v>
          </cell>
          <cell r="F69">
            <v>0</v>
          </cell>
          <cell r="G69">
            <v>0</v>
          </cell>
          <cell r="I69">
            <v>540</v>
          </cell>
          <cell r="J69" t="str">
            <v>58424</v>
          </cell>
          <cell r="L69">
            <v>6930001</v>
          </cell>
          <cell r="N69">
            <v>38868</v>
          </cell>
          <cell r="P69">
            <v>35117</v>
          </cell>
          <cell r="Q69" t="str">
            <v>No</v>
          </cell>
          <cell r="R69">
            <v>0</v>
          </cell>
          <cell r="S69">
            <v>0</v>
          </cell>
        </row>
        <row r="70">
          <cell r="A70">
            <v>64</v>
          </cell>
          <cell r="B70" t="str">
            <v>194C</v>
          </cell>
          <cell r="C70">
            <v>3349</v>
          </cell>
          <cell r="D70">
            <v>335</v>
          </cell>
          <cell r="E70">
            <v>74</v>
          </cell>
          <cell r="F70">
            <v>0</v>
          </cell>
          <cell r="G70">
            <v>0</v>
          </cell>
          <cell r="I70">
            <v>3758</v>
          </cell>
          <cell r="J70" t="str">
            <v>58425</v>
          </cell>
          <cell r="L70">
            <v>6930001</v>
          </cell>
          <cell r="N70">
            <v>38866</v>
          </cell>
          <cell r="P70">
            <v>35116</v>
          </cell>
          <cell r="Q70" t="str">
            <v>No</v>
          </cell>
          <cell r="R70">
            <v>0</v>
          </cell>
          <cell r="S70">
            <v>0</v>
          </cell>
        </row>
        <row r="71">
          <cell r="A71">
            <v>65</v>
          </cell>
          <cell r="B71" t="str">
            <v>194C</v>
          </cell>
          <cell r="C71">
            <v>816</v>
          </cell>
          <cell r="D71">
            <v>82</v>
          </cell>
          <cell r="E71">
            <v>18</v>
          </cell>
          <cell r="F71">
            <v>0</v>
          </cell>
          <cell r="G71">
            <v>0</v>
          </cell>
          <cell r="I71">
            <v>916</v>
          </cell>
          <cell r="J71" t="str">
            <v>58424</v>
          </cell>
          <cell r="L71">
            <v>6930001</v>
          </cell>
          <cell r="N71">
            <v>38868</v>
          </cell>
          <cell r="P71">
            <v>35117</v>
          </cell>
          <cell r="Q71" t="str">
            <v>No</v>
          </cell>
          <cell r="R71">
            <v>0</v>
          </cell>
          <cell r="S71">
            <v>0</v>
          </cell>
        </row>
        <row r="72">
          <cell r="A72">
            <v>66</v>
          </cell>
          <cell r="B72" t="str">
            <v>194C</v>
          </cell>
          <cell r="C72">
            <v>305</v>
          </cell>
          <cell r="D72">
            <v>31</v>
          </cell>
          <cell r="E72">
            <v>7</v>
          </cell>
          <cell r="F72">
            <v>0</v>
          </cell>
          <cell r="G72">
            <v>0</v>
          </cell>
          <cell r="I72">
            <v>343</v>
          </cell>
          <cell r="J72" t="str">
            <v>58425</v>
          </cell>
          <cell r="L72">
            <v>6930001</v>
          </cell>
          <cell r="N72">
            <v>38866</v>
          </cell>
          <cell r="P72">
            <v>35116</v>
          </cell>
          <cell r="Q72" t="str">
            <v>No</v>
          </cell>
          <cell r="R72">
            <v>0</v>
          </cell>
          <cell r="S72">
            <v>0</v>
          </cell>
        </row>
        <row r="73">
          <cell r="A73">
            <v>67</v>
          </cell>
          <cell r="B73" t="str">
            <v>194J</v>
          </cell>
          <cell r="C73">
            <v>157</v>
          </cell>
          <cell r="D73">
            <v>13</v>
          </cell>
          <cell r="E73">
            <v>3</v>
          </cell>
          <cell r="F73">
            <v>0</v>
          </cell>
          <cell r="G73">
            <v>0</v>
          </cell>
          <cell r="I73">
            <v>173</v>
          </cell>
          <cell r="J73" t="str">
            <v>32172</v>
          </cell>
          <cell r="L73">
            <v>6930001</v>
          </cell>
          <cell r="N73">
            <v>38814</v>
          </cell>
          <cell r="P73">
            <v>24477</v>
          </cell>
          <cell r="Q73" t="str">
            <v>No</v>
          </cell>
          <cell r="R73">
            <v>0</v>
          </cell>
          <cell r="S73">
            <v>0</v>
          </cell>
        </row>
        <row r="74">
          <cell r="A74">
            <v>68</v>
          </cell>
          <cell r="B74" t="str">
            <v>194J</v>
          </cell>
          <cell r="C74">
            <v>1964</v>
          </cell>
          <cell r="D74">
            <v>196</v>
          </cell>
          <cell r="E74">
            <v>44</v>
          </cell>
          <cell r="F74">
            <v>0</v>
          </cell>
          <cell r="G74">
            <v>0</v>
          </cell>
          <cell r="I74">
            <v>2204</v>
          </cell>
          <cell r="J74" t="str">
            <v>58426</v>
          </cell>
          <cell r="L74">
            <v>6930001</v>
          </cell>
          <cell r="N74">
            <v>38866</v>
          </cell>
          <cell r="P74">
            <v>35115</v>
          </cell>
          <cell r="Q74" t="str">
            <v>No</v>
          </cell>
          <cell r="R74">
            <v>0</v>
          </cell>
          <cell r="S74">
            <v>0</v>
          </cell>
        </row>
        <row r="75">
          <cell r="I75">
            <v>0</v>
          </cell>
        </row>
        <row r="76">
          <cell r="I76">
            <v>0</v>
          </cell>
        </row>
        <row r="77">
          <cell r="A77" t="str">
            <v>Total</v>
          </cell>
          <cell r="C77">
            <v>24890</v>
          </cell>
          <cell r="D77">
            <v>2485</v>
          </cell>
          <cell r="E77">
            <v>576</v>
          </cell>
          <cell r="F77">
            <v>0</v>
          </cell>
          <cell r="G77">
            <v>0</v>
          </cell>
          <cell r="H77">
            <v>0</v>
          </cell>
          <cell r="I77">
            <v>27951</v>
          </cell>
          <cell r="R77">
            <v>0</v>
          </cell>
          <cell r="S77">
            <v>0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ditReportInformation"/>
      <sheetName val="3CA"/>
      <sheetName val="3CB"/>
      <sheetName val="3CD"/>
      <sheetName val="IndirectTaxInfo"/>
      <sheetName val="Sch_9(a)"/>
      <sheetName val="Sch_9(b)"/>
      <sheetName val="Sch_10(a)"/>
      <sheetName val="Sch_10(b)"/>
      <sheetName val="Sch_11(a)"/>
      <sheetName val="Sch_11(b)"/>
      <sheetName val="Sch_11(c)"/>
      <sheetName val="Sch_12"/>
      <sheetName val="Sch_13(c)"/>
      <sheetName val="Sch_13(d)"/>
      <sheetName val="Sch_14(b)"/>
      <sheetName val="Sch_15"/>
      <sheetName val="Sch_16(a)"/>
      <sheetName val="Sch_16(b)"/>
      <sheetName val="Sch_16(c)"/>
      <sheetName val="Sch_16(d)"/>
      <sheetName val="Sch_16(e)"/>
      <sheetName val="Sch_17"/>
      <sheetName val="Sch_18"/>
      <sheetName val="Sch_18_Additions"/>
      <sheetName val="Sch_18_Deletions"/>
      <sheetName val="Sch_19"/>
      <sheetName val="Sch_20(a)"/>
      <sheetName val="Sch_20(b)"/>
      <sheetName val="Sch_21(a)"/>
      <sheetName val="Sch_21(b)(i)(A)"/>
      <sheetName val="Sch_21(b)(i)(B)"/>
      <sheetName val="Sch_21(b)(ii)(A)"/>
      <sheetName val="Sch_21(b)(ii)(B)"/>
      <sheetName val="Sch_21(b)(vi)"/>
      <sheetName val="Sch_21(c)"/>
      <sheetName val="Sch_21(d)(A)"/>
      <sheetName val="Sch_21(d)(B)"/>
      <sheetName val="Sch_21(g)"/>
      <sheetName val="Sch_21(h)"/>
      <sheetName val="Sch_23"/>
      <sheetName val="Sch_24"/>
      <sheetName val="Sch_25"/>
      <sheetName val="Sch_26(i)(A)(a)"/>
      <sheetName val="Sch_26(i)(A)(b)"/>
      <sheetName val="Sch_26(i)(B)(a)"/>
      <sheetName val="Sch_26(i)(B)(b)"/>
      <sheetName val="Sch_27(a)"/>
      <sheetName val="Sch_27(b)"/>
      <sheetName val="Sch_28"/>
      <sheetName val="Sch_29"/>
      <sheetName val="Sch_30"/>
      <sheetName val="Sch_31(a)"/>
      <sheetName val="Sch_31(b)"/>
      <sheetName val="Sch_32(a)"/>
      <sheetName val="Sch_33"/>
      <sheetName val="Sch_34(a)"/>
      <sheetName val="Sch_34(b)"/>
      <sheetName val="Sch_34(c)"/>
      <sheetName val="Sch_35(a)"/>
      <sheetName val="Sch_35(b)(A)"/>
      <sheetName val="Sch_35(b)(B)"/>
      <sheetName val="Sch_35(b)(C)"/>
      <sheetName val="Sch_36"/>
      <sheetName val="Sch_40"/>
      <sheetName val="Sch_41"/>
      <sheetName val="Codes"/>
      <sheetName val="MARKEDN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>
        <row r="386">
          <cell r="C386" t="str">
            <v>Sec  41(1)(a)-SEC411a</v>
          </cell>
        </row>
        <row r="387">
          <cell r="C387" t="str">
            <v>Sec  41(1)(b)-SEC411b</v>
          </cell>
        </row>
        <row r="388">
          <cell r="C388" t="str">
            <v>Sec  41(2)-SEC412</v>
          </cell>
        </row>
        <row r="389">
          <cell r="C389" t="str">
            <v>Sec  41(3)-SEC413</v>
          </cell>
        </row>
        <row r="390">
          <cell r="C390" t="str">
            <v>Sec  41(4)-SEC414</v>
          </cell>
        </row>
        <row r="391">
          <cell r="C391" t="str">
            <v>Sec  41(4A)-SEC41a</v>
          </cell>
        </row>
        <row r="392">
          <cell r="C392" t="str">
            <v>Sec  41(5)-SEC415</v>
          </cell>
        </row>
        <row r="449">
          <cell r="C449">
            <v>192</v>
          </cell>
        </row>
        <row r="450">
          <cell r="C450">
            <v>193</v>
          </cell>
        </row>
        <row r="451">
          <cell r="C451">
            <v>194</v>
          </cell>
        </row>
        <row r="452">
          <cell r="C452" t="str">
            <v>194A</v>
          </cell>
        </row>
        <row r="453">
          <cell r="C453" t="str">
            <v>194B</v>
          </cell>
        </row>
        <row r="454">
          <cell r="C454" t="str">
            <v>194BB</v>
          </cell>
        </row>
        <row r="455">
          <cell r="C455" t="str">
            <v>194C</v>
          </cell>
        </row>
        <row r="456">
          <cell r="C456" t="str">
            <v>194D</v>
          </cell>
        </row>
        <row r="457">
          <cell r="C457" t="str">
            <v>194E</v>
          </cell>
        </row>
        <row r="458">
          <cell r="C458" t="str">
            <v>194EE</v>
          </cell>
        </row>
        <row r="459">
          <cell r="C459" t="str">
            <v>194F</v>
          </cell>
        </row>
        <row r="460">
          <cell r="C460" t="str">
            <v>194G</v>
          </cell>
        </row>
        <row r="461">
          <cell r="C461" t="str">
            <v>194H</v>
          </cell>
        </row>
        <row r="462">
          <cell r="C462" t="str">
            <v>194-I</v>
          </cell>
        </row>
        <row r="463">
          <cell r="C463" t="str">
            <v>194-IA</v>
          </cell>
        </row>
        <row r="464">
          <cell r="C464" t="str">
            <v>194J</v>
          </cell>
        </row>
        <row r="465">
          <cell r="C465" t="str">
            <v>194K</v>
          </cell>
        </row>
        <row r="466">
          <cell r="C466" t="str">
            <v>194L</v>
          </cell>
        </row>
        <row r="467">
          <cell r="C467" t="str">
            <v>194LA</v>
          </cell>
        </row>
        <row r="468">
          <cell r="C468" t="str">
            <v>194LB</v>
          </cell>
        </row>
        <row r="469">
          <cell r="C469" t="str">
            <v>194LC</v>
          </cell>
        </row>
        <row r="470">
          <cell r="C470" t="str">
            <v>194LD</v>
          </cell>
        </row>
        <row r="471">
          <cell r="C471">
            <v>195</v>
          </cell>
        </row>
        <row r="472">
          <cell r="C472" t="str">
            <v>196B</v>
          </cell>
        </row>
        <row r="473">
          <cell r="C473" t="str">
            <v>196C</v>
          </cell>
        </row>
        <row r="474">
          <cell r="C474" t="str">
            <v>196D</v>
          </cell>
        </row>
        <row r="475">
          <cell r="C475" t="str">
            <v>206C</v>
          </cell>
        </row>
      </sheetData>
      <sheetData sheetId="67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Index"/>
      <sheetName val="GENERAL"/>
      <sheetName val="GENERAL2"/>
      <sheetName val="SUBSIDIARY DETAILS"/>
      <sheetName val="NATUREOFBUSINESS"/>
      <sheetName val="BALANCE_SHEET"/>
      <sheetName val="PROFIT_LOSS"/>
      <sheetName val="OTHER_INFORMATION"/>
      <sheetName val="QUANTITATIVE_DETAILS"/>
      <sheetName val="PART_B"/>
      <sheetName val="PART_C"/>
      <sheetName val="HOUSE_PROPERTY"/>
      <sheetName val="BP"/>
      <sheetName val="DPM_DOA"/>
      <sheetName val="DEP_DCG"/>
      <sheetName val="ESR"/>
      <sheetName val="CG_OS"/>
      <sheetName val="CYLA BFLA"/>
      <sheetName val="CFL"/>
      <sheetName val="10A"/>
      <sheetName val="80G"/>
      <sheetName val="80_"/>
      <sheetName val="SI"/>
      <sheetName val="EI"/>
      <sheetName val="FRINGE_BENEFIT_INFO"/>
      <sheetName val="IT_FBT_DDTP"/>
      <sheetName val="DDT_TDS_TCS"/>
      <sheetName val="Instructions"/>
      <sheetName val="Pre_XML"/>
    </sheetNames>
    <sheetDataSet>
      <sheetData sheetId="0"/>
      <sheetData sheetId="1"/>
      <sheetData sheetId="2"/>
      <sheetData sheetId="3" refreshError="1">
        <row r="47">
          <cell r="E47" t="str">
            <v>01-ANDAMAN AND NICOBAR ISLANDS</v>
          </cell>
        </row>
        <row r="48">
          <cell r="E48" t="str">
            <v>02-ANDHRA PRADESH</v>
          </cell>
        </row>
        <row r="49">
          <cell r="E49" t="str">
            <v>03-ARUNACHAL PRADESH</v>
          </cell>
        </row>
        <row r="50">
          <cell r="E50" t="str">
            <v>04-ASSAM</v>
          </cell>
        </row>
        <row r="51">
          <cell r="E51" t="str">
            <v>05-BIHAR</v>
          </cell>
        </row>
        <row r="52">
          <cell r="E52" t="str">
            <v>06-CHANDIGARH</v>
          </cell>
        </row>
        <row r="53">
          <cell r="E53" t="str">
            <v>07-DADRA AND NAGAR HAVELI</v>
          </cell>
        </row>
        <row r="54">
          <cell r="E54" t="str">
            <v>08-DAMAN AND DIU</v>
          </cell>
        </row>
        <row r="55">
          <cell r="E55" t="str">
            <v>09-DELHI</v>
          </cell>
        </row>
        <row r="56">
          <cell r="E56" t="str">
            <v>10-GOA</v>
          </cell>
        </row>
        <row r="57">
          <cell r="E57" t="str">
            <v>11-GUJARAT</v>
          </cell>
        </row>
        <row r="58">
          <cell r="E58" t="str">
            <v>12-HARYANA</v>
          </cell>
        </row>
        <row r="59">
          <cell r="E59" t="str">
            <v>13-HIMACHAL PRADESH</v>
          </cell>
        </row>
        <row r="60">
          <cell r="E60" t="str">
            <v>14-JAMMU AND KASHMIR</v>
          </cell>
        </row>
        <row r="61">
          <cell r="E61" t="str">
            <v>15-KARNATAKA</v>
          </cell>
        </row>
        <row r="62">
          <cell r="E62" t="str">
            <v>16-KERALA</v>
          </cell>
        </row>
        <row r="63">
          <cell r="E63" t="str">
            <v>17-LAKHSWADEEP</v>
          </cell>
        </row>
        <row r="64">
          <cell r="E64" t="str">
            <v>18-MADHYA PRADESH</v>
          </cell>
        </row>
        <row r="65">
          <cell r="E65" t="str">
            <v>19-MAHARASHTRA</v>
          </cell>
        </row>
        <row r="66">
          <cell r="E66" t="str">
            <v>20-MANIPUR</v>
          </cell>
        </row>
        <row r="67">
          <cell r="E67" t="str">
            <v>21-MEGHALAYA</v>
          </cell>
        </row>
        <row r="68">
          <cell r="E68" t="str">
            <v>22-MIZORAM</v>
          </cell>
        </row>
        <row r="69">
          <cell r="E69" t="str">
            <v>23-NAGALAND</v>
          </cell>
        </row>
        <row r="70">
          <cell r="E70" t="str">
            <v>24-ORISSA</v>
          </cell>
        </row>
        <row r="71">
          <cell r="E71" t="str">
            <v>25-PONDICHERRY</v>
          </cell>
        </row>
        <row r="72">
          <cell r="E72" t="str">
            <v>26-PUNJAB</v>
          </cell>
        </row>
        <row r="73">
          <cell r="E73" t="str">
            <v>27-RAJASTHAN</v>
          </cell>
        </row>
        <row r="74">
          <cell r="E74" t="str">
            <v>28-SIKKIM</v>
          </cell>
        </row>
        <row r="75">
          <cell r="E75" t="str">
            <v>29-TAMILNADU</v>
          </cell>
        </row>
        <row r="76">
          <cell r="E76" t="str">
            <v>30-TRIPURA</v>
          </cell>
        </row>
        <row r="77">
          <cell r="E77" t="str">
            <v>31-UTTAR PRADESH</v>
          </cell>
        </row>
        <row r="78">
          <cell r="E78" t="str">
            <v>32-WEST BENGAL</v>
          </cell>
        </row>
        <row r="79">
          <cell r="E79" t="str">
            <v>33-CHHATISHGARH</v>
          </cell>
        </row>
        <row r="80">
          <cell r="E80" t="str">
            <v>34-UTTARANCHAL</v>
          </cell>
        </row>
        <row r="81">
          <cell r="E81" t="str">
            <v>35-JHARKHAND</v>
          </cell>
        </row>
        <row r="82">
          <cell r="E82" t="str">
            <v>99-FOREIGN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Page"/>
      <sheetName val="DR"/>
      <sheetName val="DR-Anx"/>
      <sheetName val="AR"/>
      <sheetName val="CARO"/>
      <sheetName val="CAROApp"/>
      <sheetName val="BS"/>
      <sheetName val="PL"/>
      <sheetName val="FundFlow"/>
      <sheetName val="Instructions"/>
      <sheetName val="BSSch"/>
      <sheetName val="FASch"/>
      <sheetName val="PLSch"/>
      <sheetName val="Notes"/>
      <sheetName val="PartIV"/>
      <sheetName val="GR-BS"/>
      <sheetName val="GR-PL"/>
      <sheetName val="AS22"/>
      <sheetName val="115JB"/>
      <sheetName val="115JB-Anx"/>
      <sheetName val="3CA"/>
      <sheetName val="3CA-Anx"/>
      <sheetName val="3CD"/>
      <sheetName val="145A-Exclusive"/>
      <sheetName val="145-Incusive"/>
      <sheetName val="3CD-145A-Anx"/>
      <sheetName val="3CD-Dep-Anx"/>
      <sheetName val="3CD-40A(3)-Anx"/>
      <sheetName val="3CD-40A(2)(b)-Anx"/>
      <sheetName val="3CD-269SS-T-Anx"/>
      <sheetName val="3CD-CFLoss-Anx"/>
      <sheetName val="3CD-Ratios-Anx "/>
      <sheetName val="Names"/>
      <sheetName val="IT"/>
      <sheetName val="Mast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>
        <row r="3">
          <cell r="C3" t="str">
            <v>Portalplayer (India) Private Limited</v>
          </cell>
        </row>
        <row r="4">
          <cell r="C4" t="str">
            <v>Plot No:249, Prashasan Nagar,Road No:72, Jubilee Hills,Hyderabad-500 034.</v>
          </cell>
        </row>
        <row r="16">
          <cell r="C16" t="str">
            <v>Partner</v>
          </cell>
        </row>
        <row r="20">
          <cell r="C20" t="str">
            <v>P.R. Ramesh</v>
          </cell>
        </row>
        <row r="23">
          <cell r="C23" t="str">
            <v>M.No: 70928</v>
          </cell>
        </row>
        <row r="24">
          <cell r="C24" t="str">
            <v>Chartered Accountants,7th Floor, Amrutha Estates,Lingapur House,Himayathnagar,Hyderabad-500 029.</v>
          </cell>
        </row>
        <row r="40">
          <cell r="C40" t="str">
            <v>August 5, 2006</v>
          </cell>
        </row>
        <row r="43">
          <cell r="C43" t="str">
            <v>Hyderabad</v>
          </cell>
        </row>
        <row r="45">
          <cell r="C45" t="str">
            <v>Software Development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Mill-Calc"/>
      <sheetName val="HMB"/>
      <sheetName val="Atox-VRM"/>
      <sheetName val="Pic"/>
      <sheetName val="Aux-Pages"/>
      <sheetName val="Mon-Form"/>
      <sheetName val="Noz-Calc"/>
      <sheetName val="ATOX-Forml"/>
      <sheetName val="Stop-List"/>
      <sheetName val="Mot&amp;Gea-Dat"/>
      <sheetName val="Pitot"/>
      <sheetName val="Gas-Flow"/>
      <sheetName val="Week-Repo"/>
      <sheetName val="Page_1S"/>
      <sheetName val="Page_2S"/>
      <sheetName val="Const_and_macro"/>
      <sheetName val="Hel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BS"/>
      <sheetName val="P&amp;L"/>
      <sheetName val="Ind AS TB - BS"/>
      <sheetName val="Ind AS TB - PL"/>
      <sheetName val="Changes in equity"/>
      <sheetName val="Changes in equity (1)"/>
      <sheetName val="Cash Flow "/>
      <sheetName val="Note 2.01 &amp; 2.05 (BS)"/>
      <sheetName val="Note 1.01 to 1.25"/>
      <sheetName val="Note 2.05 to 2.09(BS)"/>
      <sheetName val="Note 2.8 - 2.9(FA)"/>
      <sheetName val="Note 2.12 to 2.16(BS)"/>
      <sheetName val="Note 2.17 to 2.19(BS)"/>
      <sheetName val="Note 2.06 &amp; 2.21 (BS)"/>
      <sheetName val="Statement of P&amp;L"/>
      <sheetName val="Note 3.01 to 3.14(P&amp;L)"/>
      <sheetName val="Note 4.01 to 4.13"/>
      <sheetName val="G-Ind As"/>
      <sheetName val="Trial 15-16"/>
      <sheetName val="Adjustment Entry"/>
      <sheetName val="Trial Balance"/>
      <sheetName val="SAP TB"/>
      <sheetName val="Note 4.08 to 4.11-NTA "/>
      <sheetName val="Note 4.12 to 4.13"/>
      <sheetName val="Note 4.14 to 4.21"/>
      <sheetName val="Note 4.22"/>
      <sheetName val="Note 4.23 to 4.29"/>
      <sheetName val="Guidance Notes"/>
      <sheetName val="Chk-AcctPly"/>
      <sheetName val="Wrk-ShrCAP"/>
      <sheetName val="Wrk-Invest"/>
      <sheetName val="Wrk-Inventory"/>
      <sheetName val="Wrk-Mov in Invent"/>
      <sheetName val="Wrk-Relparty"/>
      <sheetName val="Wrk-Forex"/>
      <sheetName val="Wrk-Def Tax"/>
      <sheetName val="Wrk-Income Tax"/>
      <sheetName val="Wrk-EmpBen"/>
      <sheetName val="Wrk-FinCost"/>
      <sheetName val="Wrk-AS4"/>
      <sheetName val="Wrkg-Cont Liab"/>
      <sheetName val="Wrk-6U 6W"/>
      <sheetName val="Control Sheet"/>
    </sheetNames>
    <sheetDataSet>
      <sheetData sheetId="0">
        <row r="43">
          <cell r="E43" t="str">
            <v>No</v>
          </cell>
        </row>
      </sheetData>
      <sheetData sheetId="1">
        <row r="1">
          <cell r="A1" t="str">
            <v>Prism Cements Limited</v>
          </cell>
        </row>
      </sheetData>
      <sheetData sheetId="2">
        <row r="4">
          <cell r="E4" t="str">
            <v>Period ended September,30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overed_Sheet1"/>
      <sheetName val="0000000"/>
      <sheetName val="FG"/>
      <sheetName val="DRS"/>
      <sheetName val="INS-COV-ASSETS"/>
      <sheetName val="STK-VAL"/>
      <sheetName val="OS-LC_may"/>
      <sheetName val="INS-COV"/>
      <sheetName val="BRANCH"/>
      <sheetName val="GIT-RM"/>
      <sheetName val="Summery"/>
      <sheetName val="ST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(3)"/>
      <sheetName val="Summary (2)"/>
      <sheetName val="Summary"/>
      <sheetName val="Sheet1"/>
      <sheetName val="Sheet2"/>
      <sheetName val="vlook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 (2)"/>
      <sheetName val="Index"/>
      <sheetName val="BalanceSheet"/>
      <sheetName val="Cash Flow Local"/>
      <sheetName val="CONSO P&amp;L REGION WISE"/>
      <sheetName val="CONSO P&amp;L"/>
      <sheetName val="Comparison with Budget"/>
      <sheetName val="Debtors Ageing Dec 02 M"/>
      <sheetName val="Debtors Summary - Mumbai"/>
      <sheetName val="Debtors Ageing Dec 02 (C)"/>
      <sheetName val="Debtors Summary- Chennai"/>
      <sheetName val="Debtors (Bang)"/>
      <sheetName val="Debtors Bang"/>
      <sheetName val="Debtors Ageing Conso "/>
      <sheetName val="Debtors Summary-Conso"/>
      <sheetName val="Key Performance 1"/>
      <sheetName val="Key Performance 2"/>
      <sheetName val="Key Performance 3"/>
      <sheetName val="CONSO"/>
      <sheetName val="CONSO - TRNSP"/>
      <sheetName val="MUMBAI P&amp;L"/>
      <sheetName val="MUMBAI"/>
      <sheetName val="MUMBAI - TRNSP"/>
      <sheetName val="BANDRA"/>
      <sheetName val="BANDRA - TRANSPORT"/>
      <sheetName val="MAHAPE"/>
      <sheetName val="MAHAPE - TRNSP"/>
      <sheetName val="KANDIVILI PLANT"/>
      <sheetName val="KANDIVILI TRANSPORT"/>
      <sheetName val="PUMP - MUM"/>
      <sheetName val="MU - Clab"/>
      <sheetName val="ADMIN 1 MUMBAI"/>
      <sheetName val="ADMIN 2 MUMBAI"/>
      <sheetName val="MUMBAI REGIONAL"/>
      <sheetName val="CHENNAI P&amp;L"/>
      <sheetName val="THIRU"/>
      <sheetName val="THIRU - TRNSP"/>
      <sheetName val="CHENNAI - PUMPING"/>
      <sheetName val="CH - CLAB"/>
      <sheetName val="KEERAPAKKAM QUARRY"/>
      <sheetName val="QUARRY STOCK"/>
      <sheetName val="CH - ADMIN1"/>
      <sheetName val="CH - ADMIN 2"/>
      <sheetName val="CH - REGIONAL"/>
      <sheetName val="BANGALORE P &amp; L"/>
      <sheetName val="BANGALORE PLANT"/>
      <sheetName val="BANGALORE TRANSPORT"/>
      <sheetName val="BANGALORE PUMPING"/>
      <sheetName val="BANGALORE LAB"/>
      <sheetName val="BANGALORE QUARRY"/>
      <sheetName val="BANG QUARRY PROD"/>
      <sheetName val="BANG QUARRY TRASNPORT"/>
      <sheetName val="BANGALORE ADMIN 1"/>
      <sheetName val="BANGALORE ADMIN 2"/>
      <sheetName val="BANGALORE REGIONAL"/>
      <sheetName val="MU ADMIN1"/>
      <sheetName val="MU ADMIN 2"/>
      <sheetName val="CORPORATE"/>
      <sheetName val="TALOJA"/>
      <sheetName val="INS MUM"/>
      <sheetName val="INS CHENNAI"/>
      <sheetName val="SALARY"/>
      <sheetName val="CHENNAI"/>
      <sheetName val="CHENNAI - QUARRY"/>
      <sheetName val="WORKINGS"/>
      <sheetName val="MUMBAI FAR"/>
      <sheetName val="CHENNAI FAR"/>
      <sheetName val="BANG F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 refreshError="1"/>
      <sheetData sheetId="66" refreshError="1"/>
      <sheetData sheetId="67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lp"/>
      <sheetName val="Profit &amp; Loss Account"/>
      <sheetName val="Balance Sheet"/>
      <sheetName val="Notes"/>
      <sheetName val="Fixed Asset &amp; Def. Tax notes"/>
    </sheetNames>
    <sheetDataSet>
      <sheetData sheetId="0" refreshError="1">
        <row r="2">
          <cell r="E2">
            <v>38107</v>
          </cell>
          <cell r="G2">
            <v>37741</v>
          </cell>
        </row>
        <row r="5">
          <cell r="G5" t="str">
            <v/>
          </cell>
        </row>
      </sheetData>
      <sheetData sheetId="1" refreshError="1"/>
      <sheetData sheetId="2" refreshError="1">
        <row r="14">
          <cell r="D14" t="str">
            <v>#TRIAL BALANCE</v>
          </cell>
          <cell r="F14" t="str">
            <v>#TRIAL BALANCE</v>
          </cell>
        </row>
        <row r="15">
          <cell r="D15" t="str">
            <v>#TRIAL BALANCE</v>
          </cell>
          <cell r="F15" t="str">
            <v>#TRIAL BALANCE</v>
          </cell>
        </row>
        <row r="20">
          <cell r="D20" t="str">
            <v>#TRIAL BALANCE</v>
          </cell>
          <cell r="F20" t="str">
            <v>#TRIAL BALANCE</v>
          </cell>
        </row>
        <row r="23">
          <cell r="D23" t="str">
            <v>#TRIAL BALANCE</v>
          </cell>
          <cell r="F23" t="str">
            <v>#TRIAL BALANCE</v>
          </cell>
        </row>
        <row r="40">
          <cell r="D40" t="str">
            <v>#TRIAL BALANCE</v>
          </cell>
        </row>
      </sheetData>
      <sheetData sheetId="3" refreshError="1"/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S"/>
      <sheetName val="Ageing"/>
      <sheetName val="Data"/>
      <sheetName val="Sheet2"/>
      <sheetName val="Coll"/>
      <sheetName val="Repo 1"/>
      <sheetName val="TAX INCOME"/>
      <sheetName val="Inputs"/>
      <sheetName val="Dates"/>
      <sheetName val="Assumption"/>
      <sheetName val="TB"/>
      <sheetName val="REFNCOMPARE"/>
      <sheetName val="Drop Lists"/>
    </sheetNames>
    <sheetDataSet>
      <sheetData sheetId="0">
        <row r="2">
          <cell r="A2" t="str">
            <v>Abhay K. Shah</v>
          </cell>
        </row>
      </sheetData>
      <sheetData sheetId="1">
        <row r="2">
          <cell r="A2" t="str">
            <v>Abhay K. Shah</v>
          </cell>
        </row>
      </sheetData>
      <sheetData sheetId="2">
        <row r="2">
          <cell r="A2" t="str">
            <v>Abhay K. Shah</v>
          </cell>
        </row>
      </sheetData>
      <sheetData sheetId="3" refreshError="1">
        <row r="2">
          <cell r="A2" t="str">
            <v>Abhay K. Shah</v>
          </cell>
        </row>
        <row r="3">
          <cell r="A3" t="str">
            <v>Accurate Engineering Co Pvt Ltd</v>
          </cell>
        </row>
        <row r="4">
          <cell r="A4" t="str">
            <v>Ajanta Transistors &amp; Clock Mfg Co.</v>
          </cell>
        </row>
        <row r="5">
          <cell r="A5" t="str">
            <v>Ajanta Watches Ltd</v>
          </cell>
        </row>
        <row r="6">
          <cell r="A6" t="str">
            <v>Amit Publications Pvt Ltd</v>
          </cell>
        </row>
        <row r="7">
          <cell r="A7" t="str">
            <v>Anurang Engineering Co Pvt Ltd</v>
          </cell>
        </row>
        <row r="8">
          <cell r="A8" t="str">
            <v>Arvind Cotsyn (I) Ltd</v>
          </cell>
        </row>
        <row r="9">
          <cell r="A9" t="str">
            <v>Arvind Dyeing &amp; Bleaching Mills Ltd</v>
          </cell>
        </row>
        <row r="10">
          <cell r="A10" t="str">
            <v>Arvind Finlease Pvt Ltd</v>
          </cell>
        </row>
        <row r="11">
          <cell r="A11" t="str">
            <v>Ashok Transformers Pvt Ltd</v>
          </cell>
        </row>
        <row r="12">
          <cell r="A12" t="str">
            <v>Bajaj Auto Ltd</v>
          </cell>
        </row>
        <row r="13">
          <cell r="A13" t="str">
            <v>Bajaj Electricals Ltd</v>
          </cell>
        </row>
        <row r="14">
          <cell r="A14" t="str">
            <v>Bhagwati Spherocast Ltd</v>
          </cell>
        </row>
        <row r="15">
          <cell r="A15" t="str">
            <v>Borax Morarji Ltd</v>
          </cell>
        </row>
        <row r="16">
          <cell r="A16" t="str">
            <v>Canpex Chemicals Pvt Ltd</v>
          </cell>
        </row>
        <row r="17">
          <cell r="A17" t="str">
            <v>Cooper Foundry Private Limited</v>
          </cell>
        </row>
        <row r="18">
          <cell r="A18" t="str">
            <v>D. J. Malpani</v>
          </cell>
        </row>
        <row r="19">
          <cell r="A19" t="str">
            <v>Deccan Industrial Explosives Pvt Ltd</v>
          </cell>
        </row>
        <row r="20">
          <cell r="A20" t="str">
            <v>Dhar Automotives Pvt Ltd</v>
          </cell>
        </row>
        <row r="21">
          <cell r="A21" t="str">
            <v>Dharamsi &amp; Dharamsi Oil Industries Pvt Ltd</v>
          </cell>
        </row>
        <row r="22">
          <cell r="A22" t="str">
            <v>Dhariwal Industries Ltd</v>
          </cell>
        </row>
        <row r="23">
          <cell r="A23" t="str">
            <v>Dishti Industries Ltd</v>
          </cell>
        </row>
        <row r="24">
          <cell r="A24" t="str">
            <v>Eagle Poonawala</v>
          </cell>
        </row>
        <row r="25">
          <cell r="A25" t="str">
            <v>Ellora Times Pvt Ltd</v>
          </cell>
        </row>
        <row r="26">
          <cell r="A26" t="str">
            <v>Endurance Systems (I) Pvt Ltd</v>
          </cell>
        </row>
        <row r="27">
          <cell r="A27" t="str">
            <v>G B Rubber Products</v>
          </cell>
        </row>
        <row r="28">
          <cell r="A28" t="str">
            <v>Ganage Pressings Pvt Ltd</v>
          </cell>
        </row>
        <row r="29">
          <cell r="A29" t="str">
            <v>Garden Court Distilleries Pvt Ltd</v>
          </cell>
        </row>
        <row r="30">
          <cell r="A30" t="str">
            <v>Ghodawat Pan Masala Products (I) Pvt Ltd</v>
          </cell>
        </row>
        <row r="31">
          <cell r="A31" t="str">
            <v>Gujarat Mitra Pvt Ltd</v>
          </cell>
        </row>
        <row r="32">
          <cell r="A32" t="str">
            <v>Hindustan Distilleries</v>
          </cell>
        </row>
        <row r="33">
          <cell r="A33" t="str">
            <v>Indian Petrochemicals Corp Ltd</v>
          </cell>
        </row>
        <row r="34">
          <cell r="A34" t="str">
            <v>IPCL Retention Money</v>
          </cell>
        </row>
        <row r="35">
          <cell r="A35" t="str">
            <v>Jayashree Polymers Pvt Ltd</v>
          </cell>
        </row>
        <row r="36">
          <cell r="A36" t="str">
            <v>Jayashree Rubber Products Pvt Ltd</v>
          </cell>
        </row>
        <row r="37">
          <cell r="A37" t="str">
            <v>Jivraj Tea &amp; Industries Limited</v>
          </cell>
        </row>
        <row r="38">
          <cell r="A38" t="str">
            <v>Jivraj Tea Company</v>
          </cell>
        </row>
        <row r="39">
          <cell r="A39" t="str">
            <v>Jivraj Tea Limited</v>
          </cell>
        </row>
        <row r="40">
          <cell r="A40" t="str">
            <v>Kamal Marketing Pvt Ltd</v>
          </cell>
        </row>
        <row r="41">
          <cell r="A41" t="str">
            <v>Khanna Industrial Pipes Private Limited</v>
          </cell>
        </row>
        <row r="42">
          <cell r="A42" t="str">
            <v>Khudagawah Investments Pvt Ltd</v>
          </cell>
        </row>
        <row r="43">
          <cell r="A43" t="str">
            <v>L M Glasfibre</v>
          </cell>
        </row>
        <row r="44">
          <cell r="A44" t="str">
            <v>Lap Finance &amp; Consultancy Private Limited</v>
          </cell>
        </row>
        <row r="45">
          <cell r="A45" t="str">
            <v>M.H.Mills &amp; Inds Ltd</v>
          </cell>
        </row>
        <row r="46">
          <cell r="A46" t="str">
            <v>Maharashtra Seamless Ltd</v>
          </cell>
        </row>
        <row r="47">
          <cell r="A47" t="str">
            <v>Malpani Sales Corporation</v>
          </cell>
        </row>
        <row r="48">
          <cell r="A48" t="str">
            <v>Malpani Tea Corporation</v>
          </cell>
        </row>
        <row r="49">
          <cell r="A49" t="str">
            <v>Nalini Properties Pvt Ltd</v>
          </cell>
        </row>
        <row r="50">
          <cell r="A50" t="str">
            <v>Nav Maharashtra</v>
          </cell>
        </row>
        <row r="51">
          <cell r="A51" t="str">
            <v>Niskalp Investments &amp; Trading Co Ltd</v>
          </cell>
        </row>
        <row r="52">
          <cell r="A52" t="str">
            <v>Patankar Wind Farms</v>
          </cell>
        </row>
        <row r="53">
          <cell r="A53" t="str">
            <v>Poonawala Estate</v>
          </cell>
        </row>
        <row r="54">
          <cell r="A54" t="str">
            <v>Poonawala Finvest</v>
          </cell>
        </row>
        <row r="55">
          <cell r="A55" t="str">
            <v>Preetam Enterprises</v>
          </cell>
        </row>
        <row r="56">
          <cell r="A56" t="str">
            <v>Premier Seals (I) Pvt Ltd</v>
          </cell>
        </row>
        <row r="57">
          <cell r="A57" t="str">
            <v>Rajaram Solvex Limited</v>
          </cell>
        </row>
        <row r="58">
          <cell r="A58" t="str">
            <v>Rajasthan State Power Corp Ltd</v>
          </cell>
        </row>
        <row r="59">
          <cell r="A59" t="str">
            <v>Rajeev G Joshi</v>
          </cell>
        </row>
        <row r="60">
          <cell r="A60" t="str">
            <v>Rubberex Industries Pvt Ltd</v>
          </cell>
        </row>
        <row r="61">
          <cell r="A61" t="str">
            <v>Sagar Agencies Pvt Ltd</v>
          </cell>
        </row>
        <row r="62">
          <cell r="A62" t="str">
            <v>Sangram Patil</v>
          </cell>
        </row>
        <row r="63">
          <cell r="A63" t="str">
            <v>Sanjay Ghodawat (HUF)</v>
          </cell>
        </row>
        <row r="64">
          <cell r="A64" t="str">
            <v>Sarjan Infrastructure Finance Ltd</v>
          </cell>
        </row>
        <row r="65">
          <cell r="A65" t="str">
            <v>Sarjan Realities Pvt Ltd</v>
          </cell>
        </row>
        <row r="66">
          <cell r="A66" t="str">
            <v>Savita Chemicals Limited</v>
          </cell>
        </row>
        <row r="67">
          <cell r="A67" t="str">
            <v>Serum International</v>
          </cell>
        </row>
        <row r="68">
          <cell r="A68" t="str">
            <v>Sharada Erectors Private Limited</v>
          </cell>
        </row>
        <row r="69">
          <cell r="A69" t="str">
            <v>Shraddha Constructions</v>
          </cell>
        </row>
        <row r="70">
          <cell r="A70" t="str">
            <v>Shree Ramdeobaba Steel Pvt Ltd</v>
          </cell>
        </row>
        <row r="71">
          <cell r="A71" t="str">
            <v>Shri Charbhuja Sales Corporation</v>
          </cell>
        </row>
        <row r="72">
          <cell r="A72" t="str">
            <v>Standard Greases</v>
          </cell>
        </row>
        <row r="73">
          <cell r="A73" t="str">
            <v>Subash B Mutha</v>
          </cell>
        </row>
        <row r="74">
          <cell r="A74" t="str">
            <v>Sumatinath Enterprises</v>
          </cell>
        </row>
        <row r="75">
          <cell r="A75" t="str">
            <v>Suvi Rubber Pvt Ltd</v>
          </cell>
        </row>
        <row r="76">
          <cell r="A76" t="str">
            <v>Suzlon Developers Pvt Ltd</v>
          </cell>
        </row>
        <row r="77">
          <cell r="A77" t="str">
            <v>Suzlon Energy Limited</v>
          </cell>
        </row>
        <row r="78">
          <cell r="A78" t="str">
            <v>Suzlon Fibres Ltd</v>
          </cell>
        </row>
        <row r="79">
          <cell r="A79" t="str">
            <v>Suzlon Green Power Ltd</v>
          </cell>
        </row>
        <row r="80">
          <cell r="A80" t="str">
            <v>Tata Finance Ltd</v>
          </cell>
        </row>
        <row r="81">
          <cell r="A81" t="str">
            <v>Tata Power Company Limited</v>
          </cell>
        </row>
        <row r="82">
          <cell r="A82" t="str">
            <v>Vaman Prestressing Co Ltd</v>
          </cell>
        </row>
        <row r="83">
          <cell r="A83" t="str">
            <v>Vanaz Engineers Ltd</v>
          </cell>
        </row>
        <row r="84">
          <cell r="A84" t="str">
            <v>Varroc Engineering Ltd</v>
          </cell>
        </row>
        <row r="85">
          <cell r="A85" t="str">
            <v>Vishal Exports Overseas Ltd</v>
          </cell>
        </row>
        <row r="86">
          <cell r="A86" t="str">
            <v>Vishal Plastomer Pvt Ltd</v>
          </cell>
        </row>
        <row r="87">
          <cell r="A87" t="str">
            <v>VVF Ltd</v>
          </cell>
        </row>
        <row r="88">
          <cell r="A88" t="str">
            <v>Z.F. Steering Gear (I) Ltd</v>
          </cell>
        </row>
        <row r="89">
          <cell r="A89" t="str">
            <v>Radhekrishna Extractions Limited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lp"/>
      <sheetName val="Cashflow Statement"/>
      <sheetName val="Notes to cash flow pt. 1"/>
      <sheetName val="Notes to cash flow pt. 2"/>
      <sheetName val="Template"/>
      <sheetName val="Journals"/>
      <sheetName val="Tickmarks"/>
    </sheetNames>
    <sheetDataSet>
      <sheetData sheetId="0" refreshError="1"/>
      <sheetData sheetId="1" refreshError="1"/>
      <sheetData sheetId="2" refreshError="1">
        <row r="18">
          <cell r="D18" t="e">
            <v>#VALUE!</v>
          </cell>
          <cell r="F18">
            <v>0</v>
          </cell>
        </row>
        <row r="32">
          <cell r="D32">
            <v>0</v>
          </cell>
          <cell r="F32">
            <v>0</v>
          </cell>
        </row>
        <row r="42">
          <cell r="D42">
            <v>0</v>
          </cell>
          <cell r="F42">
            <v>0</v>
          </cell>
        </row>
        <row r="55">
          <cell r="D55">
            <v>0</v>
          </cell>
          <cell r="F55">
            <v>0</v>
          </cell>
        </row>
        <row r="67">
          <cell r="D67">
            <v>0</v>
          </cell>
          <cell r="F67">
            <v>0</v>
          </cell>
        </row>
        <row r="78">
          <cell r="D78">
            <v>0</v>
          </cell>
          <cell r="F78">
            <v>0</v>
          </cell>
        </row>
        <row r="98">
          <cell r="D98" t="e">
            <v>#VALUE!</v>
          </cell>
          <cell r="F98">
            <v>0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LOOR COMPARISION"/>
      <sheetName val="Kunigal Floor"/>
      <sheetName val="Data Sheet"/>
      <sheetName val="Kunigal-F"/>
    </sheetNames>
    <sheetDataSet>
      <sheetData sheetId="0" refreshError="1"/>
      <sheetData sheetId="1"/>
      <sheetData sheetId="2" refreshError="1">
        <row r="1">
          <cell r="B1" t="str">
            <v>Monthwise Production &amp; Net Realisation Details</v>
          </cell>
          <cell r="M1" t="str">
            <v>Budget 2003-2004</v>
          </cell>
        </row>
        <row r="4">
          <cell r="D4" t="str">
            <v>TOTAL</v>
          </cell>
          <cell r="E4">
            <v>37712</v>
          </cell>
          <cell r="F4">
            <v>37743</v>
          </cell>
          <cell r="G4">
            <v>37774</v>
          </cell>
          <cell r="H4">
            <v>37805</v>
          </cell>
          <cell r="I4">
            <v>37836</v>
          </cell>
          <cell r="J4">
            <v>37867</v>
          </cell>
          <cell r="K4">
            <v>37898</v>
          </cell>
          <cell r="L4">
            <v>37929</v>
          </cell>
          <cell r="M4">
            <v>37960</v>
          </cell>
          <cell r="N4">
            <v>37991</v>
          </cell>
          <cell r="O4">
            <v>38022</v>
          </cell>
          <cell r="P4">
            <v>38053</v>
          </cell>
        </row>
        <row r="7">
          <cell r="C7" t="str">
            <v>PEN MARBONITE  (Polished)</v>
          </cell>
          <cell r="D7">
            <v>2242500</v>
          </cell>
          <cell r="E7">
            <v>164375</v>
          </cell>
          <cell r="F7">
            <v>164375</v>
          </cell>
          <cell r="G7">
            <v>164375</v>
          </cell>
          <cell r="H7">
            <v>164375</v>
          </cell>
          <cell r="I7">
            <v>164375</v>
          </cell>
          <cell r="J7">
            <v>164375</v>
          </cell>
          <cell r="K7">
            <v>164375</v>
          </cell>
          <cell r="L7">
            <v>164375</v>
          </cell>
          <cell r="M7">
            <v>164375</v>
          </cell>
          <cell r="N7">
            <v>254375</v>
          </cell>
          <cell r="O7">
            <v>254375</v>
          </cell>
          <cell r="P7">
            <v>254375</v>
          </cell>
        </row>
        <row r="9">
          <cell r="C9" t="str">
            <v>GLOST OUTPUT-450X90X60X90</v>
          </cell>
          <cell r="D9">
            <v>180000</v>
          </cell>
          <cell r="N9">
            <v>60000</v>
          </cell>
          <cell r="O9">
            <v>60000</v>
          </cell>
          <cell r="P9">
            <v>60000</v>
          </cell>
        </row>
        <row r="10">
          <cell r="C10" t="str">
            <v>GLOST OUTPUT-24X24</v>
          </cell>
          <cell r="D10">
            <v>1972500</v>
          </cell>
          <cell r="E10">
            <v>164375</v>
          </cell>
          <cell r="F10">
            <v>164375</v>
          </cell>
          <cell r="G10">
            <v>164375</v>
          </cell>
          <cell r="H10">
            <v>164375</v>
          </cell>
          <cell r="I10">
            <v>164375</v>
          </cell>
          <cell r="J10">
            <v>164375</v>
          </cell>
          <cell r="K10">
            <v>164375</v>
          </cell>
          <cell r="L10">
            <v>164375</v>
          </cell>
          <cell r="M10">
            <v>164375</v>
          </cell>
          <cell r="N10">
            <v>164375</v>
          </cell>
          <cell r="O10">
            <v>164375</v>
          </cell>
          <cell r="P10">
            <v>164375</v>
          </cell>
        </row>
        <row r="11">
          <cell r="C11" t="str">
            <v>GLOST OUTPUT-45X45</v>
          </cell>
          <cell r="D11">
            <v>0</v>
          </cell>
        </row>
        <row r="12">
          <cell r="C12" t="str">
            <v>GLOST OUTPUT-90X90</v>
          </cell>
          <cell r="D12">
            <v>90000</v>
          </cell>
          <cell r="N12">
            <v>30000</v>
          </cell>
          <cell r="O12">
            <v>30000</v>
          </cell>
          <cell r="P12">
            <v>30000</v>
          </cell>
        </row>
        <row r="13">
          <cell r="C13" t="str">
            <v>Net Realisation</v>
          </cell>
          <cell r="E13">
            <v>530</v>
          </cell>
          <cell r="F13">
            <v>530</v>
          </cell>
          <cell r="G13">
            <v>530</v>
          </cell>
          <cell r="H13">
            <v>530</v>
          </cell>
          <cell r="I13">
            <v>530</v>
          </cell>
          <cell r="J13">
            <v>530</v>
          </cell>
          <cell r="K13">
            <v>530</v>
          </cell>
          <cell r="L13">
            <v>530</v>
          </cell>
          <cell r="M13">
            <v>530</v>
          </cell>
          <cell r="N13">
            <v>530</v>
          </cell>
          <cell r="O13">
            <v>530</v>
          </cell>
          <cell r="P13">
            <v>530</v>
          </cell>
        </row>
        <row r="14">
          <cell r="C14" t="str">
            <v>PEN  GRES</v>
          </cell>
          <cell r="D14">
            <v>1552500</v>
          </cell>
          <cell r="E14">
            <v>129375</v>
          </cell>
          <cell r="F14">
            <v>129375</v>
          </cell>
          <cell r="G14">
            <v>129375</v>
          </cell>
          <cell r="H14">
            <v>129375</v>
          </cell>
          <cell r="I14">
            <v>129375</v>
          </cell>
          <cell r="J14">
            <v>129375</v>
          </cell>
          <cell r="K14">
            <v>129375</v>
          </cell>
          <cell r="L14">
            <v>129375</v>
          </cell>
          <cell r="M14">
            <v>129375</v>
          </cell>
          <cell r="N14">
            <v>129375</v>
          </cell>
          <cell r="O14">
            <v>129375</v>
          </cell>
          <cell r="P14">
            <v>129375</v>
          </cell>
        </row>
        <row r="16">
          <cell r="C16" t="str">
            <v>Rectified Output 30x40 (MP)</v>
          </cell>
          <cell r="D16">
            <v>0</v>
          </cell>
        </row>
        <row r="17">
          <cell r="C17" t="str">
            <v>Rectified Output 45 X 45 (GP)</v>
          </cell>
          <cell r="D17">
            <v>1242000</v>
          </cell>
          <cell r="E17">
            <v>103500</v>
          </cell>
          <cell r="F17">
            <v>103500</v>
          </cell>
          <cell r="G17">
            <v>103500</v>
          </cell>
          <cell r="H17">
            <v>103500</v>
          </cell>
          <cell r="I17">
            <v>103500</v>
          </cell>
          <cell r="J17">
            <v>103500</v>
          </cell>
          <cell r="K17">
            <v>103500</v>
          </cell>
          <cell r="L17">
            <v>103500</v>
          </cell>
          <cell r="M17">
            <v>103500</v>
          </cell>
          <cell r="N17">
            <v>103500</v>
          </cell>
          <cell r="O17">
            <v>103500</v>
          </cell>
          <cell r="P17">
            <v>103500</v>
          </cell>
        </row>
        <row r="18">
          <cell r="C18" t="str">
            <v>Rectified Output 30 X 60 (MP)</v>
          </cell>
          <cell r="D18">
            <v>0</v>
          </cell>
        </row>
        <row r="19">
          <cell r="C19" t="str">
            <v>Rectified Output 60x60(GP)</v>
          </cell>
          <cell r="D19">
            <v>310500</v>
          </cell>
          <cell r="E19">
            <v>25875</v>
          </cell>
          <cell r="F19">
            <v>25875</v>
          </cell>
          <cell r="G19">
            <v>25875</v>
          </cell>
          <cell r="H19">
            <v>25875</v>
          </cell>
          <cell r="I19">
            <v>25875</v>
          </cell>
          <cell r="J19">
            <v>25875</v>
          </cell>
          <cell r="K19">
            <v>25875</v>
          </cell>
          <cell r="L19">
            <v>25875</v>
          </cell>
          <cell r="M19">
            <v>25875</v>
          </cell>
          <cell r="N19">
            <v>25875</v>
          </cell>
          <cell r="O19">
            <v>25875</v>
          </cell>
          <cell r="P19">
            <v>25875</v>
          </cell>
        </row>
        <row r="21">
          <cell r="C21" t="str">
            <v>Net Realisation Porselano</v>
          </cell>
          <cell r="E21">
            <v>300</v>
          </cell>
          <cell r="F21">
            <v>300</v>
          </cell>
          <cell r="G21">
            <v>300</v>
          </cell>
          <cell r="H21">
            <v>300</v>
          </cell>
          <cell r="I21">
            <v>300</v>
          </cell>
          <cell r="J21">
            <v>300</v>
          </cell>
          <cell r="K21">
            <v>300</v>
          </cell>
          <cell r="L21">
            <v>300</v>
          </cell>
          <cell r="M21">
            <v>300</v>
          </cell>
          <cell r="N21">
            <v>300</v>
          </cell>
          <cell r="O21">
            <v>300</v>
          </cell>
          <cell r="P21">
            <v>300</v>
          </cell>
        </row>
        <row r="22">
          <cell r="C22" t="str">
            <v>Net Realisation MP Rectified</v>
          </cell>
          <cell r="E22">
            <v>300</v>
          </cell>
          <cell r="F22">
            <v>300</v>
          </cell>
          <cell r="G22">
            <v>300</v>
          </cell>
          <cell r="H22">
            <v>300</v>
          </cell>
          <cell r="I22">
            <v>300</v>
          </cell>
          <cell r="J22">
            <v>300</v>
          </cell>
          <cell r="K22">
            <v>300</v>
          </cell>
          <cell r="L22">
            <v>300</v>
          </cell>
          <cell r="M22">
            <v>300</v>
          </cell>
          <cell r="N22">
            <v>300</v>
          </cell>
          <cell r="O22">
            <v>300</v>
          </cell>
          <cell r="P22">
            <v>300</v>
          </cell>
        </row>
        <row r="23">
          <cell r="C23" t="str">
            <v>PEN FLOOR</v>
          </cell>
          <cell r="D23">
            <v>862500</v>
          </cell>
          <cell r="E23">
            <v>71875</v>
          </cell>
          <cell r="F23">
            <v>71875</v>
          </cell>
          <cell r="G23">
            <v>71875</v>
          </cell>
          <cell r="H23">
            <v>71875</v>
          </cell>
          <cell r="I23">
            <v>71875</v>
          </cell>
          <cell r="J23">
            <v>71875</v>
          </cell>
          <cell r="K23">
            <v>71875</v>
          </cell>
          <cell r="L23">
            <v>71875</v>
          </cell>
          <cell r="M23">
            <v>71875</v>
          </cell>
          <cell r="N23">
            <v>71875</v>
          </cell>
          <cell r="O23">
            <v>71875</v>
          </cell>
          <cell r="P23">
            <v>71875</v>
          </cell>
        </row>
        <row r="25">
          <cell r="C25" t="str">
            <v>GLOST OUTPUT-8X4</v>
          </cell>
          <cell r="D25">
            <v>0</v>
          </cell>
        </row>
        <row r="26">
          <cell r="C26" t="str">
            <v>GLOST OUTPUT-16X16</v>
          </cell>
          <cell r="D26">
            <v>0</v>
          </cell>
        </row>
        <row r="27">
          <cell r="C27" t="str">
            <v>GLOST OUTPUT-8X8</v>
          </cell>
          <cell r="D27">
            <v>0</v>
          </cell>
        </row>
        <row r="28">
          <cell r="C28" t="str">
            <v>GLOST OUTPUT-12X12</v>
          </cell>
          <cell r="D28">
            <v>0</v>
          </cell>
        </row>
        <row r="29">
          <cell r="C29" t="str">
            <v>GLOST OUTPUT-18X18</v>
          </cell>
          <cell r="D29">
            <v>862500</v>
          </cell>
          <cell r="E29">
            <v>71875</v>
          </cell>
          <cell r="F29">
            <v>71875</v>
          </cell>
          <cell r="G29">
            <v>71875</v>
          </cell>
          <cell r="H29">
            <v>71875</v>
          </cell>
          <cell r="I29">
            <v>71875</v>
          </cell>
          <cell r="J29">
            <v>71875</v>
          </cell>
          <cell r="K29">
            <v>71875</v>
          </cell>
          <cell r="L29">
            <v>71875</v>
          </cell>
          <cell r="M29">
            <v>71875</v>
          </cell>
          <cell r="N29">
            <v>71875</v>
          </cell>
          <cell r="O29">
            <v>71875</v>
          </cell>
          <cell r="P29">
            <v>71875</v>
          </cell>
        </row>
        <row r="30">
          <cell r="C30" t="str">
            <v>Net Realisation</v>
          </cell>
          <cell r="E30">
            <v>180</v>
          </cell>
          <cell r="F30">
            <v>180</v>
          </cell>
          <cell r="G30">
            <v>180</v>
          </cell>
          <cell r="H30">
            <v>180</v>
          </cell>
          <cell r="I30">
            <v>180</v>
          </cell>
          <cell r="J30">
            <v>180</v>
          </cell>
          <cell r="K30">
            <v>180</v>
          </cell>
          <cell r="L30">
            <v>180</v>
          </cell>
          <cell r="M30">
            <v>180</v>
          </cell>
          <cell r="N30">
            <v>180</v>
          </cell>
          <cell r="O30">
            <v>180</v>
          </cell>
          <cell r="P30">
            <v>180</v>
          </cell>
        </row>
        <row r="31">
          <cell r="C31" t="str">
            <v>PEN  WALL</v>
          </cell>
          <cell r="D31">
            <v>2070000</v>
          </cell>
          <cell r="E31">
            <v>172500</v>
          </cell>
          <cell r="F31">
            <v>172500</v>
          </cell>
          <cell r="G31">
            <v>172500</v>
          </cell>
          <cell r="H31">
            <v>172500</v>
          </cell>
          <cell r="I31">
            <v>172500</v>
          </cell>
          <cell r="J31">
            <v>172500</v>
          </cell>
          <cell r="K31">
            <v>172500</v>
          </cell>
          <cell r="L31">
            <v>172500</v>
          </cell>
          <cell r="M31">
            <v>172500</v>
          </cell>
          <cell r="N31">
            <v>172500</v>
          </cell>
          <cell r="O31">
            <v>172500</v>
          </cell>
          <cell r="P31">
            <v>172500</v>
          </cell>
        </row>
        <row r="33">
          <cell r="C33" t="str">
            <v>GLOST OUTPUT-8X4</v>
          </cell>
          <cell r="D33">
            <v>0</v>
          </cell>
        </row>
        <row r="34">
          <cell r="C34" t="str">
            <v>GLOST OUTPUT- 315 X 420 unrectified(concepts-new)</v>
          </cell>
          <cell r="D34">
            <v>1905000</v>
          </cell>
          <cell r="E34">
            <v>117500</v>
          </cell>
          <cell r="F34">
            <v>117500</v>
          </cell>
          <cell r="G34">
            <v>117500</v>
          </cell>
          <cell r="H34">
            <v>172500</v>
          </cell>
          <cell r="I34">
            <v>172500</v>
          </cell>
          <cell r="J34">
            <v>172500</v>
          </cell>
          <cell r="K34">
            <v>172500</v>
          </cell>
          <cell r="L34">
            <v>172500</v>
          </cell>
          <cell r="M34">
            <v>172500</v>
          </cell>
          <cell r="N34">
            <v>172500</v>
          </cell>
          <cell r="O34">
            <v>172500</v>
          </cell>
          <cell r="P34">
            <v>172500</v>
          </cell>
        </row>
        <row r="35">
          <cell r="C35" t="str">
            <v>GLOST OUTPUT-12X8</v>
          </cell>
          <cell r="D35">
            <v>0</v>
          </cell>
        </row>
        <row r="36">
          <cell r="C36" t="str">
            <v>GLOST OUTPUT-30X40</v>
          </cell>
          <cell r="D36">
            <v>165000</v>
          </cell>
          <cell r="E36">
            <v>55000</v>
          </cell>
          <cell r="F36">
            <v>55000</v>
          </cell>
          <cell r="G36">
            <v>55000</v>
          </cell>
        </row>
        <row r="37">
          <cell r="C37" t="str">
            <v>GLOST OUTPUT-13X10</v>
          </cell>
          <cell r="D37">
            <v>0</v>
          </cell>
        </row>
        <row r="38">
          <cell r="C38" t="str">
            <v>Net Realisation</v>
          </cell>
          <cell r="E38">
            <v>200</v>
          </cell>
          <cell r="F38">
            <v>200</v>
          </cell>
          <cell r="G38">
            <v>200</v>
          </cell>
          <cell r="H38">
            <v>200</v>
          </cell>
          <cell r="I38">
            <v>200</v>
          </cell>
          <cell r="J38">
            <v>200</v>
          </cell>
          <cell r="K38">
            <v>200</v>
          </cell>
          <cell r="L38">
            <v>200</v>
          </cell>
          <cell r="M38">
            <v>200</v>
          </cell>
          <cell r="N38">
            <v>200</v>
          </cell>
          <cell r="O38">
            <v>200</v>
          </cell>
          <cell r="P38">
            <v>200</v>
          </cell>
        </row>
        <row r="39">
          <cell r="C39" t="str">
            <v>KUNIGAL THIRD FIRE</v>
          </cell>
          <cell r="D39">
            <v>103500</v>
          </cell>
          <cell r="E39">
            <v>8625</v>
          </cell>
          <cell r="F39">
            <v>8625</v>
          </cell>
          <cell r="G39">
            <v>8625</v>
          </cell>
          <cell r="H39">
            <v>8625</v>
          </cell>
          <cell r="I39">
            <v>8625</v>
          </cell>
          <cell r="J39">
            <v>8625</v>
          </cell>
          <cell r="K39">
            <v>8625</v>
          </cell>
          <cell r="L39">
            <v>8625</v>
          </cell>
          <cell r="M39">
            <v>8625</v>
          </cell>
          <cell r="N39">
            <v>8625</v>
          </cell>
          <cell r="O39">
            <v>8625</v>
          </cell>
          <cell r="P39">
            <v>8625</v>
          </cell>
        </row>
        <row r="41">
          <cell r="C41" t="str">
            <v>Fusion Border</v>
          </cell>
          <cell r="D41">
            <v>6000</v>
          </cell>
          <cell r="E41">
            <v>500</v>
          </cell>
          <cell r="F41">
            <v>500</v>
          </cell>
          <cell r="G41">
            <v>500</v>
          </cell>
          <cell r="H41">
            <v>500</v>
          </cell>
          <cell r="I41">
            <v>500</v>
          </cell>
          <cell r="J41">
            <v>500</v>
          </cell>
          <cell r="K41">
            <v>500</v>
          </cell>
          <cell r="L41">
            <v>500</v>
          </cell>
          <cell r="M41">
            <v>500</v>
          </cell>
          <cell r="N41">
            <v>500</v>
          </cell>
          <cell r="O41">
            <v>500</v>
          </cell>
          <cell r="P41">
            <v>500</v>
          </cell>
        </row>
        <row r="42">
          <cell r="C42" t="str">
            <v>Fusion Motiff</v>
          </cell>
          <cell r="D42">
            <v>12000</v>
          </cell>
          <cell r="E42">
            <v>1000</v>
          </cell>
          <cell r="F42">
            <v>1000</v>
          </cell>
          <cell r="G42">
            <v>1000</v>
          </cell>
          <cell r="H42">
            <v>1000</v>
          </cell>
          <cell r="I42">
            <v>1000</v>
          </cell>
          <cell r="J42">
            <v>1000</v>
          </cell>
          <cell r="K42">
            <v>1000</v>
          </cell>
          <cell r="L42">
            <v>1000</v>
          </cell>
          <cell r="M42">
            <v>1000</v>
          </cell>
          <cell r="N42">
            <v>1000</v>
          </cell>
          <cell r="O42">
            <v>1000</v>
          </cell>
          <cell r="P42">
            <v>1000</v>
          </cell>
        </row>
        <row r="43">
          <cell r="C43" t="str">
            <v>Fusion Body</v>
          </cell>
          <cell r="D43">
            <v>43500</v>
          </cell>
          <cell r="E43">
            <v>3625</v>
          </cell>
          <cell r="F43">
            <v>3625</v>
          </cell>
          <cell r="G43">
            <v>3625</v>
          </cell>
          <cell r="H43">
            <v>3625</v>
          </cell>
          <cell r="I43">
            <v>3625</v>
          </cell>
          <cell r="J43">
            <v>3625</v>
          </cell>
          <cell r="K43">
            <v>3625</v>
          </cell>
          <cell r="L43">
            <v>3625</v>
          </cell>
          <cell r="M43">
            <v>3625</v>
          </cell>
          <cell r="N43">
            <v>3625</v>
          </cell>
          <cell r="O43">
            <v>3625</v>
          </cell>
          <cell r="P43">
            <v>3625</v>
          </cell>
        </row>
        <row r="44">
          <cell r="C44" t="str">
            <v>Fusion Base</v>
          </cell>
          <cell r="D44">
            <v>42000</v>
          </cell>
          <cell r="E44">
            <v>3500</v>
          </cell>
          <cell r="F44">
            <v>3500</v>
          </cell>
          <cell r="G44">
            <v>3500</v>
          </cell>
          <cell r="H44">
            <v>3500</v>
          </cell>
          <cell r="I44">
            <v>3500</v>
          </cell>
          <cell r="J44">
            <v>3500</v>
          </cell>
          <cell r="K44">
            <v>3500</v>
          </cell>
          <cell r="L44">
            <v>3500</v>
          </cell>
          <cell r="M44">
            <v>3500</v>
          </cell>
          <cell r="N44">
            <v>3500</v>
          </cell>
          <cell r="O44">
            <v>3500</v>
          </cell>
          <cell r="P44">
            <v>3500</v>
          </cell>
        </row>
        <row r="46">
          <cell r="C46" t="str">
            <v>Net Realisation</v>
          </cell>
          <cell r="E46">
            <v>430</v>
          </cell>
          <cell r="F46">
            <v>430</v>
          </cell>
          <cell r="G46">
            <v>430</v>
          </cell>
          <cell r="H46">
            <v>430</v>
          </cell>
          <cell r="I46">
            <v>430</v>
          </cell>
          <cell r="J46">
            <v>430</v>
          </cell>
          <cell r="K46">
            <v>430</v>
          </cell>
          <cell r="L46">
            <v>430</v>
          </cell>
          <cell r="M46">
            <v>430</v>
          </cell>
          <cell r="N46">
            <v>430</v>
          </cell>
          <cell r="O46">
            <v>430</v>
          </cell>
          <cell r="P46">
            <v>430</v>
          </cell>
        </row>
        <row r="48">
          <cell r="C48" t="str">
            <v>KUNIGAL WALL</v>
          </cell>
          <cell r="D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</row>
        <row r="50">
          <cell r="C50" t="str">
            <v>GLOST OUTPUT-8X4</v>
          </cell>
          <cell r="D50">
            <v>0</v>
          </cell>
          <cell r="E50" t="e">
            <v>#DIV/0!</v>
          </cell>
          <cell r="F50" t="e">
            <v>#DIV/0!</v>
          </cell>
          <cell r="G50" t="e">
            <v>#DIV/0!</v>
          </cell>
          <cell r="H50" t="e">
            <v>#DIV/0!</v>
          </cell>
          <cell r="I50" t="e">
            <v>#DIV/0!</v>
          </cell>
          <cell r="J50" t="e">
            <v>#DIV/0!</v>
          </cell>
          <cell r="K50" t="e">
            <v>#DIV/0!</v>
          </cell>
          <cell r="L50" t="e">
            <v>#DIV/0!</v>
          </cell>
          <cell r="M50" t="e">
            <v>#DIV/0!</v>
          </cell>
          <cell r="N50" t="e">
            <v>#DIV/0!</v>
          </cell>
          <cell r="O50" t="e">
            <v>#DIV/0!</v>
          </cell>
          <cell r="P50" t="e">
            <v>#DIV/0!</v>
          </cell>
        </row>
        <row r="51">
          <cell r="C51" t="str">
            <v>GLOST OUTPUT-8X6</v>
          </cell>
          <cell r="D51">
            <v>0</v>
          </cell>
          <cell r="E51" t="e">
            <v>#DIV/0!</v>
          </cell>
          <cell r="F51" t="e">
            <v>#DIV/0!</v>
          </cell>
          <cell r="G51" t="e">
            <v>#DIV/0!</v>
          </cell>
          <cell r="H51" t="e">
            <v>#DIV/0!</v>
          </cell>
          <cell r="I51" t="e">
            <v>#DIV/0!</v>
          </cell>
          <cell r="J51" t="e">
            <v>#DIV/0!</v>
          </cell>
          <cell r="K51" t="e">
            <v>#DIV/0!</v>
          </cell>
          <cell r="L51" t="e">
            <v>#DIV/0!</v>
          </cell>
          <cell r="M51" t="e">
            <v>#DIV/0!</v>
          </cell>
          <cell r="N51" t="e">
            <v>#DIV/0!</v>
          </cell>
          <cell r="O51" t="e">
            <v>#DIV/0!</v>
          </cell>
          <cell r="P51" t="e">
            <v>#DIV/0!</v>
          </cell>
        </row>
        <row r="52">
          <cell r="C52" t="str">
            <v>GLOST OUTPUT-8X8</v>
          </cell>
          <cell r="D52">
            <v>0</v>
          </cell>
          <cell r="E52" t="e">
            <v>#DIV/0!</v>
          </cell>
          <cell r="F52" t="e">
            <v>#DIV/0!</v>
          </cell>
          <cell r="G52" t="e">
            <v>#DIV/0!</v>
          </cell>
          <cell r="H52" t="e">
            <v>#DIV/0!</v>
          </cell>
          <cell r="I52" t="e">
            <v>#DIV/0!</v>
          </cell>
          <cell r="J52" t="e">
            <v>#DIV/0!</v>
          </cell>
          <cell r="K52" t="e">
            <v>#DIV/0!</v>
          </cell>
          <cell r="L52" t="e">
            <v>#DIV/0!</v>
          </cell>
          <cell r="M52" t="e">
            <v>#DIV/0!</v>
          </cell>
          <cell r="N52" t="e">
            <v>#DIV/0!</v>
          </cell>
          <cell r="O52" t="e">
            <v>#DIV/0!</v>
          </cell>
          <cell r="P52" t="e">
            <v>#DIV/0!</v>
          </cell>
        </row>
        <row r="53">
          <cell r="C53" t="str">
            <v>GLOST OUTPUT-12X8</v>
          </cell>
          <cell r="D53">
            <v>0</v>
          </cell>
          <cell r="E53" t="e">
            <v>#DIV/0!</v>
          </cell>
          <cell r="F53" t="e">
            <v>#DIV/0!</v>
          </cell>
          <cell r="G53" t="e">
            <v>#DIV/0!</v>
          </cell>
          <cell r="H53" t="e">
            <v>#DIV/0!</v>
          </cell>
          <cell r="I53" t="e">
            <v>#DIV/0!</v>
          </cell>
          <cell r="J53" t="e">
            <v>#DIV/0!</v>
          </cell>
          <cell r="K53" t="e">
            <v>#DIV/0!</v>
          </cell>
          <cell r="L53" t="e">
            <v>#DIV/0!</v>
          </cell>
          <cell r="M53" t="e">
            <v>#DIV/0!</v>
          </cell>
          <cell r="N53" t="e">
            <v>#DIV/0!</v>
          </cell>
          <cell r="O53" t="e">
            <v>#DIV/0!</v>
          </cell>
          <cell r="P53" t="e">
            <v>#DIV/0!</v>
          </cell>
        </row>
        <row r="55">
          <cell r="C55" t="str">
            <v>KUNIGAL FLOOR</v>
          </cell>
          <cell r="D55">
            <v>2520000</v>
          </cell>
          <cell r="E55">
            <v>210000</v>
          </cell>
          <cell r="F55">
            <v>210000</v>
          </cell>
          <cell r="G55">
            <v>210000</v>
          </cell>
          <cell r="H55">
            <v>210000</v>
          </cell>
          <cell r="I55">
            <v>210000</v>
          </cell>
          <cell r="J55">
            <v>210000</v>
          </cell>
          <cell r="K55">
            <v>210000</v>
          </cell>
          <cell r="L55">
            <v>210000</v>
          </cell>
          <cell r="M55">
            <v>210000</v>
          </cell>
          <cell r="N55">
            <v>210000</v>
          </cell>
          <cell r="O55">
            <v>210000</v>
          </cell>
          <cell r="P55">
            <v>210000</v>
          </cell>
        </row>
        <row r="57">
          <cell r="C57" t="str">
            <v>GLOST OUTPUT-8X4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</row>
        <row r="58">
          <cell r="C58" t="str">
            <v>GLOST OUTPUT-8X8</v>
          </cell>
          <cell r="D58">
            <v>0</v>
          </cell>
        </row>
        <row r="59">
          <cell r="C59" t="str">
            <v>GLOST OUTPUT-15X15-rect</v>
          </cell>
          <cell r="D59">
            <v>1440000</v>
          </cell>
          <cell r="E59">
            <v>120000</v>
          </cell>
          <cell r="F59">
            <v>120000</v>
          </cell>
          <cell r="G59">
            <v>120000</v>
          </cell>
          <cell r="H59">
            <v>120000</v>
          </cell>
          <cell r="I59">
            <v>120000</v>
          </cell>
          <cell r="J59">
            <v>120000</v>
          </cell>
          <cell r="K59">
            <v>120000</v>
          </cell>
          <cell r="L59">
            <v>120000</v>
          </cell>
          <cell r="M59">
            <v>120000</v>
          </cell>
          <cell r="N59">
            <v>120000</v>
          </cell>
          <cell r="O59">
            <v>120000</v>
          </cell>
          <cell r="P59">
            <v>120000</v>
          </cell>
        </row>
        <row r="60">
          <cell r="C60" t="str">
            <v>GLOST OUTPUT-16X16 rectified</v>
          </cell>
          <cell r="D60">
            <v>1080000</v>
          </cell>
          <cell r="E60">
            <v>90000</v>
          </cell>
          <cell r="F60">
            <v>90000</v>
          </cell>
          <cell r="G60">
            <v>90000</v>
          </cell>
          <cell r="H60">
            <v>90000</v>
          </cell>
          <cell r="I60">
            <v>90000</v>
          </cell>
          <cell r="J60">
            <v>90000</v>
          </cell>
          <cell r="K60">
            <v>90000</v>
          </cell>
          <cell r="L60">
            <v>90000</v>
          </cell>
          <cell r="M60">
            <v>90000</v>
          </cell>
          <cell r="N60">
            <v>90000</v>
          </cell>
          <cell r="O60">
            <v>90000</v>
          </cell>
          <cell r="P60">
            <v>90000</v>
          </cell>
        </row>
        <row r="61">
          <cell r="C61" t="str">
            <v>Net Realisation</v>
          </cell>
          <cell r="E61">
            <v>230</v>
          </cell>
          <cell r="F61">
            <v>230</v>
          </cell>
          <cell r="G61">
            <v>230</v>
          </cell>
          <cell r="H61">
            <v>230</v>
          </cell>
          <cell r="I61">
            <v>230</v>
          </cell>
          <cell r="J61">
            <v>230</v>
          </cell>
          <cell r="K61">
            <v>230</v>
          </cell>
          <cell r="L61">
            <v>230</v>
          </cell>
          <cell r="M61">
            <v>230</v>
          </cell>
          <cell r="N61">
            <v>230</v>
          </cell>
          <cell r="O61">
            <v>230</v>
          </cell>
          <cell r="P61">
            <v>230</v>
          </cell>
        </row>
        <row r="63">
          <cell r="C63" t="str">
            <v>DEWAS  FLOOR</v>
          </cell>
          <cell r="D63">
            <v>862500</v>
          </cell>
          <cell r="E63">
            <v>71875</v>
          </cell>
          <cell r="F63">
            <v>71875</v>
          </cell>
          <cell r="G63">
            <v>71875</v>
          </cell>
          <cell r="H63">
            <v>71875</v>
          </cell>
          <cell r="I63">
            <v>71875</v>
          </cell>
          <cell r="J63">
            <v>71875</v>
          </cell>
          <cell r="K63">
            <v>71875</v>
          </cell>
          <cell r="L63">
            <v>71875</v>
          </cell>
          <cell r="M63">
            <v>71875</v>
          </cell>
          <cell r="N63">
            <v>71875</v>
          </cell>
          <cell r="O63">
            <v>71875</v>
          </cell>
          <cell r="P63">
            <v>71875</v>
          </cell>
        </row>
        <row r="65">
          <cell r="C65" t="str">
            <v>GLOST OUTPUT-8X4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</row>
        <row r="66">
          <cell r="C66" t="str">
            <v>GLOST OUTPUT-15X15</v>
          </cell>
          <cell r="D66">
            <v>120000</v>
          </cell>
          <cell r="E66">
            <v>10000</v>
          </cell>
          <cell r="F66">
            <v>10000</v>
          </cell>
          <cell r="G66">
            <v>10000</v>
          </cell>
          <cell r="H66">
            <v>10000</v>
          </cell>
          <cell r="I66">
            <v>10000</v>
          </cell>
          <cell r="J66">
            <v>10000</v>
          </cell>
          <cell r="K66">
            <v>10000</v>
          </cell>
          <cell r="L66">
            <v>10000</v>
          </cell>
          <cell r="M66">
            <v>10000</v>
          </cell>
          <cell r="N66">
            <v>10000</v>
          </cell>
          <cell r="O66">
            <v>10000</v>
          </cell>
          <cell r="P66">
            <v>10000</v>
          </cell>
        </row>
        <row r="67">
          <cell r="C67" t="str">
            <v>GLOST OUTPUT-8X8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</row>
        <row r="68">
          <cell r="C68" t="str">
            <v>GLOST OUTPUT-12X12</v>
          </cell>
          <cell r="D68">
            <v>742500</v>
          </cell>
          <cell r="E68">
            <v>61875</v>
          </cell>
          <cell r="F68">
            <v>61875</v>
          </cell>
          <cell r="G68">
            <v>61875</v>
          </cell>
          <cell r="H68">
            <v>61875</v>
          </cell>
          <cell r="I68">
            <v>61875</v>
          </cell>
          <cell r="J68">
            <v>61875</v>
          </cell>
          <cell r="K68">
            <v>61875</v>
          </cell>
          <cell r="L68">
            <v>61875</v>
          </cell>
          <cell r="M68">
            <v>61875</v>
          </cell>
          <cell r="N68">
            <v>61875</v>
          </cell>
          <cell r="O68">
            <v>61875</v>
          </cell>
          <cell r="P68">
            <v>61875</v>
          </cell>
        </row>
        <row r="69">
          <cell r="C69" t="str">
            <v>Net Realisation</v>
          </cell>
          <cell r="E69">
            <v>180</v>
          </cell>
          <cell r="F69">
            <v>180</v>
          </cell>
          <cell r="G69">
            <v>180</v>
          </cell>
          <cell r="H69">
            <v>180</v>
          </cell>
          <cell r="I69">
            <v>180</v>
          </cell>
          <cell r="J69">
            <v>180</v>
          </cell>
          <cell r="K69">
            <v>180</v>
          </cell>
          <cell r="L69">
            <v>180</v>
          </cell>
          <cell r="M69">
            <v>180</v>
          </cell>
          <cell r="N69">
            <v>180</v>
          </cell>
          <cell r="O69">
            <v>180</v>
          </cell>
          <cell r="P69">
            <v>180</v>
          </cell>
        </row>
        <row r="71">
          <cell r="C71" t="str">
            <v>DEWAS  ENDURA FLOOR</v>
          </cell>
          <cell r="D71">
            <v>517500</v>
          </cell>
          <cell r="E71">
            <v>43125</v>
          </cell>
          <cell r="F71">
            <v>43125</v>
          </cell>
          <cell r="G71">
            <v>43125</v>
          </cell>
          <cell r="H71">
            <v>43125</v>
          </cell>
          <cell r="I71">
            <v>43125</v>
          </cell>
          <cell r="J71">
            <v>43125</v>
          </cell>
          <cell r="K71">
            <v>43125</v>
          </cell>
          <cell r="L71">
            <v>43125</v>
          </cell>
          <cell r="M71">
            <v>43125</v>
          </cell>
          <cell r="N71">
            <v>43125</v>
          </cell>
          <cell r="O71">
            <v>43125</v>
          </cell>
          <cell r="P71">
            <v>43125</v>
          </cell>
        </row>
        <row r="73">
          <cell r="C73" t="str">
            <v>GLOST OUTPUT-12X6</v>
          </cell>
          <cell r="D73">
            <v>42000</v>
          </cell>
          <cell r="E73">
            <v>3500</v>
          </cell>
          <cell r="F73">
            <v>3500</v>
          </cell>
          <cell r="G73">
            <v>3500</v>
          </cell>
          <cell r="H73">
            <v>3500</v>
          </cell>
          <cell r="I73">
            <v>3500</v>
          </cell>
          <cell r="J73">
            <v>3500</v>
          </cell>
          <cell r="K73">
            <v>3500</v>
          </cell>
          <cell r="L73">
            <v>3500</v>
          </cell>
          <cell r="M73">
            <v>3500</v>
          </cell>
          <cell r="N73">
            <v>3500</v>
          </cell>
          <cell r="O73">
            <v>3500</v>
          </cell>
          <cell r="P73">
            <v>3500</v>
          </cell>
        </row>
        <row r="74">
          <cell r="C74" t="str">
            <v>GLOST OUTPUT-8X4</v>
          </cell>
          <cell r="D74">
            <v>18000</v>
          </cell>
          <cell r="E74">
            <v>1500</v>
          </cell>
          <cell r="F74">
            <v>1500</v>
          </cell>
          <cell r="G74">
            <v>1500</v>
          </cell>
          <cell r="H74">
            <v>1500</v>
          </cell>
          <cell r="I74">
            <v>1500</v>
          </cell>
          <cell r="J74">
            <v>1500</v>
          </cell>
          <cell r="K74">
            <v>1500</v>
          </cell>
          <cell r="L74">
            <v>1500</v>
          </cell>
          <cell r="M74">
            <v>1500</v>
          </cell>
          <cell r="N74">
            <v>1500</v>
          </cell>
          <cell r="O74">
            <v>1500</v>
          </cell>
          <cell r="P74">
            <v>1500</v>
          </cell>
        </row>
        <row r="75">
          <cell r="C75" t="str">
            <v>GLOST OUTPUT-8x8</v>
          </cell>
          <cell r="D75">
            <v>18000</v>
          </cell>
          <cell r="E75">
            <v>1500</v>
          </cell>
          <cell r="F75">
            <v>1500</v>
          </cell>
          <cell r="G75">
            <v>1500</v>
          </cell>
          <cell r="H75">
            <v>1500</v>
          </cell>
          <cell r="I75">
            <v>1500</v>
          </cell>
          <cell r="J75">
            <v>1500</v>
          </cell>
          <cell r="K75">
            <v>1500</v>
          </cell>
          <cell r="L75">
            <v>1500</v>
          </cell>
          <cell r="M75">
            <v>1500</v>
          </cell>
          <cell r="N75">
            <v>1500</v>
          </cell>
          <cell r="O75">
            <v>1500</v>
          </cell>
          <cell r="P75">
            <v>1500</v>
          </cell>
        </row>
        <row r="76">
          <cell r="B76">
            <v>15</v>
          </cell>
          <cell r="C76" t="str">
            <v>GLOST OUTPUT-12X12</v>
          </cell>
          <cell r="D76">
            <v>439500</v>
          </cell>
          <cell r="E76">
            <v>36625</v>
          </cell>
          <cell r="F76">
            <v>36625</v>
          </cell>
          <cell r="G76">
            <v>36625</v>
          </cell>
          <cell r="H76">
            <v>36625</v>
          </cell>
          <cell r="I76">
            <v>36625</v>
          </cell>
          <cell r="J76">
            <v>36625</v>
          </cell>
          <cell r="K76">
            <v>36625</v>
          </cell>
          <cell r="L76">
            <v>36625</v>
          </cell>
          <cell r="M76">
            <v>36625</v>
          </cell>
          <cell r="N76">
            <v>36625</v>
          </cell>
          <cell r="O76">
            <v>36625</v>
          </cell>
          <cell r="P76">
            <v>36625</v>
          </cell>
        </row>
        <row r="77">
          <cell r="C77" t="str">
            <v>GLOST OUTPUT-365X365</v>
          </cell>
          <cell r="D77">
            <v>0</v>
          </cell>
        </row>
        <row r="78">
          <cell r="C78" t="str">
            <v>Net Realisation</v>
          </cell>
          <cell r="E78">
            <v>230</v>
          </cell>
          <cell r="F78">
            <v>230</v>
          </cell>
          <cell r="G78">
            <v>230</v>
          </cell>
          <cell r="H78">
            <v>230</v>
          </cell>
          <cell r="I78">
            <v>230</v>
          </cell>
          <cell r="J78">
            <v>230</v>
          </cell>
          <cell r="K78">
            <v>230</v>
          </cell>
          <cell r="L78">
            <v>230</v>
          </cell>
          <cell r="M78">
            <v>230</v>
          </cell>
          <cell r="N78">
            <v>230</v>
          </cell>
          <cell r="O78">
            <v>230</v>
          </cell>
          <cell r="P78">
            <v>230</v>
          </cell>
        </row>
        <row r="80">
          <cell r="C80" t="str">
            <v>DEWAS  WALL</v>
          </cell>
          <cell r="D80">
            <v>2070000</v>
          </cell>
          <cell r="E80">
            <v>172500</v>
          </cell>
          <cell r="F80">
            <v>172500</v>
          </cell>
          <cell r="G80">
            <v>172500</v>
          </cell>
          <cell r="H80">
            <v>172500</v>
          </cell>
          <cell r="I80">
            <v>172500</v>
          </cell>
          <cell r="J80">
            <v>172500</v>
          </cell>
          <cell r="K80">
            <v>172500</v>
          </cell>
          <cell r="L80">
            <v>172500</v>
          </cell>
          <cell r="M80">
            <v>172500</v>
          </cell>
          <cell r="N80">
            <v>172500</v>
          </cell>
          <cell r="O80">
            <v>172500</v>
          </cell>
          <cell r="P80">
            <v>172500</v>
          </cell>
        </row>
        <row r="82">
          <cell r="C82" t="str">
            <v>GLOST OUTPUT-8X4</v>
          </cell>
          <cell r="D82">
            <v>240000</v>
          </cell>
          <cell r="E82">
            <v>20000</v>
          </cell>
          <cell r="F82">
            <v>20000</v>
          </cell>
          <cell r="G82">
            <v>20000</v>
          </cell>
          <cell r="H82">
            <v>20000</v>
          </cell>
          <cell r="I82">
            <v>20000</v>
          </cell>
          <cell r="J82">
            <v>20000</v>
          </cell>
          <cell r="K82">
            <v>20000</v>
          </cell>
          <cell r="L82">
            <v>20000</v>
          </cell>
          <cell r="M82">
            <v>20000</v>
          </cell>
          <cell r="N82">
            <v>20000</v>
          </cell>
          <cell r="O82">
            <v>20000</v>
          </cell>
          <cell r="P82">
            <v>20000</v>
          </cell>
        </row>
        <row r="83">
          <cell r="C83" t="str">
            <v>GLOST OUTPUT-8X8</v>
          </cell>
          <cell r="D83">
            <v>540000</v>
          </cell>
          <cell r="E83">
            <v>45000</v>
          </cell>
          <cell r="F83">
            <v>45000</v>
          </cell>
          <cell r="G83">
            <v>45000</v>
          </cell>
          <cell r="H83">
            <v>45000</v>
          </cell>
          <cell r="I83">
            <v>45000</v>
          </cell>
          <cell r="J83">
            <v>45000</v>
          </cell>
          <cell r="K83">
            <v>45000</v>
          </cell>
          <cell r="L83">
            <v>45000</v>
          </cell>
          <cell r="M83">
            <v>45000</v>
          </cell>
          <cell r="N83">
            <v>45000</v>
          </cell>
          <cell r="O83">
            <v>45000</v>
          </cell>
          <cell r="P83">
            <v>45000</v>
          </cell>
        </row>
        <row r="84">
          <cell r="C84" t="str">
            <v>GLOST OUTPUT-8X6</v>
          </cell>
          <cell r="D84">
            <v>240000</v>
          </cell>
          <cell r="E84">
            <v>20000</v>
          </cell>
          <cell r="F84">
            <v>20000</v>
          </cell>
          <cell r="G84">
            <v>20000</v>
          </cell>
          <cell r="H84">
            <v>20000</v>
          </cell>
          <cell r="I84">
            <v>20000</v>
          </cell>
          <cell r="J84">
            <v>20000</v>
          </cell>
          <cell r="K84">
            <v>20000</v>
          </cell>
          <cell r="L84">
            <v>20000</v>
          </cell>
          <cell r="M84">
            <v>20000</v>
          </cell>
          <cell r="N84">
            <v>20000</v>
          </cell>
          <cell r="O84">
            <v>20000</v>
          </cell>
          <cell r="P84">
            <v>20000</v>
          </cell>
        </row>
        <row r="85">
          <cell r="C85" t="str">
            <v>GLOST OUTPUT-6X6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</row>
        <row r="86">
          <cell r="C86" t="str">
            <v>GLOST OUTPUT-4X4</v>
          </cell>
          <cell r="D86">
            <v>360000</v>
          </cell>
          <cell r="E86">
            <v>30000</v>
          </cell>
          <cell r="F86">
            <v>30000</v>
          </cell>
          <cell r="G86">
            <v>30000</v>
          </cell>
          <cell r="H86">
            <v>30000</v>
          </cell>
          <cell r="I86">
            <v>30000</v>
          </cell>
          <cell r="J86">
            <v>30000</v>
          </cell>
          <cell r="K86">
            <v>30000</v>
          </cell>
          <cell r="L86">
            <v>30000</v>
          </cell>
          <cell r="M86">
            <v>30000</v>
          </cell>
          <cell r="N86">
            <v>30000</v>
          </cell>
          <cell r="O86">
            <v>30000</v>
          </cell>
          <cell r="P86">
            <v>30000</v>
          </cell>
        </row>
        <row r="87">
          <cell r="C87" t="str">
            <v>GLOST OUTPUT-12X8</v>
          </cell>
          <cell r="D87">
            <v>0</v>
          </cell>
        </row>
        <row r="88">
          <cell r="C88" t="str">
            <v>GLOST OUTPUT-12X8 Monoporosa</v>
          </cell>
          <cell r="D88">
            <v>690000</v>
          </cell>
          <cell r="E88">
            <v>57500</v>
          </cell>
          <cell r="F88">
            <v>57500</v>
          </cell>
          <cell r="G88">
            <v>57500</v>
          </cell>
          <cell r="H88">
            <v>57500</v>
          </cell>
          <cell r="I88">
            <v>57500</v>
          </cell>
          <cell r="J88">
            <v>57500</v>
          </cell>
          <cell r="K88">
            <v>57500</v>
          </cell>
          <cell r="L88">
            <v>57500</v>
          </cell>
          <cell r="M88">
            <v>57500</v>
          </cell>
          <cell r="N88">
            <v>57500</v>
          </cell>
          <cell r="O88">
            <v>57500</v>
          </cell>
          <cell r="P88">
            <v>57500</v>
          </cell>
        </row>
        <row r="89">
          <cell r="C89" t="str">
            <v>Net Realisation</v>
          </cell>
          <cell r="E89">
            <v>160</v>
          </cell>
          <cell r="F89">
            <v>160</v>
          </cell>
          <cell r="G89">
            <v>160</v>
          </cell>
          <cell r="H89">
            <v>160</v>
          </cell>
          <cell r="I89">
            <v>160</v>
          </cell>
          <cell r="J89">
            <v>160</v>
          </cell>
          <cell r="K89">
            <v>160</v>
          </cell>
          <cell r="L89">
            <v>160</v>
          </cell>
          <cell r="M89">
            <v>160</v>
          </cell>
          <cell r="N89">
            <v>160</v>
          </cell>
          <cell r="O89">
            <v>160</v>
          </cell>
          <cell r="P89">
            <v>160</v>
          </cell>
        </row>
        <row r="90">
          <cell r="C90" t="str">
            <v>Monoporosa</v>
          </cell>
          <cell r="E90">
            <v>180</v>
          </cell>
          <cell r="F90">
            <v>180</v>
          </cell>
          <cell r="G90">
            <v>180</v>
          </cell>
          <cell r="H90">
            <v>180</v>
          </cell>
          <cell r="I90">
            <v>180</v>
          </cell>
          <cell r="J90">
            <v>180</v>
          </cell>
          <cell r="K90">
            <v>180</v>
          </cell>
          <cell r="L90">
            <v>180</v>
          </cell>
          <cell r="M90">
            <v>180</v>
          </cell>
          <cell r="N90">
            <v>180</v>
          </cell>
          <cell r="O90">
            <v>180</v>
          </cell>
          <cell r="P90">
            <v>180</v>
          </cell>
        </row>
        <row r="92">
          <cell r="C92" t="str">
            <v>KARAIKAL  WALL</v>
          </cell>
          <cell r="D92">
            <v>1983750</v>
          </cell>
          <cell r="E92">
            <v>165312.5</v>
          </cell>
          <cell r="F92">
            <v>165312.5</v>
          </cell>
          <cell r="G92">
            <v>165312.5</v>
          </cell>
          <cell r="H92">
            <v>165312.5</v>
          </cell>
          <cell r="I92">
            <v>165312.5</v>
          </cell>
          <cell r="J92">
            <v>165312.5</v>
          </cell>
          <cell r="K92">
            <v>165312.5</v>
          </cell>
          <cell r="L92">
            <v>165312.5</v>
          </cell>
          <cell r="M92">
            <v>165312.5</v>
          </cell>
          <cell r="N92">
            <v>165312.5</v>
          </cell>
          <cell r="O92">
            <v>165312.5</v>
          </cell>
          <cell r="P92">
            <v>165312.5</v>
          </cell>
        </row>
        <row r="94">
          <cell r="B94">
            <v>1</v>
          </cell>
          <cell r="C94" t="str">
            <v>GLOST OUTPUT-12 X 8</v>
          </cell>
          <cell r="D94">
            <v>1983750</v>
          </cell>
          <cell r="E94">
            <v>165312.5</v>
          </cell>
          <cell r="F94">
            <v>165312.5</v>
          </cell>
          <cell r="G94">
            <v>165312.5</v>
          </cell>
          <cell r="H94">
            <v>165312.5</v>
          </cell>
          <cell r="I94">
            <v>165312.5</v>
          </cell>
          <cell r="J94">
            <v>165312.5</v>
          </cell>
          <cell r="K94">
            <v>165312.5</v>
          </cell>
          <cell r="L94">
            <v>165312.5</v>
          </cell>
          <cell r="M94">
            <v>165312.5</v>
          </cell>
          <cell r="N94">
            <v>165312.5</v>
          </cell>
          <cell r="O94">
            <v>165312.5</v>
          </cell>
          <cell r="P94">
            <v>165312.5</v>
          </cell>
        </row>
        <row r="95">
          <cell r="C95" t="str">
            <v>Net Realisation</v>
          </cell>
          <cell r="E95">
            <v>180</v>
          </cell>
          <cell r="F95">
            <v>180</v>
          </cell>
          <cell r="G95">
            <v>180</v>
          </cell>
          <cell r="H95">
            <v>180</v>
          </cell>
          <cell r="I95">
            <v>180</v>
          </cell>
          <cell r="J95">
            <v>180</v>
          </cell>
          <cell r="K95">
            <v>180</v>
          </cell>
          <cell r="L95">
            <v>180</v>
          </cell>
          <cell r="M95">
            <v>180</v>
          </cell>
          <cell r="N95">
            <v>180</v>
          </cell>
          <cell r="O95">
            <v>180</v>
          </cell>
          <cell r="P95">
            <v>180</v>
          </cell>
        </row>
      </sheetData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kks vs. records (2)"/>
      <sheetName val="Bokks vs. records"/>
      <sheetName val="Service tax payments"/>
      <sheetName val="Interest - Corporation bank"/>
      <sheetName val="ICICI &amp; TMBL interest"/>
      <sheetName val="Gratuity"/>
      <sheetName val="Bonus"/>
      <sheetName val="PL-paid (given by Bodena Sir)"/>
      <sheetName val="PL"/>
      <sheetName val="bodenna-sales-2008"/>
      <sheetName val="tower"/>
      <sheetName val="Lookups"/>
      <sheetName val="Wrk-EmpBen"/>
      <sheetName val="Wrk-AS4"/>
      <sheetName val="Wrk-FinCost"/>
      <sheetName val="Wrk-Mov in Invent"/>
      <sheetName val="Index"/>
      <sheetName val="Note 2.01 &amp; 2.04 (BS)"/>
      <sheetName val="Note 2.05 to 2.09(BS)"/>
      <sheetName val="Note 2.12 to 2.16(BS)"/>
      <sheetName val="FA 2.10 &amp; 2.11"/>
      <sheetName val="Note 2.17 to 2.19(BS)"/>
      <sheetName val="Note 3.01 to 3.11(P&amp;L)"/>
      <sheetName val="Note 4.22"/>
      <sheetName val="Note 4.01 to 4.07-NTA"/>
      <sheetName val="BS"/>
      <sheetName val="Statement of P&amp;L"/>
      <sheetName val="Note 4.08 to 4.11-NTA "/>
      <sheetName val="Note 1.01 to 1.25"/>
      <sheetName val="TB 31032012"/>
      <sheetName val="ICICI _ TMBL interest"/>
      <sheetName val="General hypothesis"/>
      <sheetName val="BSheetLY"/>
      <sheetName val="Query1.0f"/>
      <sheetName val="SAPBEXqueries"/>
      <sheetName val="TOC"/>
      <sheetName val="Query1.0b"/>
      <sheetName val="OpSumLY"/>
      <sheetName val="1.0"/>
      <sheetName val="Lists"/>
      <sheetName val="NotesSubsidiaryInformation_1"/>
      <sheetName val="NotesRelatedParties_1"/>
    </sheetNames>
    <sheetDataSet>
      <sheetData sheetId="0"/>
      <sheetData sheetId="1" refreshError="1"/>
      <sheetData sheetId="2" refreshError="1"/>
      <sheetData sheetId="3" refreshError="1"/>
      <sheetData sheetId="4">
        <row r="4">
          <cell r="J4">
            <v>3997594.5</v>
          </cell>
        </row>
        <row r="5">
          <cell r="J5">
            <v>115583</v>
          </cell>
        </row>
        <row r="6">
          <cell r="J6">
            <v>1406509</v>
          </cell>
        </row>
        <row r="7">
          <cell r="J7">
            <v>373421</v>
          </cell>
        </row>
        <row r="8">
          <cell r="J8">
            <v>353</v>
          </cell>
        </row>
        <row r="9">
          <cell r="J9">
            <v>487661.6</v>
          </cell>
        </row>
        <row r="10">
          <cell r="J10">
            <v>100486</v>
          </cell>
        </row>
        <row r="11">
          <cell r="J11">
            <v>101264</v>
          </cell>
        </row>
        <row r="12">
          <cell r="J12">
            <v>102452</v>
          </cell>
        </row>
        <row r="13">
          <cell r="J13">
            <v>226073</v>
          </cell>
        </row>
        <row r="14">
          <cell r="J14">
            <v>388300</v>
          </cell>
        </row>
        <row r="15">
          <cell r="J15">
            <v>-190906</v>
          </cell>
        </row>
        <row r="16">
          <cell r="J16">
            <v>53710</v>
          </cell>
        </row>
        <row r="17">
          <cell r="J17">
            <v>14267</v>
          </cell>
        </row>
        <row r="18">
          <cell r="J18">
            <v>40701</v>
          </cell>
        </row>
        <row r="19">
          <cell r="J19">
            <v>131757</v>
          </cell>
        </row>
        <row r="20">
          <cell r="J20">
            <v>56242</v>
          </cell>
        </row>
        <row r="21">
          <cell r="J21">
            <v>14939</v>
          </cell>
        </row>
        <row r="22">
          <cell r="J22">
            <v>42621</v>
          </cell>
        </row>
        <row r="23">
          <cell r="J23">
            <v>137969</v>
          </cell>
        </row>
        <row r="24">
          <cell r="J24">
            <v>104885</v>
          </cell>
        </row>
        <row r="25">
          <cell r="J25">
            <v>97021</v>
          </cell>
        </row>
        <row r="26">
          <cell r="J26">
            <v>93163</v>
          </cell>
        </row>
        <row r="27">
          <cell r="J27">
            <v>97766</v>
          </cell>
        </row>
        <row r="28">
          <cell r="J28">
            <v>90553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was Wall"/>
      <sheetName val="Dewas Monoporosa"/>
      <sheetName val="Dewas Endura"/>
      <sheetName val="Dewas Floor"/>
      <sheetName val="Dewas Consolidated"/>
      <sheetName val="Data Sheet"/>
    </sheetNames>
    <sheetDataSet>
      <sheetData sheetId="0" refreshError="1">
        <row r="2">
          <cell r="CS2" t="str">
            <v>Budgeted Profitability Statement For The Year Ended 31 St March 2005</v>
          </cell>
        </row>
        <row r="3">
          <cell r="CS3" t="str">
            <v>Dewas  Wall  Plant</v>
          </cell>
        </row>
        <row r="4">
          <cell r="CU4" t="str">
            <v xml:space="preserve">Budget </v>
          </cell>
          <cell r="CV4" t="str">
            <v xml:space="preserve">Budget </v>
          </cell>
        </row>
        <row r="5">
          <cell r="CS5" t="str">
            <v>Actual</v>
          </cell>
          <cell r="CU5" t="str">
            <v>Year</v>
          </cell>
          <cell r="CV5" t="str">
            <v>Per</v>
          </cell>
          <cell r="CW5">
            <v>1</v>
          </cell>
          <cell r="CX5">
            <v>2</v>
          </cell>
          <cell r="CY5">
            <v>3</v>
          </cell>
          <cell r="CZ5">
            <v>4</v>
          </cell>
          <cell r="DA5">
            <v>5</v>
          </cell>
          <cell r="DB5">
            <v>6</v>
          </cell>
          <cell r="DC5">
            <v>7</v>
          </cell>
          <cell r="DD5">
            <v>8</v>
          </cell>
          <cell r="DE5">
            <v>9</v>
          </cell>
          <cell r="DF5">
            <v>10</v>
          </cell>
          <cell r="DG5">
            <v>11</v>
          </cell>
          <cell r="DH5">
            <v>12</v>
          </cell>
        </row>
        <row r="6">
          <cell r="CS6" t="str">
            <v>upto Dec'03</v>
          </cell>
          <cell r="CU6" t="str">
            <v>Rs. In lacs</v>
          </cell>
          <cell r="CV6" t="str">
            <v>Sqmt</v>
          </cell>
        </row>
        <row r="7">
          <cell r="CT7" t="str">
            <v>RETAIL SALES</v>
          </cell>
        </row>
        <row r="8">
          <cell r="CS8">
            <v>1226319.0900000001</v>
          </cell>
          <cell r="CT8" t="str">
            <v>Volume- Sqmts</v>
          </cell>
          <cell r="CU8">
            <v>853125</v>
          </cell>
          <cell r="CW8">
            <v>71093.75</v>
          </cell>
          <cell r="CX8">
            <v>71093.75</v>
          </cell>
          <cell r="CY8">
            <v>71093.75</v>
          </cell>
          <cell r="CZ8">
            <v>71093.75</v>
          </cell>
          <cell r="DA8">
            <v>71093.75</v>
          </cell>
          <cell r="DB8">
            <v>71093.75</v>
          </cell>
          <cell r="DC8">
            <v>71093.75</v>
          </cell>
          <cell r="DD8">
            <v>71093.75</v>
          </cell>
          <cell r="DE8">
            <v>71093.75</v>
          </cell>
          <cell r="DF8">
            <v>71093.75</v>
          </cell>
          <cell r="DG8">
            <v>71093.75</v>
          </cell>
          <cell r="DH8">
            <v>71093.75</v>
          </cell>
        </row>
        <row r="9">
          <cell r="CS9">
            <v>156.59781441657148</v>
          </cell>
          <cell r="CT9" t="str">
            <v>Realisation Per Sqmt</v>
          </cell>
          <cell r="CU9">
            <v>165</v>
          </cell>
          <cell r="CW9">
            <v>165</v>
          </cell>
          <cell r="CX9">
            <v>165</v>
          </cell>
          <cell r="CY9">
            <v>165</v>
          </cell>
          <cell r="CZ9">
            <v>165</v>
          </cell>
          <cell r="DA9">
            <v>165</v>
          </cell>
          <cell r="DB9">
            <v>165</v>
          </cell>
          <cell r="DC9">
            <v>165</v>
          </cell>
          <cell r="DD9">
            <v>165</v>
          </cell>
          <cell r="DE9">
            <v>165</v>
          </cell>
          <cell r="DF9">
            <v>165</v>
          </cell>
          <cell r="DG9">
            <v>165</v>
          </cell>
          <cell r="DH9">
            <v>165</v>
          </cell>
        </row>
        <row r="11">
          <cell r="CS11">
            <v>1920.3888927131882</v>
          </cell>
          <cell r="CT11" t="str">
            <v>Sales Value - Rs. In lacs</v>
          </cell>
          <cell r="CU11">
            <v>1407.65625</v>
          </cell>
          <cell r="CW11">
            <v>117.3046875</v>
          </cell>
          <cell r="CX11">
            <v>117.3046875</v>
          </cell>
          <cell r="CY11">
            <v>117.3046875</v>
          </cell>
          <cell r="CZ11">
            <v>117.3046875</v>
          </cell>
          <cell r="DA11">
            <v>117.3046875</v>
          </cell>
          <cell r="DB11">
            <v>117.3046875</v>
          </cell>
          <cell r="DC11">
            <v>117.3046875</v>
          </cell>
          <cell r="DD11">
            <v>117.3046875</v>
          </cell>
          <cell r="DE11">
            <v>117.3046875</v>
          </cell>
          <cell r="DF11">
            <v>117.3046875</v>
          </cell>
          <cell r="DG11">
            <v>117.3046875</v>
          </cell>
          <cell r="DH11">
            <v>117.3046875</v>
          </cell>
        </row>
        <row r="12">
          <cell r="CT12" t="str">
            <v>PROJECT SALES</v>
          </cell>
        </row>
        <row r="13">
          <cell r="CT13" t="str">
            <v>Volume- Sqmts</v>
          </cell>
          <cell r="CU13">
            <v>0</v>
          </cell>
          <cell r="CW13">
            <v>0</v>
          </cell>
          <cell r="CX13">
            <v>0</v>
          </cell>
          <cell r="CY13">
            <v>0</v>
          </cell>
          <cell r="CZ13">
            <v>0</v>
          </cell>
          <cell r="DA13">
            <v>0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H13">
            <v>0</v>
          </cell>
        </row>
        <row r="14">
          <cell r="CT14" t="str">
            <v>Realisation Per Sqmt</v>
          </cell>
          <cell r="CU14" t="e">
            <v>#DIV/0!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0</v>
          </cell>
        </row>
        <row r="16">
          <cell r="CT16" t="str">
            <v>Sales Value - Rs. In lacs</v>
          </cell>
          <cell r="CU16">
            <v>0</v>
          </cell>
          <cell r="CW16">
            <v>0</v>
          </cell>
          <cell r="CX16">
            <v>0</v>
          </cell>
          <cell r="CY16">
            <v>0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0</v>
          </cell>
          <cell r="DH16">
            <v>0</v>
          </cell>
        </row>
        <row r="17">
          <cell r="CT17" t="str">
            <v>EXPORT SALES</v>
          </cell>
        </row>
        <row r="18">
          <cell r="CT18" t="str">
            <v>Volume- Sqmts</v>
          </cell>
          <cell r="CU18">
            <v>0</v>
          </cell>
          <cell r="CW18">
            <v>0</v>
          </cell>
          <cell r="CX18">
            <v>0</v>
          </cell>
          <cell r="CY18">
            <v>0</v>
          </cell>
          <cell r="CZ18">
            <v>0</v>
          </cell>
          <cell r="DA18">
            <v>0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0</v>
          </cell>
          <cell r="DH18">
            <v>0</v>
          </cell>
        </row>
        <row r="19">
          <cell r="CT19" t="str">
            <v>Realisation Per Sqmt</v>
          </cell>
          <cell r="CU19" t="e">
            <v>#DIV/0!</v>
          </cell>
          <cell r="CW19">
            <v>0</v>
          </cell>
          <cell r="CX19">
            <v>0</v>
          </cell>
          <cell r="CY19">
            <v>0</v>
          </cell>
          <cell r="CZ19">
            <v>0</v>
          </cell>
          <cell r="DA19">
            <v>0</v>
          </cell>
          <cell r="DB19">
            <v>0</v>
          </cell>
          <cell r="DC19">
            <v>0</v>
          </cell>
          <cell r="DD19">
            <v>0</v>
          </cell>
          <cell r="DE19">
            <v>0</v>
          </cell>
          <cell r="DF19">
            <v>0</v>
          </cell>
          <cell r="DG19">
            <v>0</v>
          </cell>
          <cell r="DH19">
            <v>0</v>
          </cell>
        </row>
        <row r="21">
          <cell r="CT21" t="str">
            <v>Sales Value - Rs. In lacs</v>
          </cell>
          <cell r="CU21">
            <v>0</v>
          </cell>
          <cell r="CW21">
            <v>0</v>
          </cell>
          <cell r="CX21">
            <v>0</v>
          </cell>
          <cell r="CY21">
            <v>0</v>
          </cell>
          <cell r="CZ21">
            <v>0</v>
          </cell>
          <cell r="DA21">
            <v>0</v>
          </cell>
          <cell r="DB21">
            <v>0</v>
          </cell>
          <cell r="DC21">
            <v>0</v>
          </cell>
          <cell r="DD21">
            <v>0</v>
          </cell>
          <cell r="DE21">
            <v>0</v>
          </cell>
          <cell r="DF21">
            <v>0</v>
          </cell>
          <cell r="DG21">
            <v>0</v>
          </cell>
          <cell r="DH21">
            <v>0</v>
          </cell>
        </row>
        <row r="22">
          <cell r="CT22" t="str">
            <v>ACCR/DECR TO STOCK</v>
          </cell>
        </row>
        <row r="23">
          <cell r="CT23" t="str">
            <v>Volume- Sqmts</v>
          </cell>
          <cell r="CW23">
            <v>0</v>
          </cell>
          <cell r="CX23">
            <v>0</v>
          </cell>
          <cell r="CY23">
            <v>0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0</v>
          </cell>
          <cell r="DH23">
            <v>0</v>
          </cell>
        </row>
        <row r="24">
          <cell r="CT24" t="str">
            <v>Realisation Per Sqmt</v>
          </cell>
          <cell r="CU24">
            <v>0</v>
          </cell>
          <cell r="CW24">
            <v>0</v>
          </cell>
          <cell r="CX24">
            <v>0</v>
          </cell>
          <cell r="CY24">
            <v>0</v>
          </cell>
          <cell r="CZ24">
            <v>0</v>
          </cell>
          <cell r="DA24">
            <v>0</v>
          </cell>
          <cell r="DB24">
            <v>0</v>
          </cell>
          <cell r="DC24">
            <v>0</v>
          </cell>
          <cell r="DD24">
            <v>0</v>
          </cell>
          <cell r="DE24">
            <v>0</v>
          </cell>
          <cell r="DF24">
            <v>0</v>
          </cell>
          <cell r="DG24">
            <v>0</v>
          </cell>
          <cell r="DH24">
            <v>0</v>
          </cell>
        </row>
        <row r="26">
          <cell r="CT26" t="str">
            <v>Stock Value - Rs in Lacs.</v>
          </cell>
          <cell r="CU26">
            <v>0</v>
          </cell>
          <cell r="CW26">
            <v>0</v>
          </cell>
          <cell r="CX26">
            <v>0</v>
          </cell>
          <cell r="CY26">
            <v>0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0</v>
          </cell>
          <cell r="DH26">
            <v>0</v>
          </cell>
        </row>
        <row r="28">
          <cell r="CS28">
            <v>1226319.0900000001</v>
          </cell>
          <cell r="CT28" t="str">
            <v>Production -Sqmts</v>
          </cell>
          <cell r="CU28">
            <v>853125</v>
          </cell>
          <cell r="CW28">
            <v>71093.75</v>
          </cell>
          <cell r="CX28">
            <v>71093.75</v>
          </cell>
          <cell r="CY28">
            <v>71093.75</v>
          </cell>
          <cell r="CZ28">
            <v>71093.75</v>
          </cell>
          <cell r="DA28">
            <v>71093.75</v>
          </cell>
          <cell r="DB28">
            <v>71093.75</v>
          </cell>
          <cell r="DC28">
            <v>71093.75</v>
          </cell>
          <cell r="DD28">
            <v>71093.75</v>
          </cell>
          <cell r="DE28">
            <v>71093.75</v>
          </cell>
          <cell r="DF28">
            <v>71093.75</v>
          </cell>
          <cell r="DG28">
            <v>71093.75</v>
          </cell>
          <cell r="DH28">
            <v>71093.75</v>
          </cell>
        </row>
        <row r="29">
          <cell r="CS29">
            <v>156.59781441657148</v>
          </cell>
          <cell r="CT29" t="str">
            <v>Total Earnings</v>
          </cell>
          <cell r="CU29">
            <v>1407.65625</v>
          </cell>
          <cell r="CV29">
            <v>165</v>
          </cell>
          <cell r="CW29">
            <v>117.3046875</v>
          </cell>
          <cell r="CX29">
            <v>117.3046875</v>
          </cell>
          <cell r="CY29">
            <v>117.3046875</v>
          </cell>
          <cell r="CZ29">
            <v>117.3046875</v>
          </cell>
          <cell r="DA29">
            <v>117.3046875</v>
          </cell>
          <cell r="DB29">
            <v>117.3046875</v>
          </cell>
          <cell r="DC29">
            <v>117.3046875</v>
          </cell>
          <cell r="DD29">
            <v>117.3046875</v>
          </cell>
          <cell r="DE29">
            <v>117.3046875</v>
          </cell>
          <cell r="DF29">
            <v>117.3046875</v>
          </cell>
          <cell r="DG29">
            <v>117.3046875</v>
          </cell>
          <cell r="DH29">
            <v>117.3046875</v>
          </cell>
        </row>
        <row r="32">
          <cell r="CS32">
            <v>13.389663533656645</v>
          </cell>
          <cell r="CT32" t="str">
            <v>Raw Materials</v>
          </cell>
          <cell r="CU32">
            <v>110.35545979455554</v>
          </cell>
          <cell r="CV32">
            <v>12.935438510717134</v>
          </cell>
          <cell r="CW32">
            <v>9.1962883162129643</v>
          </cell>
          <cell r="CX32">
            <v>9.1962883162129643</v>
          </cell>
          <cell r="CY32">
            <v>9.1962883162129643</v>
          </cell>
          <cell r="CZ32">
            <v>9.1962883162129643</v>
          </cell>
          <cell r="DA32">
            <v>9.1962883162129643</v>
          </cell>
          <cell r="DB32">
            <v>9.1962883162129643</v>
          </cell>
          <cell r="DC32">
            <v>9.1962883162129643</v>
          </cell>
          <cell r="DD32">
            <v>9.1962883162129643</v>
          </cell>
          <cell r="DE32">
            <v>9.1962883162129643</v>
          </cell>
          <cell r="DF32">
            <v>9.1962883162129643</v>
          </cell>
          <cell r="DG32">
            <v>9.1962883162129643</v>
          </cell>
          <cell r="DH32">
            <v>9.1962883162129643</v>
          </cell>
        </row>
        <row r="33">
          <cell r="CS33">
            <v>1.7214116759774165</v>
          </cell>
          <cell r="CT33" t="str">
            <v>Dies &amp; Punches</v>
          </cell>
          <cell r="CU33">
            <v>32.444653923005013</v>
          </cell>
          <cell r="CV33">
            <v>3.803036357275313</v>
          </cell>
          <cell r="CW33">
            <v>2.7037211602504185</v>
          </cell>
          <cell r="CX33">
            <v>2.7037211602504185</v>
          </cell>
          <cell r="CY33">
            <v>2.7037211602504185</v>
          </cell>
          <cell r="CZ33">
            <v>2.7037211602504185</v>
          </cell>
          <cell r="DA33">
            <v>2.7037211602504185</v>
          </cell>
          <cell r="DB33">
            <v>2.7037211602504185</v>
          </cell>
          <cell r="DC33">
            <v>2.7037211602504185</v>
          </cell>
          <cell r="DD33">
            <v>2.7037211602504185</v>
          </cell>
          <cell r="DE33">
            <v>2.7037211602504185</v>
          </cell>
          <cell r="DF33">
            <v>2.7037211602504185</v>
          </cell>
          <cell r="DG33">
            <v>2.7037211602504185</v>
          </cell>
          <cell r="DH33">
            <v>2.7037211602504185</v>
          </cell>
        </row>
        <row r="34">
          <cell r="CS34">
            <v>6.5496819428946509</v>
          </cell>
          <cell r="CT34" t="str">
            <v>Packing Materials</v>
          </cell>
          <cell r="CU34">
            <v>59.805304276315802</v>
          </cell>
          <cell r="CV34">
            <v>7.0101455561981894</v>
          </cell>
          <cell r="CW34">
            <v>4.9837753563596499</v>
          </cell>
          <cell r="CX34">
            <v>4.9837753563596499</v>
          </cell>
          <cell r="CY34">
            <v>4.9837753563596499</v>
          </cell>
          <cell r="CZ34">
            <v>4.9837753563596499</v>
          </cell>
          <cell r="DA34">
            <v>4.9837753563596499</v>
          </cell>
          <cell r="DB34">
            <v>4.9837753563596499</v>
          </cell>
          <cell r="DC34">
            <v>4.9837753563596499</v>
          </cell>
          <cell r="DD34">
            <v>4.9837753563596499</v>
          </cell>
          <cell r="DE34">
            <v>4.9837753563596499</v>
          </cell>
          <cell r="DF34">
            <v>4.9837753563596499</v>
          </cell>
          <cell r="DG34">
            <v>4.9837753563596499</v>
          </cell>
          <cell r="DH34">
            <v>4.9837753563596499</v>
          </cell>
        </row>
        <row r="36">
          <cell r="CS36">
            <v>21.66075715252871</v>
          </cell>
          <cell r="CT36" t="str">
            <v>Variable Cost - Volume</v>
          </cell>
          <cell r="CU36">
            <v>202.60541799387636</v>
          </cell>
          <cell r="CV36">
            <v>23.748620424190637</v>
          </cell>
          <cell r="CW36">
            <v>16.883784832823032</v>
          </cell>
          <cell r="CX36">
            <v>16.883784832823032</v>
          </cell>
          <cell r="CY36">
            <v>16.883784832823032</v>
          </cell>
          <cell r="CZ36">
            <v>16.883784832823032</v>
          </cell>
          <cell r="DA36">
            <v>16.883784832823032</v>
          </cell>
          <cell r="DB36">
            <v>16.883784832823032</v>
          </cell>
          <cell r="DC36">
            <v>16.883784832823032</v>
          </cell>
          <cell r="DD36">
            <v>16.883784832823032</v>
          </cell>
          <cell r="DE36">
            <v>16.883784832823032</v>
          </cell>
          <cell r="DF36">
            <v>16.883784832823032</v>
          </cell>
          <cell r="DG36">
            <v>16.883784832823032</v>
          </cell>
          <cell r="DH36">
            <v>16.883784832823032</v>
          </cell>
        </row>
        <row r="38">
          <cell r="CS38">
            <v>18.914326776075878</v>
          </cell>
          <cell r="CT38" t="str">
            <v>Glaze  Materials</v>
          </cell>
          <cell r="CU38">
            <v>168.90437862699946</v>
          </cell>
          <cell r="CV38">
            <v>19.79831544345781</v>
          </cell>
          <cell r="CW38">
            <v>14.075364885583285</v>
          </cell>
          <cell r="CX38">
            <v>14.075364885583285</v>
          </cell>
          <cell r="CY38">
            <v>14.075364885583285</v>
          </cell>
          <cell r="CZ38">
            <v>14.075364885583285</v>
          </cell>
          <cell r="DA38">
            <v>14.075364885583285</v>
          </cell>
          <cell r="DB38">
            <v>14.075364885583285</v>
          </cell>
          <cell r="DC38">
            <v>14.075364885583285</v>
          </cell>
          <cell r="DD38">
            <v>14.075364885583285</v>
          </cell>
          <cell r="DE38">
            <v>14.075364885583285</v>
          </cell>
          <cell r="DF38">
            <v>14.075364885583285</v>
          </cell>
          <cell r="DG38">
            <v>14.075364885583285</v>
          </cell>
          <cell r="DH38">
            <v>14.075364885583285</v>
          </cell>
        </row>
        <row r="39">
          <cell r="CS39">
            <v>4.1856968890535668</v>
          </cell>
          <cell r="CT39" t="str">
            <v>Stains &amp; Colors</v>
          </cell>
          <cell r="CU39">
            <v>38.390625</v>
          </cell>
          <cell r="CV39">
            <v>4.5</v>
          </cell>
          <cell r="CW39">
            <v>3.19921875</v>
          </cell>
          <cell r="CX39">
            <v>3.19921875</v>
          </cell>
          <cell r="CY39">
            <v>3.19921875</v>
          </cell>
          <cell r="CZ39">
            <v>3.19921875</v>
          </cell>
          <cell r="DA39">
            <v>3.19921875</v>
          </cell>
          <cell r="DB39">
            <v>3.19921875</v>
          </cell>
          <cell r="DC39">
            <v>3.19921875</v>
          </cell>
          <cell r="DD39">
            <v>3.19921875</v>
          </cell>
          <cell r="DE39">
            <v>3.19921875</v>
          </cell>
          <cell r="DF39">
            <v>3.19921875</v>
          </cell>
          <cell r="DG39">
            <v>3.19921875</v>
          </cell>
          <cell r="DH39">
            <v>3.19921875</v>
          </cell>
        </row>
        <row r="40">
          <cell r="CS40">
            <v>0.15575065377152372</v>
          </cell>
          <cell r="CT40" t="str">
            <v>Screen Materials</v>
          </cell>
          <cell r="CU40">
            <v>2.5593750000000006</v>
          </cell>
          <cell r="CV40">
            <v>0.30000000000000004</v>
          </cell>
          <cell r="CW40">
            <v>0.21328125000000001</v>
          </cell>
          <cell r="CX40">
            <v>0.21328125000000001</v>
          </cell>
          <cell r="CY40">
            <v>0.21328125000000001</v>
          </cell>
          <cell r="CZ40">
            <v>0.21328125000000001</v>
          </cell>
          <cell r="DA40">
            <v>0.21328125000000001</v>
          </cell>
          <cell r="DB40">
            <v>0.21328125000000001</v>
          </cell>
          <cell r="DC40">
            <v>0.21328125000000001</v>
          </cell>
          <cell r="DD40">
            <v>0.21328125000000001</v>
          </cell>
          <cell r="DE40">
            <v>0.21328125000000001</v>
          </cell>
          <cell r="DF40">
            <v>0.21328125000000001</v>
          </cell>
          <cell r="DG40">
            <v>0.21328125000000001</v>
          </cell>
          <cell r="DH40">
            <v>0.21328125000000001</v>
          </cell>
        </row>
        <row r="42">
          <cell r="CS42">
            <v>23.255774318900968</v>
          </cell>
          <cell r="CT42" t="str">
            <v>Variable Cost - Product Mix</v>
          </cell>
          <cell r="CU42">
            <v>209.85437862699945</v>
          </cell>
          <cell r="CV42">
            <v>24.59831544345781</v>
          </cell>
          <cell r="CW42">
            <v>17.487864885583285</v>
          </cell>
          <cell r="CX42">
            <v>17.487864885583285</v>
          </cell>
          <cell r="CY42">
            <v>17.487864885583285</v>
          </cell>
          <cell r="CZ42">
            <v>17.487864885583285</v>
          </cell>
          <cell r="DA42">
            <v>17.487864885583285</v>
          </cell>
          <cell r="DB42">
            <v>17.487864885583285</v>
          </cell>
          <cell r="DC42">
            <v>17.487864885583285</v>
          </cell>
          <cell r="DD42">
            <v>17.487864885583285</v>
          </cell>
          <cell r="DE42">
            <v>17.487864885583285</v>
          </cell>
          <cell r="DF42">
            <v>17.487864885583285</v>
          </cell>
          <cell r="DG42">
            <v>17.487864885583285</v>
          </cell>
          <cell r="DH42">
            <v>17.487864885583285</v>
          </cell>
        </row>
        <row r="44">
          <cell r="CS44">
            <v>14.604681722764344</v>
          </cell>
          <cell r="CT44" t="str">
            <v>Power Charges</v>
          </cell>
          <cell r="CU44">
            <v>138.37083695595223</v>
          </cell>
          <cell r="CV44">
            <v>16.219292243921142</v>
          </cell>
          <cell r="CW44">
            <v>11.273621266526199</v>
          </cell>
          <cell r="CX44">
            <v>11.320399778005561</v>
          </cell>
          <cell r="CY44">
            <v>11.367178289484919</v>
          </cell>
          <cell r="CZ44">
            <v>11.413956800964284</v>
          </cell>
          <cell r="DA44">
            <v>11.460735312443646</v>
          </cell>
          <cell r="DB44">
            <v>11.507513823923006</v>
          </cell>
          <cell r="DC44">
            <v>11.554292335402367</v>
          </cell>
          <cell r="DD44">
            <v>11.601070846881729</v>
          </cell>
          <cell r="DE44">
            <v>11.647849358361091</v>
          </cell>
          <cell r="DF44">
            <v>11.694627869840453</v>
          </cell>
          <cell r="DG44">
            <v>11.741406381319814</v>
          </cell>
          <cell r="DH44">
            <v>11.788184892799174</v>
          </cell>
        </row>
        <row r="45">
          <cell r="CS45">
            <v>44.909192435388093</v>
          </cell>
          <cell r="CT45" t="str">
            <v>Fuels &amp; Oils</v>
          </cell>
          <cell r="CU45">
            <v>392.40406075497464</v>
          </cell>
          <cell r="CV45">
            <v>45.996080381535485</v>
          </cell>
          <cell r="CW45">
            <v>32.700338396247879</v>
          </cell>
          <cell r="CX45">
            <v>32.700338396247879</v>
          </cell>
          <cell r="CY45">
            <v>32.700338396247879</v>
          </cell>
          <cell r="CZ45">
            <v>32.700338396247879</v>
          </cell>
          <cell r="DA45">
            <v>32.700338396247879</v>
          </cell>
          <cell r="DB45">
            <v>32.700338396247879</v>
          </cell>
          <cell r="DC45">
            <v>32.700338396247879</v>
          </cell>
          <cell r="DD45">
            <v>32.700338396247879</v>
          </cell>
          <cell r="DE45">
            <v>32.700338396247879</v>
          </cell>
          <cell r="DF45">
            <v>32.700338396247879</v>
          </cell>
          <cell r="DG45">
            <v>32.700338396247879</v>
          </cell>
          <cell r="DH45">
            <v>32.700338396247879</v>
          </cell>
        </row>
        <row r="46">
          <cell r="CS46">
            <v>3.9019208287787484</v>
          </cell>
          <cell r="CT46" t="str">
            <v>Refractory Materials</v>
          </cell>
          <cell r="CU46">
            <v>42.65625</v>
          </cell>
          <cell r="CV46">
            <v>5</v>
          </cell>
          <cell r="CW46">
            <v>3.5546875</v>
          </cell>
          <cell r="CX46">
            <v>3.5546875</v>
          </cell>
          <cell r="CY46">
            <v>3.5546875</v>
          </cell>
          <cell r="CZ46">
            <v>3.5546875</v>
          </cell>
          <cell r="DA46">
            <v>3.5546875</v>
          </cell>
          <cell r="DB46">
            <v>3.5546875</v>
          </cell>
          <cell r="DC46">
            <v>3.5546875</v>
          </cell>
          <cell r="DD46">
            <v>3.5546875</v>
          </cell>
          <cell r="DE46">
            <v>3.5546875</v>
          </cell>
          <cell r="DF46">
            <v>3.5546875</v>
          </cell>
          <cell r="DG46">
            <v>3.5546875</v>
          </cell>
          <cell r="DH46">
            <v>3.5546875</v>
          </cell>
        </row>
        <row r="47">
          <cell r="CS47">
            <v>5.6078389842239202</v>
          </cell>
          <cell r="CT47" t="str">
            <v>Stores &amp; Loose Tools</v>
          </cell>
          <cell r="CU47">
            <v>49.0546875</v>
          </cell>
          <cell r="CV47">
            <v>5.75</v>
          </cell>
          <cell r="CW47">
            <v>4.087890625</v>
          </cell>
          <cell r="CX47">
            <v>4.087890625</v>
          </cell>
          <cell r="CY47">
            <v>4.087890625</v>
          </cell>
          <cell r="CZ47">
            <v>4.087890625</v>
          </cell>
          <cell r="DA47">
            <v>4.087890625</v>
          </cell>
          <cell r="DB47">
            <v>4.087890625</v>
          </cell>
          <cell r="DC47">
            <v>4.087890625</v>
          </cell>
          <cell r="DD47">
            <v>4.087890625</v>
          </cell>
          <cell r="DE47">
            <v>4.087890625</v>
          </cell>
          <cell r="DF47">
            <v>4.087890625</v>
          </cell>
          <cell r="DG47">
            <v>4.087890625</v>
          </cell>
          <cell r="DH47">
            <v>4.087890625</v>
          </cell>
        </row>
        <row r="48">
          <cell r="CS48">
            <v>2.681194500527591</v>
          </cell>
          <cell r="CT48" t="str">
            <v>Repairs &amp; Maintainance</v>
          </cell>
          <cell r="CU48">
            <v>22.85156249347099</v>
          </cell>
          <cell r="CV48">
            <v>2.6785714278061237</v>
          </cell>
          <cell r="CW48">
            <v>1.9042968744559152</v>
          </cell>
          <cell r="CX48">
            <v>1.9042968744559152</v>
          </cell>
          <cell r="CY48">
            <v>1.9042968744559152</v>
          </cell>
          <cell r="CZ48">
            <v>1.9042968744559152</v>
          </cell>
          <cell r="DA48">
            <v>1.9042968744559152</v>
          </cell>
          <cell r="DB48">
            <v>1.9042968744559152</v>
          </cell>
          <cell r="DC48">
            <v>1.9042968744559152</v>
          </cell>
          <cell r="DD48">
            <v>1.9042968744559152</v>
          </cell>
          <cell r="DE48">
            <v>1.9042968744559152</v>
          </cell>
          <cell r="DF48">
            <v>1.9042968744559152</v>
          </cell>
          <cell r="DG48">
            <v>1.9042968744559152</v>
          </cell>
          <cell r="DH48">
            <v>1.9042968744559152</v>
          </cell>
        </row>
        <row r="49">
          <cell r="CS49">
            <v>2.985356772029049</v>
          </cell>
          <cell r="CT49" t="str">
            <v>Manufacturing Overheads</v>
          </cell>
          <cell r="CU49">
            <v>38.984765613861498</v>
          </cell>
          <cell r="CV49">
            <v>4.5696428558372455</v>
          </cell>
          <cell r="CW49">
            <v>3.2487304678217908</v>
          </cell>
          <cell r="CX49">
            <v>3.2487304678217908</v>
          </cell>
          <cell r="CY49">
            <v>3.2487304678217908</v>
          </cell>
          <cell r="CZ49">
            <v>3.2487304678217908</v>
          </cell>
          <cell r="DA49">
            <v>3.2487304678217908</v>
          </cell>
          <cell r="DB49">
            <v>3.2487304678217908</v>
          </cell>
          <cell r="DC49">
            <v>3.2487304678217908</v>
          </cell>
          <cell r="DD49">
            <v>3.2487304678217908</v>
          </cell>
          <cell r="DE49">
            <v>3.2487304678217908</v>
          </cell>
          <cell r="DF49">
            <v>3.2487304678217908</v>
          </cell>
          <cell r="DG49">
            <v>3.2487304678217908</v>
          </cell>
          <cell r="DH49">
            <v>3.2487304678217908</v>
          </cell>
        </row>
        <row r="51">
          <cell r="CS51">
            <v>74.690185243711753</v>
          </cell>
          <cell r="CT51" t="str">
            <v>Semi-Variable Cost</v>
          </cell>
          <cell r="CU51">
            <v>684.3221633182593</v>
          </cell>
          <cell r="CV51">
            <v>80.213586909099988</v>
          </cell>
          <cell r="CW51">
            <v>56.769565130051788</v>
          </cell>
          <cell r="CX51">
            <v>56.816343641531148</v>
          </cell>
          <cell r="CY51">
            <v>56.863122153010508</v>
          </cell>
          <cell r="CZ51">
            <v>56.909900664489875</v>
          </cell>
          <cell r="DA51">
            <v>56.956679175969235</v>
          </cell>
          <cell r="DB51">
            <v>57.003457687448595</v>
          </cell>
          <cell r="DC51">
            <v>57.050236198927955</v>
          </cell>
          <cell r="DD51">
            <v>57.097014710407322</v>
          </cell>
          <cell r="DE51">
            <v>57.143793221886682</v>
          </cell>
          <cell r="DF51">
            <v>57.190571733366042</v>
          </cell>
          <cell r="DG51">
            <v>57.237350244845402</v>
          </cell>
          <cell r="DH51">
            <v>57.284128756324762</v>
          </cell>
        </row>
        <row r="53">
          <cell r="CS53">
            <v>119.60671671514143</v>
          </cell>
          <cell r="CT53" t="str">
            <v>Total Direct Cost</v>
          </cell>
          <cell r="CU53">
            <v>1096.781959939135</v>
          </cell>
          <cell r="CV53">
            <v>128.56052277674843</v>
          </cell>
          <cell r="CW53">
            <v>91.141214848458105</v>
          </cell>
          <cell r="CX53">
            <v>91.187993359937479</v>
          </cell>
          <cell r="CY53">
            <v>91.234771871416825</v>
          </cell>
          <cell r="CZ53">
            <v>91.281550382896199</v>
          </cell>
          <cell r="DA53">
            <v>91.328328894375545</v>
          </cell>
          <cell r="DB53">
            <v>91.375107405854919</v>
          </cell>
          <cell r="DC53">
            <v>91.421885917334265</v>
          </cell>
          <cell r="DD53">
            <v>91.468664428813639</v>
          </cell>
          <cell r="DE53">
            <v>91.515442940293013</v>
          </cell>
          <cell r="DF53">
            <v>91.562221451772359</v>
          </cell>
          <cell r="DG53">
            <v>91.608999963251733</v>
          </cell>
          <cell r="DH53">
            <v>91.655778474731079</v>
          </cell>
        </row>
        <row r="54">
          <cell r="CS54">
            <v>0.76378279710195252</v>
          </cell>
          <cell r="CT54" t="str">
            <v>Direct Cost/Sqmt</v>
          </cell>
          <cell r="CU54">
            <v>0.77915468349544503</v>
          </cell>
          <cell r="CW54">
            <v>128.19863187475426</v>
          </cell>
          <cell r="CX54">
            <v>128.2644302205714</v>
          </cell>
          <cell r="CY54">
            <v>128.33022856638851</v>
          </cell>
          <cell r="CZ54">
            <v>128.39602691220563</v>
          </cell>
          <cell r="DA54">
            <v>128.46182525802274</v>
          </cell>
          <cell r="DB54">
            <v>128.52762360383988</v>
          </cell>
          <cell r="DC54">
            <v>128.59342194965697</v>
          </cell>
          <cell r="DD54">
            <v>128.65922029547414</v>
          </cell>
          <cell r="DE54">
            <v>128.72501864129126</v>
          </cell>
          <cell r="DF54">
            <v>128.79081698710837</v>
          </cell>
          <cell r="DG54">
            <v>128.85661533292551</v>
          </cell>
          <cell r="DH54">
            <v>128.9224136787426</v>
          </cell>
        </row>
        <row r="56">
          <cell r="CT56" t="str">
            <v>Contribution Margin</v>
          </cell>
          <cell r="CU56">
            <v>310.87429006086495</v>
          </cell>
          <cell r="CW56">
            <v>26.163472651541895</v>
          </cell>
          <cell r="CX56">
            <v>26.116694140062521</v>
          </cell>
          <cell r="CY56">
            <v>26.069915628583175</v>
          </cell>
          <cell r="CZ56">
            <v>26.023137117103801</v>
          </cell>
          <cell r="DA56">
            <v>25.976358605624455</v>
          </cell>
          <cell r="DB56">
            <v>25.929580094145081</v>
          </cell>
          <cell r="DC56">
            <v>25.882801582665735</v>
          </cell>
          <cell r="DD56">
            <v>25.836023071186361</v>
          </cell>
          <cell r="DE56">
            <v>25.789244559706987</v>
          </cell>
          <cell r="DF56">
            <v>25.742466048227641</v>
          </cell>
          <cell r="DG56">
            <v>25.695687536748267</v>
          </cell>
          <cell r="DH56">
            <v>25.648909025268921</v>
          </cell>
        </row>
        <row r="57">
          <cell r="CS57">
            <v>36.99109770143005</v>
          </cell>
          <cell r="CT57" t="str">
            <v>Contribution / Sqmt</v>
          </cell>
          <cell r="CV57">
            <v>36.439477223251572</v>
          </cell>
          <cell r="CW57">
            <v>36.801368125245745</v>
          </cell>
          <cell r="CX57">
            <v>36.735569779428594</v>
          </cell>
          <cell r="CY57">
            <v>36.669771433611501</v>
          </cell>
          <cell r="CZ57">
            <v>36.603973087794358</v>
          </cell>
          <cell r="DA57">
            <v>36.538174741977258</v>
          </cell>
          <cell r="DB57">
            <v>36.472376396160115</v>
          </cell>
          <cell r="DC57">
            <v>36.406578050343015</v>
          </cell>
          <cell r="DD57">
            <v>36.340779704525872</v>
          </cell>
          <cell r="DE57">
            <v>36.274981358708729</v>
          </cell>
          <cell r="DF57">
            <v>36.209183012891629</v>
          </cell>
          <cell r="DG57">
            <v>36.143384667074486</v>
          </cell>
          <cell r="DH57">
            <v>36.077586321257385</v>
          </cell>
        </row>
      </sheetData>
      <sheetData sheetId="1"/>
      <sheetData sheetId="2"/>
      <sheetData sheetId="3"/>
      <sheetData sheetId="4" refreshError="1"/>
      <sheetData sheetId="5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y 09 Pur Ant"/>
      <sheetName val="Sheet4"/>
      <sheetName val="sq01"/>
      <sheetName val="Sheet1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tios"/>
      <sheetName val="Summary"/>
      <sheetName val="Main Sheet"/>
      <sheetName val="VRXP"/>
      <sheetName val="V.Ins"/>
      <sheetName val="Sw"/>
      <sheetName val="Rent others"/>
      <sheetName val="Rent Guest House Actual"/>
      <sheetName val="Int. on HP"/>
      <sheetName val="Fuel Charges"/>
      <sheetName val="Subscription"/>
      <sheetName val="Entertainment"/>
      <sheetName val="SIE Admin &amp; Corp"/>
      <sheetName val="4219020-SIE Advert"/>
      <sheetName val="4219021-SIE P&amp;S"/>
      <sheetName val="Dont Alter"/>
      <sheetName val="Sheet1"/>
      <sheetName val="Fbt SANDEEP"/>
      <sheetName val="inve"/>
      <sheetName val="Financials New format"/>
      <sheetName val="Financials"/>
      <sheetName val="Revised Sch VI BS"/>
      <sheetName val="Revised Sch VI BS Notes"/>
      <sheetName val="Revised Sch VI PNL"/>
      <sheetName val="Revised Sch VI PNL Notes"/>
      <sheetName val="BS"/>
      <sheetName val="BS detailed"/>
      <sheetName val="P&amp;L"/>
      <sheetName val="Cash flow"/>
      <sheetName val="P&amp;L detailed"/>
      <sheetName val="Sch 01"/>
      <sheetName val="Schedule 02"/>
      <sheetName val="Sche 02"/>
      <sheetName val="Sch 02"/>
      <sheetName val="Sch 03 &amp; 04"/>
      <sheetName val="Sch 05"/>
      <sheetName val="Sche 06"/>
      <sheetName val="Sch 07, 08 &amp; 09 "/>
      <sheetName val="Sched 06"/>
      <sheetName val="Sch 10, 11 &amp; 12"/>
      <sheetName val="Sch 13 &amp; 14"/>
      <sheetName val="Sch 15 &amp; 16"/>
      <sheetName val="Sch 17, 18 &amp; 19"/>
      <sheetName val="SignatoriesR"/>
      <sheetName val="Signatories"/>
      <sheetName val="SEBI"/>
      <sheetName val="Other-details"/>
      <sheetName val="SEBI-EXTRA"/>
      <sheetName val="Other-details-HFM"/>
      <sheetName val="ICICI &amp; TMBL interest"/>
      <sheetName val="Base Dump FAR"/>
      <sheetName val="Inter Co Balances"/>
      <sheetName val="coa_ramco_168"/>
      <sheetName val="Primero Tower Budget"/>
      <sheetName val="Ref"/>
      <sheetName val="Grouping"/>
      <sheetName val="Determination of Threshold"/>
      <sheetName val="GL DUMP NEW"/>
      <sheetName val="McKAnalyst"/>
      <sheetName val="sch"/>
      <sheetName val="Assumptions"/>
      <sheetName val="FFM"/>
      <sheetName val="BS-203"/>
      <sheetName val="Activity Codes"/>
      <sheetName val="4219020_SIE Advert"/>
      <sheetName val="DPT-PW"/>
      <sheetName val="Company"/>
      <sheetName val="Maneja -Balance Sheet"/>
      <sheetName val="BSheetLY"/>
      <sheetName val="Query1.0f"/>
      <sheetName val="SAPBEXqueries"/>
      <sheetName val="TOC"/>
      <sheetName val="Query1.0b"/>
      <sheetName val="OpSumLY"/>
      <sheetName val="1.0"/>
      <sheetName val="Main_Sheet"/>
      <sheetName val="V_Ins"/>
      <sheetName val="Rent_others"/>
      <sheetName val="Rent_Guest_House_Actual"/>
      <sheetName val="Int__on_HP"/>
      <sheetName val="Fuel_Charges"/>
      <sheetName val="SIE_Admin_&amp;_Corp"/>
      <sheetName val="4219020-SIE_Advert"/>
      <sheetName val="4219021-SIE_P&amp;S"/>
      <sheetName val="Dont_Alter"/>
      <sheetName val="Fbt_SANDEEP"/>
      <sheetName val="Financials_New_format"/>
      <sheetName val="Revised_Sch_VI_BS"/>
      <sheetName val="Revised_Sch_VI_BS_Notes"/>
      <sheetName val="Revised_Sch_VI_PNL"/>
      <sheetName val="Revised_Sch_VI_PNL_Notes"/>
      <sheetName val="BS_detailed"/>
      <sheetName val="Cash_flow"/>
      <sheetName val="P&amp;L_detailed"/>
      <sheetName val="Sch_01"/>
      <sheetName val="Schedule_02"/>
      <sheetName val="Sche_02"/>
      <sheetName val="Sch_02"/>
      <sheetName val="Sch_03_&amp;_04"/>
      <sheetName val="Sch_05"/>
      <sheetName val="Sche_06"/>
      <sheetName val="Sch_07,_08_&amp;_09_"/>
      <sheetName val="Sched_06"/>
      <sheetName val="Sch_10,_11_&amp;_12"/>
      <sheetName val="Sch_13_&amp;_14"/>
      <sheetName val="Sch_15_&amp;_16"/>
      <sheetName val="Sch_17,_18_&amp;_19"/>
      <sheetName val="ICICI_&amp;_TMBL_interest"/>
      <sheetName val="tables"/>
      <sheetName val="Toggles"/>
      <sheetName val="bed"/>
      <sheetName val="DCF"/>
      <sheetName val="ASSAY 2010"/>
      <sheetName val="tdint"/>
      <sheetName val="Control"/>
      <sheetName val="Basic"/>
      <sheetName val="Data"/>
      <sheetName val="MAT"/>
      <sheetName val="Input"/>
      <sheetName val="Appraisal"/>
      <sheetName val="Budd Lanner Split"/>
    </sheetNames>
    <sheetDataSet>
      <sheetData sheetId="0">
        <row r="3">
          <cell r="B3" t="str">
            <v>Conference</v>
          </cell>
        </row>
      </sheetData>
      <sheetData sheetId="1">
        <row r="3">
          <cell r="B3" t="str">
            <v>Conference</v>
          </cell>
        </row>
      </sheetData>
      <sheetData sheetId="2">
        <row r="3">
          <cell r="B3" t="str">
            <v>Conference</v>
          </cell>
        </row>
      </sheetData>
      <sheetData sheetId="3">
        <row r="3">
          <cell r="B3" t="str">
            <v>Conference</v>
          </cell>
        </row>
      </sheetData>
      <sheetData sheetId="4"/>
      <sheetData sheetId="5">
        <row r="3">
          <cell r="B3">
            <v>0</v>
          </cell>
        </row>
      </sheetData>
      <sheetData sheetId="6">
        <row r="3">
          <cell r="B3">
            <v>0</v>
          </cell>
        </row>
      </sheetData>
      <sheetData sheetId="7">
        <row r="3">
          <cell r="B3">
            <v>0</v>
          </cell>
        </row>
      </sheetData>
      <sheetData sheetId="8">
        <row r="2">
          <cell r="D2">
            <v>2090</v>
          </cell>
        </row>
      </sheetData>
      <sheetData sheetId="9">
        <row r="2">
          <cell r="D2">
            <v>2090</v>
          </cell>
        </row>
      </sheetData>
      <sheetData sheetId="10">
        <row r="2">
          <cell r="D2">
            <v>2090</v>
          </cell>
        </row>
        <row r="3">
          <cell r="D3">
            <v>10658</v>
          </cell>
        </row>
        <row r="4">
          <cell r="D4">
            <v>414</v>
          </cell>
        </row>
        <row r="5">
          <cell r="D5">
            <v>5000</v>
          </cell>
        </row>
        <row r="6">
          <cell r="D6">
            <v>3274.12</v>
          </cell>
        </row>
        <row r="7">
          <cell r="D7">
            <v>1515</v>
          </cell>
        </row>
        <row r="8">
          <cell r="D8">
            <v>2080.86</v>
          </cell>
        </row>
        <row r="9">
          <cell r="D9">
            <v>110</v>
          </cell>
        </row>
        <row r="10">
          <cell r="D10">
            <v>1650</v>
          </cell>
        </row>
        <row r="11">
          <cell r="D11">
            <v>20000</v>
          </cell>
        </row>
        <row r="12">
          <cell r="D12">
            <v>89888</v>
          </cell>
        </row>
        <row r="13">
          <cell r="D13">
            <v>70000</v>
          </cell>
        </row>
        <row r="14">
          <cell r="D14">
            <v>1150</v>
          </cell>
        </row>
        <row r="15">
          <cell r="D15">
            <v>3160.35</v>
          </cell>
        </row>
        <row r="16">
          <cell r="D16">
            <v>11242</v>
          </cell>
        </row>
        <row r="17">
          <cell r="D17">
            <v>1200</v>
          </cell>
        </row>
        <row r="18">
          <cell r="D18">
            <v>581</v>
          </cell>
        </row>
        <row r="19">
          <cell r="D19">
            <v>60</v>
          </cell>
        </row>
        <row r="20">
          <cell r="D20">
            <v>180</v>
          </cell>
        </row>
        <row r="21">
          <cell r="D21">
            <v>380</v>
          </cell>
        </row>
        <row r="22">
          <cell r="D22">
            <v>4000</v>
          </cell>
        </row>
        <row r="23">
          <cell r="D23">
            <v>1070</v>
          </cell>
        </row>
        <row r="24">
          <cell r="D24">
            <v>4993000</v>
          </cell>
        </row>
        <row r="25">
          <cell r="D25">
            <v>1500000</v>
          </cell>
        </row>
        <row r="26">
          <cell r="D26">
            <v>1714000</v>
          </cell>
        </row>
        <row r="27">
          <cell r="D27">
            <v>1870130</v>
          </cell>
        </row>
        <row r="28">
          <cell r="D28">
            <v>-4993000</v>
          </cell>
        </row>
        <row r="29">
          <cell r="D29">
            <v>1403500</v>
          </cell>
        </row>
        <row r="30">
          <cell r="D30">
            <v>1247580</v>
          </cell>
        </row>
        <row r="31">
          <cell r="D31">
            <v>623800</v>
          </cell>
        </row>
        <row r="32">
          <cell r="D32">
            <v>155800</v>
          </cell>
        </row>
        <row r="33">
          <cell r="D33">
            <v>-10000</v>
          </cell>
        </row>
        <row r="34">
          <cell r="D34">
            <v>4993000</v>
          </cell>
        </row>
        <row r="35">
          <cell r="D35">
            <v>-1500000</v>
          </cell>
        </row>
        <row r="36">
          <cell r="D36">
            <v>-11997810</v>
          </cell>
        </row>
        <row r="37">
          <cell r="D37">
            <v>-1539610</v>
          </cell>
        </row>
        <row r="38">
          <cell r="D38">
            <v>-1679854</v>
          </cell>
        </row>
        <row r="39">
          <cell r="D39">
            <v>-1260702</v>
          </cell>
        </row>
        <row r="40">
          <cell r="D40">
            <v>-560332</v>
          </cell>
        </row>
        <row r="41">
          <cell r="D41">
            <v>-1120646</v>
          </cell>
        </row>
        <row r="42">
          <cell r="D42">
            <v>-4484990</v>
          </cell>
        </row>
        <row r="43">
          <cell r="D43">
            <v>-130966</v>
          </cell>
        </row>
        <row r="44">
          <cell r="D44">
            <v>1500000</v>
          </cell>
        </row>
        <row r="45">
          <cell r="D45">
            <v>405</v>
          </cell>
        </row>
        <row r="46">
          <cell r="D46">
            <v>55000</v>
          </cell>
        </row>
        <row r="47">
          <cell r="D47">
            <v>240</v>
          </cell>
        </row>
        <row r="48">
          <cell r="D48">
            <v>130</v>
          </cell>
        </row>
        <row r="49">
          <cell r="D49">
            <v>3371</v>
          </cell>
        </row>
        <row r="50">
          <cell r="D50">
            <v>60</v>
          </cell>
        </row>
        <row r="51">
          <cell r="D51">
            <v>100</v>
          </cell>
        </row>
        <row r="52">
          <cell r="D52">
            <v>5282850</v>
          </cell>
        </row>
        <row r="53">
          <cell r="D53">
            <v>7717150</v>
          </cell>
        </row>
        <row r="54">
          <cell r="D54">
            <v>-1002190</v>
          </cell>
        </row>
        <row r="55">
          <cell r="D55">
            <v>-60</v>
          </cell>
        </row>
        <row r="56">
          <cell r="D56">
            <v>500</v>
          </cell>
        </row>
        <row r="57">
          <cell r="D57">
            <v>2078</v>
          </cell>
        </row>
        <row r="58">
          <cell r="D58">
            <v>210</v>
          </cell>
        </row>
        <row r="59">
          <cell r="D59">
            <v>300</v>
          </cell>
        </row>
        <row r="60">
          <cell r="D60">
            <v>150</v>
          </cell>
        </row>
        <row r="61">
          <cell r="D61">
            <v>300</v>
          </cell>
        </row>
        <row r="62">
          <cell r="D62">
            <v>204</v>
          </cell>
        </row>
        <row r="63">
          <cell r="D63">
            <v>103</v>
          </cell>
        </row>
        <row r="64">
          <cell r="D64">
            <v>112700</v>
          </cell>
        </row>
        <row r="65">
          <cell r="D65">
            <v>700</v>
          </cell>
        </row>
        <row r="66">
          <cell r="D66">
            <v>1040</v>
          </cell>
        </row>
        <row r="67">
          <cell r="D67">
            <v>105</v>
          </cell>
        </row>
        <row r="68">
          <cell r="D68">
            <v>1515</v>
          </cell>
        </row>
        <row r="69">
          <cell r="D69">
            <v>600</v>
          </cell>
        </row>
        <row r="70">
          <cell r="D70">
            <v>2000</v>
          </cell>
        </row>
        <row r="71">
          <cell r="D71">
            <v>11633</v>
          </cell>
        </row>
        <row r="72">
          <cell r="D72">
            <v>45660</v>
          </cell>
        </row>
        <row r="73">
          <cell r="D73">
            <v>-11633</v>
          </cell>
        </row>
        <row r="74">
          <cell r="D74">
            <v>-45660</v>
          </cell>
        </row>
        <row r="75">
          <cell r="D75">
            <v>1500</v>
          </cell>
        </row>
        <row r="76">
          <cell r="D76">
            <v>750</v>
          </cell>
        </row>
        <row r="77">
          <cell r="D77">
            <v>3926</v>
          </cell>
        </row>
        <row r="78">
          <cell r="D78">
            <v>600</v>
          </cell>
        </row>
        <row r="79">
          <cell r="D79">
            <v>174390</v>
          </cell>
        </row>
        <row r="80">
          <cell r="D80">
            <v>190276</v>
          </cell>
        </row>
        <row r="81">
          <cell r="D81">
            <v>142799</v>
          </cell>
        </row>
        <row r="82">
          <cell r="D82">
            <v>126935</v>
          </cell>
        </row>
        <row r="83">
          <cell r="D83">
            <v>508011</v>
          </cell>
        </row>
        <row r="84">
          <cell r="D84">
            <v>63468</v>
          </cell>
        </row>
        <row r="85">
          <cell r="D85">
            <v>14834</v>
          </cell>
        </row>
        <row r="86">
          <cell r="D86">
            <v>110</v>
          </cell>
        </row>
        <row r="87">
          <cell r="D87">
            <v>400</v>
          </cell>
        </row>
        <row r="88">
          <cell r="D88">
            <v>3630.6</v>
          </cell>
        </row>
        <row r="89">
          <cell r="D89">
            <v>-517</v>
          </cell>
        </row>
        <row r="90">
          <cell r="D90">
            <v>-1109027</v>
          </cell>
        </row>
        <row r="91">
          <cell r="D91">
            <v>1109027</v>
          </cell>
        </row>
        <row r="92">
          <cell r="D92">
            <v>-686704.38</v>
          </cell>
        </row>
        <row r="93">
          <cell r="D93">
            <v>763102.21</v>
          </cell>
        </row>
        <row r="94">
          <cell r="D94">
            <v>65</v>
          </cell>
        </row>
        <row r="95">
          <cell r="D95">
            <v>385</v>
          </cell>
        </row>
        <row r="96">
          <cell r="D96">
            <v>100000</v>
          </cell>
        </row>
        <row r="97">
          <cell r="D97">
            <v>330</v>
          </cell>
        </row>
        <row r="98">
          <cell r="D98">
            <v>116258</v>
          </cell>
        </row>
        <row r="99">
          <cell r="D99">
            <v>116258</v>
          </cell>
        </row>
        <row r="100">
          <cell r="D100">
            <v>-683701.24</v>
          </cell>
        </row>
        <row r="101">
          <cell r="D101">
            <v>683701.24</v>
          </cell>
        </row>
        <row r="102">
          <cell r="D102">
            <v>686704.38</v>
          </cell>
        </row>
        <row r="103">
          <cell r="D103">
            <v>3631</v>
          </cell>
        </row>
        <row r="104">
          <cell r="D104">
            <v>25027</v>
          </cell>
        </row>
        <row r="105">
          <cell r="D105">
            <v>120</v>
          </cell>
        </row>
        <row r="106">
          <cell r="D106">
            <v>250</v>
          </cell>
        </row>
        <row r="107">
          <cell r="D107">
            <v>2375</v>
          </cell>
        </row>
        <row r="108">
          <cell r="D108">
            <v>210</v>
          </cell>
        </row>
        <row r="109">
          <cell r="D109">
            <v>3631</v>
          </cell>
        </row>
        <row r="110">
          <cell r="D110">
            <v>2500</v>
          </cell>
        </row>
        <row r="111">
          <cell r="D111">
            <v>8000</v>
          </cell>
        </row>
        <row r="112">
          <cell r="D112">
            <v>155</v>
          </cell>
        </row>
        <row r="113">
          <cell r="D113">
            <v>360</v>
          </cell>
        </row>
        <row r="114">
          <cell r="D114">
            <v>240</v>
          </cell>
        </row>
        <row r="115">
          <cell r="D115">
            <v>120</v>
          </cell>
        </row>
        <row r="116">
          <cell r="D116">
            <v>600</v>
          </cell>
        </row>
        <row r="117">
          <cell r="D117">
            <v>60</v>
          </cell>
        </row>
        <row r="118">
          <cell r="D118">
            <v>360</v>
          </cell>
        </row>
        <row r="119">
          <cell r="D119">
            <v>63469</v>
          </cell>
        </row>
        <row r="120">
          <cell r="D120">
            <v>3631</v>
          </cell>
        </row>
        <row r="121">
          <cell r="D121">
            <v>6240</v>
          </cell>
        </row>
        <row r="122">
          <cell r="D122">
            <v>180</v>
          </cell>
        </row>
        <row r="123">
          <cell r="D123">
            <v>4190</v>
          </cell>
        </row>
        <row r="124">
          <cell r="D124">
            <v>142799</v>
          </cell>
        </row>
        <row r="125">
          <cell r="D125">
            <v>470</v>
          </cell>
        </row>
        <row r="126">
          <cell r="D126">
            <v>120</v>
          </cell>
        </row>
        <row r="127">
          <cell r="D127">
            <v>120</v>
          </cell>
        </row>
        <row r="128">
          <cell r="D128">
            <v>2437</v>
          </cell>
        </row>
        <row r="129">
          <cell r="D129">
            <v>190275</v>
          </cell>
        </row>
        <row r="130">
          <cell r="D130">
            <v>126935</v>
          </cell>
        </row>
        <row r="131">
          <cell r="D131">
            <v>508010</v>
          </cell>
        </row>
        <row r="132">
          <cell r="D132">
            <v>3631</v>
          </cell>
        </row>
        <row r="133">
          <cell r="D133">
            <v>110</v>
          </cell>
        </row>
        <row r="134">
          <cell r="D134">
            <v>90000</v>
          </cell>
        </row>
        <row r="135">
          <cell r="D135">
            <v>110</v>
          </cell>
        </row>
        <row r="136">
          <cell r="D136">
            <v>180</v>
          </cell>
        </row>
        <row r="137">
          <cell r="D137">
            <v>50000</v>
          </cell>
        </row>
        <row r="138">
          <cell r="D138">
            <v>2990</v>
          </cell>
        </row>
        <row r="139">
          <cell r="D139">
            <v>48620</v>
          </cell>
        </row>
        <row r="140">
          <cell r="D140">
            <v>18232.5</v>
          </cell>
        </row>
        <row r="141">
          <cell r="D141">
            <v>12155</v>
          </cell>
        </row>
        <row r="142">
          <cell r="D142">
            <v>-180</v>
          </cell>
        </row>
        <row r="143">
          <cell r="D143">
            <v>180</v>
          </cell>
        </row>
        <row r="144">
          <cell r="D144">
            <v>2400</v>
          </cell>
        </row>
        <row r="145">
          <cell r="D145">
            <v>5625</v>
          </cell>
        </row>
        <row r="146">
          <cell r="D146">
            <v>1950</v>
          </cell>
        </row>
        <row r="147">
          <cell r="D147">
            <v>3631</v>
          </cell>
        </row>
        <row r="148">
          <cell r="D148">
            <v>-100000</v>
          </cell>
        </row>
        <row r="149">
          <cell r="D149">
            <v>4600</v>
          </cell>
        </row>
        <row r="150">
          <cell r="D150">
            <v>5000</v>
          </cell>
        </row>
        <row r="151">
          <cell r="D151">
            <v>25000</v>
          </cell>
        </row>
        <row r="152">
          <cell r="D152">
            <v>25000</v>
          </cell>
        </row>
        <row r="153">
          <cell r="D153">
            <v>1985</v>
          </cell>
        </row>
        <row r="154">
          <cell r="D154">
            <v>7311</v>
          </cell>
        </row>
        <row r="155">
          <cell r="D155">
            <v>126933</v>
          </cell>
        </row>
        <row r="156">
          <cell r="D156">
            <v>-174390</v>
          </cell>
        </row>
        <row r="157">
          <cell r="D157">
            <v>50822</v>
          </cell>
        </row>
        <row r="158">
          <cell r="D158">
            <v>20000</v>
          </cell>
        </row>
        <row r="159">
          <cell r="D159">
            <v>190276</v>
          </cell>
        </row>
        <row r="160">
          <cell r="D160">
            <v>100</v>
          </cell>
        </row>
        <row r="161">
          <cell r="D161">
            <v>2500</v>
          </cell>
        </row>
        <row r="162">
          <cell r="D162">
            <v>3780</v>
          </cell>
        </row>
        <row r="163">
          <cell r="D163">
            <v>5000</v>
          </cell>
        </row>
        <row r="164">
          <cell r="D164">
            <v>950</v>
          </cell>
        </row>
        <row r="165">
          <cell r="D165">
            <v>6864</v>
          </cell>
        </row>
        <row r="166">
          <cell r="D166">
            <v>3631</v>
          </cell>
        </row>
        <row r="167">
          <cell r="D167">
            <v>29669</v>
          </cell>
        </row>
        <row r="168">
          <cell r="D168">
            <v>63469</v>
          </cell>
        </row>
        <row r="169">
          <cell r="D169">
            <v>142799</v>
          </cell>
        </row>
        <row r="170">
          <cell r="D170">
            <v>-1500000</v>
          </cell>
        </row>
        <row r="171">
          <cell r="D171">
            <v>508012</v>
          </cell>
        </row>
      </sheetData>
      <sheetData sheetId="11">
        <row r="2">
          <cell r="D2">
            <v>2090</v>
          </cell>
        </row>
      </sheetData>
      <sheetData sheetId="12">
        <row r="2">
          <cell r="D2">
            <v>2090</v>
          </cell>
        </row>
      </sheetData>
      <sheetData sheetId="13">
        <row r="2">
          <cell r="D2">
            <v>2090</v>
          </cell>
          <cell r="H2">
            <v>81600</v>
          </cell>
        </row>
        <row r="3">
          <cell r="H3">
            <v>1219967</v>
          </cell>
        </row>
        <row r="4">
          <cell r="H4">
            <v>15548191</v>
          </cell>
        </row>
        <row r="5">
          <cell r="H5">
            <v>18360</v>
          </cell>
        </row>
        <row r="6">
          <cell r="H6">
            <v>400</v>
          </cell>
        </row>
        <row r="7">
          <cell r="H7">
            <v>15482094</v>
          </cell>
        </row>
        <row r="8">
          <cell r="H8">
            <v>256000</v>
          </cell>
        </row>
        <row r="9">
          <cell r="H9">
            <v>561800</v>
          </cell>
        </row>
        <row r="10">
          <cell r="H10">
            <v>730117</v>
          </cell>
        </row>
        <row r="11">
          <cell r="H11">
            <v>103459</v>
          </cell>
        </row>
        <row r="12">
          <cell r="H12">
            <v>938320</v>
          </cell>
        </row>
        <row r="13">
          <cell r="H13">
            <v>143035</v>
          </cell>
        </row>
        <row r="14">
          <cell r="H14">
            <v>998880</v>
          </cell>
        </row>
        <row r="15">
          <cell r="H15">
            <v>-1011240</v>
          </cell>
        </row>
        <row r="16">
          <cell r="H16">
            <v>-998880</v>
          </cell>
        </row>
        <row r="17">
          <cell r="H17">
            <v>1011240</v>
          </cell>
        </row>
        <row r="18">
          <cell r="H18">
            <v>982026</v>
          </cell>
        </row>
        <row r="19">
          <cell r="H19">
            <v>955060</v>
          </cell>
        </row>
        <row r="20">
          <cell r="H20">
            <v>45000</v>
          </cell>
        </row>
        <row r="21">
          <cell r="H21">
            <v>10400</v>
          </cell>
        </row>
        <row r="22">
          <cell r="H22">
            <v>-204328</v>
          </cell>
        </row>
        <row r="23">
          <cell r="H23">
            <v>11252715</v>
          </cell>
        </row>
        <row r="24">
          <cell r="H24">
            <v>1123600</v>
          </cell>
        </row>
        <row r="25">
          <cell r="H25">
            <v>130321</v>
          </cell>
        </row>
        <row r="26">
          <cell r="H26">
            <v>158128</v>
          </cell>
        </row>
        <row r="27">
          <cell r="H27">
            <v>105419</v>
          </cell>
        </row>
        <row r="28">
          <cell r="H28">
            <v>4171590</v>
          </cell>
        </row>
        <row r="29">
          <cell r="H29">
            <v>8890836</v>
          </cell>
        </row>
        <row r="30">
          <cell r="H30">
            <v>6802116</v>
          </cell>
        </row>
        <row r="31">
          <cell r="H31">
            <v>7315918</v>
          </cell>
        </row>
        <row r="32">
          <cell r="H32">
            <v>4125494</v>
          </cell>
        </row>
        <row r="33">
          <cell r="H33">
            <v>5185892</v>
          </cell>
        </row>
        <row r="34">
          <cell r="H34">
            <v>204328</v>
          </cell>
        </row>
        <row r="35">
          <cell r="H35">
            <v>204328</v>
          </cell>
        </row>
        <row r="36">
          <cell r="H36">
            <v>1080208.57</v>
          </cell>
        </row>
        <row r="37">
          <cell r="H37">
            <v>4586535</v>
          </cell>
        </row>
        <row r="38">
          <cell r="H38">
            <v>97372.42</v>
          </cell>
        </row>
        <row r="39">
          <cell r="H39">
            <v>383672</v>
          </cell>
        </row>
        <row r="40">
          <cell r="H40">
            <v>154000</v>
          </cell>
        </row>
        <row r="41">
          <cell r="H41">
            <v>0.34</v>
          </cell>
        </row>
        <row r="42">
          <cell r="H42">
            <v>-10351439</v>
          </cell>
        </row>
        <row r="43">
          <cell r="H43">
            <v>825867</v>
          </cell>
        </row>
        <row r="44">
          <cell r="H44">
            <v>-50500000</v>
          </cell>
        </row>
        <row r="45">
          <cell r="H45">
            <v>-14600000</v>
          </cell>
        </row>
      </sheetData>
      <sheetData sheetId="14">
        <row r="2">
          <cell r="D2">
            <v>2090</v>
          </cell>
        </row>
      </sheetData>
      <sheetData sheetId="15">
        <row r="2">
          <cell r="D2">
            <v>2090</v>
          </cell>
        </row>
        <row r="3">
          <cell r="B3" t="str">
            <v>Conference</v>
          </cell>
        </row>
        <row r="4">
          <cell r="B4" t="str">
            <v>Conveyance</v>
          </cell>
        </row>
        <row r="5">
          <cell r="B5" t="str">
            <v>Employee Welfare</v>
          </cell>
        </row>
        <row r="6">
          <cell r="B6" t="str">
            <v>Entertainment</v>
          </cell>
        </row>
        <row r="7">
          <cell r="B7" t="str">
            <v>Gifts</v>
          </cell>
        </row>
        <row r="8">
          <cell r="B8" t="str">
            <v>Hotel, Boarding &amp; Lodging</v>
          </cell>
        </row>
        <row r="9">
          <cell r="B9" t="str">
            <v>Maintenance of accomodation in the nature of guest house</v>
          </cell>
        </row>
        <row r="10">
          <cell r="B10" t="str">
            <v>Not Applicable</v>
          </cell>
        </row>
        <row r="11">
          <cell r="B11" t="str">
            <v>Repair, Running and Maintenance of Motor Car</v>
          </cell>
        </row>
        <row r="12">
          <cell r="B12" t="str">
            <v>Sales Promotion (including publicity)</v>
          </cell>
        </row>
        <row r="13">
          <cell r="B13" t="str">
            <v>Tour, travel &amp; Foreign Travel</v>
          </cell>
        </row>
        <row r="14">
          <cell r="B14" t="str">
            <v>Use of Club facilities</v>
          </cell>
        </row>
        <row r="15">
          <cell r="B15" t="str">
            <v>Use of telephone</v>
          </cell>
        </row>
      </sheetData>
      <sheetData sheetId="16"/>
      <sheetData sheetId="17" refreshError="1"/>
      <sheetData sheetId="18" refreshError="1"/>
      <sheetData sheetId="19">
        <row r="2">
          <cell r="D2">
            <v>2090</v>
          </cell>
        </row>
      </sheetData>
      <sheetData sheetId="20">
        <row r="2">
          <cell r="D2">
            <v>2090</v>
          </cell>
        </row>
      </sheetData>
      <sheetData sheetId="21">
        <row r="2">
          <cell r="D2">
            <v>2090</v>
          </cell>
        </row>
      </sheetData>
      <sheetData sheetId="22">
        <row r="2">
          <cell r="D2">
            <v>2090</v>
          </cell>
        </row>
      </sheetData>
      <sheetData sheetId="23">
        <row r="2">
          <cell r="D2">
            <v>2090</v>
          </cell>
        </row>
      </sheetData>
      <sheetData sheetId="24">
        <row r="2">
          <cell r="D2">
            <v>2090</v>
          </cell>
        </row>
      </sheetData>
      <sheetData sheetId="25">
        <row r="2">
          <cell r="D2">
            <v>2090</v>
          </cell>
        </row>
      </sheetData>
      <sheetData sheetId="26">
        <row r="2">
          <cell r="D2">
            <v>2090</v>
          </cell>
        </row>
      </sheetData>
      <sheetData sheetId="27">
        <row r="2">
          <cell r="D2">
            <v>2090</v>
          </cell>
        </row>
      </sheetData>
      <sheetData sheetId="28">
        <row r="2">
          <cell r="D2">
            <v>2090</v>
          </cell>
        </row>
      </sheetData>
      <sheetData sheetId="29">
        <row r="2">
          <cell r="D2">
            <v>2090</v>
          </cell>
        </row>
      </sheetData>
      <sheetData sheetId="30">
        <row r="2">
          <cell r="D2">
            <v>2090</v>
          </cell>
        </row>
      </sheetData>
      <sheetData sheetId="31">
        <row r="2">
          <cell r="D2">
            <v>2090</v>
          </cell>
        </row>
      </sheetData>
      <sheetData sheetId="32">
        <row r="2">
          <cell r="D2">
            <v>2090</v>
          </cell>
        </row>
      </sheetData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/>
      <sheetData sheetId="78"/>
      <sheetData sheetId="79"/>
      <sheetData sheetId="80">
        <row r="2">
          <cell r="H2">
            <v>81600</v>
          </cell>
        </row>
      </sheetData>
      <sheetData sheetId="81">
        <row r="2">
          <cell r="H2">
            <v>81600</v>
          </cell>
        </row>
      </sheetData>
      <sheetData sheetId="82">
        <row r="2">
          <cell r="H2">
            <v>81600</v>
          </cell>
        </row>
      </sheetData>
      <sheetData sheetId="83">
        <row r="3">
          <cell r="B3" t="str">
            <v>Conference</v>
          </cell>
        </row>
      </sheetData>
      <sheetData sheetId="84">
        <row r="3">
          <cell r="B3" t="str">
            <v>Conference</v>
          </cell>
        </row>
      </sheetData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ditReportInformation"/>
      <sheetName val="3CA"/>
      <sheetName val="3CB"/>
      <sheetName val="3CD"/>
      <sheetName val="IndirectTaxInfo"/>
      <sheetName val="Sch_9(a)"/>
      <sheetName val="Sch_9(b)"/>
      <sheetName val="Sch_10(a)"/>
      <sheetName val="Sch_10(b)"/>
      <sheetName val="Sch_11(a)"/>
      <sheetName val="Sch_11(b)"/>
      <sheetName val="Sch_11(c)"/>
      <sheetName val="Sch_12"/>
      <sheetName val="Sch_13(c)"/>
      <sheetName val="Sch_13(d)"/>
      <sheetName val="Sch_14(b)"/>
      <sheetName val="Sch_15"/>
      <sheetName val="Sch_16(a)"/>
      <sheetName val="Sch_16(b)"/>
      <sheetName val="Sch_16(c)"/>
      <sheetName val="Sch_16(d)"/>
      <sheetName val="Sch_16(e)"/>
      <sheetName val="Sch_17"/>
      <sheetName val="Sch_18"/>
      <sheetName val="Sch_18_Additions"/>
      <sheetName val="Sch_18_Deletions"/>
      <sheetName val="Sch_19"/>
      <sheetName val="Sch_20(a)"/>
      <sheetName val="Sch_20(b)"/>
      <sheetName val="Sch_21(a)"/>
      <sheetName val="Sch_21(b)(i)(A)"/>
      <sheetName val="Sch_21(b)(i)(B)"/>
      <sheetName val="Sch_21(b)(ii)(A)"/>
      <sheetName val="Sch_21(b)(ii)(B)"/>
      <sheetName val="Sch_21(b)(vi)"/>
      <sheetName val="Sch_21(c)"/>
      <sheetName val="Sch_21(d)(A)"/>
      <sheetName val="Sch_21(d)(B)"/>
      <sheetName val="Sch_21(g)"/>
      <sheetName val="Sch_21(h)"/>
      <sheetName val="Sch_23"/>
      <sheetName val="Sch_24"/>
      <sheetName val="Sch_25"/>
      <sheetName val="Sch_26(i)(A)(a)"/>
      <sheetName val="Sch_26(i)(A)(b)"/>
      <sheetName val="Sch_26(i)(B)(a)"/>
      <sheetName val="Sch_26(i)(B)(b)"/>
      <sheetName val="Sch_27(a)"/>
      <sheetName val="Sch_27(b)"/>
      <sheetName val="Sch_28"/>
      <sheetName val="Sch_29"/>
      <sheetName val="Sch_30"/>
      <sheetName val="Sch_31(a)"/>
      <sheetName val="Sch_31(b)"/>
      <sheetName val="Sch_32(a)"/>
      <sheetName val="Sch_33"/>
      <sheetName val="Sch_34(a)"/>
      <sheetName val="Sch_34(b)"/>
      <sheetName val="Sch_34(c)"/>
      <sheetName val="Sch_35(a)"/>
      <sheetName val="Sch_35(b)(A)"/>
      <sheetName val="Sch_35(b)(B)"/>
      <sheetName val="Sch_35(b)(C)"/>
      <sheetName val="Sch_36"/>
      <sheetName val="Sch_40"/>
      <sheetName val="Sch_41"/>
      <sheetName val="Codes"/>
      <sheetName val="MARKEDN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>
        <row r="20">
          <cell r="C20" t="str">
            <v>ANDAMAN AND NICOBAR ISLANDS-01</v>
          </cell>
        </row>
        <row r="21">
          <cell r="C21" t="str">
            <v>ANDHRA PRADESH-02</v>
          </cell>
        </row>
        <row r="22">
          <cell r="C22" t="str">
            <v>ARUNACHAL PRADESH-03</v>
          </cell>
        </row>
        <row r="23">
          <cell r="C23" t="str">
            <v>ASSAM-04</v>
          </cell>
        </row>
        <row r="24">
          <cell r="C24" t="str">
            <v>BIHAR-05</v>
          </cell>
        </row>
        <row r="25">
          <cell r="C25" t="str">
            <v>CHANDIGARH-06</v>
          </cell>
        </row>
        <row r="26">
          <cell r="C26" t="str">
            <v>DADRA &amp; NAGAR HAVELI-07</v>
          </cell>
        </row>
        <row r="27">
          <cell r="C27" t="str">
            <v>DAMAN &amp; DIU-08</v>
          </cell>
        </row>
        <row r="28">
          <cell r="C28" t="str">
            <v>DELHI-09</v>
          </cell>
        </row>
        <row r="29">
          <cell r="C29" t="str">
            <v>GOA-10</v>
          </cell>
        </row>
        <row r="30">
          <cell r="C30" t="str">
            <v>GUJARAT-11</v>
          </cell>
        </row>
        <row r="31">
          <cell r="C31" t="str">
            <v>HARYANA-12</v>
          </cell>
        </row>
        <row r="32">
          <cell r="C32" t="str">
            <v>HIMACHAL PRADESH-13</v>
          </cell>
        </row>
        <row r="33">
          <cell r="C33" t="str">
            <v>JAMMU &amp; KASHMIR-14</v>
          </cell>
        </row>
        <row r="34">
          <cell r="C34" t="str">
            <v>KARNATAKA-15</v>
          </cell>
        </row>
        <row r="35">
          <cell r="C35" t="str">
            <v>KERALA-16</v>
          </cell>
        </row>
        <row r="36">
          <cell r="C36" t="str">
            <v>LAKHSWADEEP-17</v>
          </cell>
        </row>
        <row r="37">
          <cell r="C37" t="str">
            <v>MADHYA PRADESH-18</v>
          </cell>
        </row>
        <row r="38">
          <cell r="C38" t="str">
            <v>MAHARASHTRA-19</v>
          </cell>
        </row>
        <row r="39">
          <cell r="C39" t="str">
            <v>MANIPUR-20</v>
          </cell>
        </row>
        <row r="40">
          <cell r="C40" t="str">
            <v>MEGHALAYA-21</v>
          </cell>
        </row>
        <row r="41">
          <cell r="C41" t="str">
            <v>MIZORAM-22</v>
          </cell>
        </row>
        <row r="42">
          <cell r="C42" t="str">
            <v>NAGALAND-23</v>
          </cell>
        </row>
        <row r="43">
          <cell r="C43" t="str">
            <v>ORISSA-24</v>
          </cell>
        </row>
        <row r="44">
          <cell r="C44" t="str">
            <v>PONDICHERRY-25</v>
          </cell>
        </row>
        <row r="45">
          <cell r="C45" t="str">
            <v>PUNJAB-26</v>
          </cell>
        </row>
        <row r="46">
          <cell r="C46" t="str">
            <v>RAJASTHAN-27</v>
          </cell>
        </row>
        <row r="47">
          <cell r="C47" t="str">
            <v>SIKKIM-28</v>
          </cell>
        </row>
        <row r="48">
          <cell r="C48" t="str">
            <v>TAMILNADU-29</v>
          </cell>
        </row>
        <row r="49">
          <cell r="C49" t="str">
            <v>TRIPURA-30</v>
          </cell>
        </row>
        <row r="50">
          <cell r="C50" t="str">
            <v>UTTAR PRADESH-31</v>
          </cell>
        </row>
        <row r="51">
          <cell r="C51" t="str">
            <v>WEST BENGAL-32</v>
          </cell>
        </row>
        <row r="52">
          <cell r="C52" t="str">
            <v>CHHATISHGARH-33</v>
          </cell>
        </row>
        <row r="53">
          <cell r="C53" t="str">
            <v>UTTARANCHAL-34</v>
          </cell>
        </row>
        <row r="54">
          <cell r="C54" t="str">
            <v>JHARKHAND-35</v>
          </cell>
        </row>
        <row r="60">
          <cell r="C60" t="str">
            <v>Yes-Y</v>
          </cell>
        </row>
        <row r="61">
          <cell r="C61" t="str">
            <v>No-N</v>
          </cell>
        </row>
        <row r="177">
          <cell r="C177" t="str">
            <v>gms-101</v>
          </cell>
        </row>
        <row r="178">
          <cell r="C178" t="str">
            <v>kilograms-102</v>
          </cell>
        </row>
        <row r="179">
          <cell r="C179" t="str">
            <v>litre-103</v>
          </cell>
        </row>
        <row r="180">
          <cell r="C180" t="str">
            <v>kilolitre-104</v>
          </cell>
        </row>
        <row r="181">
          <cell r="C181" t="str">
            <v>metre-105</v>
          </cell>
        </row>
        <row r="182">
          <cell r="C182" t="str">
            <v>kilometre-106</v>
          </cell>
        </row>
        <row r="183">
          <cell r="C183" t="str">
            <v>numbers-107</v>
          </cell>
        </row>
        <row r="184">
          <cell r="C184" t="str">
            <v>quintal-108</v>
          </cell>
        </row>
        <row r="185">
          <cell r="C185" t="str">
            <v>ton-109</v>
          </cell>
        </row>
        <row r="186">
          <cell r="C186" t="str">
            <v>pound-110</v>
          </cell>
        </row>
        <row r="187">
          <cell r="C187" t="str">
            <v>milligrams-111</v>
          </cell>
        </row>
        <row r="188">
          <cell r="C188" t="str">
            <v>carat-112</v>
          </cell>
        </row>
        <row r="189">
          <cell r="C189" t="str">
            <v>numbers (1000s)-113</v>
          </cell>
        </row>
        <row r="190">
          <cell r="C190" t="str">
            <v>kwatt-114</v>
          </cell>
        </row>
        <row r="191">
          <cell r="C191" t="str">
            <v>mwatt-115</v>
          </cell>
        </row>
        <row r="192">
          <cell r="C192" t="str">
            <v>inch-116</v>
          </cell>
        </row>
        <row r="193">
          <cell r="C193" t="str">
            <v>feet-117</v>
          </cell>
        </row>
        <row r="194">
          <cell r="C194" t="str">
            <v>sqft-118</v>
          </cell>
        </row>
        <row r="195">
          <cell r="C195" t="str">
            <v>acre-119</v>
          </cell>
        </row>
        <row r="196">
          <cell r="C196" t="str">
            <v>cubicft-120</v>
          </cell>
        </row>
        <row r="197">
          <cell r="C197" t="str">
            <v>sqmetre-121</v>
          </cell>
        </row>
        <row r="198">
          <cell r="C198" t="str">
            <v>cubicmetre-122</v>
          </cell>
        </row>
        <row r="199">
          <cell r="C199" t="str">
            <v>residual-999</v>
          </cell>
        </row>
        <row r="234">
          <cell r="C234" t="str">
            <v>32AC-32AC</v>
          </cell>
        </row>
        <row r="235">
          <cell r="C235" t="str">
            <v>33AB-33AB</v>
          </cell>
        </row>
        <row r="236">
          <cell r="C236" t="str">
            <v>33ABA-33ABA</v>
          </cell>
        </row>
        <row r="237">
          <cell r="C237" t="str">
            <v>35(1)(i)-35_1_i</v>
          </cell>
        </row>
        <row r="238">
          <cell r="C238" t="str">
            <v>35(1)(ii)-35_1_ii</v>
          </cell>
        </row>
        <row r="239">
          <cell r="C239" t="str">
            <v>35(1)(iia)-35_1_iia</v>
          </cell>
        </row>
        <row r="240">
          <cell r="C240" t="str">
            <v>35(1)(iii)-35_1_iii</v>
          </cell>
        </row>
        <row r="241">
          <cell r="C241" t="str">
            <v>35(1)(iv)-35_1_iv</v>
          </cell>
        </row>
        <row r="242">
          <cell r="C242" t="str">
            <v>35(2AA)-35_2AA</v>
          </cell>
        </row>
        <row r="243">
          <cell r="C243" t="str">
            <v>35(2AB)-35_2AB</v>
          </cell>
        </row>
        <row r="244">
          <cell r="C244" t="str">
            <v>35ABB-35ABB</v>
          </cell>
        </row>
        <row r="245">
          <cell r="C245" t="str">
            <v>35AC-35AC</v>
          </cell>
        </row>
        <row r="246">
          <cell r="C246" t="str">
            <v>35AD-35AD</v>
          </cell>
        </row>
        <row r="247">
          <cell r="C247" t="str">
            <v>35CCA-35CCA</v>
          </cell>
        </row>
        <row r="248">
          <cell r="C248" t="str">
            <v>35CCB-35CCB</v>
          </cell>
        </row>
        <row r="249">
          <cell r="C249" t="str">
            <v>35CCC-35CCC</v>
          </cell>
        </row>
        <row r="250">
          <cell r="C250" t="str">
            <v>35CCD-35CCD</v>
          </cell>
        </row>
        <row r="251">
          <cell r="C251" t="str">
            <v>35D-35D</v>
          </cell>
        </row>
        <row r="252">
          <cell r="C252" t="str">
            <v>35DD-35DD</v>
          </cell>
        </row>
        <row r="253">
          <cell r="C253" t="str">
            <v>35DDA-35DDA</v>
          </cell>
        </row>
        <row r="254">
          <cell r="C254" t="str">
            <v>35E-35E</v>
          </cell>
        </row>
        <row r="377">
          <cell r="C377" t="str">
            <v>Provident Fund-PROVIDENT</v>
          </cell>
        </row>
        <row r="378">
          <cell r="C378" t="str">
            <v>Superannuation Fund-SUPERAN</v>
          </cell>
        </row>
        <row r="379">
          <cell r="C379" t="str">
            <v>Gratuity Fund -GRATUITY</v>
          </cell>
        </row>
        <row r="380">
          <cell r="C380" t="str">
            <v>Any Fund set up under the provisions of ESI Act , 1948-PROV1948</v>
          </cell>
        </row>
        <row r="381">
          <cell r="C381" t="str">
            <v>Any other welfare fund -OTHERWELFARE</v>
          </cell>
        </row>
        <row r="496">
          <cell r="C496" t="str">
            <v>Capital expenditure-CAPITAL</v>
          </cell>
        </row>
        <row r="497">
          <cell r="C497" t="str">
            <v>Personal expenditure-PERSONAL</v>
          </cell>
        </row>
        <row r="498">
          <cell r="C498" t="str">
            <v>Advertisement expenditure in any souvenir, brochure, tract, pamphlet or the like published by a political party-ADVERTISMNT</v>
          </cell>
        </row>
        <row r="499">
          <cell r="C499" t="str">
            <v>Expenditure incurred at clubs being entrance fees and subscriptions-CLUBFEE</v>
          </cell>
        </row>
        <row r="500">
          <cell r="C500" t="str">
            <v>Expenditure incurred at clubs being cost for club services and facilities used.-CLUBSERVICE</v>
          </cell>
        </row>
        <row r="501">
          <cell r="C501" t="str">
            <v>Expenditure by way of penalty or fine for violation of any law for the time being force-PENALTY</v>
          </cell>
        </row>
        <row r="502">
          <cell r="C502" t="str">
            <v>Expenditure by way of any other penalty or fine not covered above-OTHERPENALTY</v>
          </cell>
        </row>
        <row r="503">
          <cell r="C503" t="str">
            <v>Expenditure incurred for any purpose which is an offence or which is prohibited by law-OFFENCE</v>
          </cell>
        </row>
      </sheetData>
      <sheetData sheetId="6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sentation-detail"/>
      <sheetName val="may sum"/>
      <sheetName val="Cons sumry(MAR,APR)"/>
      <sheetName val="Sheet14"/>
      <sheetName val="Sheet7"/>
      <sheetName val="Sheet5"/>
      <sheetName val="MAR05"/>
      <sheetName val="presntaton-Wtd Avg"/>
      <sheetName val="presntaton-wtd avg-rugh"/>
      <sheetName val="Sheet9"/>
      <sheetName val="Sheet6"/>
      <sheetName val="APR 05"/>
      <sheetName val="Sheet12"/>
      <sheetName val="Sheet8"/>
      <sheetName val="MAY05"/>
      <sheetName val="Sheet13"/>
      <sheetName val="may sum-reconciliation"/>
      <sheetName val="antq-may-p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ditReportInformation"/>
      <sheetName val="3CA"/>
      <sheetName val="3CB"/>
      <sheetName val="3CD"/>
      <sheetName val="IndirectTaxInfo"/>
      <sheetName val="Sch_9(a)"/>
      <sheetName val="Sch_9(b)"/>
      <sheetName val="Sch_10(a)"/>
      <sheetName val="Sch_10(b)"/>
      <sheetName val="Sch_11(a)"/>
      <sheetName val="Sch_11(b)"/>
      <sheetName val="Sch_11(c)"/>
      <sheetName val="Sch_12"/>
      <sheetName val="Sch_13(c)"/>
      <sheetName val="Sch_13(d)"/>
      <sheetName val="Sch_14(b)"/>
      <sheetName val="Sch_15"/>
      <sheetName val="Sch_16(a)"/>
      <sheetName val="Sch_16(b)"/>
      <sheetName val="Sch_16(c)"/>
      <sheetName val="Sch_16(d)"/>
      <sheetName val="Sch_16(e)"/>
      <sheetName val="Sch_17"/>
      <sheetName val="Sch_18"/>
      <sheetName val="Sch_18_Additions"/>
      <sheetName val="Sch_18_Deletions"/>
      <sheetName val="Sch_19"/>
      <sheetName val="Sch_20(a)"/>
      <sheetName val="Sch_20(b)"/>
      <sheetName val="Sch_21(a)"/>
      <sheetName val="Sch_21(b)(i)(A)"/>
      <sheetName val="Sch_21(b)(i)(B)"/>
      <sheetName val="Sch_21(b)(ii)(A)"/>
      <sheetName val="Sch_21(b)(ii)(B)"/>
      <sheetName val="Sch_21(b)(vi)"/>
      <sheetName val="Sch_21(c)"/>
      <sheetName val="Sch_21(d)(A)"/>
      <sheetName val="Sch_21(d)(B)"/>
      <sheetName val="Sch_21(g)"/>
      <sheetName val="Sch_21(h)"/>
      <sheetName val="Sch_23"/>
      <sheetName val="Sch_24"/>
      <sheetName val="Sch_25"/>
      <sheetName val="Sch_26(i)(A)(a)"/>
      <sheetName val="Sch_26(i)(A)(b)"/>
      <sheetName val="Sch_26(i)(B)(a)"/>
      <sheetName val="Sch_26(i)(B)(b)"/>
      <sheetName val="Sch_27(a)"/>
      <sheetName val="Sch_27(b)"/>
      <sheetName val="Sch_28"/>
      <sheetName val="Sch_29"/>
      <sheetName val="Sch_30"/>
      <sheetName val="Sch_31(a)"/>
      <sheetName val="Sch_31(b)"/>
      <sheetName val="Sch_32(a)"/>
      <sheetName val="Sch_33"/>
      <sheetName val="Sch_34(a)"/>
      <sheetName val="Sch_34(b)"/>
      <sheetName val="Sch_34(c)"/>
      <sheetName val="Sch_35(a)"/>
      <sheetName val="Sch_35(b)(A)"/>
      <sheetName val="Sch_35(b)(B)"/>
      <sheetName val="Sch_35(b)(C)"/>
      <sheetName val="Sch_36"/>
      <sheetName val="Sch_40"/>
      <sheetName val="Sch_41"/>
      <sheetName val="Codes"/>
      <sheetName val="MARKEDN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>
        <row r="298">
          <cell r="C298" t="str">
            <v>Plant &amp; Machinery 15%-1</v>
          </cell>
        </row>
        <row r="299">
          <cell r="C299" t="str">
            <v>Plant &amp; Machinery 30%-2</v>
          </cell>
        </row>
        <row r="300">
          <cell r="C300" t="str">
            <v>Plant &amp; Machinery 40%-3</v>
          </cell>
        </row>
        <row r="301">
          <cell r="C301" t="str">
            <v>Plant &amp; Machinery 50%-4</v>
          </cell>
        </row>
        <row r="302">
          <cell r="C302" t="str">
            <v>Plant &amp; Machinery 60%-5</v>
          </cell>
        </row>
        <row r="303">
          <cell r="C303" t="str">
            <v>Plant &amp; Machinery 80%-6</v>
          </cell>
        </row>
        <row r="304">
          <cell r="C304" t="str">
            <v>Plant &amp; Machinery 100%-7</v>
          </cell>
        </row>
        <row r="305">
          <cell r="C305" t="str">
            <v>Building 5%-8</v>
          </cell>
        </row>
        <row r="306">
          <cell r="C306" t="str">
            <v>Building 10%-9</v>
          </cell>
        </row>
        <row r="307">
          <cell r="C307" t="str">
            <v>Building 100%-10</v>
          </cell>
        </row>
        <row r="308">
          <cell r="C308" t="str">
            <v>Furniture and Fittings 10%-11</v>
          </cell>
        </row>
        <row r="309">
          <cell r="C309" t="str">
            <v>Intangible Assets 25%-12</v>
          </cell>
        </row>
        <row r="310">
          <cell r="C310" t="str">
            <v>Ships 20%-13</v>
          </cell>
        </row>
        <row r="311">
          <cell r="C311" t="str">
            <v>Plant &amp; Machinery in generating stations including plant foundations 3.4%-14</v>
          </cell>
        </row>
        <row r="312">
          <cell r="C312" t="str">
            <v>Plant &amp; Machinery in generating stations including plant foundations 7.84%-15</v>
          </cell>
        </row>
        <row r="313">
          <cell r="C313" t="str">
            <v>Plant &amp; Machinery in generating stations including plant foundations 8.24%-16</v>
          </cell>
        </row>
        <row r="314">
          <cell r="C314" t="str">
            <v>Building and civil engineering works of permanent character 3.02%-17</v>
          </cell>
        </row>
        <row r="315">
          <cell r="C315" t="str">
            <v>Building and civil engineering works of permanent character 7.84%-18</v>
          </cell>
        </row>
        <row r="316">
          <cell r="C316" t="str">
            <v>Building and civil engineering works of permanent character 3.4%-19</v>
          </cell>
        </row>
        <row r="317">
          <cell r="C317" t="str">
            <v>Building and civil engineering works of permanent character 33.4%-20</v>
          </cell>
        </row>
        <row r="318">
          <cell r="C318" t="str">
            <v>Cooling towers and circulating water systems 7.84%-21</v>
          </cell>
        </row>
        <row r="319">
          <cell r="C319" t="str">
            <v>Hydraulic works forming part of Hydro-electric system 1.95%-22</v>
          </cell>
        </row>
        <row r="320">
          <cell r="C320" t="str">
            <v>Hydraulic works forming part of Hydro-electric system 3.4%-23</v>
          </cell>
        </row>
        <row r="321">
          <cell r="C321" t="str">
            <v>Transformers, transformer (Kiosk) sub-station equipment and other fixed apparatus(including plant foundations) 7.81%-24</v>
          </cell>
        </row>
        <row r="322">
          <cell r="C322" t="str">
            <v>Transformers, transformer (Kiosk) sub-station equipment and other fixed apparatus(including plant foundations) 7.84%-25</v>
          </cell>
        </row>
        <row r="323">
          <cell r="C323" t="str">
            <v>Switchgear including cable connections 7.84%-26</v>
          </cell>
        </row>
        <row r="324">
          <cell r="C324" t="str">
            <v>Lighting arrestor 7.84%-27</v>
          </cell>
        </row>
        <row r="325">
          <cell r="C325" t="str">
            <v>Lighting arrestor 12.77%-28</v>
          </cell>
        </row>
        <row r="326">
          <cell r="C326" t="str">
            <v>Lighting arrestor 5.27%-29</v>
          </cell>
        </row>
        <row r="327">
          <cell r="C327" t="str">
            <v>Batteries 33.4%-30</v>
          </cell>
        </row>
        <row r="328">
          <cell r="C328" t="str">
            <v>Batteries 5.27%-31</v>
          </cell>
        </row>
        <row r="329">
          <cell r="C329" t="str">
            <v>Batteries 3.02%-32</v>
          </cell>
        </row>
        <row r="330">
          <cell r="C330" t="str">
            <v>Overhead Lines 5.27%-33</v>
          </cell>
        </row>
        <row r="331">
          <cell r="C331" t="str">
            <v>Overhead Lines 7.84%-34</v>
          </cell>
        </row>
        <row r="332">
          <cell r="C332" t="str">
            <v>Meters 12.77%-35</v>
          </cell>
        </row>
        <row r="333">
          <cell r="C333" t="str">
            <v>Self-propelled vehicles 33.4%-36</v>
          </cell>
        </row>
        <row r="334">
          <cell r="C334" t="str">
            <v>Air-conditioning plants 12.77%-37</v>
          </cell>
        </row>
        <row r="335">
          <cell r="C335" t="str">
            <v>Air-conditioning plants 33.4%-38</v>
          </cell>
        </row>
        <row r="336">
          <cell r="C336" t="str">
            <v>Office furniture and fittings 12.77%-39</v>
          </cell>
        </row>
        <row r="337">
          <cell r="C337" t="str">
            <v>Office equipments 12.77%-40</v>
          </cell>
        </row>
        <row r="338">
          <cell r="C338" t="str">
            <v>Internal wiring including fittings and apparatus 12.77%-41</v>
          </cell>
        </row>
        <row r="339">
          <cell r="C339" t="str">
            <v>Street light fittings 12.77%-42</v>
          </cell>
        </row>
        <row r="340">
          <cell r="C340" t="str">
            <v>Apparatus let on hire 33.4%-43</v>
          </cell>
        </row>
        <row r="341">
          <cell r="C341" t="str">
            <v>Apparatus let on hire 12.77%-44</v>
          </cell>
        </row>
        <row r="342">
          <cell r="C342" t="str">
            <v>Communication equipment 12.77%-45</v>
          </cell>
        </row>
        <row r="343">
          <cell r="C343" t="str">
            <v>Any other assets not covered above 7.69%-46</v>
          </cell>
        </row>
      </sheetData>
      <sheetData sheetId="67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  <sheetName val="Rev CF"/>
      <sheetName val="Rev Sch VI -old cf"/>
      <sheetName val="prov for expenses"/>
      <sheetName val="Rev Dep Sch"/>
      <sheetName val="Stk"/>
      <sheetName val="Rev Sch VI"/>
      <sheetName val="Rev Annex"/>
      <sheetName val="F.01"/>
      <sheetName val="Sheet1"/>
      <sheetName val="Format"/>
      <sheetName val="Board Format"/>
      <sheetName val="S_ALR_87012026-final"/>
      <sheetName val="Dep-new"/>
      <sheetName val="IT &amp; Wealth Tax"/>
      <sheetName val="ICD &amp; Other Adv"/>
      <sheetName val="Buyer Credit"/>
      <sheetName val="CF"/>
      <sheetName val="Sheet3"/>
      <sheetName val="Margin Money"/>
      <sheetName val="Admn Salary-Remu"/>
      <sheetName val="invest"/>
      <sheetName val="Adv Tax"/>
      <sheetName val="Dep Sch"/>
      <sheetName val="Grouping"/>
      <sheetName val="Stk Valn"/>
    </sheetNames>
    <sheetDataSet>
      <sheetData sheetId="0" refreshError="1"/>
      <sheetData sheetId="1">
        <row r="2">
          <cell r="AG2">
            <v>100000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400"/>
      <sheetName val="200"/>
      <sheetName val="Revised CF"/>
      <sheetName val="Cash Flow"/>
      <sheetName val="Working"/>
      <sheetName val="Rev Sch VI"/>
      <sheetName val="Rev Annex"/>
      <sheetName val="Rev Dep Sch"/>
      <sheetName val="TB"/>
      <sheetName val="S_ALR_87012026"/>
      <sheetName val="prov for expenses"/>
      <sheetName val="IT &amp; Wealth Tax"/>
      <sheetName val="ICD &amp; Other Adv"/>
      <sheetName val="Buyer Credit"/>
      <sheetName val="CF"/>
      <sheetName val="Sheet3"/>
      <sheetName val="Margin Money"/>
      <sheetName val="Admn Salary-Remu"/>
      <sheetName val="invest"/>
      <sheetName val="Adv Tax"/>
      <sheetName val="abstract"/>
    </sheetNames>
    <sheetDataSet>
      <sheetData sheetId="0" refreshError="1"/>
      <sheetData sheetId="1" refreshError="1"/>
      <sheetData sheetId="2" refreshError="1"/>
      <sheetData sheetId="3">
        <row r="2">
          <cell r="AG2">
            <v>100000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4"/>
      <sheetName val="2"/>
      <sheetName val="400"/>
      <sheetName val="200"/>
      <sheetName val="Sheet1"/>
      <sheetName val="Stk"/>
      <sheetName val="Rev CF"/>
      <sheetName val="Working"/>
      <sheetName val="Rev Annex"/>
      <sheetName val="Rev Sch VI"/>
      <sheetName val="TB"/>
      <sheetName val="Rev Dep Sch"/>
      <sheetName val="S_ALR_87012026"/>
      <sheetName val="prov for expenses"/>
      <sheetName val="IT &amp; Wealth Tax"/>
      <sheetName val="ICD &amp; Other Adv"/>
      <sheetName val="Buyer Credit"/>
      <sheetName val="CF"/>
      <sheetName val="Sheet3"/>
      <sheetName val="Margin Money"/>
      <sheetName val="Admn Salary-Remu"/>
      <sheetName val="invest"/>
      <sheetName val="Adv Tax"/>
      <sheetName val="abstrac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G2">
            <v>100000</v>
          </cell>
        </row>
      </sheetData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XX"/>
      <sheetName val="dewas"/>
      <sheetName val="PCRT"/>
      <sheetName val="DTB"/>
      <sheetName val="Kiln, SD Saving"/>
      <sheetName val="Working"/>
      <sheetName val="END B S"/>
      <sheetName val="body recepie variance"/>
      <sheetName val="Notes "/>
      <sheetName val="Book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New Format of SEF"/>
      <sheetName val="Segment Report"/>
      <sheetName val="bs"/>
      <sheetName val="pl"/>
      <sheetName val="Cash Flow"/>
      <sheetName val="working cash flow"/>
      <sheetName val="Detail of cash flow &amp; segment"/>
      <sheetName val="notesbs"/>
      <sheetName val="P&amp;L"/>
      <sheetName val="FA"/>
      <sheetName val="Other note  (2)"/>
      <sheetName val="212"/>
      <sheetName val="Sheet2"/>
      <sheetName val="Basic Principal"/>
      <sheetName val="TBK JV SUMMARY"/>
      <sheetName val="SUMMARY"/>
      <sheetName val="Other note  (3)"/>
      <sheetName val="Sch iii"/>
      <sheetName val="Other note "/>
      <sheetName val="Reco of opening"/>
      <sheetName val="A"/>
      <sheetName val="B "/>
      <sheetName val="C"/>
      <sheetName val="E"/>
      <sheetName val="F"/>
      <sheetName val="Intercompany Mar15"/>
      <sheetName val="Minority Interest mar15"/>
      <sheetName val="STOCK RESERVE"/>
      <sheetName val="stock working Sep12"/>
      <sheetName val="min and Inter Mar11"/>
      <sheetName val="life style"/>
      <sheetName val="Intercopany with HRJ (3)"/>
      <sheetName val="Detail"/>
      <sheetName val="lifestyle"/>
      <sheetName val="Intercopany with HRJ (2)"/>
      <sheetName val="Schedule-5 final (2)"/>
      <sheetName val="Notes-BS (2)"/>
      <sheetName val="CON BS"/>
      <sheetName val="CON PL"/>
      <sheetName val="CON C"/>
      <sheetName val="CON E"/>
      <sheetName val="CON F"/>
      <sheetName val="Sheet3"/>
      <sheetName val="AOC 1"/>
      <sheetName val="REC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wbulk (2)"/>
      <sheetName val="dwbulk"/>
      <sheetName val="Sheet3"/>
      <sheetName val="Sheet3 (2)"/>
      <sheetName val="Sheet2"/>
      <sheetName val="Sheet2 (2)"/>
      <sheetName val="PER KG"/>
      <sheetName val="Mumbai"/>
      <sheetName val="Delhi"/>
      <sheetName val="Chennai"/>
      <sheetName val="Calcutta"/>
      <sheetName val="Calnsv"/>
      <sheetName val="Chensv"/>
      <sheetName val="Delnsv"/>
      <sheetName val="Mumnsv"/>
      <sheetName val="DSM checkbook"/>
      <sheetName val="EXPENSES"/>
      <sheetName val="Enc 3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HEDGE"/>
      <sheetName val="BUDGET-IMPORT"/>
      <sheetName val="CENVAT"/>
      <sheetName val="CAPEX-ACTUAL"/>
      <sheetName val="BUDGET_IMPORT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B"/>
      <sheetName val="BS"/>
      <sheetName val="P &amp; L"/>
      <sheetName val="Sch-BS"/>
      <sheetName val="Sch - P&amp;L"/>
      <sheetName val="Depn chart"/>
      <sheetName val="Grouping "/>
      <sheetName val="Depn workings"/>
      <sheetName val="Deferred Tax Working"/>
      <sheetName val="I.T.Dep"/>
      <sheetName val="Annex Ia"/>
      <sheetName val="Subscription"/>
      <sheetName val="4219020-SIE Advert"/>
      <sheetName val="Dont Alter"/>
      <sheetName val="Note 2.11 &amp; 2.14(BS)"/>
      <sheetName val="MASTERS"/>
      <sheetName val="CTRL"/>
      <sheetName val="Assump. "/>
      <sheetName val="F.01 - June 2005"/>
      <sheetName val="FA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400"/>
      <sheetName val="200"/>
      <sheetName val="Revised CF"/>
      <sheetName val="Cash Flow"/>
      <sheetName val="Working"/>
      <sheetName val="Rev Sch VI"/>
      <sheetName val="Rev Annex"/>
      <sheetName val="Rev Dep Sch"/>
      <sheetName val="TB"/>
      <sheetName val="S_ALR_87012026"/>
      <sheetName val="prov for expenses"/>
      <sheetName val="IT &amp; Wealth Tax"/>
      <sheetName val="ICD &amp; Other Adv"/>
      <sheetName val="Buyer Credit"/>
      <sheetName val="CF"/>
      <sheetName val="Sheet3"/>
      <sheetName val="Margin Money"/>
      <sheetName val="Admn Salary-Remu"/>
      <sheetName val="invest"/>
      <sheetName val="Adv Tax"/>
      <sheetName val="abstract"/>
    </sheetNames>
    <sheetDataSet>
      <sheetData sheetId="0" refreshError="1"/>
      <sheetData sheetId="1" refreshError="1"/>
      <sheetData sheetId="2" refreshError="1"/>
      <sheetData sheetId="3">
        <row r="2">
          <cell r="AG2">
            <v>100000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P 1"/>
      <sheetName val="APP 2a"/>
      <sheetName val="APP 2b"/>
      <sheetName val="ADMIN"/>
      <sheetName val="APP 3a"/>
      <sheetName val="Sheet2"/>
      <sheetName val="APP 3b"/>
      <sheetName val="APP 4"/>
      <sheetName val="DCF XYZ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N"/>
      <sheetName val="15"/>
      <sheetName val="A"/>
      <sheetName val="C"/>
      <sheetName val="L"/>
      <sheetName val="UV"/>
      <sheetName val="BB"/>
      <sheetName val="SS"/>
      <sheetName val="20"/>
      <sheetName val="30"/>
      <sheetName val="Sheet1"/>
      <sheetName val="PUR"/>
      <sheetName val="#REF"/>
      <sheetName val="UPTO MARCH"/>
      <sheetName val="FY 10-11(May10)"/>
      <sheetName val="FY 10-11(June10)"/>
      <sheetName val="FY 10-11(July10)"/>
      <sheetName val="FY 10-11(Aug10)"/>
      <sheetName val="FY 10-11(Oct10)"/>
      <sheetName val="FY 10-11(Nov10)"/>
      <sheetName val="GL Working Nov"/>
      <sheetName val="GL WorkingOct"/>
      <sheetName val="Part Sales Nov"/>
      <sheetName val="Part SalesOct"/>
      <sheetName val="Export Others Nov"/>
      <sheetName val="Export OthersOct"/>
      <sheetName val="ME Nov"/>
      <sheetName val="Merchant ExportOct"/>
      <sheetName val="FY 10-11(Sept10)"/>
      <sheetName val="GL WorkingSept"/>
      <sheetName val="Sheet2"/>
      <sheetName val="Export-OtherSept"/>
      <sheetName val="Summ Cost"/>
      <sheetName val="Part SalesSept"/>
      <sheetName val="Merchant ExportSept"/>
      <sheetName val="GL Work Aug10"/>
      <sheetName val="M E Aug10"/>
      <sheetName val="Exp-Ot Aug10"/>
      <sheetName val="P S Aug10"/>
      <sheetName val="Sales July"/>
      <sheetName val="PS Cost July"/>
      <sheetName val="Exp Oth July"/>
      <sheetName val="ME Costing July"/>
      <sheetName val="Sales June"/>
      <sheetName val="PS Cost June"/>
      <sheetName val="Exp Oth Cost June"/>
      <sheetName val="ME Costing June"/>
      <sheetName val="SalesMay"/>
      <sheetName val="ME CostingMay"/>
      <sheetName val="May-Cost"/>
      <sheetName val="Sales March"/>
      <sheetName val="Cost March"/>
      <sheetName val="ME-Cost March"/>
      <sheetName val="FINAL"/>
      <sheetName val="DEC11"/>
      <sheetName val="JAN12"/>
      <sheetName val="ALL PURCH"/>
      <sheetName val="PIVOT"/>
      <sheetName val="TX CODE"/>
      <sheetName val="WORKING"/>
      <sheetName val="FDR BUDGET 2001 EISENACH"/>
      <sheetName val="ADVS1"/>
      <sheetName val="FY 10-11(Oct10_x0000_"/>
      <sheetName val="FY 10-11(Oct10?"/>
      <sheetName val="Tickmarks"/>
      <sheetName val="6.Metal"/>
      <sheetName val="7.Shelmould "/>
      <sheetName val="9.Power labour"/>
      <sheetName val="8.Depreciation backup"/>
      <sheetName val="FY 10-11(Oct10_x005f_x0000_"/>
      <sheetName val="FY 10-11(Oct10_"/>
      <sheetName val="Balance Sheet"/>
      <sheetName val="FY 10-11(Oct10_x005f_x005f_x005f_x0000_"/>
      <sheetName val="APR"/>
      <sheetName val="AUG"/>
      <sheetName val="JULY"/>
      <sheetName val="JUNE"/>
      <sheetName val="MAY"/>
      <sheetName val="OCT"/>
      <sheetName val="SEP"/>
      <sheetName val="A01"/>
      <sheetName val="A03.1"/>
      <sheetName val="C90"/>
      <sheetName val="A6"/>
    </sheetNames>
    <sheetDataSet>
      <sheetData sheetId="0" refreshError="1"/>
      <sheetData sheetId="1" refreshError="1">
        <row r="1">
          <cell r="A1" t="str">
            <v>MAHARASHTRA DAIRY PRODUCTS MANUFACTURING CO. PVT LTD.</v>
          </cell>
          <cell r="B1" t="str">
            <v>Form  No</v>
          </cell>
          <cell r="C1" t="str">
            <v>Name Of Consignor*</v>
          </cell>
          <cell r="D1" t="str">
            <v>Address Of Consignor*</v>
          </cell>
          <cell r="E1" t="str">
            <v>Destination from which the goods dispatched*</v>
          </cell>
          <cell r="F1" t="str">
            <v>Vehicle Number</v>
          </cell>
          <cell r="G1" t="str">
            <v>Transport Company Name</v>
          </cell>
          <cell r="H1" t="str">
            <v>Transport Compnay Address</v>
          </cell>
          <cell r="I1" t="str">
            <v>Bilty LR No</v>
          </cell>
          <cell r="J1" t="str">
            <v>Bilty Date</v>
          </cell>
        </row>
        <row r="2">
          <cell r="A2" t="str">
            <v>OTHER INCOME</v>
          </cell>
          <cell r="B2">
            <v>1835383</v>
          </cell>
          <cell r="C2" t="str">
            <v>Suzlon Energy Limited</v>
          </cell>
          <cell r="D2" t="str">
            <v>RS no 216 4 217 2A Titane Petle Cms Titane petle Road Tahsil sakri</v>
          </cell>
          <cell r="E2" t="str">
            <v>Nandurbar</v>
          </cell>
          <cell r="F2">
            <v>0</v>
          </cell>
          <cell r="G2" t="str">
            <v>Com Vehicle</v>
          </cell>
          <cell r="H2">
            <v>0</v>
          </cell>
          <cell r="I2">
            <v>0</v>
          </cell>
          <cell r="J2">
            <v>0</v>
          </cell>
        </row>
        <row r="3">
          <cell r="A3" t="str">
            <v>AUDIT: 31/03/97</v>
          </cell>
          <cell r="B3">
            <v>1841719</v>
          </cell>
          <cell r="C3" t="str">
            <v>Suzlon Energy Limited</v>
          </cell>
          <cell r="D3" t="str">
            <v>Chalkewadi Satara</v>
          </cell>
          <cell r="E3" t="str">
            <v>Satara Regional Warehouse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</row>
        <row r="4">
          <cell r="A4">
            <v>3</v>
          </cell>
          <cell r="B4">
            <v>1851574</v>
          </cell>
          <cell r="C4" t="str">
            <v>Asmita Enterprises</v>
          </cell>
          <cell r="D4" t="str">
            <v>Sector no 7  plot no 125 pcntda Bhosari pune 411026</v>
          </cell>
          <cell r="E4" t="str">
            <v>Pune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</row>
        <row r="5">
          <cell r="A5">
            <v>4</v>
          </cell>
          <cell r="B5" t="str">
            <v>AA-ADJ</v>
          </cell>
          <cell r="C5" t="str">
            <v>W/P</v>
          </cell>
          <cell r="D5" t="str">
            <v>UNADJ</v>
          </cell>
          <cell r="E5" t="str">
            <v>CAJE</v>
          </cell>
          <cell r="F5">
            <v>0</v>
          </cell>
          <cell r="G5" t="str">
            <v>PAJE</v>
          </cell>
          <cell r="H5">
            <v>0</v>
          </cell>
          <cell r="I5" t="str">
            <v>PRJE</v>
          </cell>
          <cell r="J5">
            <v>0</v>
          </cell>
        </row>
        <row r="6">
          <cell r="A6" t="str">
            <v>CAPTION</v>
          </cell>
          <cell r="B6" t="str">
            <v>AA-ADJ</v>
          </cell>
          <cell r="C6" t="str">
            <v>UNADJ</v>
          </cell>
          <cell r="D6" t="str">
            <v>CAJE</v>
          </cell>
          <cell r="E6" t="str">
            <v>Dr</v>
          </cell>
          <cell r="F6" t="str">
            <v>PAJE</v>
          </cell>
          <cell r="G6" t="str">
            <v>Dr</v>
          </cell>
          <cell r="H6" t="str">
            <v>PRJE</v>
          </cell>
          <cell r="I6" t="str">
            <v>Dr</v>
          </cell>
          <cell r="J6" t="str">
            <v>AA-ADJ</v>
          </cell>
        </row>
        <row r="7">
          <cell r="A7" t="str">
            <v>CAPTION</v>
          </cell>
          <cell r="B7">
            <v>35127</v>
          </cell>
          <cell r="C7">
            <v>35492</v>
          </cell>
          <cell r="D7" t="str">
            <v>Dr</v>
          </cell>
          <cell r="E7" t="str">
            <v>(Cr)</v>
          </cell>
          <cell r="F7" t="str">
            <v>Dr</v>
          </cell>
          <cell r="G7" t="str">
            <v>(Cr)</v>
          </cell>
          <cell r="H7" t="str">
            <v>Dr</v>
          </cell>
          <cell r="I7" t="str">
            <v>(Cr)</v>
          </cell>
          <cell r="J7">
            <v>35492</v>
          </cell>
        </row>
        <row r="8">
          <cell r="A8" t="str">
            <v>Salary &amp; wages</v>
          </cell>
          <cell r="B8" t="str">
            <v>at 31.03.96</v>
          </cell>
          <cell r="C8" t="str">
            <v>additions</v>
          </cell>
          <cell r="D8" t="str">
            <v>deletions</v>
          </cell>
          <cell r="E8" t="str">
            <v>at 31.03.97</v>
          </cell>
          <cell r="F8" t="str">
            <v>Dr/&lt;Cr&gt;</v>
          </cell>
          <cell r="G8" t="str">
            <v>Adjusted</v>
          </cell>
          <cell r="H8" t="str">
            <v>at 31.03.96</v>
          </cell>
          <cell r="I8" t="str">
            <v>the year</v>
          </cell>
          <cell r="J8" t="str">
            <v>assets sold</v>
          </cell>
        </row>
        <row r="9">
          <cell r="A9" t="str">
            <v>Interest income</v>
          </cell>
          <cell r="B9">
            <v>-51172</v>
          </cell>
          <cell r="C9" t="str">
            <v>RAMKRISHNA IRON WORKS PVTLTD</v>
          </cell>
          <cell r="D9" t="str">
            <v>Office : 26 Gobind Mahal 86B Netaji Subhash Road Marine Drive Mumbai –400 002Fact : A322 harihar Complex Village Dapode Near Gajananad Petrol Pump Mankoli  Naka Bhiwandi421302</v>
          </cell>
          <cell r="E9" t="str">
            <v>Mumbai</v>
          </cell>
          <cell r="F9">
            <v>0</v>
          </cell>
          <cell r="G9" t="str">
            <v>TCI XPS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 xml:space="preserve">  - Bank OD with Saraswat bank (CC 982)</v>
          </cell>
          <cell r="B10">
            <v>-2673293</v>
          </cell>
          <cell r="C10">
            <v>0</v>
          </cell>
          <cell r="D10" t="str">
            <v>Chalkewadi Satara</v>
          </cell>
          <cell r="E10" t="str">
            <v>Satara Regional Warehouse</v>
          </cell>
          <cell r="F10">
            <v>0</v>
          </cell>
          <cell r="G10" t="str">
            <v>TCI Freight</v>
          </cell>
          <cell r="H10">
            <v>-427039</v>
          </cell>
          <cell r="I10">
            <v>0</v>
          </cell>
          <cell r="J10">
            <v>11012012</v>
          </cell>
        </row>
        <row r="11">
          <cell r="A11" t="str">
            <v>Professional charges</v>
          </cell>
          <cell r="B11">
            <v>-813918</v>
          </cell>
          <cell r="C11" t="str">
            <v>Jayco Safety Products Pvt Ltd</v>
          </cell>
          <cell r="D11" t="str">
            <v>Jayco Safety Products Pvt LtdPlot No 734Valsad 999999</v>
          </cell>
          <cell r="E11" t="str">
            <v>VALSAD</v>
          </cell>
          <cell r="F11">
            <v>0</v>
          </cell>
          <cell r="G11" t="str">
            <v>ARCL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 xml:space="preserve">  - Term loan from Saraswat bank (a/c # 2107) </v>
          </cell>
          <cell r="B12">
            <v>-2599845</v>
          </cell>
          <cell r="C12" t="str">
            <v>Tacklers VAT No :27240664072V Dt 01042008CST No :27240664072 C Dt25071962</v>
          </cell>
          <cell r="D12" t="str">
            <v>Jayco Safety Products Pvt LtdPlot No 734Valsad 999999</v>
          </cell>
          <cell r="E12" t="str">
            <v>Mumbai</v>
          </cell>
          <cell r="F12">
            <v>0</v>
          </cell>
          <cell r="G12">
            <v>0</v>
          </cell>
          <cell r="H12">
            <v>-147699</v>
          </cell>
          <cell r="I12">
            <v>0</v>
          </cell>
          <cell r="J12">
            <v>0</v>
          </cell>
        </row>
        <row r="13">
          <cell r="A13" t="str">
            <v>Profit on sale of asset</v>
          </cell>
          <cell r="B13">
            <v>-418642</v>
          </cell>
          <cell r="C13" t="str">
            <v>Tacklers VAT No :27240664072V Dt 01042008CST No :27240664072 C Dt25071962</v>
          </cell>
          <cell r="D13" t="str">
            <v>Jayco Safety Products Pvt LtdPlot No 734Valsad 999999</v>
          </cell>
          <cell r="E13" t="str">
            <v>Mumbai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>209,500 equity shares of Rs 100 each</v>
          </cell>
          <cell r="B14">
            <v>-5053341</v>
          </cell>
          <cell r="C14" t="str">
            <v>Tacklers VAT No :27240664072V Dt 01042008CST No :27240664072 C Dt25071962</v>
          </cell>
          <cell r="D14" t="str">
            <v>Jayco Safety Products Pvt LtdPlot No 734Valsad 999999</v>
          </cell>
          <cell r="E14" t="str">
            <v>Mumbai</v>
          </cell>
          <cell r="F14">
            <v>0</v>
          </cell>
          <cell r="G14">
            <v>0</v>
          </cell>
          <cell r="H14">
            <v>-1441418</v>
          </cell>
          <cell r="I14">
            <v>0</v>
          </cell>
          <cell r="J14">
            <v>0</v>
          </cell>
        </row>
        <row r="15">
          <cell r="A15" t="str">
            <v>Dividend received</v>
          </cell>
          <cell r="B15">
            <v>-1500</v>
          </cell>
          <cell r="C15" t="str">
            <v>Impex Tools</v>
          </cell>
          <cell r="D15" t="str">
            <v>Jayco Safety Products Pvt LtdPlot No 734Valsad 999999</v>
          </cell>
          <cell r="E15" t="str">
            <v>PUNE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</row>
        <row r="16">
          <cell r="A16" t="str">
            <v>Unsecured loans</v>
          </cell>
          <cell r="B16">
            <v>0</v>
          </cell>
          <cell r="C16" t="str">
            <v>RAMKRISHNA IRON WORKS PVT.LTD V A T TIN No.27880346821 V w.e.f 01.04.2006C S T  TIN No.27880346821 C w.e.f 01.04.2006</v>
          </cell>
          <cell r="D16" t="str">
            <v>Office : 26, Gobind Mahal, 86-B, Netaji Subhash Road, Marine Drive, Mumbai –400 002Fact : A-3/22, hari-har Complex, Village-Dapode, Near Gajananad Petrol Pump, Mankoli Naka, Bhiwandi-421302</v>
          </cell>
          <cell r="E16" t="str">
            <v>Mumbai</v>
          </cell>
          <cell r="F16">
            <v>0</v>
          </cell>
          <cell r="G16" t="str">
            <v>TCI XPS</v>
          </cell>
          <cell r="H16">
            <v>-905935</v>
          </cell>
          <cell r="I16">
            <v>0</v>
          </cell>
          <cell r="J16">
            <v>0</v>
          </cell>
        </row>
        <row r="17">
          <cell r="A17" t="str">
            <v xml:space="preserve">Royalty </v>
          </cell>
          <cell r="B17">
            <v>-249845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A18" t="str">
            <v>Total</v>
          </cell>
          <cell r="B18">
            <v>-7726634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-128109</v>
          </cell>
          <cell r="I18">
            <v>0</v>
          </cell>
          <cell r="J18">
            <v>0</v>
          </cell>
        </row>
        <row r="19">
          <cell r="A19" t="str">
            <v>Misc income</v>
          </cell>
          <cell r="B19">
            <v>-62132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Selling &amp; distribution</v>
          </cell>
          <cell r="B20">
            <v>1372298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-47396</v>
          </cell>
          <cell r="I20">
            <v>0</v>
          </cell>
          <cell r="J20">
            <v>0</v>
          </cell>
        </row>
        <row r="21">
          <cell r="A21" t="str">
            <v>Total</v>
          </cell>
          <cell r="B21">
            <v>-1597209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General reserve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-604048</v>
          </cell>
          <cell r="I22">
            <v>0</v>
          </cell>
          <cell r="J22">
            <v>0</v>
          </cell>
        </row>
      </sheetData>
      <sheetData sheetId="2">
        <row r="1">
          <cell r="A1" t="str">
            <v>MAHARASHTRA DAIRY PRODUCTS MANUFACTURING CO. PVT LTD.</v>
          </cell>
        </row>
      </sheetData>
      <sheetData sheetId="3">
        <row r="1">
          <cell r="A1" t="str">
            <v>MAHARASHTRA DAIRY PRODUCTS MANUFACTURING CO. PVT LTD.</v>
          </cell>
        </row>
      </sheetData>
      <sheetData sheetId="4">
        <row r="1">
          <cell r="A1" t="str">
            <v>MAHARASHTRA DAIRY PRODUCTS MANUFACTURING CO. PVT LTD.</v>
          </cell>
        </row>
      </sheetData>
      <sheetData sheetId="5">
        <row r="1">
          <cell r="A1" t="str">
            <v>MAHARASHTRA DAIRY PRODUCTS MANUFACTURING CO. PVT LTD.</v>
          </cell>
        </row>
      </sheetData>
      <sheetData sheetId="6">
        <row r="1">
          <cell r="A1" t="str">
            <v>MAHARASHTRA DAIRY PRODUCTS MANUFACTURING CO. PVT LTD.</v>
          </cell>
        </row>
      </sheetData>
      <sheetData sheetId="7">
        <row r="1">
          <cell r="A1" t="str">
            <v>MAHARASHTRA DAIRY PRODUCTS MANUFACTURING CO. PVT LTD.</v>
          </cell>
        </row>
      </sheetData>
      <sheetData sheetId="8">
        <row r="1">
          <cell r="A1" t="str">
            <v>MAHARASHTRA DAIRY PRODUCTS MANUFACTURING CO. PVT LTD.</v>
          </cell>
        </row>
      </sheetData>
      <sheetData sheetId="9">
        <row r="1">
          <cell r="A1" t="str">
            <v>MAHARASHTRA DAIRY PRODUCTS MANUFACTURING CO. PVT LTD.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r-sept05"/>
      <sheetName val="oct-jan06"/>
      <sheetName val="Apr-jan06"/>
    </sheetNames>
    <sheetDataSet>
      <sheetData sheetId="0">
        <row r="5">
          <cell r="B5" t="str">
            <v/>
          </cell>
        </row>
        <row r="6">
          <cell r="B6" t="str">
            <v/>
          </cell>
        </row>
        <row r="7">
          <cell r="B7" t="str">
            <v/>
          </cell>
        </row>
        <row r="8">
          <cell r="B8" t="str">
            <v/>
          </cell>
        </row>
        <row r="9">
          <cell r="B9" t="str">
            <v/>
          </cell>
        </row>
        <row r="10">
          <cell r="B10" t="str">
            <v/>
          </cell>
        </row>
        <row r="11">
          <cell r="B11" t="str">
            <v/>
          </cell>
        </row>
        <row r="12">
          <cell r="B12" t="str">
            <v/>
          </cell>
        </row>
        <row r="13">
          <cell r="B13" t="str">
            <v/>
          </cell>
        </row>
        <row r="14">
          <cell r="B14" t="str">
            <v/>
          </cell>
        </row>
        <row r="15">
          <cell r="B15" t="str">
            <v/>
          </cell>
        </row>
        <row r="16">
          <cell r="B16" t="str">
            <v/>
          </cell>
        </row>
        <row r="17">
          <cell r="B17" t="str">
            <v/>
          </cell>
        </row>
        <row r="18">
          <cell r="B18" t="str">
            <v/>
          </cell>
        </row>
        <row r="19">
          <cell r="B19" t="str">
            <v/>
          </cell>
        </row>
        <row r="20">
          <cell r="B20" t="str">
            <v/>
          </cell>
        </row>
        <row r="21">
          <cell r="B21" t="str">
            <v/>
          </cell>
        </row>
        <row r="22">
          <cell r="B22" t="str">
            <v/>
          </cell>
        </row>
        <row r="23">
          <cell r="B23" t="str">
            <v/>
          </cell>
        </row>
        <row r="24">
          <cell r="B24" t="str">
            <v/>
          </cell>
        </row>
        <row r="25">
          <cell r="B25" t="str">
            <v/>
          </cell>
        </row>
        <row r="26">
          <cell r="B26" t="str">
            <v/>
          </cell>
        </row>
      </sheetData>
      <sheetData sheetId="1" refreshError="1"/>
      <sheetData sheetId="2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p Recharge (2)"/>
      <sheetName val="regnwisebs"/>
      <sheetName val="Chart of account"/>
      <sheetName val="consobs"/>
      <sheetName val="Bal Sht"/>
      <sheetName val="P &amp; L"/>
      <sheetName val="Balance sheet"/>
      <sheetName val="Cash flow"/>
      <sheetName val="Cash Flow-SchVI  "/>
      <sheetName val="Sch 1to3"/>
      <sheetName val="Sch 4 - FA  "/>
      <sheetName val="Sch 5 to 8"/>
      <sheetName val="Sch 9 to12"/>
      <sheetName val="Sch 12 to16"/>
      <sheetName val="Sch 17 &amp; 18"/>
      <sheetName val="Ahd"/>
      <sheetName val="bng"/>
      <sheetName val="cbe"/>
      <sheetName val="che"/>
      <sheetName val="coh"/>
      <sheetName val="goa"/>
      <sheetName val="hrn"/>
      <sheetName val="hyd"/>
      <sheetName val="idr"/>
      <sheetName val="Jpr"/>
      <sheetName val="Kol"/>
      <sheetName val="lkn"/>
      <sheetName val="lnj"/>
      <sheetName val="mgl"/>
      <sheetName val="moh"/>
      <sheetName val="mts"/>
      <sheetName val="mum"/>
      <sheetName val="mys"/>
      <sheetName val="ngp"/>
      <sheetName val="nsk"/>
      <sheetName val="Pun"/>
      <sheetName val="rpr"/>
      <sheetName val="srt"/>
      <sheetName val="tvd"/>
      <sheetName val="upn"/>
      <sheetName val="vdr"/>
      <sheetName val="vzg"/>
      <sheetName val="Ifs"/>
      <sheetName val="Quarry Figu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>
        <row r="1">
          <cell r="A1" t="str">
            <v>RMC Readymix (I) Pvt. Ltd.,</v>
          </cell>
          <cell r="B1" t="str">
            <v>Trial balance</v>
          </cell>
          <cell r="C1">
            <v>40000</v>
          </cell>
          <cell r="D1">
            <v>0.59313657407407405</v>
          </cell>
          <cell r="E1" t="str">
            <v>Page 1</v>
          </cell>
          <cell r="F1" t="str">
            <v>Ranga Reddy</v>
          </cell>
        </row>
        <row r="2">
          <cell r="A2" t="str">
            <v>Period</v>
          </cell>
          <cell r="B2">
            <v>39904</v>
          </cell>
          <cell r="C2">
            <v>39994</v>
          </cell>
        </row>
        <row r="3">
          <cell r="A3" t="str">
            <v>Ledger account</v>
          </cell>
          <cell r="B3" t="str">
            <v>Account name</v>
          </cell>
          <cell r="C3" t="str">
            <v>Opening balance</v>
          </cell>
          <cell r="D3" t="str">
            <v>Debit</v>
          </cell>
          <cell r="E3" t="str">
            <v>Credit</v>
          </cell>
          <cell r="F3" t="str">
            <v>Net difference</v>
          </cell>
          <cell r="G3" t="str">
            <v>Closing transactions</v>
          </cell>
          <cell r="H3" t="str">
            <v>Closing balance</v>
          </cell>
        </row>
        <row r="4">
          <cell r="A4">
            <v>11015010</v>
          </cell>
          <cell r="B4" t="str">
            <v>Buildings</v>
          </cell>
          <cell r="C4">
            <v>0</v>
          </cell>
          <cell r="D4">
            <v>2477622.29</v>
          </cell>
          <cell r="E4">
            <v>2477622.29</v>
          </cell>
          <cell r="F4">
            <v>0</v>
          </cell>
          <cell r="G4">
            <v>0</v>
          </cell>
          <cell r="H4">
            <v>0</v>
          </cell>
        </row>
        <row r="5">
          <cell r="A5">
            <v>11025010</v>
          </cell>
          <cell r="B5" t="str">
            <v>Plant and Machinery</v>
          </cell>
          <cell r="C5">
            <v>0</v>
          </cell>
          <cell r="D5">
            <v>7062379</v>
          </cell>
          <cell r="E5">
            <v>0</v>
          </cell>
          <cell r="F5">
            <v>7062379</v>
          </cell>
          <cell r="G5">
            <v>0</v>
          </cell>
          <cell r="H5">
            <v>7062379</v>
          </cell>
        </row>
        <row r="6">
          <cell r="A6">
            <v>11030010</v>
          </cell>
          <cell r="B6" t="str">
            <v>Electrical Installations</v>
          </cell>
          <cell r="C6">
            <v>0</v>
          </cell>
          <cell r="D6">
            <v>191692</v>
          </cell>
          <cell r="E6">
            <v>0</v>
          </cell>
          <cell r="F6">
            <v>191692</v>
          </cell>
          <cell r="G6">
            <v>0</v>
          </cell>
          <cell r="H6">
            <v>191692</v>
          </cell>
        </row>
        <row r="7">
          <cell r="A7">
            <v>11035010</v>
          </cell>
          <cell r="B7" t="str">
            <v>Furniture &amp; Fixtures</v>
          </cell>
          <cell r="C7">
            <v>0</v>
          </cell>
          <cell r="D7">
            <v>1165535</v>
          </cell>
          <cell r="E7">
            <v>0</v>
          </cell>
          <cell r="F7">
            <v>1165535</v>
          </cell>
          <cell r="G7">
            <v>0</v>
          </cell>
          <cell r="H7">
            <v>1165535</v>
          </cell>
        </row>
        <row r="8">
          <cell r="A8">
            <v>11040010</v>
          </cell>
          <cell r="B8" t="str">
            <v>Office &amp; Electrical Appliances</v>
          </cell>
          <cell r="C8">
            <v>0</v>
          </cell>
          <cell r="D8">
            <v>40598</v>
          </cell>
          <cell r="E8">
            <v>0</v>
          </cell>
          <cell r="F8">
            <v>40598</v>
          </cell>
          <cell r="G8">
            <v>0</v>
          </cell>
          <cell r="H8">
            <v>40598</v>
          </cell>
        </row>
        <row r="9">
          <cell r="A9">
            <v>11060010</v>
          </cell>
          <cell r="B9" t="str">
            <v>Capital W.I.P</v>
          </cell>
          <cell r="C9">
            <v>0</v>
          </cell>
          <cell r="D9">
            <v>35086.5</v>
          </cell>
          <cell r="E9">
            <v>0</v>
          </cell>
          <cell r="F9">
            <v>35086.5</v>
          </cell>
          <cell r="G9">
            <v>0</v>
          </cell>
          <cell r="H9">
            <v>35086.5</v>
          </cell>
        </row>
        <row r="10">
          <cell r="A10">
            <v>13015010</v>
          </cell>
          <cell r="B10" t="str">
            <v>Balance Sheet Stock of Raw material - RMC</v>
          </cell>
          <cell r="C10">
            <v>0</v>
          </cell>
          <cell r="D10">
            <v>53562.39</v>
          </cell>
          <cell r="E10">
            <v>0</v>
          </cell>
          <cell r="F10">
            <v>53562.39</v>
          </cell>
          <cell r="G10">
            <v>0</v>
          </cell>
          <cell r="H10">
            <v>53562.39</v>
          </cell>
        </row>
        <row r="11">
          <cell r="A11">
            <v>25005010</v>
          </cell>
          <cell r="B11" t="str">
            <v>Creditors Control</v>
          </cell>
          <cell r="C11">
            <v>0</v>
          </cell>
          <cell r="D11">
            <v>5000</v>
          </cell>
          <cell r="E11">
            <v>0</v>
          </cell>
          <cell r="F11">
            <v>5000</v>
          </cell>
          <cell r="G11">
            <v>0</v>
          </cell>
          <cell r="H11">
            <v>5000</v>
          </cell>
        </row>
        <row r="12">
          <cell r="A12">
            <v>25010200</v>
          </cell>
          <cell r="B12" t="str">
            <v>Provision for Expenses in MIS</v>
          </cell>
          <cell r="C12">
            <v>0</v>
          </cell>
          <cell r="D12">
            <v>497450</v>
          </cell>
          <cell r="E12">
            <v>526000</v>
          </cell>
          <cell r="F12">
            <v>-28550</v>
          </cell>
          <cell r="G12">
            <v>0</v>
          </cell>
          <cell r="H12">
            <v>-28550</v>
          </cell>
        </row>
        <row r="13">
          <cell r="A13">
            <v>26015010</v>
          </cell>
          <cell r="B13" t="str">
            <v>Prov For Dep.-  Buildings</v>
          </cell>
          <cell r="C13">
            <v>0</v>
          </cell>
          <cell r="D13">
            <v>993747</v>
          </cell>
          <cell r="E13">
            <v>993747</v>
          </cell>
          <cell r="F13">
            <v>0</v>
          </cell>
          <cell r="G13">
            <v>0</v>
          </cell>
          <cell r="H13">
            <v>0</v>
          </cell>
        </row>
        <row r="14">
          <cell r="A14">
            <v>26025010</v>
          </cell>
          <cell r="B14" t="str">
            <v>Provision for Depreciation Plant &amp; Machinery</v>
          </cell>
          <cell r="C14">
            <v>0</v>
          </cell>
          <cell r="D14">
            <v>0</v>
          </cell>
          <cell r="E14">
            <v>4271483.25</v>
          </cell>
          <cell r="F14">
            <v>-4271483.25</v>
          </cell>
          <cell r="G14">
            <v>0</v>
          </cell>
          <cell r="H14">
            <v>-4271483.25</v>
          </cell>
        </row>
        <row r="15">
          <cell r="A15">
            <v>26030010</v>
          </cell>
          <cell r="B15" t="str">
            <v>Provision For Dep.-Electrical Installations</v>
          </cell>
          <cell r="C15">
            <v>0</v>
          </cell>
          <cell r="D15">
            <v>0</v>
          </cell>
          <cell r="E15">
            <v>89786.08</v>
          </cell>
          <cell r="F15">
            <v>-89786.08</v>
          </cell>
          <cell r="G15">
            <v>0</v>
          </cell>
          <cell r="H15">
            <v>-89786.08</v>
          </cell>
        </row>
        <row r="16">
          <cell r="A16">
            <v>26035010</v>
          </cell>
          <cell r="B16" t="str">
            <v>Provision For Dep.-Furniture and Fixtures</v>
          </cell>
          <cell r="C16">
            <v>0</v>
          </cell>
          <cell r="D16">
            <v>0</v>
          </cell>
          <cell r="E16">
            <v>178068.63</v>
          </cell>
          <cell r="F16">
            <v>-178068.63</v>
          </cell>
          <cell r="G16">
            <v>0</v>
          </cell>
          <cell r="H16">
            <v>-178068.63</v>
          </cell>
        </row>
        <row r="17">
          <cell r="A17">
            <v>26040010</v>
          </cell>
          <cell r="B17" t="str">
            <v>Provision for Depreciation- Office and Electrical Appliances</v>
          </cell>
          <cell r="C17">
            <v>0</v>
          </cell>
          <cell r="D17">
            <v>0</v>
          </cell>
          <cell r="E17">
            <v>9834.68</v>
          </cell>
          <cell r="F17">
            <v>-9834.68</v>
          </cell>
          <cell r="G17">
            <v>0</v>
          </cell>
          <cell r="H17">
            <v>-9834.68</v>
          </cell>
        </row>
        <row r="18">
          <cell r="A18">
            <v>41020010</v>
          </cell>
          <cell r="B18" t="str">
            <v>Raw Material Purchase - Cement</v>
          </cell>
          <cell r="C18">
            <v>0</v>
          </cell>
          <cell r="D18">
            <v>45222.99</v>
          </cell>
          <cell r="E18">
            <v>0</v>
          </cell>
          <cell r="F18">
            <v>45222.99</v>
          </cell>
          <cell r="G18">
            <v>0</v>
          </cell>
          <cell r="H18">
            <v>45222.99</v>
          </cell>
        </row>
        <row r="19">
          <cell r="A19">
            <v>41020195</v>
          </cell>
          <cell r="B19" t="str">
            <v>Purchase of Diesel</v>
          </cell>
          <cell r="C19">
            <v>0</v>
          </cell>
          <cell r="D19">
            <v>43425.9</v>
          </cell>
          <cell r="E19">
            <v>35086.5</v>
          </cell>
          <cell r="F19">
            <v>8339.4</v>
          </cell>
          <cell r="G19">
            <v>0</v>
          </cell>
          <cell r="H19">
            <v>8339.4</v>
          </cell>
        </row>
        <row r="20">
          <cell r="A20">
            <v>41050010</v>
          </cell>
          <cell r="B20" t="str">
            <v>Closing Stock - Cement</v>
          </cell>
          <cell r="C20">
            <v>0</v>
          </cell>
          <cell r="D20">
            <v>0</v>
          </cell>
          <cell r="E20">
            <v>45222.99</v>
          </cell>
          <cell r="F20">
            <v>-45222.99</v>
          </cell>
          <cell r="G20">
            <v>0</v>
          </cell>
          <cell r="H20">
            <v>-45222.99</v>
          </cell>
        </row>
        <row r="21">
          <cell r="A21">
            <v>41050080</v>
          </cell>
          <cell r="B21" t="str">
            <v>Closing Stock - Diesel</v>
          </cell>
          <cell r="C21">
            <v>0</v>
          </cell>
          <cell r="D21">
            <v>0</v>
          </cell>
          <cell r="E21">
            <v>8339.4</v>
          </cell>
          <cell r="F21">
            <v>-8339.4</v>
          </cell>
          <cell r="G21">
            <v>0</v>
          </cell>
          <cell r="H21">
            <v>-8339.4</v>
          </cell>
        </row>
        <row r="22">
          <cell r="A22">
            <v>42030060</v>
          </cell>
          <cell r="B22" t="str">
            <v>Food &amp; Beverage Exps - FBT</v>
          </cell>
          <cell r="C22">
            <v>0</v>
          </cell>
          <cell r="D22">
            <v>304</v>
          </cell>
          <cell r="E22">
            <v>0</v>
          </cell>
          <cell r="F22">
            <v>304</v>
          </cell>
          <cell r="G22">
            <v>0</v>
          </cell>
          <cell r="H22">
            <v>304</v>
          </cell>
        </row>
        <row r="23">
          <cell r="A23">
            <v>43001030</v>
          </cell>
          <cell r="B23" t="str">
            <v>Fuel For Diesel Generator Set</v>
          </cell>
          <cell r="C23">
            <v>0</v>
          </cell>
          <cell r="D23">
            <v>31866</v>
          </cell>
          <cell r="E23">
            <v>31866</v>
          </cell>
          <cell r="F23">
            <v>0</v>
          </cell>
          <cell r="G23">
            <v>0</v>
          </cell>
          <cell r="H23">
            <v>0</v>
          </cell>
        </row>
        <row r="24">
          <cell r="A24">
            <v>43018010</v>
          </cell>
          <cell r="B24" t="str">
            <v>Repairs &amp; Maintenance</v>
          </cell>
          <cell r="C24">
            <v>0</v>
          </cell>
          <cell r="D24">
            <v>2000</v>
          </cell>
          <cell r="E24">
            <v>0</v>
          </cell>
          <cell r="F24">
            <v>2000</v>
          </cell>
          <cell r="G24">
            <v>0</v>
          </cell>
          <cell r="H24">
            <v>2000</v>
          </cell>
        </row>
        <row r="25">
          <cell r="A25">
            <v>43042050</v>
          </cell>
          <cell r="B25" t="str">
            <v>Fuel -  External Trucks/Pumps</v>
          </cell>
          <cell r="C25">
            <v>0</v>
          </cell>
          <cell r="D25">
            <v>3220.5</v>
          </cell>
          <cell r="E25">
            <v>3220.5</v>
          </cell>
          <cell r="F25">
            <v>0</v>
          </cell>
          <cell r="G25">
            <v>0</v>
          </cell>
          <cell r="H25">
            <v>0</v>
          </cell>
        </row>
        <row r="26">
          <cell r="A26">
            <v>43052010</v>
          </cell>
          <cell r="B26" t="str">
            <v>Security Service Charges</v>
          </cell>
          <cell r="C26">
            <v>0</v>
          </cell>
          <cell r="D26">
            <v>26000</v>
          </cell>
          <cell r="E26">
            <v>0</v>
          </cell>
          <cell r="F26">
            <v>26000</v>
          </cell>
          <cell r="G26">
            <v>0</v>
          </cell>
          <cell r="H26">
            <v>26000</v>
          </cell>
        </row>
        <row r="27">
          <cell r="A27">
            <v>45010010</v>
          </cell>
          <cell r="B27" t="str">
            <v>Depreciation</v>
          </cell>
          <cell r="C27">
            <v>0</v>
          </cell>
          <cell r="D27">
            <v>152027</v>
          </cell>
          <cell r="E27">
            <v>0</v>
          </cell>
          <cell r="F27">
            <v>152027</v>
          </cell>
          <cell r="G27">
            <v>0</v>
          </cell>
          <cell r="H27">
            <v>152027</v>
          </cell>
        </row>
        <row r="28">
          <cell r="A28">
            <v>46040010</v>
          </cell>
          <cell r="B28" t="str">
            <v>Plant Shifting Expenses</v>
          </cell>
          <cell r="C28">
            <v>0</v>
          </cell>
          <cell r="D28">
            <v>530500</v>
          </cell>
          <cell r="E28">
            <v>497450</v>
          </cell>
          <cell r="F28">
            <v>33050</v>
          </cell>
          <cell r="G28">
            <v>0</v>
          </cell>
          <cell r="H28">
            <v>33050</v>
          </cell>
        </row>
        <row r="29">
          <cell r="A29">
            <v>52000809</v>
          </cell>
          <cell r="B29" t="str">
            <v>Inter branch control account for 08-09</v>
          </cell>
          <cell r="C29">
            <v>0</v>
          </cell>
          <cell r="D29">
            <v>7944452.9299999997</v>
          </cell>
          <cell r="E29">
            <v>12133964.18</v>
          </cell>
          <cell r="F29">
            <v>-4189511.25</v>
          </cell>
          <cell r="G29">
            <v>0</v>
          </cell>
          <cell r="H29">
            <v>-4189511.25</v>
          </cell>
        </row>
        <row r="30">
          <cell r="A30">
            <v>61000300</v>
          </cell>
          <cell r="B30" t="str">
            <v>Asset transfer / sale control account</v>
          </cell>
          <cell r="C30">
            <v>0</v>
          </cell>
          <cell r="D30">
            <v>4955246.58</v>
          </cell>
          <cell r="E30">
            <v>4955246.58</v>
          </cell>
          <cell r="F30">
            <v>0</v>
          </cell>
          <cell r="G30">
            <v>0</v>
          </cell>
          <cell r="H30">
            <v>0</v>
          </cell>
        </row>
        <row r="31">
          <cell r="A31">
            <v>62000000</v>
          </cell>
          <cell r="B31" t="str">
            <v>Inter branch Clearing account</v>
          </cell>
          <cell r="C31">
            <v>0</v>
          </cell>
          <cell r="D31">
            <v>16607047.82</v>
          </cell>
          <cell r="E31">
            <v>16607047.82</v>
          </cell>
          <cell r="F31">
            <v>0</v>
          </cell>
          <cell r="G31">
            <v>0</v>
          </cell>
          <cell r="H31">
            <v>0</v>
          </cell>
        </row>
        <row r="32">
          <cell r="B32" t="str">
            <v>Total</v>
          </cell>
          <cell r="D32">
            <v>0</v>
          </cell>
          <cell r="E32">
            <v>42863985.899999999</v>
          </cell>
          <cell r="F32">
            <v>42863985.899999999</v>
          </cell>
          <cell r="G32">
            <v>0</v>
          </cell>
          <cell r="H32">
            <v>0</v>
          </cell>
        </row>
      </sheetData>
      <sheetData sheetId="43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ditReportInformation"/>
      <sheetName val="3CA"/>
      <sheetName val="3CB"/>
      <sheetName val="3CD"/>
      <sheetName val="IndirectTaxInfo"/>
      <sheetName val="Sch_9(a)"/>
      <sheetName val="Sch_9(b)"/>
      <sheetName val="Sch_10(a)"/>
      <sheetName val="Sch_10(b)"/>
      <sheetName val="Sch_11(a)"/>
      <sheetName val="Sch_11(b)"/>
      <sheetName val="Sch_11(c)"/>
      <sheetName val="Sch_12"/>
      <sheetName val="Sch_13(c)"/>
      <sheetName val="Sch_13(d)"/>
      <sheetName val="Sch_14(b)"/>
      <sheetName val="Sch_15"/>
      <sheetName val="Sch_16(a)"/>
      <sheetName val="Sch_16(b)"/>
      <sheetName val="Sch_16(c)"/>
      <sheetName val="Sch_16(d)"/>
      <sheetName val="Sch_16(e)"/>
      <sheetName val="Sch_17"/>
      <sheetName val="Sch_18"/>
      <sheetName val="Sch_18_Additions"/>
      <sheetName val="Sch_18_Deletions"/>
      <sheetName val="Sch_19"/>
      <sheetName val="Sch_20(a)"/>
      <sheetName val="Sch_20(b)"/>
      <sheetName val="Sch_21(a)"/>
      <sheetName val="Sch_21(b)(i)(A)"/>
      <sheetName val="Sch_21(b)(i)(B)"/>
      <sheetName val="Sch_21(b)(ii)(A)"/>
      <sheetName val="Sch_21(b)(ii)(B)"/>
      <sheetName val="Sch_21(b)(vi)"/>
      <sheetName val="Sch_21(c)"/>
      <sheetName val="Sch_21(d)(A)"/>
      <sheetName val="Sch_21(d)(B)"/>
      <sheetName val="Sch_21(g)"/>
      <sheetName val="Sch_21(h)"/>
      <sheetName val="Sch_23"/>
      <sheetName val="Sch_24"/>
      <sheetName val="Sch_25"/>
      <sheetName val="Sch_26(i)(A)(a)"/>
      <sheetName val="Sch_26(i)(A)(b)"/>
      <sheetName val="Sch_26(i)(B)(a)"/>
      <sheetName val="Sch_26(i)(B)(b)"/>
      <sheetName val="Sch_27(a)"/>
      <sheetName val="Sch_27(b)"/>
      <sheetName val="Sch_28"/>
      <sheetName val="Sch_29"/>
      <sheetName val="Sch_30"/>
      <sheetName val="Sch_31(a)"/>
      <sheetName val="Sch_31(b)"/>
      <sheetName val="Sch_32(a)"/>
      <sheetName val="Sch_33"/>
      <sheetName val="Sch_34(a)"/>
      <sheetName val="Sch_34(b)"/>
      <sheetName val="Sch_34(c)"/>
      <sheetName val="Sch_35(a)"/>
      <sheetName val="Sch_35(b)(A)"/>
      <sheetName val="Sch_35(b)(B)"/>
      <sheetName val="Sch_35(b)(C)"/>
      <sheetName val="Sch_36"/>
      <sheetName val="Sch_40"/>
      <sheetName val="Sch_41"/>
      <sheetName val="Codes"/>
      <sheetName val="MARKEDN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>
        <row r="20">
          <cell r="C20" t="str">
            <v>ANDAMAN AND NICOBAR ISLANDS-01</v>
          </cell>
        </row>
        <row r="350">
          <cell r="C350" t="str">
            <v>Central Excise Duty-CED</v>
          </cell>
        </row>
        <row r="351">
          <cell r="C351" t="str">
            <v>Central Custom Duty-CD</v>
          </cell>
        </row>
        <row r="352">
          <cell r="C352" t="str">
            <v>Service Tax-SET</v>
          </cell>
        </row>
        <row r="353">
          <cell r="C353" t="str">
            <v>Sales Tax/VAT-SAT</v>
          </cell>
        </row>
        <row r="354">
          <cell r="C354" t="str">
            <v>State Excise Duty-SED</v>
          </cell>
        </row>
        <row r="355">
          <cell r="C355" t="str">
            <v>Other Indirect Tax/duty-OIT</v>
          </cell>
        </row>
        <row r="399">
          <cell r="C399" t="str">
            <v>1980-81</v>
          </cell>
        </row>
        <row r="400">
          <cell r="C400" t="str">
            <v>1981-82</v>
          </cell>
        </row>
        <row r="401">
          <cell r="C401" t="str">
            <v>1982-83</v>
          </cell>
        </row>
        <row r="402">
          <cell r="C402" t="str">
            <v>1983-84</v>
          </cell>
        </row>
        <row r="403">
          <cell r="C403" t="str">
            <v>1984-85</v>
          </cell>
        </row>
        <row r="404">
          <cell r="C404" t="str">
            <v>1985-86</v>
          </cell>
        </row>
        <row r="405">
          <cell r="C405" t="str">
            <v>1986-87</v>
          </cell>
        </row>
        <row r="406">
          <cell r="C406" t="str">
            <v>1987-88</v>
          </cell>
        </row>
        <row r="407">
          <cell r="C407" t="str">
            <v>1988-89</v>
          </cell>
        </row>
        <row r="408">
          <cell r="C408" t="str">
            <v>1989-90</v>
          </cell>
        </row>
        <row r="409">
          <cell r="C409" t="str">
            <v>1990-91</v>
          </cell>
        </row>
        <row r="410">
          <cell r="C410" t="str">
            <v>1991-92</v>
          </cell>
        </row>
        <row r="411">
          <cell r="C411" t="str">
            <v>1992-93</v>
          </cell>
        </row>
        <row r="412">
          <cell r="C412" t="str">
            <v>1993-94</v>
          </cell>
        </row>
        <row r="413">
          <cell r="C413" t="str">
            <v>1994-95</v>
          </cell>
        </row>
        <row r="414">
          <cell r="C414" t="str">
            <v>1995-96</v>
          </cell>
        </row>
        <row r="415">
          <cell r="C415" t="str">
            <v>1996-97</v>
          </cell>
        </row>
        <row r="416">
          <cell r="C416" t="str">
            <v>1997-98</v>
          </cell>
        </row>
        <row r="417">
          <cell r="C417" t="str">
            <v>1998-99</v>
          </cell>
        </row>
        <row r="418">
          <cell r="C418" t="str">
            <v>1999-00</v>
          </cell>
        </row>
        <row r="419">
          <cell r="C419" t="str">
            <v>2000-01</v>
          </cell>
        </row>
        <row r="420">
          <cell r="C420" t="str">
            <v>2001-02</v>
          </cell>
        </row>
        <row r="421">
          <cell r="C421" t="str">
            <v>2002-03</v>
          </cell>
        </row>
        <row r="422">
          <cell r="C422" t="str">
            <v>2003-04</v>
          </cell>
        </row>
        <row r="423">
          <cell r="C423" t="str">
            <v>2004-05</v>
          </cell>
        </row>
        <row r="424">
          <cell r="C424" t="str">
            <v>2005-06</v>
          </cell>
        </row>
        <row r="425">
          <cell r="C425" t="str">
            <v>2006-07</v>
          </cell>
        </row>
        <row r="426">
          <cell r="C426" t="str">
            <v>2007-08</v>
          </cell>
        </row>
        <row r="427">
          <cell r="C427" t="str">
            <v>2008-09</v>
          </cell>
        </row>
        <row r="428">
          <cell r="C428" t="str">
            <v>2009-10</v>
          </cell>
        </row>
        <row r="429">
          <cell r="C429" t="str">
            <v>2010-11</v>
          </cell>
        </row>
        <row r="430">
          <cell r="C430" t="str">
            <v>2011-12</v>
          </cell>
        </row>
        <row r="431">
          <cell r="C431" t="str">
            <v>2012-13</v>
          </cell>
        </row>
        <row r="432">
          <cell r="C432" t="str">
            <v>2013-14</v>
          </cell>
        </row>
        <row r="433">
          <cell r="C433" t="str">
            <v>2014-15</v>
          </cell>
        </row>
        <row r="434">
          <cell r="C434" t="str">
            <v>2015-16</v>
          </cell>
        </row>
        <row r="435">
          <cell r="C435" t="str">
            <v>2016-17</v>
          </cell>
        </row>
        <row r="436">
          <cell r="C436" t="str">
            <v>2017-18</v>
          </cell>
        </row>
        <row r="437">
          <cell r="C437" t="str">
            <v>2018-19</v>
          </cell>
        </row>
        <row r="438">
          <cell r="C438" t="str">
            <v>2019-20</v>
          </cell>
        </row>
        <row r="439">
          <cell r="C439" t="str">
            <v>2020-21</v>
          </cell>
        </row>
        <row r="493">
          <cell r="C493" t="str">
            <v>Demand raised-DEMAND</v>
          </cell>
        </row>
        <row r="494">
          <cell r="C494" t="str">
            <v>Refund received-REFUND</v>
          </cell>
        </row>
      </sheetData>
      <sheetData sheetId="67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"/>
      <sheetName val="GIT-RM"/>
      <sheetName val="BRANCH"/>
      <sheetName val="STAT"/>
    </sheetNames>
    <sheetDataSet>
      <sheetData sheetId="0"/>
      <sheetData sheetId="1"/>
      <sheetData sheetId="2"/>
      <sheetData sheetId="3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 India (3)"/>
      <sheetName val="MUMFINAL"/>
      <sheetName val="Plant"/>
      <sheetName val="Sheet1"/>
      <sheetName val="Mumbai Revised"/>
      <sheetName val="fgdy"/>
      <sheetName val="Sheet3"/>
      <sheetName val="All India (2)"/>
      <sheetName val="Sheet4"/>
      <sheetName val="All India"/>
      <sheetName val="Kolkata"/>
      <sheetName val="Chennai"/>
      <sheetName val="Sheet2"/>
      <sheetName val="Delhi"/>
      <sheetName val="Mumbai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>
            <v>90155</v>
          </cell>
          <cell r="B2">
            <v>38.4</v>
          </cell>
          <cell r="C2">
            <v>6560.24</v>
          </cell>
          <cell r="D2">
            <v>4</v>
          </cell>
        </row>
        <row r="3">
          <cell r="A3">
            <v>90157</v>
          </cell>
          <cell r="B3">
            <v>2198.4</v>
          </cell>
          <cell r="C3">
            <v>358561.17</v>
          </cell>
          <cell r="D3">
            <v>229</v>
          </cell>
        </row>
        <row r="4">
          <cell r="A4">
            <v>90159</v>
          </cell>
          <cell r="B4">
            <v>22200</v>
          </cell>
          <cell r="C4">
            <v>4521710.8600000003</v>
          </cell>
          <cell r="D4">
            <v>1850</v>
          </cell>
        </row>
        <row r="5">
          <cell r="A5">
            <v>90165</v>
          </cell>
          <cell r="B5">
            <v>17148</v>
          </cell>
          <cell r="C5">
            <v>3502742.81</v>
          </cell>
          <cell r="D5">
            <v>1429</v>
          </cell>
        </row>
        <row r="6">
          <cell r="A6">
            <v>90167</v>
          </cell>
          <cell r="B6">
            <v>2172</v>
          </cell>
          <cell r="C6">
            <v>463799.52</v>
          </cell>
          <cell r="D6">
            <v>181</v>
          </cell>
        </row>
        <row r="7">
          <cell r="A7">
            <v>90168</v>
          </cell>
          <cell r="B7">
            <v>14496</v>
          </cell>
          <cell r="C7">
            <v>1952873.05</v>
          </cell>
          <cell r="D7">
            <v>1208</v>
          </cell>
        </row>
        <row r="8">
          <cell r="A8">
            <v>90170</v>
          </cell>
          <cell r="B8">
            <v>852</v>
          </cell>
          <cell r="C8">
            <v>135567.9</v>
          </cell>
          <cell r="D8">
            <v>71</v>
          </cell>
        </row>
        <row r="9">
          <cell r="A9">
            <v>90176</v>
          </cell>
          <cell r="B9">
            <v>3792</v>
          </cell>
          <cell r="C9">
            <v>446932.99</v>
          </cell>
          <cell r="D9">
            <v>316</v>
          </cell>
        </row>
        <row r="10">
          <cell r="A10">
            <v>90177</v>
          </cell>
          <cell r="B10">
            <v>1008</v>
          </cell>
          <cell r="C10">
            <v>141623.19</v>
          </cell>
          <cell r="D10">
            <v>84</v>
          </cell>
        </row>
        <row r="11">
          <cell r="A11">
            <v>90178</v>
          </cell>
          <cell r="B11">
            <v>1164</v>
          </cell>
          <cell r="C11">
            <v>125750.6</v>
          </cell>
          <cell r="D11">
            <v>97</v>
          </cell>
        </row>
        <row r="12">
          <cell r="A12">
            <v>90179</v>
          </cell>
          <cell r="B12">
            <v>2376</v>
          </cell>
          <cell r="C12">
            <v>274007.5</v>
          </cell>
          <cell r="D12">
            <v>198</v>
          </cell>
        </row>
        <row r="13">
          <cell r="A13">
            <v>90180</v>
          </cell>
          <cell r="B13">
            <v>1092</v>
          </cell>
          <cell r="C13">
            <v>137837.45000000001</v>
          </cell>
          <cell r="D13">
            <v>91</v>
          </cell>
        </row>
        <row r="14">
          <cell r="A14">
            <v>90181</v>
          </cell>
          <cell r="B14">
            <v>72</v>
          </cell>
          <cell r="C14">
            <v>9474.32</v>
          </cell>
          <cell r="D14">
            <v>6</v>
          </cell>
        </row>
        <row r="15">
          <cell r="A15">
            <v>90182</v>
          </cell>
          <cell r="B15">
            <v>459</v>
          </cell>
          <cell r="C15">
            <v>63417.03</v>
          </cell>
          <cell r="D15">
            <v>51</v>
          </cell>
        </row>
        <row r="16">
          <cell r="A16">
            <v>90183</v>
          </cell>
          <cell r="B16">
            <v>160</v>
          </cell>
          <cell r="C16">
            <v>14732.23</v>
          </cell>
          <cell r="D16">
            <v>16</v>
          </cell>
        </row>
        <row r="17">
          <cell r="A17">
            <v>90184</v>
          </cell>
          <cell r="B17">
            <v>550</v>
          </cell>
          <cell r="C17">
            <v>46492.82</v>
          </cell>
          <cell r="D17">
            <v>22</v>
          </cell>
        </row>
        <row r="18">
          <cell r="A18">
            <v>90186</v>
          </cell>
          <cell r="B18">
            <v>33120</v>
          </cell>
          <cell r="C18">
            <v>3243773.53</v>
          </cell>
          <cell r="D18">
            <v>1840</v>
          </cell>
        </row>
        <row r="19">
          <cell r="A19">
            <v>90187</v>
          </cell>
          <cell r="B19">
            <v>18465</v>
          </cell>
          <cell r="C19">
            <v>2074016.38</v>
          </cell>
          <cell r="D19">
            <v>1231</v>
          </cell>
        </row>
        <row r="20">
          <cell r="A20">
            <v>90188</v>
          </cell>
          <cell r="B20">
            <v>20820</v>
          </cell>
          <cell r="C20">
            <v>2266566.2999999998</v>
          </cell>
          <cell r="D20">
            <v>1388</v>
          </cell>
        </row>
        <row r="21">
          <cell r="A21">
            <v>90189</v>
          </cell>
          <cell r="B21">
            <v>3834</v>
          </cell>
          <cell r="C21">
            <v>427510.76</v>
          </cell>
          <cell r="D21">
            <v>213</v>
          </cell>
        </row>
        <row r="22">
          <cell r="A22">
            <v>90190</v>
          </cell>
          <cell r="B22">
            <v>4212</v>
          </cell>
          <cell r="C22">
            <v>449237.58</v>
          </cell>
          <cell r="D22">
            <v>234</v>
          </cell>
        </row>
        <row r="23">
          <cell r="A23">
            <v>90191</v>
          </cell>
          <cell r="B23">
            <v>1998</v>
          </cell>
          <cell r="C23">
            <v>224832.59</v>
          </cell>
          <cell r="D23">
            <v>111</v>
          </cell>
        </row>
        <row r="24">
          <cell r="A24">
            <v>90192</v>
          </cell>
          <cell r="B24">
            <v>1884</v>
          </cell>
          <cell r="C24">
            <v>245525.78</v>
          </cell>
          <cell r="D24">
            <v>157</v>
          </cell>
        </row>
        <row r="25">
          <cell r="A25">
            <v>90195</v>
          </cell>
          <cell r="B25">
            <v>6678</v>
          </cell>
          <cell r="C25">
            <v>745772.01</v>
          </cell>
          <cell r="D25">
            <v>371</v>
          </cell>
        </row>
        <row r="26">
          <cell r="A26">
            <v>90196</v>
          </cell>
          <cell r="B26">
            <v>4266</v>
          </cell>
          <cell r="C26">
            <v>455340.92</v>
          </cell>
          <cell r="D26">
            <v>237</v>
          </cell>
        </row>
        <row r="27">
          <cell r="A27">
            <v>90197</v>
          </cell>
          <cell r="B27">
            <v>3654</v>
          </cell>
          <cell r="C27">
            <v>404615.09</v>
          </cell>
          <cell r="D27">
            <v>203</v>
          </cell>
        </row>
        <row r="28">
          <cell r="A28">
            <v>90200</v>
          </cell>
          <cell r="B28">
            <v>9012</v>
          </cell>
          <cell r="C28">
            <v>786458.35</v>
          </cell>
          <cell r="D28">
            <v>751</v>
          </cell>
        </row>
        <row r="29">
          <cell r="A29">
            <v>90201</v>
          </cell>
          <cell r="B29">
            <v>5640</v>
          </cell>
          <cell r="C29">
            <v>497786.52</v>
          </cell>
          <cell r="D29">
            <v>470</v>
          </cell>
        </row>
        <row r="30">
          <cell r="A30">
            <v>90203</v>
          </cell>
          <cell r="B30">
            <v>3804</v>
          </cell>
          <cell r="C30">
            <v>337981.46</v>
          </cell>
          <cell r="D30">
            <v>317</v>
          </cell>
        </row>
        <row r="31">
          <cell r="A31">
            <v>90204</v>
          </cell>
          <cell r="B31">
            <v>3732</v>
          </cell>
          <cell r="C31">
            <v>331854.59999999998</v>
          </cell>
          <cell r="D31">
            <v>311</v>
          </cell>
        </row>
        <row r="32">
          <cell r="A32">
            <v>90205</v>
          </cell>
          <cell r="B32">
            <v>3432</v>
          </cell>
          <cell r="C32">
            <v>304814.87</v>
          </cell>
          <cell r="D32">
            <v>286</v>
          </cell>
        </row>
        <row r="33">
          <cell r="A33">
            <v>90206</v>
          </cell>
          <cell r="B33">
            <v>3612</v>
          </cell>
          <cell r="C33">
            <v>321107.31</v>
          </cell>
          <cell r="D33">
            <v>301</v>
          </cell>
        </row>
        <row r="34">
          <cell r="A34">
            <v>90265</v>
          </cell>
          <cell r="B34">
            <v>282</v>
          </cell>
          <cell r="C34">
            <v>49405.07</v>
          </cell>
          <cell r="D34">
            <v>47</v>
          </cell>
        </row>
        <row r="35">
          <cell r="A35">
            <v>90266</v>
          </cell>
          <cell r="B35">
            <v>3792</v>
          </cell>
          <cell r="C35">
            <v>180575.06</v>
          </cell>
          <cell r="D35">
            <v>790</v>
          </cell>
        </row>
        <row r="36">
          <cell r="A36">
            <v>90267</v>
          </cell>
          <cell r="B36">
            <v>96</v>
          </cell>
          <cell r="C36">
            <v>9655.92</v>
          </cell>
          <cell r="D36">
            <v>8</v>
          </cell>
        </row>
        <row r="37">
          <cell r="A37">
            <v>90268</v>
          </cell>
          <cell r="B37">
            <v>5443.2</v>
          </cell>
          <cell r="C37">
            <v>257352.49</v>
          </cell>
          <cell r="D37">
            <v>1134</v>
          </cell>
        </row>
        <row r="38">
          <cell r="A38">
            <v>90269</v>
          </cell>
          <cell r="B38">
            <v>5505.6</v>
          </cell>
          <cell r="C38">
            <v>259534.74</v>
          </cell>
          <cell r="D38">
            <v>1147</v>
          </cell>
        </row>
        <row r="39">
          <cell r="A39">
            <v>90270</v>
          </cell>
          <cell r="B39">
            <v>1608</v>
          </cell>
          <cell r="C39">
            <v>77025.38</v>
          </cell>
          <cell r="D39">
            <v>335</v>
          </cell>
        </row>
        <row r="40">
          <cell r="A40">
            <v>90271</v>
          </cell>
          <cell r="B40">
            <v>680</v>
          </cell>
          <cell r="C40">
            <v>71888.210000000006</v>
          </cell>
          <cell r="D40">
            <v>34</v>
          </cell>
        </row>
        <row r="41">
          <cell r="A41">
            <v>90292</v>
          </cell>
          <cell r="B41">
            <v>240</v>
          </cell>
          <cell r="C41">
            <v>28167.91</v>
          </cell>
          <cell r="D41">
            <v>20</v>
          </cell>
        </row>
        <row r="42">
          <cell r="A42">
            <v>90296</v>
          </cell>
          <cell r="B42">
            <v>1884</v>
          </cell>
          <cell r="C42">
            <v>241634.63</v>
          </cell>
          <cell r="D42">
            <v>137</v>
          </cell>
        </row>
        <row r="43">
          <cell r="A43">
            <v>90322</v>
          </cell>
          <cell r="B43">
            <v>72</v>
          </cell>
          <cell r="C43">
            <v>10325.700000000001</v>
          </cell>
          <cell r="D43">
            <v>6</v>
          </cell>
        </row>
        <row r="44">
          <cell r="A44">
            <v>90323</v>
          </cell>
          <cell r="B44">
            <v>998.8</v>
          </cell>
          <cell r="C44">
            <v>165357.5</v>
          </cell>
          <cell r="D44">
            <v>55</v>
          </cell>
        </row>
        <row r="45">
          <cell r="A45">
            <v>90325</v>
          </cell>
          <cell r="B45">
            <v>441.6</v>
          </cell>
          <cell r="C45">
            <v>66296.02</v>
          </cell>
          <cell r="D45">
            <v>46</v>
          </cell>
        </row>
        <row r="46">
          <cell r="A46">
            <v>90326</v>
          </cell>
          <cell r="B46">
            <v>10656</v>
          </cell>
          <cell r="C46">
            <v>1100696.74</v>
          </cell>
          <cell r="D46">
            <v>888</v>
          </cell>
        </row>
        <row r="47">
          <cell r="A47">
            <v>90327</v>
          </cell>
          <cell r="B47">
            <v>5328</v>
          </cell>
          <cell r="C47">
            <v>559612.76</v>
          </cell>
          <cell r="D47">
            <v>444</v>
          </cell>
        </row>
        <row r="48">
          <cell r="A48">
            <v>90330</v>
          </cell>
          <cell r="B48">
            <v>972</v>
          </cell>
          <cell r="C48">
            <v>117443.92</v>
          </cell>
          <cell r="D48">
            <v>81</v>
          </cell>
        </row>
        <row r="49">
          <cell r="A49">
            <v>90338</v>
          </cell>
          <cell r="B49">
            <v>105.6</v>
          </cell>
          <cell r="C49">
            <v>18127.560000000001</v>
          </cell>
          <cell r="D49">
            <v>11</v>
          </cell>
        </row>
        <row r="50">
          <cell r="A50">
            <v>90339</v>
          </cell>
          <cell r="B50">
            <v>12230.4</v>
          </cell>
          <cell r="C50">
            <v>2124621.34</v>
          </cell>
          <cell r="D50">
            <v>1274</v>
          </cell>
        </row>
        <row r="51">
          <cell r="A51">
            <v>90340</v>
          </cell>
          <cell r="B51">
            <v>790</v>
          </cell>
          <cell r="C51">
            <v>68583.88</v>
          </cell>
          <cell r="D51">
            <v>79</v>
          </cell>
        </row>
        <row r="52">
          <cell r="A52">
            <v>90401</v>
          </cell>
          <cell r="B52">
            <v>984</v>
          </cell>
          <cell r="C52">
            <v>135752.26999999999</v>
          </cell>
          <cell r="D52">
            <v>82</v>
          </cell>
        </row>
        <row r="53">
          <cell r="A53">
            <v>90402</v>
          </cell>
          <cell r="B53">
            <v>1308</v>
          </cell>
          <cell r="C53">
            <v>180662.44</v>
          </cell>
          <cell r="D53">
            <v>109</v>
          </cell>
        </row>
        <row r="54">
          <cell r="A54">
            <v>90403</v>
          </cell>
          <cell r="B54">
            <v>4656</v>
          </cell>
          <cell r="C54">
            <v>588527.78</v>
          </cell>
          <cell r="D54">
            <v>388</v>
          </cell>
        </row>
        <row r="55">
          <cell r="A55">
            <v>90404</v>
          </cell>
          <cell r="B55">
            <v>8292</v>
          </cell>
          <cell r="C55">
            <v>1320056.74</v>
          </cell>
          <cell r="D55">
            <v>691</v>
          </cell>
        </row>
        <row r="56">
          <cell r="A56">
            <v>90412</v>
          </cell>
          <cell r="B56">
            <v>450</v>
          </cell>
          <cell r="C56">
            <v>82500</v>
          </cell>
          <cell r="D56">
            <v>75</v>
          </cell>
        </row>
        <row r="57">
          <cell r="A57">
            <v>90425</v>
          </cell>
          <cell r="B57">
            <v>71936</v>
          </cell>
          <cell r="C57">
            <v>9243077.2599999979</v>
          </cell>
          <cell r="D57">
            <v>4995.5555555555566</v>
          </cell>
        </row>
        <row r="58">
          <cell r="A58">
            <v>90427</v>
          </cell>
          <cell r="B58">
            <v>2004</v>
          </cell>
          <cell r="C58">
            <v>200196.52</v>
          </cell>
          <cell r="D58">
            <v>167</v>
          </cell>
        </row>
        <row r="59">
          <cell r="A59">
            <v>90488</v>
          </cell>
          <cell r="B59">
            <v>432</v>
          </cell>
          <cell r="C59">
            <v>43940.66</v>
          </cell>
          <cell r="D59">
            <v>24</v>
          </cell>
        </row>
        <row r="60">
          <cell r="A60">
            <v>90490</v>
          </cell>
          <cell r="B60">
            <v>414</v>
          </cell>
          <cell r="C60">
            <v>53331.85</v>
          </cell>
          <cell r="D60">
            <v>23</v>
          </cell>
        </row>
        <row r="61">
          <cell r="A61">
            <v>90503</v>
          </cell>
          <cell r="B61">
            <v>12030</v>
          </cell>
          <cell r="C61">
            <v>1343785.99</v>
          </cell>
          <cell r="D61">
            <v>802</v>
          </cell>
        </row>
        <row r="62">
          <cell r="A62">
            <v>90504</v>
          </cell>
          <cell r="B62">
            <v>3300</v>
          </cell>
          <cell r="C62">
            <v>674348.37</v>
          </cell>
          <cell r="D62">
            <v>275</v>
          </cell>
        </row>
        <row r="63">
          <cell r="A63">
            <v>90532</v>
          </cell>
          <cell r="B63">
            <v>2034</v>
          </cell>
          <cell r="C63">
            <v>207771.97</v>
          </cell>
          <cell r="D63">
            <v>113</v>
          </cell>
        </row>
        <row r="64">
          <cell r="A64">
            <v>90533</v>
          </cell>
          <cell r="B64">
            <v>636</v>
          </cell>
          <cell r="C64">
            <v>62105.93</v>
          </cell>
          <cell r="D64">
            <v>53</v>
          </cell>
        </row>
        <row r="65">
          <cell r="A65">
            <v>90171</v>
          </cell>
          <cell r="B65">
            <v>0</v>
          </cell>
        </row>
        <row r="66">
          <cell r="A66">
            <v>90316</v>
          </cell>
          <cell r="B66">
            <v>0</v>
          </cell>
        </row>
        <row r="67">
          <cell r="A67">
            <v>90317</v>
          </cell>
          <cell r="B67">
            <v>0</v>
          </cell>
        </row>
        <row r="68">
          <cell r="A68">
            <v>90318</v>
          </cell>
          <cell r="B68">
            <v>0</v>
          </cell>
        </row>
        <row r="69">
          <cell r="A69">
            <v>90321</v>
          </cell>
          <cell r="B69">
            <v>0</v>
          </cell>
        </row>
        <row r="70">
          <cell r="A70">
            <v>90328</v>
          </cell>
          <cell r="B70">
            <v>0</v>
          </cell>
        </row>
        <row r="71">
          <cell r="A71">
            <v>90409</v>
          </cell>
          <cell r="B71">
            <v>0</v>
          </cell>
        </row>
        <row r="72">
          <cell r="A72">
            <v>90410</v>
          </cell>
          <cell r="B72">
            <v>0</v>
          </cell>
        </row>
        <row r="73">
          <cell r="A73">
            <v>90411</v>
          </cell>
          <cell r="B73">
            <v>0</v>
          </cell>
        </row>
        <row r="74">
          <cell r="A74">
            <v>90500</v>
          </cell>
          <cell r="B74">
            <v>0</v>
          </cell>
        </row>
        <row r="75">
          <cell r="A75">
            <v>90513</v>
          </cell>
          <cell r="B75">
            <v>0</v>
          </cell>
        </row>
        <row r="76">
          <cell r="A76" t="str">
            <v>90417</v>
          </cell>
          <cell r="B76">
            <v>0</v>
          </cell>
        </row>
        <row r="77">
          <cell r="A77" t="str">
            <v>90418</v>
          </cell>
          <cell r="B77">
            <v>0</v>
          </cell>
        </row>
        <row r="78">
          <cell r="A78" t="str">
            <v>90419</v>
          </cell>
          <cell r="B78">
            <v>0</v>
          </cell>
        </row>
        <row r="79">
          <cell r="A79" t="str">
            <v>90420</v>
          </cell>
          <cell r="B79">
            <v>0</v>
          </cell>
        </row>
        <row r="80">
          <cell r="A80" t="str">
            <v>90421</v>
          </cell>
          <cell r="B80">
            <v>0</v>
          </cell>
        </row>
        <row r="81">
          <cell r="A81" t="str">
            <v>90509</v>
          </cell>
          <cell r="B81">
            <v>0</v>
          </cell>
        </row>
        <row r="82">
          <cell r="A82" t="str">
            <v>90510</v>
          </cell>
          <cell r="B82">
            <v>0</v>
          </cell>
        </row>
        <row r="83">
          <cell r="A83">
            <v>90534</v>
          </cell>
          <cell r="B83">
            <v>540</v>
          </cell>
          <cell r="C83">
            <v>57435.9</v>
          </cell>
          <cell r="D83">
            <v>30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 (2)"/>
      <sheetName val="SUMMARY SHEET"/>
      <sheetName val="Index"/>
      <sheetName val="BalanceSheet"/>
      <sheetName val="Cash Flow Local"/>
      <sheetName val="CONSO P&amp;L REGION WISE"/>
      <sheetName val="CONSO P&amp;L"/>
      <sheetName val="Debtors Summary-Dec M"/>
      <sheetName val="Debtors Summary - Mumbai"/>
      <sheetName val="Debtors Summary-Dec C"/>
      <sheetName val="Debtors Summary- Chennai"/>
      <sheetName val="Debtors Summary - DEC (Bang)"/>
      <sheetName val="Debtors Bang"/>
      <sheetName val="Debtors Summary-Conso-Dec"/>
      <sheetName val="Debtors Ageing Conso "/>
      <sheetName val="MUMBAI P&amp;L"/>
      <sheetName val="CONSO MUMBAI"/>
      <sheetName val="CONSO MUMBAI TRANSPORT"/>
      <sheetName val="MAHAPE"/>
      <sheetName val="MAHAPE - TRNSP"/>
      <sheetName val="KANDIVILI PLANT"/>
      <sheetName val="KANDIVILI TRANSPORT"/>
      <sheetName val="KURLA PLANT"/>
      <sheetName val="KURLA TRANSPORT"/>
      <sheetName val="THANE"/>
      <sheetName val="THANE TRANSPORT"/>
      <sheetName val="PUMP - MUM"/>
      <sheetName val="MU - Clab"/>
      <sheetName val="AMBERNATH QUARRY"/>
      <sheetName val="ADMIN 1 MUMBAI"/>
      <sheetName val="ADMIN 2 MUMBAI"/>
      <sheetName val="MUMBAI REGIONAL"/>
      <sheetName val="CHENNAI P&amp;L"/>
      <sheetName val="THIRU"/>
      <sheetName val="THIRU - TRNSP"/>
      <sheetName val="CHENNAI - PUMPING"/>
      <sheetName val="CH - CLAB"/>
      <sheetName val="KEERAPAKKAM QUARRY"/>
      <sheetName val="CH - ADMIN 1"/>
      <sheetName val="CH - ADMIN 2"/>
      <sheetName val="CH - REGIONAL"/>
      <sheetName val="BANGALORE P&amp;L"/>
      <sheetName val="BANGALORE PLANT CONSO"/>
      <sheetName val="BANGALORE TRANSPORT CONSO"/>
      <sheetName val="HARLUR PLANT"/>
      <sheetName val="HARLUR TRANSPORT"/>
      <sheetName val="YELAHANKA PLANT"/>
      <sheetName val="YELAHANKA TRANSPORT"/>
      <sheetName val="BANGALORE PUMPING"/>
      <sheetName val="BANGALORE LAB"/>
      <sheetName val="HARLUR QUARRY"/>
      <sheetName val="HARLUR PRODN"/>
      <sheetName val="HARLUR QUARRY TPT"/>
      <sheetName val="YEL CRUSHER"/>
      <sheetName val="CRUSHER PRODN"/>
      <sheetName val="BANGALORE ADMIN 1"/>
      <sheetName val="BANGALORE ADMIN 2"/>
      <sheetName val="BANGALORE REGIONAL"/>
      <sheetName val="CORP 1"/>
      <sheetName val="CORP 2"/>
      <sheetName val="CORPORATE"/>
      <sheetName val="TALOJA"/>
      <sheetName val="INS MUM"/>
      <sheetName val="SALARY"/>
      <sheetName val="MUMBAI FAR"/>
      <sheetName val="CHENNAI FAR"/>
      <sheetName val="BANG FAR"/>
      <sheetName val="WORKINGS"/>
    </sheetNames>
    <sheetDataSet>
      <sheetData sheetId="0" refreshError="1"/>
      <sheetData sheetId="1" refreshError="1">
        <row r="3">
          <cell r="B3" t="str">
            <v xml:space="preserve">  30TH  </v>
          </cell>
        </row>
        <row r="4">
          <cell r="B4" t="str">
            <v>SEPTEMBER 2003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rs Ageing as on 31.03.2000"/>
      <sheetName val="Drs Ageing as on 30.04.2000"/>
      <sheetName val="Drs Ageing as on 31.05.2000"/>
      <sheetName val="Drs Ageing as on 30.06.2000 "/>
      <sheetName val="Drs Ageing as on 31.07.2000"/>
      <sheetName val="Drs Ageing as on 31.08.2000"/>
      <sheetName val="Drs Ageing as on 30.09.2000"/>
      <sheetName val="Drs Ageing as on 31.10.2000"/>
      <sheetName val="Drs Ageing as on 30.11.2000"/>
      <sheetName val="Drs Ageing as on 31.12.2000"/>
      <sheetName val="ARE"/>
      <sheetName val="Cheques in Process"/>
      <sheetName val="Ageing Analysis- June "/>
      <sheetName val="Ageing Analysis"/>
      <sheetName val="Masters"/>
      <sheetName val="for ballal"/>
      <sheetName val="Sheet3"/>
      <sheetName val="Sheet1"/>
      <sheetName val="Drs Ageing as on 31.01.2001"/>
      <sheetName val="Drs Ageing as on 28.02.2001"/>
      <sheetName val="Drs Ageing as on 31.03.2001"/>
      <sheetName val="Drs Ageing as on 30.04.2001"/>
      <sheetName val="Drs Ageing as on 31.05.2001"/>
      <sheetName val="Chq in Process"/>
      <sheetName val="Audit Summary"/>
      <sheetName val="Drs Ageing as on 31.05.2001 (2)"/>
      <sheetName val="Drs Ageing as on 30.06.2001"/>
      <sheetName val="Drs Ageing as on 31.07.2001"/>
      <sheetName val="Drs Ageing as on 31.08.2001"/>
      <sheetName val="DD Partys"/>
      <sheetName val="Int. Audit"/>
      <sheetName val="Mumbai 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2">
          <cell r="A2" t="str">
            <v>01010000</v>
          </cell>
          <cell r="B2" t="str">
            <v>01</v>
          </cell>
          <cell r="C2" t="str">
            <v>C&amp;F AGENT    (VIJAYAWAD)</v>
          </cell>
          <cell r="D2" t="str">
            <v>DOOR NO:54-2-34,100 FT ROAD</v>
          </cell>
          <cell r="E2" t="str">
            <v>JAWAHAR AUTONAGAR</v>
          </cell>
          <cell r="G2" t="str">
            <v>ANDHRA</v>
          </cell>
          <cell r="H2" t="str">
            <v>VIJAYAWADA</v>
          </cell>
          <cell r="I2" t="str">
            <v>520 007</v>
          </cell>
          <cell r="J2" t="str">
            <v>003</v>
          </cell>
          <cell r="K2" t="str">
            <v>APGST:ABS/07/1/1404</v>
          </cell>
          <cell r="L2" t="str">
            <v>N</v>
          </cell>
          <cell r="M2">
            <v>0</v>
          </cell>
          <cell r="N2" t="str">
            <v>CST:ABS/07/1/1294</v>
          </cell>
          <cell r="O2" t="str">
            <v>N</v>
          </cell>
          <cell r="Q2" t="str">
            <v>845</v>
          </cell>
          <cell r="R2" t="str">
            <v>01</v>
          </cell>
          <cell r="S2" t="str">
            <v>01</v>
          </cell>
          <cell r="T2" t="str">
            <v>01</v>
          </cell>
          <cell r="U2">
            <v>0</v>
          </cell>
          <cell r="X2" t="str">
            <v>30001</v>
          </cell>
          <cell r="Y2" t="str">
            <v>00845</v>
          </cell>
        </row>
        <row r="3">
          <cell r="A3" t="str">
            <v>01010001</v>
          </cell>
          <cell r="B3" t="str">
            <v>03</v>
          </cell>
          <cell r="C3" t="str">
            <v>THE CHIEF COMMERCIAL SUPD</v>
          </cell>
          <cell r="D3" t="str">
            <v>SOUTH CENTRAL RAILWAY</v>
          </cell>
          <cell r="E3" t="str">
            <v>CANTEEN DEPT.</v>
          </cell>
          <cell r="F3" t="str">
            <v>1ST FLOOR, RAILNILAYAM</v>
          </cell>
          <cell r="G3" t="str">
            <v>ANDHRA</v>
          </cell>
          <cell r="H3" t="str">
            <v>SECUNDERABAD</v>
          </cell>
          <cell r="I3" t="str">
            <v>500371</v>
          </cell>
          <cell r="J3" t="str">
            <v>003</v>
          </cell>
          <cell r="L3" t="str">
            <v>N</v>
          </cell>
          <cell r="M3">
            <v>0</v>
          </cell>
          <cell r="O3" t="str">
            <v>N</v>
          </cell>
          <cell r="Q3" t="str">
            <v>101</v>
          </cell>
          <cell r="R3" t="str">
            <v>01</v>
          </cell>
          <cell r="S3" t="str">
            <v>01</v>
          </cell>
          <cell r="T3" t="str">
            <v>01</v>
          </cell>
          <cell r="U3">
            <v>0</v>
          </cell>
          <cell r="X3" t="str">
            <v>30002</v>
          </cell>
          <cell r="Y3" t="str">
            <v>00101</v>
          </cell>
        </row>
        <row r="4">
          <cell r="A4" t="str">
            <v>01010002</v>
          </cell>
          <cell r="B4" t="str">
            <v>01</v>
          </cell>
          <cell r="C4" t="str">
            <v>GANESH AGENCIES</v>
          </cell>
          <cell r="D4" t="str">
            <v>2/4, HINDUPUR ROAD</v>
          </cell>
          <cell r="G4" t="str">
            <v>ANDHRA</v>
          </cell>
          <cell r="H4" t="str">
            <v>KADIRI</v>
          </cell>
          <cell r="I4" t="str">
            <v>515591</v>
          </cell>
          <cell r="J4" t="str">
            <v>003</v>
          </cell>
          <cell r="K4" t="str">
            <v>APGST KNL 01-1-2031/95</v>
          </cell>
          <cell r="L4" t="str">
            <v>N</v>
          </cell>
          <cell r="M4">
            <v>0</v>
          </cell>
          <cell r="N4" t="str">
            <v>CST   KNL 01-1-1449/95</v>
          </cell>
          <cell r="O4" t="str">
            <v>N</v>
          </cell>
          <cell r="Q4" t="str">
            <v>102</v>
          </cell>
          <cell r="R4" t="str">
            <v>01</v>
          </cell>
          <cell r="S4" t="str">
            <v>01</v>
          </cell>
          <cell r="T4" t="str">
            <v>01</v>
          </cell>
          <cell r="U4">
            <v>0</v>
          </cell>
          <cell r="X4" t="str">
            <v>30002</v>
          </cell>
          <cell r="Y4" t="str">
            <v>00102</v>
          </cell>
        </row>
        <row r="5">
          <cell r="A5" t="str">
            <v>01010003</v>
          </cell>
          <cell r="B5" t="str">
            <v>01</v>
          </cell>
          <cell r="C5" t="str">
            <v>PRAVEEN AGENCIES</v>
          </cell>
          <cell r="D5" t="str">
            <v>6-410, STATION ROAD</v>
          </cell>
          <cell r="G5" t="str">
            <v>ANDHRA</v>
          </cell>
          <cell r="H5" t="str">
            <v>MANCHERIAL</v>
          </cell>
          <cell r="I5" t="str">
            <v>504208</v>
          </cell>
          <cell r="J5" t="str">
            <v>003</v>
          </cell>
          <cell r="K5" t="str">
            <v>APGST ADB/03/1/1566/87-88</v>
          </cell>
          <cell r="L5" t="str">
            <v>N</v>
          </cell>
          <cell r="M5">
            <v>0</v>
          </cell>
          <cell r="N5" t="str">
            <v>CST ADB/03/1/1955/87-88</v>
          </cell>
          <cell r="O5" t="str">
            <v>N</v>
          </cell>
          <cell r="Q5" t="str">
            <v>103</v>
          </cell>
          <cell r="R5" t="str">
            <v>01</v>
          </cell>
          <cell r="S5" t="str">
            <v>01</v>
          </cell>
          <cell r="T5" t="str">
            <v>01</v>
          </cell>
          <cell r="X5" t="str">
            <v>30002</v>
          </cell>
          <cell r="Y5" t="str">
            <v>00103</v>
          </cell>
        </row>
        <row r="6">
          <cell r="A6" t="str">
            <v>01010004</v>
          </cell>
          <cell r="B6" t="str">
            <v>01</v>
          </cell>
          <cell r="C6" t="str">
            <v>JYOTHI ENTERPRISES</v>
          </cell>
          <cell r="D6" t="str">
            <v>SRI KRISHNA TEMPLE ROAD</v>
          </cell>
          <cell r="E6" t="str">
            <v>DNO.47,MAIN ROAD</v>
          </cell>
          <cell r="G6" t="str">
            <v>ANDHRA</v>
          </cell>
          <cell r="H6" t="str">
            <v>BELLAMPALLE</v>
          </cell>
          <cell r="I6" t="str">
            <v>504251</v>
          </cell>
          <cell r="J6" t="str">
            <v>003</v>
          </cell>
          <cell r="K6" t="str">
            <v>APGST.ADB/03/3/1288/89-90</v>
          </cell>
          <cell r="L6" t="str">
            <v>N</v>
          </cell>
          <cell r="M6">
            <v>0</v>
          </cell>
          <cell r="O6" t="str">
            <v>N</v>
          </cell>
          <cell r="Q6" t="str">
            <v>104</v>
          </cell>
          <cell r="R6" t="str">
            <v>01</v>
          </cell>
          <cell r="S6" t="str">
            <v>01</v>
          </cell>
          <cell r="T6" t="str">
            <v>01</v>
          </cell>
          <cell r="X6" t="str">
            <v>30002</v>
          </cell>
          <cell r="Y6" t="str">
            <v>00104</v>
          </cell>
        </row>
        <row r="7">
          <cell r="A7" t="str">
            <v>01010005</v>
          </cell>
          <cell r="B7" t="str">
            <v>01</v>
          </cell>
          <cell r="C7" t="str">
            <v>SHAMDAS &amp; SONS</v>
          </cell>
          <cell r="D7" t="str">
            <v>108/3, WALKER TOWN</v>
          </cell>
          <cell r="G7" t="str">
            <v>ANDHRA</v>
          </cell>
          <cell r="H7" t="str">
            <v>SECUNDERABAD</v>
          </cell>
          <cell r="I7" t="str">
            <v>500025</v>
          </cell>
          <cell r="J7" t="str">
            <v>003</v>
          </cell>
          <cell r="K7" t="str">
            <v>APGST SEC/10/1/2089/73-74</v>
          </cell>
          <cell r="L7" t="str">
            <v>N</v>
          </cell>
          <cell r="M7">
            <v>0</v>
          </cell>
          <cell r="N7" t="str">
            <v>CST SEC/10/1/1665/73-74</v>
          </cell>
          <cell r="O7" t="str">
            <v>N</v>
          </cell>
          <cell r="Q7" t="str">
            <v>105</v>
          </cell>
          <cell r="R7" t="str">
            <v>01</v>
          </cell>
          <cell r="S7" t="str">
            <v>01</v>
          </cell>
          <cell r="T7" t="str">
            <v>01</v>
          </cell>
          <cell r="X7" t="str">
            <v>30002</v>
          </cell>
          <cell r="Y7" t="str">
            <v>00105</v>
          </cell>
        </row>
        <row r="8">
          <cell r="A8" t="str">
            <v>01010006</v>
          </cell>
          <cell r="B8" t="str">
            <v>01</v>
          </cell>
          <cell r="C8" t="str">
            <v>ADARSH AGENCIES</v>
          </cell>
          <cell r="D8" t="str">
            <v>7-1-621/302,</v>
          </cell>
          <cell r="E8" t="str">
            <v>SANJEEVA REDDY NAGAR</v>
          </cell>
          <cell r="G8" t="str">
            <v>ANDHRA</v>
          </cell>
          <cell r="H8" t="str">
            <v>HYDERABAD</v>
          </cell>
          <cell r="I8" t="str">
            <v>500 016</v>
          </cell>
          <cell r="J8" t="str">
            <v>003</v>
          </cell>
          <cell r="K8" t="str">
            <v>APGST PJT/02/1/1008/80-81</v>
          </cell>
          <cell r="L8" t="str">
            <v>N</v>
          </cell>
          <cell r="M8">
            <v>0</v>
          </cell>
          <cell r="N8" t="str">
            <v>CST PJT/02/1/316/80-81</v>
          </cell>
          <cell r="O8" t="str">
            <v>N</v>
          </cell>
          <cell r="Q8" t="str">
            <v>106</v>
          </cell>
          <cell r="R8" t="str">
            <v>01</v>
          </cell>
          <cell r="S8" t="str">
            <v>01</v>
          </cell>
          <cell r="T8" t="str">
            <v>01</v>
          </cell>
          <cell r="U8">
            <v>0</v>
          </cell>
          <cell r="X8" t="str">
            <v>30002</v>
          </cell>
          <cell r="Y8" t="str">
            <v>00106</v>
          </cell>
        </row>
        <row r="9">
          <cell r="A9" t="str">
            <v>01010007</v>
          </cell>
          <cell r="B9" t="str">
            <v>01</v>
          </cell>
          <cell r="C9" t="str">
            <v>MINAL AGENCIES</v>
          </cell>
          <cell r="D9" t="str">
            <v>12-5-27/2</v>
          </cell>
          <cell r="E9" t="str">
            <v>VIJAY PURI</v>
          </cell>
          <cell r="F9" t="str">
            <v>TARNAKA</v>
          </cell>
          <cell r="G9" t="str">
            <v>ANDHRA</v>
          </cell>
          <cell r="H9" t="str">
            <v>HYDERABAD</v>
          </cell>
          <cell r="I9" t="str">
            <v>500017</v>
          </cell>
          <cell r="J9" t="str">
            <v>003</v>
          </cell>
          <cell r="K9" t="str">
            <v>APGST SD/SN/T/252/85-86</v>
          </cell>
          <cell r="L9" t="str">
            <v>N</v>
          </cell>
          <cell r="M9">
            <v>0</v>
          </cell>
          <cell r="O9" t="str">
            <v>N</v>
          </cell>
          <cell r="Q9" t="str">
            <v>107</v>
          </cell>
          <cell r="R9" t="str">
            <v>01</v>
          </cell>
          <cell r="S9" t="str">
            <v>01</v>
          </cell>
          <cell r="T9" t="str">
            <v>01</v>
          </cell>
          <cell r="U9">
            <v>0</v>
          </cell>
          <cell r="X9" t="str">
            <v>30002</v>
          </cell>
          <cell r="Y9" t="str">
            <v>00107</v>
          </cell>
        </row>
        <row r="10">
          <cell r="A10" t="str">
            <v>01010008</v>
          </cell>
          <cell r="B10" t="str">
            <v>01</v>
          </cell>
          <cell r="C10" t="str">
            <v>BHAVANI AGENCIES</v>
          </cell>
          <cell r="D10" t="str">
            <v>1-2-245</v>
          </cell>
          <cell r="G10" t="str">
            <v>ANDHRA</v>
          </cell>
          <cell r="H10" t="str">
            <v>BHONGIR</v>
          </cell>
          <cell r="I10" t="str">
            <v>508 116</v>
          </cell>
          <cell r="J10" t="str">
            <v>003</v>
          </cell>
          <cell r="K10" t="str">
            <v>APGST NLG/04/1/1624/94-95</v>
          </cell>
          <cell r="L10" t="str">
            <v>N</v>
          </cell>
          <cell r="M10">
            <v>0</v>
          </cell>
          <cell r="O10" t="str">
            <v>N</v>
          </cell>
          <cell r="Q10" t="str">
            <v>108</v>
          </cell>
          <cell r="R10" t="str">
            <v>01</v>
          </cell>
          <cell r="S10" t="str">
            <v>01</v>
          </cell>
          <cell r="T10" t="str">
            <v>01</v>
          </cell>
          <cell r="U10">
            <v>0</v>
          </cell>
          <cell r="X10" t="str">
            <v>30002</v>
          </cell>
          <cell r="Y10" t="str">
            <v>00108</v>
          </cell>
        </row>
        <row r="11">
          <cell r="A11" t="str">
            <v>01010009</v>
          </cell>
          <cell r="B11" t="str">
            <v>01</v>
          </cell>
          <cell r="C11" t="str">
            <v>RAGHUNARAYANA &amp; BROS</v>
          </cell>
          <cell r="D11" t="str">
            <v>GL.MERCHANTS &amp; BOOK SELLERS</v>
          </cell>
          <cell r="E11" t="str">
            <v>BUS STAND ROAD</v>
          </cell>
          <cell r="G11" t="str">
            <v>ANDHRA</v>
          </cell>
          <cell r="H11" t="str">
            <v>KHAMMAM</v>
          </cell>
          <cell r="I11" t="str">
            <v>507001</v>
          </cell>
          <cell r="J11" t="str">
            <v>003</v>
          </cell>
          <cell r="K11" t="str">
            <v>APGST WGL/08/1017</v>
          </cell>
          <cell r="L11" t="str">
            <v>N</v>
          </cell>
          <cell r="M11">
            <v>0</v>
          </cell>
          <cell r="N11" t="str">
            <v>CST WGL/08/1076</v>
          </cell>
          <cell r="O11" t="str">
            <v>N</v>
          </cell>
          <cell r="Q11" t="str">
            <v>109</v>
          </cell>
          <cell r="R11" t="str">
            <v>01</v>
          </cell>
          <cell r="S11" t="str">
            <v>01</v>
          </cell>
          <cell r="T11" t="str">
            <v>01</v>
          </cell>
          <cell r="X11" t="str">
            <v>30001</v>
          </cell>
          <cell r="Y11" t="str">
            <v>00109</v>
          </cell>
        </row>
        <row r="12">
          <cell r="A12" t="str">
            <v>01010010</v>
          </cell>
          <cell r="B12" t="str">
            <v>01</v>
          </cell>
          <cell r="C12" t="str">
            <v>LAHOTI ENTERPRISES</v>
          </cell>
          <cell r="D12" t="str">
            <v>4-2-65 TOWER ROAD</v>
          </cell>
          <cell r="G12" t="str">
            <v>ANDHRA</v>
          </cell>
          <cell r="H12" t="str">
            <v>KARIMNAGAR</v>
          </cell>
          <cell r="I12" t="str">
            <v>505001</v>
          </cell>
          <cell r="J12" t="str">
            <v>003</v>
          </cell>
          <cell r="K12" t="str">
            <v>APGST ADB/04/1/2313/90-91</v>
          </cell>
          <cell r="L12" t="str">
            <v>N</v>
          </cell>
          <cell r="M12">
            <v>0</v>
          </cell>
          <cell r="N12" t="str">
            <v>CST ADB/04/1/1619/90-91</v>
          </cell>
          <cell r="O12" t="str">
            <v>N</v>
          </cell>
          <cell r="Q12" t="str">
            <v>110</v>
          </cell>
          <cell r="R12" t="str">
            <v>01</v>
          </cell>
          <cell r="S12" t="str">
            <v>01</v>
          </cell>
          <cell r="T12" t="str">
            <v>01</v>
          </cell>
          <cell r="X12" t="str">
            <v>30001</v>
          </cell>
          <cell r="Y12" t="str">
            <v>00110</v>
          </cell>
        </row>
        <row r="13">
          <cell r="A13" t="str">
            <v>01010011</v>
          </cell>
          <cell r="B13" t="str">
            <v>01</v>
          </cell>
          <cell r="C13" t="str">
            <v>SREE LAXMI SRINIVASA AGY</v>
          </cell>
          <cell r="D13" t="str">
            <v>6-9-6,GANESH BASTHI</v>
          </cell>
          <cell r="G13" t="str">
            <v>ANDHRA</v>
          </cell>
          <cell r="H13" t="str">
            <v>KOTHAGUDEM</v>
          </cell>
          <cell r="I13" t="str">
            <v>507101</v>
          </cell>
          <cell r="J13" t="str">
            <v>003</v>
          </cell>
          <cell r="K13" t="str">
            <v>APGST 4174/84</v>
          </cell>
          <cell r="L13" t="str">
            <v>N</v>
          </cell>
          <cell r="M13">
            <v>0</v>
          </cell>
          <cell r="N13" t="str">
            <v>CST-18</v>
          </cell>
          <cell r="O13" t="str">
            <v>N</v>
          </cell>
          <cell r="Q13" t="str">
            <v>111</v>
          </cell>
          <cell r="R13" t="str">
            <v>01</v>
          </cell>
          <cell r="S13" t="str">
            <v>01</v>
          </cell>
          <cell r="T13" t="str">
            <v>01</v>
          </cell>
          <cell r="U13">
            <v>0</v>
          </cell>
          <cell r="X13" t="str">
            <v>30001</v>
          </cell>
          <cell r="Y13" t="str">
            <v>00111</v>
          </cell>
        </row>
        <row r="14">
          <cell r="A14" t="str">
            <v>01010012</v>
          </cell>
          <cell r="B14" t="str">
            <v>01</v>
          </cell>
          <cell r="C14" t="str">
            <v>SRI VASAVI AGENCIES</v>
          </cell>
          <cell r="D14" t="str">
            <v>D.NO.4-3-20,</v>
          </cell>
          <cell r="E14" t="str">
            <v>SAROJINI DEVI ROAD</v>
          </cell>
          <cell r="G14" t="str">
            <v>ANDHRA</v>
          </cell>
          <cell r="H14" t="str">
            <v>MAHABUBNAGAR</v>
          </cell>
          <cell r="I14" t="str">
            <v>509001</v>
          </cell>
          <cell r="J14" t="str">
            <v>003</v>
          </cell>
          <cell r="K14" t="str">
            <v>APGST NLG/05/2/1445</v>
          </cell>
          <cell r="L14" t="str">
            <v>N</v>
          </cell>
          <cell r="M14">
            <v>0</v>
          </cell>
          <cell r="N14" t="str">
            <v>CST NLG/05/2/1151</v>
          </cell>
          <cell r="O14" t="str">
            <v>N</v>
          </cell>
          <cell r="Q14" t="str">
            <v>112</v>
          </cell>
          <cell r="R14" t="str">
            <v>01</v>
          </cell>
          <cell r="S14" t="str">
            <v>01</v>
          </cell>
          <cell r="T14" t="str">
            <v>01</v>
          </cell>
          <cell r="U14">
            <v>0</v>
          </cell>
          <cell r="X14" t="str">
            <v>30002</v>
          </cell>
          <cell r="Y14" t="str">
            <v>00112</v>
          </cell>
        </row>
        <row r="15">
          <cell r="A15" t="str">
            <v>01010013</v>
          </cell>
          <cell r="B15" t="str">
            <v>01</v>
          </cell>
          <cell r="C15" t="str">
            <v>ANIL KUMAR MARKETINGS</v>
          </cell>
          <cell r="D15" t="str">
            <v>SHOP NO.20-41/28</v>
          </cell>
          <cell r="E15" t="str">
            <v>SAGAR ROAD</v>
          </cell>
          <cell r="G15" t="str">
            <v>ANDHRA</v>
          </cell>
          <cell r="H15" t="str">
            <v>MIRYALGUDA</v>
          </cell>
          <cell r="I15" t="str">
            <v>508207</v>
          </cell>
          <cell r="J15" t="str">
            <v>003</v>
          </cell>
          <cell r="K15" t="str">
            <v>APGST 02-01-2165</v>
          </cell>
          <cell r="L15" t="str">
            <v>N</v>
          </cell>
          <cell r="M15">
            <v>0</v>
          </cell>
          <cell r="O15" t="str">
            <v>N</v>
          </cell>
          <cell r="Q15" t="str">
            <v>113</v>
          </cell>
          <cell r="R15" t="str">
            <v>01</v>
          </cell>
          <cell r="S15" t="str">
            <v>01</v>
          </cell>
          <cell r="T15" t="str">
            <v>01</v>
          </cell>
          <cell r="X15" t="str">
            <v>30002</v>
          </cell>
          <cell r="Y15" t="str">
            <v>00113</v>
          </cell>
        </row>
        <row r="16">
          <cell r="A16" t="str">
            <v>01010014</v>
          </cell>
          <cell r="B16" t="str">
            <v>01</v>
          </cell>
          <cell r="C16" t="str">
            <v>SRI LAXMI AGENCIES</v>
          </cell>
          <cell r="D16" t="str">
            <v>NEAR HANUMAN TEMPLE</v>
          </cell>
          <cell r="G16" t="str">
            <v>ANDHRA</v>
          </cell>
          <cell r="H16" t="str">
            <v>SANGAREDDY</v>
          </cell>
          <cell r="I16" t="str">
            <v>502001</v>
          </cell>
          <cell r="J16" t="str">
            <v>003</v>
          </cell>
          <cell r="K16" t="str">
            <v>APGST NZB/07/2/1636/77-78</v>
          </cell>
          <cell r="L16" t="str">
            <v>N</v>
          </cell>
          <cell r="M16">
            <v>0</v>
          </cell>
          <cell r="N16" t="str">
            <v>CST NZB/07/2/1341/77-78</v>
          </cell>
          <cell r="O16" t="str">
            <v>N</v>
          </cell>
          <cell r="Q16" t="str">
            <v>114</v>
          </cell>
          <cell r="R16" t="str">
            <v>01</v>
          </cell>
          <cell r="S16" t="str">
            <v>01</v>
          </cell>
          <cell r="T16" t="str">
            <v>01</v>
          </cell>
          <cell r="X16" t="str">
            <v>30002</v>
          </cell>
          <cell r="Y16" t="str">
            <v>00114</v>
          </cell>
        </row>
        <row r="17">
          <cell r="A17" t="str">
            <v>01010015</v>
          </cell>
          <cell r="B17" t="str">
            <v>01</v>
          </cell>
          <cell r="C17" t="str">
            <v>SRI VIJAYA PADMANABHA AGE</v>
          </cell>
          <cell r="D17" t="str">
            <v>6-6-82/1,MAIN ROAD</v>
          </cell>
          <cell r="E17" t="str">
            <v>GANDHI CHOWK</v>
          </cell>
          <cell r="G17" t="str">
            <v>ANDHRA</v>
          </cell>
          <cell r="H17" t="str">
            <v>TANDUR</v>
          </cell>
          <cell r="I17" t="str">
            <v>501141</v>
          </cell>
          <cell r="J17" t="str">
            <v>003</v>
          </cell>
          <cell r="K17" t="str">
            <v>APGST HYR/02/1/1749/89-90</v>
          </cell>
          <cell r="L17" t="str">
            <v>N</v>
          </cell>
          <cell r="M17">
            <v>0</v>
          </cell>
          <cell r="N17" t="str">
            <v>CST HYR/02/1/1186/89-90</v>
          </cell>
          <cell r="O17" t="str">
            <v>N</v>
          </cell>
          <cell r="Q17" t="str">
            <v>115</v>
          </cell>
          <cell r="R17" t="str">
            <v>01</v>
          </cell>
          <cell r="S17" t="str">
            <v>01</v>
          </cell>
          <cell r="T17" t="str">
            <v>01</v>
          </cell>
          <cell r="X17" t="str">
            <v>30002</v>
          </cell>
          <cell r="Y17" t="str">
            <v>00115</v>
          </cell>
        </row>
        <row r="18">
          <cell r="A18" t="str">
            <v>01010016</v>
          </cell>
          <cell r="B18" t="str">
            <v>01</v>
          </cell>
          <cell r="C18" t="str">
            <v>PAVAN AGENCIES</v>
          </cell>
          <cell r="D18" t="str">
            <v>7-1-39/2A, MIRCHI COMPOUND</v>
          </cell>
          <cell r="G18" t="str">
            <v>ANDHRA</v>
          </cell>
          <cell r="H18" t="str">
            <v>NIZAMABAD</v>
          </cell>
          <cell r="I18" t="str">
            <v>503001</v>
          </cell>
          <cell r="J18" t="str">
            <v>003</v>
          </cell>
          <cell r="K18" t="str">
            <v>APGST NZB/03/01/1599</v>
          </cell>
          <cell r="L18" t="str">
            <v>N</v>
          </cell>
          <cell r="M18">
            <v>0</v>
          </cell>
          <cell r="N18" t="str">
            <v>CST NZB/03/01/1311</v>
          </cell>
          <cell r="O18" t="str">
            <v>N</v>
          </cell>
          <cell r="Q18" t="str">
            <v>116</v>
          </cell>
          <cell r="R18" t="str">
            <v>01</v>
          </cell>
          <cell r="S18" t="str">
            <v>01</v>
          </cell>
          <cell r="T18" t="str">
            <v>01</v>
          </cell>
          <cell r="X18" t="str">
            <v>30001</v>
          </cell>
          <cell r="Y18" t="str">
            <v>00116</v>
          </cell>
        </row>
        <row r="19">
          <cell r="A19" t="str">
            <v>01010017</v>
          </cell>
          <cell r="B19" t="str">
            <v>01</v>
          </cell>
          <cell r="C19" t="str">
            <v>SHRI SHYAM AGENCIES</v>
          </cell>
          <cell r="D19" t="str">
            <v>M.G.ROAD</v>
          </cell>
          <cell r="G19" t="str">
            <v>ANDHRA</v>
          </cell>
          <cell r="H19" t="str">
            <v>ADILABAD</v>
          </cell>
          <cell r="I19" t="str">
            <v>504001</v>
          </cell>
          <cell r="J19" t="str">
            <v>003</v>
          </cell>
          <cell r="K19" t="str">
            <v>APGST ADB/01/1887/91-92</v>
          </cell>
          <cell r="L19" t="str">
            <v>N</v>
          </cell>
          <cell r="M19">
            <v>0</v>
          </cell>
          <cell r="N19" t="str">
            <v>CST ADB/01/1/1478/91-92</v>
          </cell>
          <cell r="O19" t="str">
            <v>N</v>
          </cell>
          <cell r="Q19" t="str">
            <v>117</v>
          </cell>
          <cell r="R19" t="str">
            <v>01</v>
          </cell>
          <cell r="S19" t="str">
            <v>01</v>
          </cell>
          <cell r="T19" t="str">
            <v>01</v>
          </cell>
          <cell r="X19" t="str">
            <v>30002</v>
          </cell>
          <cell r="Y19" t="str">
            <v>00117</v>
          </cell>
        </row>
        <row r="20">
          <cell r="A20" t="str">
            <v>01010018</v>
          </cell>
          <cell r="B20" t="str">
            <v>01</v>
          </cell>
          <cell r="C20" t="str">
            <v>HARI AGENCIES</v>
          </cell>
          <cell r="D20" t="str">
            <v>NO.6-5-25</v>
          </cell>
          <cell r="E20" t="str">
            <v>AGRICULTURE MARKET YARD</v>
          </cell>
          <cell r="G20" t="str">
            <v>ANDHRA</v>
          </cell>
          <cell r="H20" t="str">
            <v>NALGONDA</v>
          </cell>
          <cell r="I20" t="str">
            <v>508001</v>
          </cell>
          <cell r="J20" t="str">
            <v>003</v>
          </cell>
          <cell r="K20" t="str">
            <v>APGST NLG/01/1/1584</v>
          </cell>
          <cell r="L20" t="str">
            <v>N</v>
          </cell>
          <cell r="M20">
            <v>0</v>
          </cell>
          <cell r="O20" t="str">
            <v>N</v>
          </cell>
          <cell r="Q20" t="str">
            <v>118</v>
          </cell>
          <cell r="R20" t="str">
            <v>01</v>
          </cell>
          <cell r="S20" t="str">
            <v>01</v>
          </cell>
          <cell r="T20" t="str">
            <v>01</v>
          </cell>
          <cell r="U20">
            <v>0</v>
          </cell>
          <cell r="X20" t="str">
            <v>30002</v>
          </cell>
          <cell r="Y20" t="str">
            <v>00118</v>
          </cell>
        </row>
        <row r="21">
          <cell r="A21" t="str">
            <v>01010019</v>
          </cell>
          <cell r="B21" t="str">
            <v>01</v>
          </cell>
          <cell r="C21" t="str">
            <v>VENKATAESHWARA ENTERPRISE</v>
          </cell>
          <cell r="D21" t="str">
            <v>14-1-58, VENURAO COLONY</v>
          </cell>
          <cell r="G21" t="str">
            <v>ANDHRA</v>
          </cell>
          <cell r="H21" t="str">
            <v>WARANGAL</v>
          </cell>
          <cell r="I21" t="str">
            <v>506012</v>
          </cell>
          <cell r="J21" t="str">
            <v>003</v>
          </cell>
          <cell r="K21" t="str">
            <v>APGST WGL/02/1/1167</v>
          </cell>
          <cell r="L21" t="str">
            <v>N</v>
          </cell>
          <cell r="M21">
            <v>0</v>
          </cell>
          <cell r="N21" t="str">
            <v>CST WNWI/2552/80-81</v>
          </cell>
          <cell r="O21" t="str">
            <v>N</v>
          </cell>
          <cell r="Q21" t="str">
            <v>119</v>
          </cell>
          <cell r="R21" t="str">
            <v>01</v>
          </cell>
          <cell r="S21" t="str">
            <v>01</v>
          </cell>
          <cell r="T21" t="str">
            <v>01</v>
          </cell>
          <cell r="X21" t="str">
            <v>30001</v>
          </cell>
          <cell r="Y21" t="str">
            <v>00119</v>
          </cell>
        </row>
        <row r="22">
          <cell r="A22" t="str">
            <v>01010020</v>
          </cell>
          <cell r="B22" t="str">
            <v>01</v>
          </cell>
          <cell r="C22" t="str">
            <v>SRI VASAVI AGENCIES</v>
          </cell>
          <cell r="D22" t="str">
            <v>13-53/1, NEW BAZAAR</v>
          </cell>
          <cell r="G22" t="str">
            <v>ANDHRA</v>
          </cell>
          <cell r="H22" t="str">
            <v>JADCHERLA</v>
          </cell>
          <cell r="I22" t="str">
            <v>509301</v>
          </cell>
          <cell r="J22" t="str">
            <v>003</v>
          </cell>
          <cell r="K22" t="str">
            <v>APGST NLG/06/1/1522</v>
          </cell>
          <cell r="L22" t="str">
            <v>N</v>
          </cell>
          <cell r="M22">
            <v>0</v>
          </cell>
          <cell r="N22" t="str">
            <v>CST NLG/06/1/1252</v>
          </cell>
          <cell r="O22" t="str">
            <v>N</v>
          </cell>
          <cell r="Q22" t="str">
            <v>120</v>
          </cell>
          <cell r="R22" t="str">
            <v>01</v>
          </cell>
          <cell r="S22" t="str">
            <v>01</v>
          </cell>
          <cell r="T22" t="str">
            <v>01</v>
          </cell>
          <cell r="X22" t="str">
            <v>30002</v>
          </cell>
          <cell r="Y22" t="str">
            <v>00120</v>
          </cell>
        </row>
        <row r="23">
          <cell r="A23" t="str">
            <v>01010021</v>
          </cell>
          <cell r="B23" t="str">
            <v>01</v>
          </cell>
          <cell r="C23" t="str">
            <v>NEW MODERN STORES</v>
          </cell>
          <cell r="D23" t="str">
            <v>DOOR NO.2-11-77/7</v>
          </cell>
          <cell r="E23" t="str">
            <v>RAMMANDIR ROAD</v>
          </cell>
          <cell r="G23" t="str">
            <v>ANDHRA</v>
          </cell>
          <cell r="H23" t="str">
            <v>KAMAREDDY</v>
          </cell>
          <cell r="I23" t="str">
            <v>503111</v>
          </cell>
          <cell r="J23" t="str">
            <v>003</v>
          </cell>
          <cell r="K23" t="str">
            <v>APGST NZ/05/01/2480/93-94</v>
          </cell>
          <cell r="L23" t="str">
            <v>N</v>
          </cell>
          <cell r="M23">
            <v>0</v>
          </cell>
          <cell r="N23" t="str">
            <v>CST NZ/05/01/550/82</v>
          </cell>
          <cell r="O23" t="str">
            <v>N</v>
          </cell>
          <cell r="Q23" t="str">
            <v>121</v>
          </cell>
          <cell r="R23" t="str">
            <v>01</v>
          </cell>
          <cell r="S23" t="str">
            <v>01</v>
          </cell>
          <cell r="T23" t="str">
            <v>01</v>
          </cell>
          <cell r="X23" t="str">
            <v>30002</v>
          </cell>
          <cell r="Y23" t="str">
            <v>00121</v>
          </cell>
        </row>
        <row r="24">
          <cell r="A24" t="str">
            <v>01010022</v>
          </cell>
          <cell r="B24" t="str">
            <v>01</v>
          </cell>
          <cell r="C24" t="str">
            <v>BATCHU MAHESHKUMAR &amp; CO</v>
          </cell>
          <cell r="D24" t="str">
            <v>3-53 MAIN ROAD</v>
          </cell>
          <cell r="G24" t="str">
            <v>ANDHRA</v>
          </cell>
          <cell r="H24" t="str">
            <v>JAMMIKUNTA</v>
          </cell>
          <cell r="I24" t="str">
            <v>505122</v>
          </cell>
          <cell r="J24" t="str">
            <v>003</v>
          </cell>
          <cell r="K24" t="str">
            <v>APGST ADB/04/3/1399/88-89</v>
          </cell>
          <cell r="L24" t="str">
            <v>N</v>
          </cell>
          <cell r="M24">
            <v>0</v>
          </cell>
          <cell r="N24" t="str">
            <v>CST ADB/04/3/1141/88-89</v>
          </cell>
          <cell r="O24" t="str">
            <v>N</v>
          </cell>
          <cell r="Q24" t="str">
            <v>122</v>
          </cell>
          <cell r="R24" t="str">
            <v>01</v>
          </cell>
          <cell r="S24" t="str">
            <v>01</v>
          </cell>
          <cell r="T24" t="str">
            <v>01</v>
          </cell>
          <cell r="X24" t="str">
            <v>30002</v>
          </cell>
          <cell r="Y24" t="str">
            <v>00122</v>
          </cell>
        </row>
        <row r="25">
          <cell r="A25" t="str">
            <v>01010023</v>
          </cell>
          <cell r="B25" t="str">
            <v>01</v>
          </cell>
          <cell r="C25" t="str">
            <v>SRI SATYA SAI ENTERPRISES</v>
          </cell>
          <cell r="D25" t="str">
            <v>H.NO:1-2-412/20/1</v>
          </cell>
          <cell r="E25" t="str">
            <v>PARAMANI HOUSE</v>
          </cell>
          <cell r="F25" t="str">
            <v>DOMALGUDA</v>
          </cell>
          <cell r="G25" t="str">
            <v>ANDHRA</v>
          </cell>
          <cell r="H25" t="str">
            <v>HYDERABAD</v>
          </cell>
          <cell r="I25" t="str">
            <v>500029</v>
          </cell>
          <cell r="J25" t="str">
            <v>003</v>
          </cell>
          <cell r="L25" t="str">
            <v>N</v>
          </cell>
          <cell r="M25">
            <v>0</v>
          </cell>
          <cell r="O25" t="str">
            <v>N</v>
          </cell>
          <cell r="Q25" t="str">
            <v>123</v>
          </cell>
          <cell r="R25" t="str">
            <v>01</v>
          </cell>
          <cell r="S25" t="str">
            <v>01</v>
          </cell>
          <cell r="T25" t="str">
            <v>01</v>
          </cell>
          <cell r="U25">
            <v>0</v>
          </cell>
          <cell r="X25" t="str">
            <v>30002</v>
          </cell>
          <cell r="Y25" t="str">
            <v>00123</v>
          </cell>
        </row>
        <row r="26">
          <cell r="A26" t="str">
            <v>01010024</v>
          </cell>
          <cell r="B26" t="str">
            <v>01</v>
          </cell>
          <cell r="C26" t="str">
            <v>NEETEEN AGENCIES</v>
          </cell>
          <cell r="D26" t="str">
            <v>18-79/G-10,RAJINIGANDHA APARTM</v>
          </cell>
          <cell r="E26" t="str">
            <v>CHITHANYAPURI,DILKUSH NAGAR</v>
          </cell>
          <cell r="G26" t="str">
            <v>ANDHRA</v>
          </cell>
          <cell r="H26" t="str">
            <v>HYDERABAD</v>
          </cell>
          <cell r="I26" t="str">
            <v>500036</v>
          </cell>
          <cell r="J26" t="str">
            <v>003</v>
          </cell>
          <cell r="L26" t="str">
            <v>N</v>
          </cell>
          <cell r="M26">
            <v>0</v>
          </cell>
          <cell r="O26" t="str">
            <v>N</v>
          </cell>
          <cell r="Q26" t="str">
            <v>124</v>
          </cell>
          <cell r="R26" t="str">
            <v>01</v>
          </cell>
          <cell r="S26" t="str">
            <v>01</v>
          </cell>
          <cell r="T26" t="str">
            <v>01</v>
          </cell>
          <cell r="X26" t="str">
            <v>30002</v>
          </cell>
          <cell r="Y26" t="str">
            <v>00124</v>
          </cell>
        </row>
        <row r="27">
          <cell r="A27" t="str">
            <v>01010025</v>
          </cell>
          <cell r="B27" t="str">
            <v>01</v>
          </cell>
          <cell r="C27" t="str">
            <v>SATISH &amp; CO</v>
          </cell>
          <cell r="D27" t="str">
            <v>1-3-183/40/46/16,NEW BAKARAM</v>
          </cell>
          <cell r="E27" t="str">
            <v>SAI NAGAR COLONY</v>
          </cell>
          <cell r="F27" t="str">
            <v>GANDHI NAGAR</v>
          </cell>
          <cell r="G27" t="str">
            <v>ANDHRA</v>
          </cell>
          <cell r="H27" t="str">
            <v>HYDERABAD</v>
          </cell>
          <cell r="I27" t="str">
            <v>500 380</v>
          </cell>
          <cell r="J27" t="str">
            <v>003</v>
          </cell>
          <cell r="K27" t="str">
            <v>APGST SEC/08/1/3273/96-97</v>
          </cell>
          <cell r="L27" t="str">
            <v>N</v>
          </cell>
          <cell r="M27">
            <v>0</v>
          </cell>
          <cell r="O27" t="str">
            <v>N</v>
          </cell>
          <cell r="Q27" t="str">
            <v>125</v>
          </cell>
          <cell r="R27" t="str">
            <v>01</v>
          </cell>
          <cell r="S27" t="str">
            <v>01</v>
          </cell>
          <cell r="T27" t="str">
            <v>01</v>
          </cell>
          <cell r="U27">
            <v>0</v>
          </cell>
          <cell r="X27" t="str">
            <v>30002</v>
          </cell>
          <cell r="Y27" t="str">
            <v>00125</v>
          </cell>
        </row>
        <row r="28">
          <cell r="A28" t="str">
            <v>01010026</v>
          </cell>
          <cell r="B28" t="str">
            <v>01</v>
          </cell>
          <cell r="C28" t="str">
            <v>TRIVENI MARKETING AGENCY</v>
          </cell>
          <cell r="D28" t="str">
            <v>FCI ROAD</v>
          </cell>
          <cell r="E28" t="str">
            <v>ADDAGUNTAPALLY</v>
          </cell>
          <cell r="G28" t="str">
            <v>ANDHRA</v>
          </cell>
          <cell r="H28" t="str">
            <v>GODHAVARIKHANI</v>
          </cell>
          <cell r="I28" t="str">
            <v>505209</v>
          </cell>
          <cell r="J28" t="str">
            <v>003</v>
          </cell>
          <cell r="K28" t="str">
            <v>APGST KRM/03/2/3396</v>
          </cell>
          <cell r="L28" t="str">
            <v>N</v>
          </cell>
          <cell r="M28">
            <v>0</v>
          </cell>
          <cell r="O28" t="str">
            <v>N</v>
          </cell>
          <cell r="Q28" t="str">
            <v>126</v>
          </cell>
          <cell r="R28" t="str">
            <v>01</v>
          </cell>
          <cell r="S28" t="str">
            <v>01</v>
          </cell>
          <cell r="T28" t="str">
            <v>01</v>
          </cell>
          <cell r="U28">
            <v>0</v>
          </cell>
          <cell r="X28" t="str">
            <v>30002</v>
          </cell>
          <cell r="Y28" t="str">
            <v>00126</v>
          </cell>
        </row>
        <row r="29">
          <cell r="A29" t="str">
            <v>01010027</v>
          </cell>
          <cell r="B29" t="str">
            <v>01</v>
          </cell>
          <cell r="C29" t="str">
            <v>RAICHOOTI VISWANATHAM</v>
          </cell>
          <cell r="D29" t="str">
            <v>SUDHAKAR CHETTY</v>
          </cell>
          <cell r="E29" t="str">
            <v>18/205, P N ROAD</v>
          </cell>
          <cell r="G29" t="str">
            <v>ANDHRA</v>
          </cell>
          <cell r="H29" t="str">
            <v>ADONI</v>
          </cell>
          <cell r="I29" t="str">
            <v>518301</v>
          </cell>
          <cell r="J29" t="str">
            <v>003</v>
          </cell>
          <cell r="K29" t="str">
            <v>APGST KNL/07/1/1621</v>
          </cell>
          <cell r="L29" t="str">
            <v>N</v>
          </cell>
          <cell r="M29">
            <v>0</v>
          </cell>
          <cell r="N29" t="str">
            <v>CST KNL/07/1/1364/4.7.88</v>
          </cell>
          <cell r="O29" t="str">
            <v>N</v>
          </cell>
          <cell r="Q29" t="str">
            <v>127</v>
          </cell>
          <cell r="R29" t="str">
            <v>01</v>
          </cell>
          <cell r="S29" t="str">
            <v>01</v>
          </cell>
          <cell r="T29" t="str">
            <v>01</v>
          </cell>
          <cell r="X29" t="str">
            <v>30001</v>
          </cell>
          <cell r="Y29" t="str">
            <v>00127</v>
          </cell>
        </row>
        <row r="30">
          <cell r="A30" t="str">
            <v>01010028</v>
          </cell>
          <cell r="B30" t="str">
            <v>01</v>
          </cell>
          <cell r="C30" t="str">
            <v>SRI LAXMINARAYANA AGENCY</v>
          </cell>
          <cell r="D30" t="str">
            <v>GANDHI CHOWK</v>
          </cell>
          <cell r="G30" t="str">
            <v>ANDHRA</v>
          </cell>
          <cell r="H30" t="str">
            <v>GUNTAKAL</v>
          </cell>
          <cell r="I30" t="str">
            <v>515801</v>
          </cell>
          <cell r="J30" t="str">
            <v>003</v>
          </cell>
          <cell r="K30" t="str">
            <v>APGST KNL/04/1/2325</v>
          </cell>
          <cell r="L30" t="str">
            <v>N</v>
          </cell>
          <cell r="M30">
            <v>0</v>
          </cell>
          <cell r="N30" t="str">
            <v>CST KNL/04/1/1931</v>
          </cell>
          <cell r="O30" t="str">
            <v>N</v>
          </cell>
          <cell r="Q30" t="str">
            <v>128</v>
          </cell>
          <cell r="R30" t="str">
            <v>01</v>
          </cell>
          <cell r="S30" t="str">
            <v>01</v>
          </cell>
          <cell r="T30" t="str">
            <v>01</v>
          </cell>
          <cell r="X30" t="str">
            <v>30001</v>
          </cell>
          <cell r="Y30" t="str">
            <v>00128</v>
          </cell>
        </row>
        <row r="31">
          <cell r="A31" t="str">
            <v>01010029</v>
          </cell>
          <cell r="B31" t="str">
            <v>01</v>
          </cell>
          <cell r="C31" t="str">
            <v>K S MANI &amp; CO</v>
          </cell>
          <cell r="D31" t="str">
            <v>7/151 NEW TOWN</v>
          </cell>
          <cell r="G31" t="str">
            <v>ANDHRA</v>
          </cell>
          <cell r="H31" t="str">
            <v>ANANTAPUR</v>
          </cell>
          <cell r="I31" t="str">
            <v>515001</v>
          </cell>
          <cell r="J31" t="str">
            <v>003</v>
          </cell>
          <cell r="K31" t="str">
            <v>APGSTKNL/11-1-1107/1957</v>
          </cell>
          <cell r="L31" t="str">
            <v>N</v>
          </cell>
          <cell r="M31">
            <v>0</v>
          </cell>
          <cell r="N31" t="str">
            <v>CST KNL/11-1-1104/1957</v>
          </cell>
          <cell r="O31" t="str">
            <v>N</v>
          </cell>
          <cell r="Q31" t="str">
            <v>129</v>
          </cell>
          <cell r="R31" t="str">
            <v>01</v>
          </cell>
          <cell r="S31" t="str">
            <v>01</v>
          </cell>
          <cell r="T31" t="str">
            <v>01</v>
          </cell>
          <cell r="U31">
            <v>0</v>
          </cell>
          <cell r="X31" t="str">
            <v>30001</v>
          </cell>
          <cell r="Y31" t="str">
            <v>00129</v>
          </cell>
        </row>
        <row r="32">
          <cell r="A32" t="str">
            <v>01010030</v>
          </cell>
          <cell r="B32" t="str">
            <v>01</v>
          </cell>
          <cell r="C32" t="str">
            <v>N.P.NAGURIAH</v>
          </cell>
          <cell r="D32" t="str">
            <v>4-756, C.B.ROAD</v>
          </cell>
          <cell r="G32" t="str">
            <v>ANDHRA</v>
          </cell>
          <cell r="H32" t="str">
            <v>TADPATRI</v>
          </cell>
          <cell r="I32" t="str">
            <v>515411</v>
          </cell>
          <cell r="J32" t="str">
            <v>003</v>
          </cell>
          <cell r="K32" t="str">
            <v>APGST KNL-13-2-1128</v>
          </cell>
          <cell r="L32" t="str">
            <v>N</v>
          </cell>
          <cell r="M32">
            <v>0</v>
          </cell>
          <cell r="N32" t="str">
            <v>CST KNL/13-2-1083</v>
          </cell>
          <cell r="O32" t="str">
            <v>N</v>
          </cell>
          <cell r="Q32" t="str">
            <v>130</v>
          </cell>
          <cell r="R32" t="str">
            <v>01</v>
          </cell>
          <cell r="S32" t="str">
            <v>01</v>
          </cell>
          <cell r="T32" t="str">
            <v>01</v>
          </cell>
          <cell r="X32" t="str">
            <v>30002</v>
          </cell>
          <cell r="Y32" t="str">
            <v>00130</v>
          </cell>
        </row>
        <row r="33">
          <cell r="A33" t="str">
            <v>01010031</v>
          </cell>
          <cell r="B33" t="str">
            <v>01</v>
          </cell>
          <cell r="C33" t="str">
            <v>MADDALI CHANDRA SIVA-</v>
          </cell>
          <cell r="D33" t="str">
            <v>PRASAD &amp; SONS</v>
          </cell>
          <cell r="E33" t="str">
            <v>14-11-35 ATCHUTHA RAMAIAH ST.</v>
          </cell>
          <cell r="F33" t="str">
            <v>HANUMANPET</v>
          </cell>
          <cell r="G33" t="str">
            <v>ANDHRA</v>
          </cell>
          <cell r="H33" t="str">
            <v>VIJAYAWADA</v>
          </cell>
          <cell r="I33" t="str">
            <v>520003</v>
          </cell>
          <cell r="J33" t="str">
            <v>003</v>
          </cell>
          <cell r="K33" t="str">
            <v>APGST VJA-06-3-1870</v>
          </cell>
          <cell r="L33" t="str">
            <v>N</v>
          </cell>
          <cell r="M33">
            <v>0</v>
          </cell>
          <cell r="N33" t="str">
            <v>CST VJA-06-3-1398</v>
          </cell>
          <cell r="O33" t="str">
            <v>N</v>
          </cell>
          <cell r="Q33" t="str">
            <v>131</v>
          </cell>
          <cell r="R33" t="str">
            <v>01</v>
          </cell>
          <cell r="S33" t="str">
            <v>01</v>
          </cell>
          <cell r="T33" t="str">
            <v>01</v>
          </cell>
          <cell r="X33" t="str">
            <v>30001</v>
          </cell>
          <cell r="Y33" t="str">
            <v>00131</v>
          </cell>
        </row>
        <row r="34">
          <cell r="A34" t="str">
            <v>01010032</v>
          </cell>
          <cell r="B34" t="str">
            <v>01</v>
          </cell>
          <cell r="C34" t="str">
            <v>SENIOR COMMERCIAL MANAGER</v>
          </cell>
          <cell r="D34" t="str">
            <v>CATARING DEPARTMENT</v>
          </cell>
          <cell r="E34" t="str">
            <v>SOUTH CENTRAL RAILWAY</v>
          </cell>
          <cell r="G34" t="str">
            <v>ANDHRA</v>
          </cell>
          <cell r="H34" t="str">
            <v>VIJAYAWADA</v>
          </cell>
          <cell r="J34" t="str">
            <v>003</v>
          </cell>
          <cell r="L34" t="str">
            <v>N</v>
          </cell>
          <cell r="M34">
            <v>0</v>
          </cell>
          <cell r="O34" t="str">
            <v>N</v>
          </cell>
          <cell r="Q34" t="str">
            <v>132</v>
          </cell>
          <cell r="R34" t="str">
            <v>01</v>
          </cell>
          <cell r="S34" t="str">
            <v>01</v>
          </cell>
          <cell r="T34" t="str">
            <v>01</v>
          </cell>
          <cell r="X34" t="str">
            <v>30001</v>
          </cell>
          <cell r="Y34" t="str">
            <v>00132</v>
          </cell>
        </row>
        <row r="35">
          <cell r="A35" t="str">
            <v>01010033</v>
          </cell>
          <cell r="B35" t="str">
            <v>01</v>
          </cell>
          <cell r="C35" t="str">
            <v>MARAM PANDURANGAIAH &amp; CO</v>
          </cell>
          <cell r="D35" t="str">
            <v>13/242 MUNDY BAZZAR</v>
          </cell>
          <cell r="G35" t="str">
            <v>ANDHRA</v>
          </cell>
          <cell r="H35" t="str">
            <v>KURNOOL</v>
          </cell>
          <cell r="I35" t="str">
            <v>518001</v>
          </cell>
          <cell r="J35" t="str">
            <v>003</v>
          </cell>
          <cell r="K35" t="str">
            <v>APGST KNL/10/1/1268</v>
          </cell>
          <cell r="L35" t="str">
            <v>N</v>
          </cell>
          <cell r="M35">
            <v>0</v>
          </cell>
          <cell r="N35" t="str">
            <v>CST KNL/10/1/1155</v>
          </cell>
          <cell r="O35" t="str">
            <v>N</v>
          </cell>
          <cell r="Q35" t="str">
            <v>133</v>
          </cell>
          <cell r="R35" t="str">
            <v>01</v>
          </cell>
          <cell r="S35" t="str">
            <v>01</v>
          </cell>
          <cell r="T35" t="str">
            <v>01</v>
          </cell>
          <cell r="X35" t="str">
            <v>30001</v>
          </cell>
          <cell r="Y35" t="str">
            <v>00133</v>
          </cell>
        </row>
        <row r="36">
          <cell r="A36" t="str">
            <v>01010034</v>
          </cell>
          <cell r="B36" t="str">
            <v>01</v>
          </cell>
          <cell r="C36" t="str">
            <v>TRIVENI AGENCIES</v>
          </cell>
          <cell r="D36" t="str">
            <v>12-109,BAZAAR STREET</v>
          </cell>
          <cell r="G36" t="str">
            <v>ANDHRA</v>
          </cell>
          <cell r="H36" t="str">
            <v>CHITTOOR</v>
          </cell>
          <cell r="I36" t="str">
            <v>517001</v>
          </cell>
          <cell r="J36" t="str">
            <v>003</v>
          </cell>
          <cell r="K36" t="str">
            <v>APGST CTR/03/2/2322</v>
          </cell>
          <cell r="L36" t="str">
            <v>N</v>
          </cell>
          <cell r="M36">
            <v>0</v>
          </cell>
          <cell r="N36" t="str">
            <v>CST CTR/03/2/2029</v>
          </cell>
          <cell r="O36" t="str">
            <v>N</v>
          </cell>
          <cell r="Q36" t="str">
            <v>134</v>
          </cell>
          <cell r="R36" t="str">
            <v>01</v>
          </cell>
          <cell r="S36" t="str">
            <v>01</v>
          </cell>
          <cell r="T36" t="str">
            <v>01</v>
          </cell>
          <cell r="X36" t="str">
            <v>30001</v>
          </cell>
          <cell r="Y36" t="str">
            <v>00134</v>
          </cell>
        </row>
        <row r="37">
          <cell r="A37" t="str">
            <v>01010035</v>
          </cell>
          <cell r="B37" t="str">
            <v>01</v>
          </cell>
          <cell r="C37" t="str">
            <v>PAVAN ENTERPRISES</v>
          </cell>
          <cell r="D37" t="str">
            <v>7A-6-5, PASUMARTIVARI STREET</v>
          </cell>
          <cell r="E37" t="str">
            <v>MAIN BAZAAR</v>
          </cell>
          <cell r="G37" t="str">
            <v>ANDHRA</v>
          </cell>
          <cell r="H37" t="str">
            <v>ELURU</v>
          </cell>
          <cell r="I37" t="str">
            <v>534001</v>
          </cell>
          <cell r="J37" t="str">
            <v>003</v>
          </cell>
          <cell r="K37" t="str">
            <v>APGST ELR/01/1/2786</v>
          </cell>
          <cell r="L37" t="str">
            <v>N</v>
          </cell>
          <cell r="M37">
            <v>0</v>
          </cell>
          <cell r="O37" t="str">
            <v>Y</v>
          </cell>
          <cell r="Q37" t="str">
            <v>135</v>
          </cell>
          <cell r="R37" t="str">
            <v>01</v>
          </cell>
          <cell r="S37" t="str">
            <v>01</v>
          </cell>
          <cell r="T37" t="str">
            <v>01</v>
          </cell>
          <cell r="U37">
            <v>0</v>
          </cell>
          <cell r="X37" t="str">
            <v>30001</v>
          </cell>
          <cell r="Y37" t="str">
            <v>00135</v>
          </cell>
        </row>
        <row r="38">
          <cell r="A38" t="str">
            <v>01010036</v>
          </cell>
          <cell r="B38" t="str">
            <v>01</v>
          </cell>
          <cell r="C38" t="str">
            <v>KISHORE FANCY STORES</v>
          </cell>
          <cell r="D38" t="str">
            <v>23-4-44 ELUREU BAZZAR</v>
          </cell>
          <cell r="G38" t="str">
            <v>ANDHRA</v>
          </cell>
          <cell r="H38" t="str">
            <v>GUNTUR</v>
          </cell>
          <cell r="I38" t="str">
            <v>522003</v>
          </cell>
          <cell r="J38" t="str">
            <v>003</v>
          </cell>
          <cell r="K38" t="str">
            <v>APGST.GNT/02/1/2264</v>
          </cell>
          <cell r="L38" t="str">
            <v>N</v>
          </cell>
          <cell r="M38">
            <v>0</v>
          </cell>
          <cell r="N38" t="str">
            <v>CST GNT/02/1/1693</v>
          </cell>
          <cell r="O38" t="str">
            <v>N</v>
          </cell>
          <cell r="Q38" t="str">
            <v>136</v>
          </cell>
          <cell r="R38" t="str">
            <v>01</v>
          </cell>
          <cell r="S38" t="str">
            <v>01</v>
          </cell>
          <cell r="T38" t="str">
            <v>01</v>
          </cell>
          <cell r="X38" t="str">
            <v>30001</v>
          </cell>
          <cell r="Y38" t="str">
            <v>00136</v>
          </cell>
        </row>
        <row r="39">
          <cell r="A39" t="str">
            <v>01010037</v>
          </cell>
          <cell r="B39" t="str">
            <v>01</v>
          </cell>
          <cell r="C39" t="str">
            <v>SUBHA TEJA TRADING CO.</v>
          </cell>
          <cell r="D39" t="str">
            <v>27-9-52, PULAVARTIVARI STREET</v>
          </cell>
          <cell r="G39" t="str">
            <v>ANDHRA</v>
          </cell>
          <cell r="H39" t="str">
            <v>KAKINADA</v>
          </cell>
          <cell r="I39" t="str">
            <v>533001</v>
          </cell>
          <cell r="J39" t="str">
            <v>003</v>
          </cell>
          <cell r="K39" t="str">
            <v>APGST KDA/03/2/2221</v>
          </cell>
          <cell r="L39" t="str">
            <v>N</v>
          </cell>
          <cell r="M39">
            <v>0</v>
          </cell>
          <cell r="O39" t="str">
            <v>N</v>
          </cell>
          <cell r="Q39" t="str">
            <v>137</v>
          </cell>
          <cell r="R39" t="str">
            <v>01</v>
          </cell>
          <cell r="S39" t="str">
            <v>01</v>
          </cell>
          <cell r="T39" t="str">
            <v>01</v>
          </cell>
          <cell r="X39" t="str">
            <v>30001</v>
          </cell>
          <cell r="Y39" t="str">
            <v>00137</v>
          </cell>
        </row>
        <row r="40">
          <cell r="A40" t="str">
            <v>01010038</v>
          </cell>
          <cell r="B40" t="str">
            <v>01</v>
          </cell>
          <cell r="C40" t="str">
            <v>SREENIVASA AGENCIES</v>
          </cell>
          <cell r="D40" t="str">
            <v>VII-31, APPA RAO STREET</v>
          </cell>
          <cell r="G40" t="str">
            <v>ANDHRA</v>
          </cell>
          <cell r="H40" t="str">
            <v>MADANAPALLE</v>
          </cell>
          <cell r="I40" t="str">
            <v>517325</v>
          </cell>
          <cell r="J40" t="str">
            <v>003</v>
          </cell>
          <cell r="K40" t="str">
            <v>APGST CTR/05/1/1796</v>
          </cell>
          <cell r="L40" t="str">
            <v>N</v>
          </cell>
          <cell r="M40">
            <v>0</v>
          </cell>
          <cell r="N40" t="str">
            <v>CST CTR/05/1/1604</v>
          </cell>
          <cell r="O40" t="str">
            <v>N</v>
          </cell>
          <cell r="Q40" t="str">
            <v>138</v>
          </cell>
          <cell r="R40" t="str">
            <v>01</v>
          </cell>
          <cell r="S40" t="str">
            <v>01</v>
          </cell>
          <cell r="T40" t="str">
            <v>01</v>
          </cell>
          <cell r="X40" t="str">
            <v>30001</v>
          </cell>
          <cell r="Y40" t="str">
            <v>00138</v>
          </cell>
        </row>
        <row r="41">
          <cell r="A41" t="str">
            <v>01010039</v>
          </cell>
          <cell r="B41" t="str">
            <v>01</v>
          </cell>
          <cell r="C41" t="str">
            <v>SRI UDAYALAKSHMI AGENCIES</v>
          </cell>
          <cell r="D41" t="str">
            <v>6/180, FORT ROAD</v>
          </cell>
          <cell r="G41" t="str">
            <v>ANDHRA</v>
          </cell>
          <cell r="H41" t="str">
            <v>MACHILIPATANAM</v>
          </cell>
          <cell r="I41" t="str">
            <v>521001</v>
          </cell>
          <cell r="J41" t="str">
            <v>003</v>
          </cell>
          <cell r="K41" t="str">
            <v>APGST VJA-01-2-1777</v>
          </cell>
          <cell r="L41" t="str">
            <v>N</v>
          </cell>
          <cell r="M41">
            <v>0</v>
          </cell>
          <cell r="O41" t="str">
            <v>N</v>
          </cell>
          <cell r="Q41" t="str">
            <v>139</v>
          </cell>
          <cell r="R41" t="str">
            <v>01</v>
          </cell>
          <cell r="S41" t="str">
            <v>01</v>
          </cell>
          <cell r="T41" t="str">
            <v>01</v>
          </cell>
          <cell r="X41" t="str">
            <v>30001</v>
          </cell>
          <cell r="Y41" t="str">
            <v>00139</v>
          </cell>
        </row>
        <row r="42">
          <cell r="A42" t="str">
            <v>01010040</v>
          </cell>
          <cell r="B42" t="str">
            <v>01</v>
          </cell>
          <cell r="C42" t="str">
            <v>SRI MALLIKHARJUNA AGENCIE</v>
          </cell>
          <cell r="D42" t="str">
            <v>22/66,M.V.APPAIAH STREET</v>
          </cell>
          <cell r="G42" t="str">
            <v>ANDHRA</v>
          </cell>
          <cell r="H42" t="str">
            <v>CHILAKALURIPET</v>
          </cell>
          <cell r="I42" t="str">
            <v>522616</v>
          </cell>
          <cell r="J42" t="str">
            <v>003</v>
          </cell>
          <cell r="K42" t="str">
            <v>APGST GNT/08/2-1509</v>
          </cell>
          <cell r="L42" t="str">
            <v>N</v>
          </cell>
          <cell r="M42">
            <v>0</v>
          </cell>
          <cell r="N42" t="str">
            <v>CST GNT/08/2-1382</v>
          </cell>
          <cell r="O42" t="str">
            <v>N</v>
          </cell>
          <cell r="Q42" t="str">
            <v>140</v>
          </cell>
          <cell r="R42" t="str">
            <v>01</v>
          </cell>
          <cell r="S42" t="str">
            <v>01</v>
          </cell>
          <cell r="T42" t="str">
            <v>01</v>
          </cell>
          <cell r="X42" t="str">
            <v>30002</v>
          </cell>
          <cell r="Y42" t="str">
            <v>00140</v>
          </cell>
        </row>
        <row r="43">
          <cell r="A43" t="str">
            <v>01010041</v>
          </cell>
          <cell r="B43" t="str">
            <v>01</v>
          </cell>
          <cell r="C43" t="str">
            <v>BHAKTHA GENERAL STORES</v>
          </cell>
          <cell r="D43" t="str">
            <v>20-83-1 THASILDAR STREET</v>
          </cell>
          <cell r="E43" t="str">
            <v>KOTHAPET</v>
          </cell>
          <cell r="G43" t="str">
            <v>ANDHRA</v>
          </cell>
          <cell r="H43" t="str">
            <v>PALAMANER</v>
          </cell>
          <cell r="I43" t="str">
            <v>517408</v>
          </cell>
          <cell r="J43" t="str">
            <v>003</v>
          </cell>
          <cell r="K43" t="str">
            <v>APGST CTR/04/3/1604</v>
          </cell>
          <cell r="L43" t="str">
            <v>N</v>
          </cell>
          <cell r="M43">
            <v>0</v>
          </cell>
          <cell r="N43" t="str">
            <v>CST CTR/04/3/1229</v>
          </cell>
          <cell r="O43" t="str">
            <v>N</v>
          </cell>
          <cell r="Q43" t="str">
            <v>141</v>
          </cell>
          <cell r="R43" t="str">
            <v>01</v>
          </cell>
          <cell r="S43" t="str">
            <v>01</v>
          </cell>
          <cell r="T43" t="str">
            <v>01</v>
          </cell>
          <cell r="X43" t="str">
            <v>30002</v>
          </cell>
          <cell r="Y43" t="str">
            <v>00141</v>
          </cell>
        </row>
        <row r="44">
          <cell r="A44" t="str">
            <v>01010042</v>
          </cell>
          <cell r="B44" t="str">
            <v>01</v>
          </cell>
          <cell r="C44" t="str">
            <v>PRAKASH &amp; CO</v>
          </cell>
          <cell r="D44" t="str">
            <v>DOOR NO 7-9-80/1</v>
          </cell>
          <cell r="E44" t="str">
            <v>KAKUMANUVARI STREET</v>
          </cell>
          <cell r="G44" t="str">
            <v>ANDHRA</v>
          </cell>
          <cell r="H44" t="str">
            <v>NARASARAPET</v>
          </cell>
          <cell r="I44" t="str">
            <v>522 601</v>
          </cell>
          <cell r="J44" t="str">
            <v>003</v>
          </cell>
          <cell r="K44" t="str">
            <v>APGST NRP/04/1/1513</v>
          </cell>
          <cell r="L44" t="str">
            <v>N</v>
          </cell>
          <cell r="M44">
            <v>0</v>
          </cell>
          <cell r="O44" t="str">
            <v>N</v>
          </cell>
          <cell r="Q44" t="str">
            <v>142</v>
          </cell>
          <cell r="R44" t="str">
            <v>01</v>
          </cell>
          <cell r="S44" t="str">
            <v>01</v>
          </cell>
          <cell r="T44" t="str">
            <v>01</v>
          </cell>
          <cell r="U44">
            <v>0</v>
          </cell>
          <cell r="X44" t="str">
            <v>30002</v>
          </cell>
          <cell r="Y44" t="str">
            <v>00142</v>
          </cell>
        </row>
        <row r="45">
          <cell r="A45" t="str">
            <v>01010043</v>
          </cell>
          <cell r="B45" t="str">
            <v>01</v>
          </cell>
          <cell r="C45" t="str">
            <v>SRI MARUTHI ENTERPRISES</v>
          </cell>
          <cell r="D45" t="str">
            <v>3/202, BYRMAL STREET</v>
          </cell>
          <cell r="G45" t="str">
            <v>ANDHRA</v>
          </cell>
          <cell r="H45" t="str">
            <v>NANDYAL</v>
          </cell>
          <cell r="I45" t="str">
            <v>518501</v>
          </cell>
          <cell r="J45" t="str">
            <v>003</v>
          </cell>
          <cell r="K45" t="str">
            <v>APGST KNL/05/01/2459</v>
          </cell>
          <cell r="L45" t="str">
            <v>N</v>
          </cell>
          <cell r="M45">
            <v>0</v>
          </cell>
          <cell r="N45" t="str">
            <v>CST KNL/05/01/1952</v>
          </cell>
          <cell r="O45" t="str">
            <v>N</v>
          </cell>
          <cell r="Q45" t="str">
            <v>143</v>
          </cell>
          <cell r="R45" t="str">
            <v>01</v>
          </cell>
          <cell r="S45" t="str">
            <v>01</v>
          </cell>
          <cell r="T45" t="str">
            <v>01</v>
          </cell>
          <cell r="X45" t="str">
            <v>30002</v>
          </cell>
          <cell r="Y45" t="str">
            <v>00143</v>
          </cell>
        </row>
        <row r="46">
          <cell r="A46" t="str">
            <v>01010044</v>
          </cell>
          <cell r="B46" t="str">
            <v>01</v>
          </cell>
          <cell r="C46" t="str">
            <v>R.K.AGENCIES</v>
          </cell>
          <cell r="D46" t="str">
            <v>5/753, SRI RANGARAJAPURAM</v>
          </cell>
          <cell r="E46" t="str">
            <v>STONEHOUSEPET</v>
          </cell>
          <cell r="G46" t="str">
            <v>ANDHRA</v>
          </cell>
          <cell r="H46" t="str">
            <v>NELLORE</v>
          </cell>
          <cell r="I46" t="str">
            <v>524002</v>
          </cell>
          <cell r="J46" t="str">
            <v>003</v>
          </cell>
          <cell r="K46" t="str">
            <v>APGST NRE 06/1/2021</v>
          </cell>
          <cell r="L46" t="str">
            <v>N</v>
          </cell>
          <cell r="M46">
            <v>0</v>
          </cell>
          <cell r="N46" t="str">
            <v>CST NRE 06/1/1644</v>
          </cell>
          <cell r="O46" t="str">
            <v>N</v>
          </cell>
          <cell r="Q46" t="str">
            <v>144</v>
          </cell>
          <cell r="R46" t="str">
            <v>01</v>
          </cell>
          <cell r="S46" t="str">
            <v>01</v>
          </cell>
          <cell r="T46" t="str">
            <v>01</v>
          </cell>
          <cell r="X46" t="str">
            <v>30001</v>
          </cell>
          <cell r="Y46" t="str">
            <v>00144</v>
          </cell>
        </row>
        <row r="47">
          <cell r="A47" t="str">
            <v>01010045</v>
          </cell>
          <cell r="B47" t="str">
            <v>01</v>
          </cell>
          <cell r="C47" t="str">
            <v>RATNA PRASAD AGENCIES</v>
          </cell>
          <cell r="D47" t="str">
            <v>D.NO:26-92, CHAKKAVARI ST</v>
          </cell>
          <cell r="E47" t="str">
            <v>23rd WARD,</v>
          </cell>
          <cell r="F47" t="str">
            <v>A B TOWERS OPPOSITE STREET</v>
          </cell>
          <cell r="G47" t="str">
            <v>ANDHRA PRADESH</v>
          </cell>
          <cell r="H47" t="str">
            <v>TANUKU</v>
          </cell>
          <cell r="I47" t="str">
            <v>534 211</v>
          </cell>
          <cell r="J47" t="str">
            <v>003</v>
          </cell>
          <cell r="K47" t="str">
            <v>APGST ELR/09/01/1921</v>
          </cell>
          <cell r="L47" t="str">
            <v>N</v>
          </cell>
          <cell r="M47">
            <v>0</v>
          </cell>
          <cell r="N47" t="str">
            <v>CST ELR/09/01/1257</v>
          </cell>
          <cell r="O47" t="str">
            <v>N</v>
          </cell>
          <cell r="Q47" t="str">
            <v>145</v>
          </cell>
          <cell r="R47" t="str">
            <v>01</v>
          </cell>
          <cell r="S47" t="str">
            <v>01</v>
          </cell>
          <cell r="T47" t="str">
            <v>01</v>
          </cell>
          <cell r="U47">
            <v>0</v>
          </cell>
          <cell r="X47" t="str">
            <v>30001</v>
          </cell>
          <cell r="Y47" t="str">
            <v>00145</v>
          </cell>
        </row>
        <row r="48">
          <cell r="A48" t="str">
            <v>01010046</v>
          </cell>
          <cell r="B48" t="str">
            <v>01</v>
          </cell>
          <cell r="C48" t="str">
            <v>SRI GAYATRI AGENCIES</v>
          </cell>
          <cell r="D48" t="str">
            <v>14-3-6 RANGAMANNARPET</v>
          </cell>
          <cell r="G48" t="str">
            <v>ANDHRA</v>
          </cell>
          <cell r="H48" t="str">
            <v>PALAKOL</v>
          </cell>
          <cell r="I48" t="str">
            <v>534260</v>
          </cell>
          <cell r="J48" t="str">
            <v>003</v>
          </cell>
          <cell r="K48" t="str">
            <v>APGST ELR/06/1/1403</v>
          </cell>
          <cell r="L48" t="str">
            <v>N</v>
          </cell>
          <cell r="M48">
            <v>0</v>
          </cell>
          <cell r="N48" t="str">
            <v>CST ELR/06/1/1166</v>
          </cell>
          <cell r="O48" t="str">
            <v>N</v>
          </cell>
          <cell r="Q48" t="str">
            <v>146</v>
          </cell>
          <cell r="R48" t="str">
            <v>01</v>
          </cell>
          <cell r="S48" t="str">
            <v>01</v>
          </cell>
          <cell r="T48" t="str">
            <v>01</v>
          </cell>
          <cell r="X48" t="str">
            <v>30002</v>
          </cell>
          <cell r="Y48" t="str">
            <v>00146</v>
          </cell>
        </row>
        <row r="49">
          <cell r="A49" t="str">
            <v>01010047</v>
          </cell>
          <cell r="B49" t="str">
            <v>01</v>
          </cell>
          <cell r="C49" t="str">
            <v>VIJAYA AGENCIES</v>
          </cell>
          <cell r="D49" t="str">
            <v>SRI BABUJI MARKET COMPLEX</v>
          </cell>
          <cell r="E49" t="str">
            <v>TRUNK ROAD</v>
          </cell>
          <cell r="G49" t="str">
            <v>ANDHRA</v>
          </cell>
          <cell r="H49" t="str">
            <v>ONGOLE</v>
          </cell>
          <cell r="I49" t="str">
            <v>523001</v>
          </cell>
          <cell r="J49" t="str">
            <v>003</v>
          </cell>
          <cell r="K49" t="str">
            <v>APGST NRE/3/2/2752</v>
          </cell>
          <cell r="L49" t="str">
            <v>N</v>
          </cell>
          <cell r="M49">
            <v>0</v>
          </cell>
          <cell r="O49" t="str">
            <v>N</v>
          </cell>
          <cell r="Q49" t="str">
            <v>147</v>
          </cell>
          <cell r="R49" t="str">
            <v>01</v>
          </cell>
          <cell r="S49" t="str">
            <v>01</v>
          </cell>
          <cell r="T49" t="str">
            <v>01</v>
          </cell>
          <cell r="X49" t="str">
            <v>30001</v>
          </cell>
          <cell r="Y49" t="str">
            <v>00147</v>
          </cell>
        </row>
        <row r="50">
          <cell r="A50" t="str">
            <v>01010048</v>
          </cell>
          <cell r="B50" t="str">
            <v>01</v>
          </cell>
          <cell r="C50" t="str">
            <v>CHEETHIRALA BROS</v>
          </cell>
          <cell r="D50" t="str">
            <v>TRUNK ROAD</v>
          </cell>
          <cell r="G50" t="str">
            <v>ANDHRA</v>
          </cell>
          <cell r="H50" t="str">
            <v>CUDDAPAH</v>
          </cell>
          <cell r="I50" t="str">
            <v>516001</v>
          </cell>
          <cell r="J50" t="str">
            <v>003</v>
          </cell>
          <cell r="K50" t="str">
            <v>APGST CTR/07/1/1913</v>
          </cell>
          <cell r="L50" t="str">
            <v>N</v>
          </cell>
          <cell r="M50">
            <v>0</v>
          </cell>
          <cell r="N50" t="str">
            <v>CST CTR/07/1/1640</v>
          </cell>
          <cell r="O50" t="str">
            <v>N</v>
          </cell>
          <cell r="Q50" t="str">
            <v>148</v>
          </cell>
          <cell r="R50" t="str">
            <v>01</v>
          </cell>
          <cell r="S50" t="str">
            <v>01</v>
          </cell>
          <cell r="T50" t="str">
            <v>01</v>
          </cell>
          <cell r="X50" t="str">
            <v>30001</v>
          </cell>
          <cell r="Y50" t="str">
            <v>00148</v>
          </cell>
        </row>
        <row r="51">
          <cell r="A51" t="str">
            <v>01010049</v>
          </cell>
          <cell r="B51" t="str">
            <v>01</v>
          </cell>
          <cell r="C51" t="str">
            <v>JAYAKRISHNA AGENCIES</v>
          </cell>
          <cell r="D51" t="str">
            <v>10/477,KONATIKALVA STREET</v>
          </cell>
          <cell r="G51" t="str">
            <v>ANDHRA</v>
          </cell>
          <cell r="H51" t="str">
            <v>PRODDATUR</v>
          </cell>
          <cell r="I51" t="str">
            <v>516361</v>
          </cell>
          <cell r="J51" t="str">
            <v>003</v>
          </cell>
          <cell r="K51" t="str">
            <v>APGST CTR/09/1/2411</v>
          </cell>
          <cell r="L51" t="str">
            <v>N</v>
          </cell>
          <cell r="M51">
            <v>0</v>
          </cell>
          <cell r="N51" t="str">
            <v>CST CTR/09/1/2014/18.9.91</v>
          </cell>
          <cell r="O51" t="str">
            <v>N</v>
          </cell>
          <cell r="Q51" t="str">
            <v>149</v>
          </cell>
          <cell r="R51" t="str">
            <v>01</v>
          </cell>
          <cell r="S51" t="str">
            <v>01</v>
          </cell>
          <cell r="T51" t="str">
            <v>01</v>
          </cell>
          <cell r="X51" t="str">
            <v>30001</v>
          </cell>
          <cell r="Y51" t="str">
            <v>00149</v>
          </cell>
        </row>
        <row r="52">
          <cell r="A52" t="str">
            <v>01010050</v>
          </cell>
          <cell r="B52" t="str">
            <v>01</v>
          </cell>
          <cell r="C52" t="str">
            <v>PATNANA BHARATHARAJU &amp; CO</v>
          </cell>
          <cell r="D52" t="str">
            <v>MAIN ROAD</v>
          </cell>
          <cell r="G52" t="str">
            <v>ANDHRA</v>
          </cell>
          <cell r="H52" t="str">
            <v>PARVATIPURAM</v>
          </cell>
          <cell r="I52" t="str">
            <v>532502</v>
          </cell>
          <cell r="J52" t="str">
            <v>003</v>
          </cell>
          <cell r="K52" t="str">
            <v>APGST VZM/03/03/1061</v>
          </cell>
          <cell r="L52" t="str">
            <v>N</v>
          </cell>
          <cell r="M52">
            <v>0</v>
          </cell>
          <cell r="N52" t="str">
            <v>CST VZM/03/03/1086</v>
          </cell>
          <cell r="O52" t="str">
            <v>N</v>
          </cell>
          <cell r="Q52" t="str">
            <v>150</v>
          </cell>
          <cell r="R52" t="str">
            <v>01</v>
          </cell>
          <cell r="S52" t="str">
            <v>01</v>
          </cell>
          <cell r="T52" t="str">
            <v>01</v>
          </cell>
          <cell r="X52" t="str">
            <v>30002</v>
          </cell>
          <cell r="Y52" t="str">
            <v>00150</v>
          </cell>
        </row>
        <row r="53">
          <cell r="A53" t="str">
            <v>01010051</v>
          </cell>
          <cell r="B53" t="str">
            <v>01</v>
          </cell>
          <cell r="C53" t="str">
            <v>SUVARNA      AGENCIES</v>
          </cell>
          <cell r="D53" t="str">
            <v>6/128/2, MUNDY STREET</v>
          </cell>
          <cell r="G53" t="str">
            <v>ANDHRA</v>
          </cell>
          <cell r="H53" t="str">
            <v>PUTTUR</v>
          </cell>
          <cell r="I53" t="str">
            <v>517583</v>
          </cell>
          <cell r="J53" t="str">
            <v>003</v>
          </cell>
          <cell r="K53" t="str">
            <v>APGST CTR/01/3/1328</v>
          </cell>
          <cell r="L53" t="str">
            <v>N</v>
          </cell>
          <cell r="M53">
            <v>0</v>
          </cell>
          <cell r="N53" t="str">
            <v>CST CTR/01/3/1185</v>
          </cell>
          <cell r="O53" t="str">
            <v>N</v>
          </cell>
          <cell r="Q53" t="str">
            <v>151</v>
          </cell>
          <cell r="R53" t="str">
            <v>01</v>
          </cell>
          <cell r="S53" t="str">
            <v>01</v>
          </cell>
          <cell r="T53" t="str">
            <v>01</v>
          </cell>
          <cell r="U53">
            <v>0</v>
          </cell>
          <cell r="X53" t="str">
            <v>30002</v>
          </cell>
          <cell r="Y53" t="str">
            <v>00151</v>
          </cell>
        </row>
        <row r="54">
          <cell r="A54" t="str">
            <v>01010052</v>
          </cell>
          <cell r="B54" t="str">
            <v>01</v>
          </cell>
          <cell r="C54" t="str">
            <v>SRI RAJYALAKSHMI AGENCIES</v>
          </cell>
          <cell r="D54" t="str">
            <v>9-3-14/A POTTI SRIRAMULU ST</v>
          </cell>
          <cell r="E54" t="str">
            <v>(OPP Y M V A HALL)</v>
          </cell>
          <cell r="G54" t="str">
            <v>ANDHRA PRADESH</v>
          </cell>
          <cell r="H54" t="str">
            <v>RAJAMUNDRY</v>
          </cell>
          <cell r="I54" t="str">
            <v>533 101</v>
          </cell>
          <cell r="J54" t="str">
            <v>003</v>
          </cell>
          <cell r="K54" t="str">
            <v>APGST KDA/09/2/2083</v>
          </cell>
          <cell r="L54" t="str">
            <v>N</v>
          </cell>
          <cell r="M54">
            <v>0</v>
          </cell>
          <cell r="N54" t="str">
            <v>CST KDA/09/2/1779</v>
          </cell>
          <cell r="O54" t="str">
            <v>N</v>
          </cell>
          <cell r="Q54" t="str">
            <v>152</v>
          </cell>
          <cell r="R54" t="str">
            <v>01</v>
          </cell>
          <cell r="S54" t="str">
            <v>01</v>
          </cell>
          <cell r="T54" t="str">
            <v>01</v>
          </cell>
          <cell r="U54">
            <v>0</v>
          </cell>
          <cell r="X54" t="str">
            <v>30001</v>
          </cell>
          <cell r="Y54" t="str">
            <v>00152</v>
          </cell>
        </row>
        <row r="55">
          <cell r="A55" t="str">
            <v>01010053</v>
          </cell>
          <cell r="B55" t="str">
            <v>01</v>
          </cell>
          <cell r="C55" t="str">
            <v>CHANDAMOULI AGENCIES</v>
          </cell>
          <cell r="D55" t="str">
            <v>11/5/11 KALINGA ROAD</v>
          </cell>
          <cell r="G55" t="str">
            <v>ANDHRA</v>
          </cell>
          <cell r="H55" t="str">
            <v>SRIKAKULAM</v>
          </cell>
          <cell r="I55" t="str">
            <v>532001</v>
          </cell>
          <cell r="J55" t="str">
            <v>003</v>
          </cell>
          <cell r="K55" t="str">
            <v>APGST VZM/04/1/1135(A)</v>
          </cell>
          <cell r="L55" t="str">
            <v>N</v>
          </cell>
          <cell r="M55">
            <v>0</v>
          </cell>
          <cell r="N55" t="str">
            <v>CST VZM/04/1/1056</v>
          </cell>
          <cell r="O55" t="str">
            <v>N</v>
          </cell>
          <cell r="Q55" t="str">
            <v>153</v>
          </cell>
          <cell r="R55" t="str">
            <v>01</v>
          </cell>
          <cell r="S55" t="str">
            <v>01</v>
          </cell>
          <cell r="T55" t="str">
            <v>01</v>
          </cell>
          <cell r="X55" t="str">
            <v>30001</v>
          </cell>
          <cell r="Y55" t="str">
            <v>00153</v>
          </cell>
        </row>
        <row r="56">
          <cell r="A56" t="str">
            <v>01010054</v>
          </cell>
          <cell r="B56" t="str">
            <v>01</v>
          </cell>
          <cell r="C56" t="str">
            <v>VASUDEV ENTERPRISES</v>
          </cell>
          <cell r="D56" t="str">
            <v>MAIN ROAD</v>
          </cell>
          <cell r="G56" t="str">
            <v>ANDHRA</v>
          </cell>
          <cell r="H56" t="str">
            <v>ICHAPURAM</v>
          </cell>
          <cell r="I56" t="str">
            <v>532312</v>
          </cell>
          <cell r="J56" t="str">
            <v>003</v>
          </cell>
          <cell r="K56" t="str">
            <v>APGST VZM/06/3/1323</v>
          </cell>
          <cell r="L56" t="str">
            <v>N</v>
          </cell>
          <cell r="M56">
            <v>0</v>
          </cell>
          <cell r="N56" t="str">
            <v>CST VZM/06/3/1128</v>
          </cell>
          <cell r="O56" t="str">
            <v>N</v>
          </cell>
          <cell r="Q56" t="str">
            <v>154</v>
          </cell>
          <cell r="R56" t="str">
            <v>01</v>
          </cell>
          <cell r="S56" t="str">
            <v>01</v>
          </cell>
          <cell r="T56" t="str">
            <v>01</v>
          </cell>
          <cell r="X56" t="str">
            <v>30002</v>
          </cell>
          <cell r="Y56" t="str">
            <v>00154</v>
          </cell>
        </row>
        <row r="57">
          <cell r="A57" t="str">
            <v>01010055</v>
          </cell>
          <cell r="B57" t="str">
            <v>01</v>
          </cell>
          <cell r="C57" t="str">
            <v>PRAKASH TRADING COMPANY</v>
          </cell>
          <cell r="D57" t="str">
            <v>GOPAL REDDY STREET</v>
          </cell>
          <cell r="G57" t="str">
            <v>ANDHRA</v>
          </cell>
          <cell r="H57" t="str">
            <v>TENALI</v>
          </cell>
          <cell r="I57" t="str">
            <v>522201</v>
          </cell>
          <cell r="J57" t="str">
            <v>003</v>
          </cell>
          <cell r="K57" t="str">
            <v>APGST GNT/04/1/1438</v>
          </cell>
          <cell r="L57" t="str">
            <v>N</v>
          </cell>
          <cell r="M57">
            <v>0</v>
          </cell>
          <cell r="N57" t="str">
            <v>CST GNT/04/1/1217</v>
          </cell>
          <cell r="O57" t="str">
            <v>N</v>
          </cell>
          <cell r="Q57" t="str">
            <v>155</v>
          </cell>
          <cell r="R57" t="str">
            <v>01</v>
          </cell>
          <cell r="S57" t="str">
            <v>01</v>
          </cell>
          <cell r="T57" t="str">
            <v>01</v>
          </cell>
          <cell r="X57" t="str">
            <v>30001</v>
          </cell>
          <cell r="Y57" t="str">
            <v>00155</v>
          </cell>
        </row>
        <row r="58">
          <cell r="A58" t="str">
            <v>01010056</v>
          </cell>
          <cell r="B58" t="str">
            <v>01</v>
          </cell>
          <cell r="C58" t="str">
            <v>J DHARMAIAH CHETTY &amp; SONS</v>
          </cell>
          <cell r="D58" t="str">
            <v>3/380 BAZAAR STREET</v>
          </cell>
          <cell r="G58" t="str">
            <v>ANDHRA</v>
          </cell>
          <cell r="H58" t="str">
            <v>SRI KALAHASTI</v>
          </cell>
          <cell r="I58" t="str">
            <v>517644</v>
          </cell>
          <cell r="J58" t="str">
            <v>003</v>
          </cell>
          <cell r="K58" t="str">
            <v>APGST CTR/01/1/1654</v>
          </cell>
          <cell r="L58" t="str">
            <v>N</v>
          </cell>
          <cell r="M58">
            <v>0</v>
          </cell>
          <cell r="N58" t="str">
            <v>CST CTR/01/1/1384</v>
          </cell>
          <cell r="O58" t="str">
            <v>N</v>
          </cell>
          <cell r="Q58" t="str">
            <v>156</v>
          </cell>
          <cell r="R58" t="str">
            <v>01</v>
          </cell>
          <cell r="S58" t="str">
            <v>01</v>
          </cell>
          <cell r="T58" t="str">
            <v>01</v>
          </cell>
          <cell r="X58" t="str">
            <v>30002</v>
          </cell>
          <cell r="Y58" t="str">
            <v>00156</v>
          </cell>
        </row>
        <row r="59">
          <cell r="A59" t="str">
            <v>01010057</v>
          </cell>
          <cell r="B59" t="str">
            <v>01</v>
          </cell>
          <cell r="C59" t="str">
            <v>SRI VASAVI AGENCIES</v>
          </cell>
          <cell r="D59" t="str">
            <v>MAIN ROAD</v>
          </cell>
          <cell r="E59" t="str">
            <v>(NEAR ANDHRA BANK)</v>
          </cell>
          <cell r="G59" t="str">
            <v>ANDHRA</v>
          </cell>
          <cell r="H59" t="str">
            <v>NARASIPATNAM</v>
          </cell>
          <cell r="I59" t="str">
            <v>531116</v>
          </cell>
          <cell r="J59" t="str">
            <v>003</v>
          </cell>
          <cell r="K59" t="str">
            <v>APGST VSP/06/4/1384</v>
          </cell>
          <cell r="L59" t="str">
            <v>N</v>
          </cell>
          <cell r="M59">
            <v>0</v>
          </cell>
          <cell r="N59" t="str">
            <v>CST VSP/06/4/1072/1.4.85</v>
          </cell>
          <cell r="O59" t="str">
            <v>N</v>
          </cell>
          <cell r="Q59" t="str">
            <v>157</v>
          </cell>
          <cell r="R59" t="str">
            <v>01</v>
          </cell>
          <cell r="S59" t="str">
            <v>01</v>
          </cell>
          <cell r="T59" t="str">
            <v>01</v>
          </cell>
          <cell r="X59" t="str">
            <v>30002</v>
          </cell>
          <cell r="Y59" t="str">
            <v>00157</v>
          </cell>
        </row>
        <row r="60">
          <cell r="A60" t="str">
            <v>01010058</v>
          </cell>
          <cell r="B60" t="str">
            <v>01</v>
          </cell>
          <cell r="C60" t="str">
            <v>SEAWAY SHOP</v>
          </cell>
          <cell r="D60" t="str">
            <v>29-8-13, LALITHA COLONY</v>
          </cell>
          <cell r="E60" t="str">
            <v>DABA GARDENS</v>
          </cell>
          <cell r="G60" t="str">
            <v>ANDHRA</v>
          </cell>
          <cell r="H60" t="str">
            <v>VISAKHAPATNAM</v>
          </cell>
          <cell r="I60" t="str">
            <v>530020</v>
          </cell>
          <cell r="J60" t="str">
            <v>003</v>
          </cell>
          <cell r="K60" t="str">
            <v>APGST  VSP/01/1/1333</v>
          </cell>
          <cell r="L60" t="str">
            <v>N</v>
          </cell>
          <cell r="M60">
            <v>0</v>
          </cell>
          <cell r="N60" t="str">
            <v>CST VSP/01/1/1170</v>
          </cell>
          <cell r="O60" t="str">
            <v>N</v>
          </cell>
          <cell r="Q60" t="str">
            <v>158</v>
          </cell>
          <cell r="R60" t="str">
            <v>01</v>
          </cell>
          <cell r="S60" t="str">
            <v>01</v>
          </cell>
          <cell r="T60" t="str">
            <v>01</v>
          </cell>
          <cell r="X60" t="str">
            <v>30001</v>
          </cell>
          <cell r="Y60" t="str">
            <v>00158</v>
          </cell>
        </row>
        <row r="61">
          <cell r="A61" t="str">
            <v>01010059</v>
          </cell>
          <cell r="B61" t="str">
            <v>02</v>
          </cell>
          <cell r="C61" t="str">
            <v>INDIAN NAVAL CANTEEN SERV</v>
          </cell>
          <cell r="D61" t="str">
            <v>NAVAL BASE</v>
          </cell>
          <cell r="G61" t="str">
            <v>ANDHRA</v>
          </cell>
          <cell r="H61" t="str">
            <v>VISAKHAPATNAM</v>
          </cell>
          <cell r="J61" t="str">
            <v>003</v>
          </cell>
          <cell r="L61" t="str">
            <v>N</v>
          </cell>
          <cell r="M61">
            <v>0</v>
          </cell>
          <cell r="O61" t="str">
            <v>N</v>
          </cell>
          <cell r="Q61" t="str">
            <v>159</v>
          </cell>
          <cell r="R61" t="str">
            <v>01</v>
          </cell>
          <cell r="S61" t="str">
            <v>01</v>
          </cell>
          <cell r="T61" t="str">
            <v>01</v>
          </cell>
          <cell r="X61" t="str">
            <v>30001</v>
          </cell>
          <cell r="Y61" t="str">
            <v>00159</v>
          </cell>
        </row>
        <row r="62">
          <cell r="A62" t="str">
            <v>01010060</v>
          </cell>
          <cell r="B62" t="str">
            <v>01</v>
          </cell>
          <cell r="C62" t="str">
            <v>CH V SATYANARAYANA &amp; CO</v>
          </cell>
          <cell r="D62" t="str">
            <v>GENERAL MERCHANT</v>
          </cell>
          <cell r="E62" t="str">
            <v>TAYARAMMA BUILDINGS</v>
          </cell>
          <cell r="F62" t="str">
            <v>14-7-5, SIVALAYAM STREET</v>
          </cell>
          <cell r="G62" t="str">
            <v>ANDHRA</v>
          </cell>
          <cell r="H62" t="str">
            <v>VIZIANAGARAM</v>
          </cell>
          <cell r="I62" t="str">
            <v>531202</v>
          </cell>
          <cell r="J62" t="str">
            <v>003</v>
          </cell>
          <cell r="K62" t="str">
            <v>APGST VZM/02/1/1637</v>
          </cell>
          <cell r="L62" t="str">
            <v>N</v>
          </cell>
          <cell r="M62">
            <v>0</v>
          </cell>
          <cell r="N62" t="str">
            <v>CST VZM/02/1/14578</v>
          </cell>
          <cell r="O62" t="str">
            <v>N</v>
          </cell>
          <cell r="Q62" t="str">
            <v>160</v>
          </cell>
          <cell r="R62" t="str">
            <v>01</v>
          </cell>
          <cell r="S62" t="str">
            <v>01</v>
          </cell>
          <cell r="T62" t="str">
            <v>01</v>
          </cell>
          <cell r="X62" t="str">
            <v>30001</v>
          </cell>
          <cell r="Y62" t="str">
            <v>00160</v>
          </cell>
        </row>
        <row r="63">
          <cell r="A63" t="str">
            <v>01010061</v>
          </cell>
          <cell r="B63" t="str">
            <v>01</v>
          </cell>
          <cell r="C63" t="str">
            <v>KATTAMOORI TRADERS</v>
          </cell>
          <cell r="D63" t="str">
            <v>DOOR NO.12-12-72(1)</v>
          </cell>
          <cell r="E63" t="str">
            <v>OLD BUS STAND ROAD</v>
          </cell>
          <cell r="G63" t="str">
            <v>ANDHRA</v>
          </cell>
          <cell r="H63" t="str">
            <v>ANAKAPALLE</v>
          </cell>
          <cell r="I63" t="str">
            <v>531001</v>
          </cell>
          <cell r="J63" t="str">
            <v>003</v>
          </cell>
          <cell r="K63" t="str">
            <v>APGST VSP/05/1/1926</v>
          </cell>
          <cell r="L63" t="str">
            <v>N</v>
          </cell>
          <cell r="M63">
            <v>0</v>
          </cell>
          <cell r="N63" t="str">
            <v>CST VSP-05/1/2523</v>
          </cell>
          <cell r="O63" t="str">
            <v>N</v>
          </cell>
          <cell r="Q63" t="str">
            <v>161</v>
          </cell>
          <cell r="R63" t="str">
            <v>01</v>
          </cell>
          <cell r="S63" t="str">
            <v>01</v>
          </cell>
          <cell r="T63" t="str">
            <v>01</v>
          </cell>
          <cell r="X63" t="str">
            <v>30002</v>
          </cell>
          <cell r="Y63" t="str">
            <v>00161</v>
          </cell>
        </row>
        <row r="64">
          <cell r="A64" t="str">
            <v>01010062</v>
          </cell>
          <cell r="B64" t="str">
            <v>01</v>
          </cell>
          <cell r="C64" t="str">
            <v>SRI VEERABHADRA AGENCIES</v>
          </cell>
          <cell r="D64" t="str">
            <v>JAIN TEMPLE STREET</v>
          </cell>
          <cell r="G64" t="str">
            <v>ANDHRA</v>
          </cell>
          <cell r="H64" t="str">
            <v>GUDIVADA</v>
          </cell>
          <cell r="I64" t="str">
            <v>521301</v>
          </cell>
          <cell r="J64" t="str">
            <v>003</v>
          </cell>
          <cell r="K64" t="str">
            <v>APGST:1312 VJ 1-01-1</v>
          </cell>
          <cell r="L64" t="str">
            <v>N</v>
          </cell>
          <cell r="M64">
            <v>0</v>
          </cell>
          <cell r="N64" t="str">
            <v>CST: 1055 VJ 1-01-15</v>
          </cell>
          <cell r="O64" t="str">
            <v>N</v>
          </cell>
          <cell r="Q64" t="str">
            <v>162</v>
          </cell>
          <cell r="R64" t="str">
            <v>01</v>
          </cell>
          <cell r="S64" t="str">
            <v>01</v>
          </cell>
          <cell r="T64" t="str">
            <v>01</v>
          </cell>
          <cell r="U64">
            <v>0</v>
          </cell>
          <cell r="X64" t="str">
            <v>30001</v>
          </cell>
          <cell r="Y64" t="str">
            <v>00162</v>
          </cell>
        </row>
        <row r="65">
          <cell r="A65" t="str">
            <v>01010063</v>
          </cell>
          <cell r="B65" t="str">
            <v>01</v>
          </cell>
          <cell r="C65" t="str">
            <v>UDAYA BHASKARA AGENCY</v>
          </cell>
          <cell r="D65" t="str">
            <v>18-95/1 ANDHRA BANK STREET</v>
          </cell>
          <cell r="G65" t="str">
            <v>ANDHRA PRADESH</v>
          </cell>
          <cell r="H65" t="str">
            <v>NANDIGAMA</v>
          </cell>
          <cell r="I65" t="str">
            <v>521 185</v>
          </cell>
          <cell r="J65" t="str">
            <v>003</v>
          </cell>
          <cell r="K65" t="str">
            <v>APGST VJA 06-04-1316</v>
          </cell>
          <cell r="L65" t="str">
            <v>N</v>
          </cell>
          <cell r="M65">
            <v>0</v>
          </cell>
          <cell r="N65" t="str">
            <v>CST VJA 06-04-1057</v>
          </cell>
          <cell r="O65" t="str">
            <v>N</v>
          </cell>
          <cell r="Q65" t="str">
            <v>163</v>
          </cell>
          <cell r="R65" t="str">
            <v>01</v>
          </cell>
          <cell r="S65" t="str">
            <v>01</v>
          </cell>
          <cell r="T65" t="str">
            <v>01</v>
          </cell>
          <cell r="U65">
            <v>0</v>
          </cell>
          <cell r="X65" t="str">
            <v>30002</v>
          </cell>
          <cell r="Y65" t="str">
            <v>00163</v>
          </cell>
        </row>
        <row r="66">
          <cell r="A66" t="str">
            <v>01010064</v>
          </cell>
          <cell r="B66" t="str">
            <v>01</v>
          </cell>
          <cell r="C66" t="str">
            <v>SHA AGENCIES</v>
          </cell>
          <cell r="D66" t="str">
            <v>13/122-1 RAJA STREET</v>
          </cell>
          <cell r="G66" t="str">
            <v>ANDHRA</v>
          </cell>
          <cell r="H66" t="str">
            <v>GUDUR</v>
          </cell>
          <cell r="I66" t="str">
            <v>524101</v>
          </cell>
          <cell r="J66" t="str">
            <v>003</v>
          </cell>
          <cell r="K66" t="str">
            <v>APGST NRE/08/1/2703</v>
          </cell>
          <cell r="L66" t="str">
            <v>N</v>
          </cell>
          <cell r="M66">
            <v>0</v>
          </cell>
          <cell r="O66" t="str">
            <v>N</v>
          </cell>
          <cell r="Q66" t="str">
            <v>164</v>
          </cell>
          <cell r="R66" t="str">
            <v>01</v>
          </cell>
          <cell r="S66" t="str">
            <v>01</v>
          </cell>
          <cell r="T66" t="str">
            <v>01</v>
          </cell>
          <cell r="X66" t="str">
            <v>30002</v>
          </cell>
          <cell r="Y66" t="str">
            <v>00164</v>
          </cell>
        </row>
        <row r="67">
          <cell r="A67" t="str">
            <v>01010065</v>
          </cell>
          <cell r="B67" t="str">
            <v>01</v>
          </cell>
          <cell r="C67" t="str">
            <v>T.S.N.AGENCIES</v>
          </cell>
          <cell r="D67" t="str">
            <v>DOOR NO.19/77</v>
          </cell>
          <cell r="E67" t="str">
            <v>VUTUKURIVARI STREET</v>
          </cell>
          <cell r="G67" t="str">
            <v>ANDHRA</v>
          </cell>
          <cell r="H67" t="str">
            <v>CHIRALA</v>
          </cell>
          <cell r="I67" t="str">
            <v>523155</v>
          </cell>
          <cell r="J67" t="str">
            <v>003</v>
          </cell>
          <cell r="K67" t="str">
            <v>APGST NRE/01.1.1810</v>
          </cell>
          <cell r="L67" t="str">
            <v>N</v>
          </cell>
          <cell r="M67">
            <v>0</v>
          </cell>
          <cell r="N67" t="str">
            <v>CST NRE/01-1-1228/21.1.87</v>
          </cell>
          <cell r="O67" t="str">
            <v>N</v>
          </cell>
          <cell r="Q67" t="str">
            <v>165</v>
          </cell>
          <cell r="R67" t="str">
            <v>01</v>
          </cell>
          <cell r="S67" t="str">
            <v>01</v>
          </cell>
          <cell r="T67" t="str">
            <v>01</v>
          </cell>
          <cell r="X67" t="str">
            <v>30002</v>
          </cell>
          <cell r="Y67" t="str">
            <v>00165</v>
          </cell>
        </row>
        <row r="68">
          <cell r="A68" t="str">
            <v>01010066</v>
          </cell>
          <cell r="B68" t="str">
            <v>01</v>
          </cell>
          <cell r="C68" t="str">
            <v>KRISHNA SAI AGENCIES</v>
          </cell>
          <cell r="D68" t="str">
            <v>BABUJI STREET</v>
          </cell>
          <cell r="G68" t="str">
            <v>ANDHRA</v>
          </cell>
          <cell r="H68" t="str">
            <v>SULLURPET</v>
          </cell>
          <cell r="I68" t="str">
            <v>524121</v>
          </cell>
          <cell r="J68" t="str">
            <v>003</v>
          </cell>
          <cell r="K68" t="str">
            <v>APGST CNIIS/1925</v>
          </cell>
          <cell r="L68" t="str">
            <v>N</v>
          </cell>
          <cell r="M68">
            <v>0</v>
          </cell>
          <cell r="N68" t="str">
            <v>CST GNIIS/5099</v>
          </cell>
          <cell r="O68" t="str">
            <v>N</v>
          </cell>
          <cell r="Q68" t="str">
            <v>166</v>
          </cell>
          <cell r="R68" t="str">
            <v>01</v>
          </cell>
          <cell r="S68" t="str">
            <v>01</v>
          </cell>
          <cell r="T68" t="str">
            <v>01</v>
          </cell>
          <cell r="X68" t="str">
            <v>30002</v>
          </cell>
          <cell r="Y68" t="str">
            <v>00166</v>
          </cell>
        </row>
        <row r="69">
          <cell r="A69" t="str">
            <v>01010067</v>
          </cell>
          <cell r="B69" t="str">
            <v>01</v>
          </cell>
          <cell r="C69" t="str">
            <v>SRI RAJYALAKSHMI ENTERPRI</v>
          </cell>
          <cell r="D69" t="str">
            <v>5-26 MAIN ROAD</v>
          </cell>
          <cell r="E69" t="str">
            <v>KOTHAPET</v>
          </cell>
          <cell r="G69" t="str">
            <v>ANDHRA</v>
          </cell>
          <cell r="H69" t="str">
            <v>NUZVID</v>
          </cell>
          <cell r="I69" t="str">
            <v>521201</v>
          </cell>
          <cell r="J69" t="str">
            <v>003</v>
          </cell>
          <cell r="L69" t="str">
            <v>N</v>
          </cell>
          <cell r="M69">
            <v>0</v>
          </cell>
          <cell r="N69" t="str">
            <v>APGST NO:VJA/01/4/1329</v>
          </cell>
          <cell r="O69" t="str">
            <v>N</v>
          </cell>
          <cell r="Q69" t="str">
            <v>167</v>
          </cell>
          <cell r="R69" t="str">
            <v>01</v>
          </cell>
          <cell r="S69" t="str">
            <v>01</v>
          </cell>
          <cell r="T69" t="str">
            <v>01</v>
          </cell>
          <cell r="X69" t="str">
            <v>30002</v>
          </cell>
          <cell r="Y69" t="str">
            <v>00167</v>
          </cell>
        </row>
        <row r="70">
          <cell r="A70" t="str">
            <v>01010068</v>
          </cell>
          <cell r="B70" t="str">
            <v>01</v>
          </cell>
          <cell r="C70" t="str">
            <v>PADMAVATHI AGENCIES</v>
          </cell>
          <cell r="D70" t="str">
            <v>VENKATRAMA &amp; CO BUILDING</v>
          </cell>
          <cell r="E70" t="str">
            <v>MAIN ROAD</v>
          </cell>
          <cell r="G70" t="str">
            <v>ANDHRA</v>
          </cell>
          <cell r="H70" t="str">
            <v>TADEPALLIGUDEM</v>
          </cell>
          <cell r="I70" t="str">
            <v>534102</v>
          </cell>
          <cell r="J70" t="str">
            <v>003</v>
          </cell>
          <cell r="K70" t="str">
            <v>APGST ELR-02-2-1238</v>
          </cell>
          <cell r="L70" t="str">
            <v>N</v>
          </cell>
          <cell r="M70">
            <v>0</v>
          </cell>
          <cell r="N70" t="str">
            <v>CST ELR-02-2-1075/6.4.83</v>
          </cell>
          <cell r="O70" t="str">
            <v>N</v>
          </cell>
          <cell r="Q70" t="str">
            <v>168</v>
          </cell>
          <cell r="R70" t="str">
            <v>01</v>
          </cell>
          <cell r="S70" t="str">
            <v>01</v>
          </cell>
          <cell r="T70" t="str">
            <v>01</v>
          </cell>
          <cell r="X70" t="str">
            <v>30002</v>
          </cell>
          <cell r="Y70" t="str">
            <v>00168</v>
          </cell>
        </row>
        <row r="71">
          <cell r="A71" t="str">
            <v>01010069</v>
          </cell>
          <cell r="B71" t="str">
            <v>01</v>
          </cell>
          <cell r="C71" t="str">
            <v>LAKSHMI SRINIVASA TRADERS</v>
          </cell>
          <cell r="D71" t="str">
            <v>MAIN ROAD</v>
          </cell>
          <cell r="G71" t="str">
            <v>ANDHRA</v>
          </cell>
          <cell r="H71" t="str">
            <v>SATTENAPALLE</v>
          </cell>
          <cell r="I71" t="str">
            <v>522403</v>
          </cell>
          <cell r="J71" t="str">
            <v>003</v>
          </cell>
          <cell r="K71" t="str">
            <v>APGST.NRP/06/01/1480</v>
          </cell>
          <cell r="L71" t="str">
            <v>N</v>
          </cell>
          <cell r="M71">
            <v>0</v>
          </cell>
          <cell r="N71" t="str">
            <v>CST.NPR/06/1/1075</v>
          </cell>
          <cell r="O71" t="str">
            <v>N</v>
          </cell>
          <cell r="Q71" t="str">
            <v>169</v>
          </cell>
          <cell r="R71" t="str">
            <v>01</v>
          </cell>
          <cell r="S71" t="str">
            <v>01</v>
          </cell>
          <cell r="T71" t="str">
            <v>01</v>
          </cell>
          <cell r="X71" t="str">
            <v>30002</v>
          </cell>
          <cell r="Y71" t="str">
            <v>00169</v>
          </cell>
        </row>
        <row r="72">
          <cell r="A72" t="str">
            <v>01010070</v>
          </cell>
          <cell r="B72" t="str">
            <v>01</v>
          </cell>
          <cell r="C72" t="str">
            <v>MANI AGENCIES</v>
          </cell>
          <cell r="D72" t="str">
            <v>8-1-42A, TRUNK ROAD</v>
          </cell>
          <cell r="G72" t="str">
            <v>ANDHRA</v>
          </cell>
          <cell r="H72" t="str">
            <v>KAVALI</v>
          </cell>
          <cell r="I72" t="str">
            <v>524201</v>
          </cell>
          <cell r="J72" t="str">
            <v>003</v>
          </cell>
          <cell r="K72" t="str">
            <v>APGST NRE-05-1/2358</v>
          </cell>
          <cell r="L72" t="str">
            <v>N</v>
          </cell>
          <cell r="M72">
            <v>0</v>
          </cell>
          <cell r="N72" t="str">
            <v>CST NRE-05-1/1401</v>
          </cell>
          <cell r="O72" t="str">
            <v>N</v>
          </cell>
          <cell r="Q72" t="str">
            <v>170</v>
          </cell>
          <cell r="R72" t="str">
            <v>01</v>
          </cell>
          <cell r="S72" t="str">
            <v>01</v>
          </cell>
          <cell r="T72" t="str">
            <v>01</v>
          </cell>
          <cell r="X72" t="str">
            <v>30002</v>
          </cell>
          <cell r="Y72" t="str">
            <v>00170</v>
          </cell>
        </row>
        <row r="73">
          <cell r="A73" t="str">
            <v>01010071</v>
          </cell>
          <cell r="B73" t="str">
            <v>01</v>
          </cell>
          <cell r="C73" t="str">
            <v>KATHYAINI ENTERPRISES</v>
          </cell>
          <cell r="D73" t="str">
            <v>30/10/2 GANDHI NAGAR</v>
          </cell>
          <cell r="E73" t="str">
            <v>DOOR NO 10-31/1</v>
          </cell>
          <cell r="G73" t="str">
            <v>ANDHRA</v>
          </cell>
          <cell r="H73" t="str">
            <v>GAJUWAKA</v>
          </cell>
          <cell r="I73" t="str">
            <v>530026</v>
          </cell>
          <cell r="J73" t="str">
            <v>003</v>
          </cell>
          <cell r="K73" t="str">
            <v>APGST VSP-04-2-2192</v>
          </cell>
          <cell r="L73" t="str">
            <v>N</v>
          </cell>
          <cell r="M73">
            <v>0</v>
          </cell>
          <cell r="O73" t="str">
            <v>N</v>
          </cell>
          <cell r="Q73" t="str">
            <v>171</v>
          </cell>
          <cell r="R73" t="str">
            <v>01</v>
          </cell>
          <cell r="S73" t="str">
            <v>01</v>
          </cell>
          <cell r="T73" t="str">
            <v>01</v>
          </cell>
          <cell r="X73" t="str">
            <v>30002</v>
          </cell>
          <cell r="Y73" t="str">
            <v>00171</v>
          </cell>
        </row>
        <row r="74">
          <cell r="A74" t="str">
            <v>01010072</v>
          </cell>
          <cell r="B74" t="str">
            <v>01</v>
          </cell>
          <cell r="C74" t="str">
            <v>SRI PRIYA AGENCIES</v>
          </cell>
          <cell r="D74" t="str">
            <v>GANDHI BAZAAR</v>
          </cell>
          <cell r="G74" t="str">
            <v>ANDHRA</v>
          </cell>
          <cell r="H74" t="str">
            <v>RAYACHOTI-CUDDA</v>
          </cell>
          <cell r="I74" t="str">
            <v>516269</v>
          </cell>
          <cell r="J74" t="str">
            <v>003</v>
          </cell>
          <cell r="K74" t="str">
            <v>APGST:CTR/06/1/2005</v>
          </cell>
          <cell r="L74" t="str">
            <v>N</v>
          </cell>
          <cell r="M74">
            <v>0</v>
          </cell>
          <cell r="N74" t="str">
            <v>CST:CTR/06/1721DT14.05.94</v>
          </cell>
          <cell r="O74" t="str">
            <v>N</v>
          </cell>
          <cell r="Q74" t="str">
            <v>172</v>
          </cell>
          <cell r="R74" t="str">
            <v>01</v>
          </cell>
          <cell r="S74" t="str">
            <v>01</v>
          </cell>
          <cell r="T74" t="str">
            <v>01</v>
          </cell>
          <cell r="X74" t="str">
            <v>30002</v>
          </cell>
          <cell r="Y74" t="str">
            <v>00172</v>
          </cell>
        </row>
        <row r="75">
          <cell r="A75" t="str">
            <v>01010073</v>
          </cell>
          <cell r="B75" t="str">
            <v>01</v>
          </cell>
          <cell r="C75" t="str">
            <v>ANANTH AGENCIES</v>
          </cell>
          <cell r="D75" t="str">
            <v>R.NO:11 A D.NO:7-3-135</v>
          </cell>
          <cell r="E75" t="str">
            <v>KURUVAID BUILDINGS</v>
          </cell>
          <cell r="F75" t="str">
            <v>MAIN BAZZAR</v>
          </cell>
          <cell r="G75" t="str">
            <v>ANDHRA</v>
          </cell>
          <cell r="H75" t="str">
            <v>HINDUPUR</v>
          </cell>
          <cell r="I75" t="str">
            <v>515201</v>
          </cell>
          <cell r="J75" t="str">
            <v>003</v>
          </cell>
          <cell r="K75" t="str">
            <v>APGST KNL/02/4/1790</v>
          </cell>
          <cell r="L75" t="str">
            <v>N</v>
          </cell>
          <cell r="M75">
            <v>0</v>
          </cell>
          <cell r="N75" t="str">
            <v>CST KNL/02/4/1555</v>
          </cell>
          <cell r="O75" t="str">
            <v>N</v>
          </cell>
          <cell r="Q75" t="str">
            <v>173</v>
          </cell>
          <cell r="R75" t="str">
            <v>01</v>
          </cell>
          <cell r="S75" t="str">
            <v>01</v>
          </cell>
          <cell r="T75" t="str">
            <v>01</v>
          </cell>
          <cell r="X75" t="str">
            <v>30001</v>
          </cell>
          <cell r="Y75" t="str">
            <v>00173</v>
          </cell>
        </row>
        <row r="76">
          <cell r="A76" t="str">
            <v>01010074</v>
          </cell>
          <cell r="B76" t="str">
            <v>01</v>
          </cell>
          <cell r="C76" t="str">
            <v>SRI KAMESWARA AGENCIES</v>
          </cell>
          <cell r="D76" t="str">
            <v>K.T.ROAD</v>
          </cell>
          <cell r="G76" t="str">
            <v>ANDHRA</v>
          </cell>
          <cell r="H76" t="str">
            <v>KASIBUGGA</v>
          </cell>
          <cell r="I76" t="str">
            <v>532222</v>
          </cell>
          <cell r="J76" t="str">
            <v>003</v>
          </cell>
          <cell r="K76" t="str">
            <v>APGST VZM/06/01/2054</v>
          </cell>
          <cell r="L76" t="str">
            <v>N</v>
          </cell>
          <cell r="M76">
            <v>0</v>
          </cell>
          <cell r="N76" t="str">
            <v>CST VZM/06/01/1636</v>
          </cell>
          <cell r="O76" t="str">
            <v>N</v>
          </cell>
          <cell r="Q76" t="str">
            <v>174</v>
          </cell>
          <cell r="R76" t="str">
            <v>01</v>
          </cell>
          <cell r="S76" t="str">
            <v>01</v>
          </cell>
          <cell r="T76" t="str">
            <v>01</v>
          </cell>
          <cell r="X76" t="str">
            <v>30001</v>
          </cell>
          <cell r="Y76" t="str">
            <v>00174</v>
          </cell>
        </row>
        <row r="77">
          <cell r="A77" t="str">
            <v>01010075</v>
          </cell>
          <cell r="B77" t="str">
            <v>01</v>
          </cell>
          <cell r="C77" t="str">
            <v>VIJAYAKRISHNA ENTERPRISES</v>
          </cell>
          <cell r="D77" t="str">
            <v>4-166/B, CAR STREET</v>
          </cell>
          <cell r="G77" t="str">
            <v>ANDHRA</v>
          </cell>
          <cell r="H77" t="str">
            <v>MARKAPUR</v>
          </cell>
          <cell r="I77" t="str">
            <v>523316</v>
          </cell>
          <cell r="J77" t="str">
            <v>003</v>
          </cell>
          <cell r="K77" t="str">
            <v>APGST RC.NO.NRE/04-2/2339</v>
          </cell>
          <cell r="L77" t="str">
            <v>N</v>
          </cell>
          <cell r="M77">
            <v>0</v>
          </cell>
          <cell r="O77" t="str">
            <v>N</v>
          </cell>
          <cell r="Q77" t="str">
            <v>175</v>
          </cell>
          <cell r="R77" t="str">
            <v>01</v>
          </cell>
          <cell r="S77" t="str">
            <v>01</v>
          </cell>
          <cell r="T77" t="str">
            <v>01</v>
          </cell>
          <cell r="X77" t="str">
            <v>30002</v>
          </cell>
          <cell r="Y77" t="str">
            <v>00175</v>
          </cell>
        </row>
        <row r="78">
          <cell r="A78" t="str">
            <v>01010076</v>
          </cell>
          <cell r="B78" t="str">
            <v>01</v>
          </cell>
          <cell r="C78" t="str">
            <v>LAKSHMI AGENCIES</v>
          </cell>
          <cell r="D78" t="str">
            <v>OPP.RAMALAYAM</v>
          </cell>
          <cell r="E78" t="str">
            <v>MAIN BAZAAR</v>
          </cell>
          <cell r="G78" t="str">
            <v>ANDHRA</v>
          </cell>
          <cell r="H78" t="str">
            <v>MANGALGIRI</v>
          </cell>
          <cell r="I78" t="str">
            <v>522503</v>
          </cell>
          <cell r="J78" t="str">
            <v>003</v>
          </cell>
          <cell r="K78" t="str">
            <v>APGST GNT/03/3/1733.</v>
          </cell>
          <cell r="L78" t="str">
            <v>N</v>
          </cell>
          <cell r="M78">
            <v>0</v>
          </cell>
          <cell r="O78" t="str">
            <v>N</v>
          </cell>
          <cell r="Q78" t="str">
            <v>176</v>
          </cell>
          <cell r="R78" t="str">
            <v>01</v>
          </cell>
          <cell r="S78" t="str">
            <v>01</v>
          </cell>
          <cell r="T78" t="str">
            <v>01</v>
          </cell>
          <cell r="X78" t="str">
            <v>30002</v>
          </cell>
          <cell r="Y78" t="str">
            <v>00176</v>
          </cell>
        </row>
        <row r="79">
          <cell r="A79" t="str">
            <v>01010077</v>
          </cell>
          <cell r="B79" t="str">
            <v>01</v>
          </cell>
          <cell r="C79" t="str">
            <v>SRI VENKATA SATYA SAI-</v>
          </cell>
          <cell r="D79" t="str">
            <v>AGENCIES</v>
          </cell>
          <cell r="E79" t="str">
            <v>NIRMA HOUSE</v>
          </cell>
          <cell r="F79" t="str">
            <v>H-NO:1-5-41, ARAVIND NAGAR</v>
          </cell>
          <cell r="G79" t="str">
            <v>ANDHRA</v>
          </cell>
          <cell r="H79" t="str">
            <v>JAGTIAL</v>
          </cell>
          <cell r="I79" t="str">
            <v>505327</v>
          </cell>
          <cell r="J79" t="str">
            <v>003</v>
          </cell>
          <cell r="K79" t="str">
            <v>APGST ADB/05/01/2270</v>
          </cell>
          <cell r="L79" t="str">
            <v>N</v>
          </cell>
          <cell r="M79">
            <v>0</v>
          </cell>
          <cell r="N79" t="str">
            <v>CST ADB/05/01/1484/94-95</v>
          </cell>
          <cell r="O79" t="str">
            <v>N</v>
          </cell>
          <cell r="Q79" t="str">
            <v>177</v>
          </cell>
          <cell r="R79" t="str">
            <v>01</v>
          </cell>
          <cell r="S79" t="str">
            <v>01</v>
          </cell>
          <cell r="T79" t="str">
            <v>01</v>
          </cell>
          <cell r="X79" t="str">
            <v>30002</v>
          </cell>
          <cell r="Y79" t="str">
            <v>00177</v>
          </cell>
        </row>
        <row r="80">
          <cell r="A80" t="str">
            <v>01010078</v>
          </cell>
          <cell r="B80" t="str">
            <v>01</v>
          </cell>
          <cell r="C80" t="str">
            <v>REETHU TRADING COMPANY</v>
          </cell>
          <cell r="D80" t="str">
            <v>16-2-739/48/1/D2</v>
          </cell>
          <cell r="E80" t="str">
            <v>ASMANGAD. MALAKPET</v>
          </cell>
          <cell r="G80" t="str">
            <v>ANDHRA</v>
          </cell>
          <cell r="H80" t="str">
            <v>HYDERABAD</v>
          </cell>
          <cell r="I80" t="str">
            <v>500036</v>
          </cell>
          <cell r="J80" t="str">
            <v>003</v>
          </cell>
          <cell r="K80" t="str">
            <v>APGST SEC/10/1/2097/77-78</v>
          </cell>
          <cell r="L80" t="str">
            <v>N</v>
          </cell>
          <cell r="M80">
            <v>0</v>
          </cell>
          <cell r="N80" t="str">
            <v>CST SEC/10/1/1668/77-78</v>
          </cell>
          <cell r="O80" t="str">
            <v>N</v>
          </cell>
          <cell r="Q80" t="str">
            <v>178</v>
          </cell>
          <cell r="R80" t="str">
            <v>01</v>
          </cell>
          <cell r="S80" t="str">
            <v>01</v>
          </cell>
          <cell r="T80" t="str">
            <v>01</v>
          </cell>
          <cell r="X80" t="str">
            <v>30002</v>
          </cell>
          <cell r="Y80" t="str">
            <v>00178</v>
          </cell>
        </row>
        <row r="81">
          <cell r="A81" t="str">
            <v>01010079</v>
          </cell>
          <cell r="B81" t="str">
            <v>01</v>
          </cell>
          <cell r="C81" t="str">
            <v>SRI TEJESWI AGENCIES</v>
          </cell>
          <cell r="D81" t="str">
            <v>1/394-A</v>
          </cell>
          <cell r="E81" t="str">
            <v>NEAR PARK</v>
          </cell>
          <cell r="G81" t="str">
            <v>ANDHRA</v>
          </cell>
          <cell r="H81" t="str">
            <v>RAJAMPET</v>
          </cell>
          <cell r="I81" t="str">
            <v>516115</v>
          </cell>
          <cell r="J81" t="str">
            <v>003</v>
          </cell>
          <cell r="K81" t="str">
            <v>APGST CTR/06/2/2094</v>
          </cell>
          <cell r="L81" t="str">
            <v>N</v>
          </cell>
          <cell r="M81">
            <v>0</v>
          </cell>
          <cell r="N81" t="str">
            <v>CST CTR/06/2/1471</v>
          </cell>
          <cell r="O81" t="str">
            <v>N</v>
          </cell>
          <cell r="Q81" t="str">
            <v>179</v>
          </cell>
          <cell r="R81" t="str">
            <v>01</v>
          </cell>
          <cell r="S81" t="str">
            <v>01</v>
          </cell>
          <cell r="T81" t="str">
            <v>01</v>
          </cell>
          <cell r="X81" t="str">
            <v>30002</v>
          </cell>
          <cell r="Y81" t="str">
            <v>00179</v>
          </cell>
        </row>
        <row r="82">
          <cell r="A82" t="str">
            <v>01010080</v>
          </cell>
          <cell r="B82" t="str">
            <v>01</v>
          </cell>
          <cell r="C82" t="str">
            <v>REDDY AGENCIES</v>
          </cell>
          <cell r="D82" t="str">
            <v>11-117, COLLEGE ROAD</v>
          </cell>
          <cell r="G82" t="str">
            <v>ANDHRA</v>
          </cell>
          <cell r="H82" t="str">
            <v>SHADNAGAR</v>
          </cell>
          <cell r="I82" t="str">
            <v>509216</v>
          </cell>
          <cell r="J82" t="str">
            <v>003</v>
          </cell>
          <cell r="K82" t="str">
            <v>APGST NLG/06/01/1690</v>
          </cell>
          <cell r="L82" t="str">
            <v>N</v>
          </cell>
          <cell r="M82">
            <v>0</v>
          </cell>
          <cell r="O82" t="str">
            <v>N</v>
          </cell>
          <cell r="Q82" t="str">
            <v>180</v>
          </cell>
          <cell r="R82" t="str">
            <v>01</v>
          </cell>
          <cell r="S82" t="str">
            <v>01</v>
          </cell>
          <cell r="T82" t="str">
            <v>01</v>
          </cell>
          <cell r="X82" t="str">
            <v>30002</v>
          </cell>
          <cell r="Y82" t="str">
            <v>00180</v>
          </cell>
        </row>
        <row r="83">
          <cell r="A83" t="str">
            <v>01010081</v>
          </cell>
          <cell r="B83" t="str">
            <v>01</v>
          </cell>
          <cell r="C83" t="str">
            <v>BEJUGAM RAJESHWAR</v>
          </cell>
          <cell r="D83" t="str">
            <v>GENERAL MERCHANTS</v>
          </cell>
          <cell r="E83" t="str">
            <v>BHAVANI MANDIR ROAD</v>
          </cell>
          <cell r="G83" t="str">
            <v>ANDHRA</v>
          </cell>
          <cell r="H83" t="str">
            <v>ZAHEERABAD</v>
          </cell>
          <cell r="I83" t="str">
            <v>502220</v>
          </cell>
          <cell r="J83" t="str">
            <v>003</v>
          </cell>
          <cell r="K83" t="str">
            <v>APGST NZB/07/06/1326</v>
          </cell>
          <cell r="L83" t="str">
            <v>N</v>
          </cell>
          <cell r="M83">
            <v>0</v>
          </cell>
          <cell r="N83" t="str">
            <v>CST NZB/07/06/1060</v>
          </cell>
          <cell r="O83" t="str">
            <v>N</v>
          </cell>
          <cell r="Q83" t="str">
            <v>181</v>
          </cell>
          <cell r="R83" t="str">
            <v>01</v>
          </cell>
          <cell r="S83" t="str">
            <v>01</v>
          </cell>
          <cell r="T83" t="str">
            <v>01</v>
          </cell>
          <cell r="X83" t="str">
            <v>30002</v>
          </cell>
          <cell r="Y83" t="str">
            <v>00181</v>
          </cell>
        </row>
        <row r="84">
          <cell r="A84" t="str">
            <v>01010082</v>
          </cell>
          <cell r="B84" t="str">
            <v>01</v>
          </cell>
          <cell r="C84" t="str">
            <v>PINNU SOMANATH TRADERS</v>
          </cell>
          <cell r="D84" t="str">
            <v>5/25, MAIN BAZAAR</v>
          </cell>
          <cell r="G84" t="str">
            <v>ANDHRA</v>
          </cell>
          <cell r="H84" t="str">
            <v>DHARMAVARAM</v>
          </cell>
          <cell r="I84" t="str">
            <v>515671</v>
          </cell>
          <cell r="J84" t="str">
            <v>003</v>
          </cell>
          <cell r="K84" t="str">
            <v>APGST KNL/13/1/1047</v>
          </cell>
          <cell r="L84" t="str">
            <v>N</v>
          </cell>
          <cell r="M84">
            <v>0</v>
          </cell>
          <cell r="N84" t="str">
            <v>CST KNL/13/1/1033</v>
          </cell>
          <cell r="O84" t="str">
            <v>N</v>
          </cell>
          <cell r="Q84" t="str">
            <v>182</v>
          </cell>
          <cell r="R84" t="str">
            <v>01</v>
          </cell>
          <cell r="S84" t="str">
            <v>01</v>
          </cell>
          <cell r="T84" t="str">
            <v>01</v>
          </cell>
          <cell r="U84">
            <v>0</v>
          </cell>
          <cell r="X84" t="str">
            <v>30002</v>
          </cell>
          <cell r="Y84" t="str">
            <v>00182</v>
          </cell>
        </row>
        <row r="85">
          <cell r="A85" t="str">
            <v>01010083</v>
          </cell>
          <cell r="B85" t="str">
            <v>01</v>
          </cell>
          <cell r="C85" t="str">
            <v>SUVARNA AGENCIES</v>
          </cell>
          <cell r="D85" t="str">
            <v>D.NO:10-15-4</v>
          </cell>
          <cell r="E85" t="str">
            <v>K K LAYOUT</v>
          </cell>
          <cell r="G85" t="str">
            <v>ANDHRA</v>
          </cell>
          <cell r="H85" t="str">
            <v>TIRUPATHI</v>
          </cell>
          <cell r="I85" t="str">
            <v>517 501</v>
          </cell>
          <cell r="J85" t="str">
            <v>003</v>
          </cell>
          <cell r="K85" t="str">
            <v>APGST CTR/02/2/4104</v>
          </cell>
          <cell r="L85" t="str">
            <v>N</v>
          </cell>
          <cell r="M85">
            <v>0</v>
          </cell>
          <cell r="N85" t="str">
            <v>CST CTR/02/2/2752</v>
          </cell>
          <cell r="O85" t="str">
            <v>N</v>
          </cell>
          <cell r="Q85" t="str">
            <v>183</v>
          </cell>
          <cell r="R85" t="str">
            <v>01</v>
          </cell>
          <cell r="S85" t="str">
            <v>01</v>
          </cell>
          <cell r="T85" t="str">
            <v>01</v>
          </cell>
          <cell r="U85">
            <v>0</v>
          </cell>
          <cell r="X85" t="str">
            <v>30002</v>
          </cell>
          <cell r="Y85" t="str">
            <v>00183</v>
          </cell>
        </row>
        <row r="86">
          <cell r="A86" t="str">
            <v>01010084</v>
          </cell>
          <cell r="B86" t="str">
            <v>01</v>
          </cell>
          <cell r="C86" t="str">
            <v>NEW MODERN STORES</v>
          </cell>
          <cell r="D86" t="str">
            <v>H.NO.9-3-125, MOHINPURA</v>
          </cell>
          <cell r="E86" t="str">
            <v>SBH"X" ROAD</v>
          </cell>
          <cell r="G86" t="str">
            <v>ANDHRA</v>
          </cell>
          <cell r="H86" t="str">
            <v>SIDDIPET</v>
          </cell>
          <cell r="I86" t="str">
            <v>502103</v>
          </cell>
          <cell r="J86" t="str">
            <v>003</v>
          </cell>
          <cell r="K86" t="str">
            <v>APGST NZB/06/1/2346/93-94</v>
          </cell>
          <cell r="L86" t="str">
            <v>N</v>
          </cell>
          <cell r="M86">
            <v>0</v>
          </cell>
          <cell r="N86" t="str">
            <v>CST NZB/06/1/1672/93-94</v>
          </cell>
          <cell r="O86" t="str">
            <v>N</v>
          </cell>
          <cell r="Q86" t="str">
            <v>184</v>
          </cell>
          <cell r="R86" t="str">
            <v>01</v>
          </cell>
          <cell r="S86" t="str">
            <v>01</v>
          </cell>
          <cell r="T86" t="str">
            <v>01</v>
          </cell>
          <cell r="X86" t="str">
            <v>30002</v>
          </cell>
          <cell r="Y86" t="str">
            <v>00184</v>
          </cell>
        </row>
        <row r="87">
          <cell r="A87" t="str">
            <v>01010085</v>
          </cell>
          <cell r="B87" t="str">
            <v>01</v>
          </cell>
          <cell r="C87" t="str">
            <v>SRI SATYANARAYANA AGENCIE</v>
          </cell>
          <cell r="D87" t="str">
            <v>POST OFFICE ROAD</v>
          </cell>
          <cell r="G87" t="str">
            <v>ANDHRA</v>
          </cell>
          <cell r="H87" t="str">
            <v>BHADRACHALAM</v>
          </cell>
          <cell r="I87" t="str">
            <v>507111</v>
          </cell>
          <cell r="J87" t="str">
            <v>003</v>
          </cell>
          <cell r="K87" t="str">
            <v>APGST WGL/09/3/1684</v>
          </cell>
          <cell r="L87" t="str">
            <v>N</v>
          </cell>
          <cell r="M87">
            <v>0</v>
          </cell>
          <cell r="O87" t="str">
            <v>N</v>
          </cell>
          <cell r="Q87" t="str">
            <v>185</v>
          </cell>
          <cell r="R87" t="str">
            <v>01</v>
          </cell>
          <cell r="S87" t="str">
            <v>01</v>
          </cell>
          <cell r="T87" t="str">
            <v>01</v>
          </cell>
          <cell r="X87" t="str">
            <v>30002</v>
          </cell>
          <cell r="Y87" t="str">
            <v>00185</v>
          </cell>
        </row>
        <row r="88">
          <cell r="A88" t="str">
            <v>01010086</v>
          </cell>
          <cell r="B88" t="str">
            <v>01</v>
          </cell>
          <cell r="C88" t="str">
            <v>SWATHI AGENCIES</v>
          </cell>
          <cell r="D88" t="str">
            <v>16-9-2[1]</v>
          </cell>
          <cell r="E88" t="str">
            <v>Opp.ANNPURNA THEATRE LADIES</v>
          </cell>
          <cell r="F88" t="str">
            <v>GATE</v>
          </cell>
          <cell r="G88" t="str">
            <v>ANDHRA</v>
          </cell>
          <cell r="H88" t="str">
            <v>BHIMAVARAM[W.G]</v>
          </cell>
          <cell r="I88" t="str">
            <v>534 201</v>
          </cell>
          <cell r="J88" t="str">
            <v>003</v>
          </cell>
          <cell r="K88" t="str">
            <v>GST ELR/07/02/2524</v>
          </cell>
          <cell r="L88" t="str">
            <v>N</v>
          </cell>
          <cell r="M88">
            <v>0</v>
          </cell>
          <cell r="O88" t="str">
            <v>N</v>
          </cell>
          <cell r="Q88" t="str">
            <v>186</v>
          </cell>
          <cell r="R88" t="str">
            <v>01</v>
          </cell>
          <cell r="S88" t="str">
            <v>01</v>
          </cell>
          <cell r="T88" t="str">
            <v>01</v>
          </cell>
          <cell r="U88">
            <v>0</v>
          </cell>
          <cell r="X88" t="str">
            <v>30001</v>
          </cell>
          <cell r="Y88" t="str">
            <v>00186</v>
          </cell>
        </row>
        <row r="89">
          <cell r="A89" t="str">
            <v>01010087</v>
          </cell>
          <cell r="B89" t="str">
            <v>01</v>
          </cell>
          <cell r="C89" t="str">
            <v>SAI KRISHNA ENTERPRISES</v>
          </cell>
          <cell r="D89" t="str">
            <v>D.NO.3-1-5/1 BANK STREET</v>
          </cell>
          <cell r="G89" t="str">
            <v>ANDHRA</v>
          </cell>
          <cell r="H89" t="str">
            <v>NAYUDUPET</v>
          </cell>
          <cell r="I89" t="str">
            <v>524126</v>
          </cell>
          <cell r="J89" t="str">
            <v>003</v>
          </cell>
          <cell r="K89" t="str">
            <v>APGST NRE 08/3/2119</v>
          </cell>
          <cell r="L89" t="str">
            <v>N</v>
          </cell>
          <cell r="M89">
            <v>0</v>
          </cell>
          <cell r="O89" t="str">
            <v>N</v>
          </cell>
          <cell r="Q89" t="str">
            <v>187</v>
          </cell>
          <cell r="R89" t="str">
            <v>01</v>
          </cell>
          <cell r="S89" t="str">
            <v>01</v>
          </cell>
          <cell r="T89" t="str">
            <v>01</v>
          </cell>
          <cell r="X89" t="str">
            <v>30002</v>
          </cell>
          <cell r="Y89" t="str">
            <v>00187</v>
          </cell>
        </row>
        <row r="90">
          <cell r="A90" t="str">
            <v>01010088</v>
          </cell>
          <cell r="B90" t="str">
            <v>01</v>
          </cell>
          <cell r="C90" t="str">
            <v>PEARL AGENCIES</v>
          </cell>
          <cell r="D90" t="str">
            <v>6-45,HOSPITAL ROAD</v>
          </cell>
          <cell r="G90" t="str">
            <v>ANDHRA</v>
          </cell>
          <cell r="H90" t="str">
            <v>RAJAM</v>
          </cell>
          <cell r="I90" t="str">
            <v>532127</v>
          </cell>
          <cell r="J90" t="str">
            <v>003</v>
          </cell>
          <cell r="K90" t="str">
            <v>APGST 07/1/1923 VZM</v>
          </cell>
          <cell r="L90" t="str">
            <v>N</v>
          </cell>
          <cell r="M90">
            <v>0</v>
          </cell>
          <cell r="N90" t="str">
            <v>CST 07/1/3666 VZM</v>
          </cell>
          <cell r="O90" t="str">
            <v>N</v>
          </cell>
          <cell r="Q90" t="str">
            <v>188</v>
          </cell>
          <cell r="R90" t="str">
            <v>01</v>
          </cell>
          <cell r="S90" t="str">
            <v>01</v>
          </cell>
          <cell r="T90" t="str">
            <v>01</v>
          </cell>
          <cell r="X90" t="str">
            <v>30002</v>
          </cell>
          <cell r="Y90" t="str">
            <v>00188</v>
          </cell>
        </row>
        <row r="91">
          <cell r="A91" t="str">
            <v>01010089</v>
          </cell>
          <cell r="B91" t="str">
            <v>01</v>
          </cell>
          <cell r="C91" t="str">
            <v>S.M.R.AGENCIES</v>
          </cell>
          <cell r="D91" t="str">
            <v>MAIN ROAD</v>
          </cell>
          <cell r="G91" t="str">
            <v>ANDHRA</v>
          </cell>
          <cell r="H91" t="str">
            <v>GARIVIDI</v>
          </cell>
          <cell r="I91" t="str">
            <v>535101</v>
          </cell>
          <cell r="J91" t="str">
            <v>003</v>
          </cell>
          <cell r="K91" t="str">
            <v>APGST VZM/08-3/1810</v>
          </cell>
          <cell r="L91" t="str">
            <v>N</v>
          </cell>
          <cell r="M91">
            <v>0</v>
          </cell>
          <cell r="O91" t="str">
            <v>N</v>
          </cell>
          <cell r="Q91" t="str">
            <v>189</v>
          </cell>
          <cell r="R91" t="str">
            <v>01</v>
          </cell>
          <cell r="S91" t="str">
            <v>01</v>
          </cell>
          <cell r="T91" t="str">
            <v>01</v>
          </cell>
          <cell r="U91">
            <v>0</v>
          </cell>
          <cell r="X91" t="str">
            <v>30002</v>
          </cell>
          <cell r="Y91" t="str">
            <v>00189</v>
          </cell>
        </row>
        <row r="92">
          <cell r="A92" t="str">
            <v>01010090</v>
          </cell>
          <cell r="B92" t="str">
            <v>01</v>
          </cell>
          <cell r="C92" t="str">
            <v>VARANASI EASWARA RAO &amp; CO</v>
          </cell>
          <cell r="D92" t="str">
            <v>33-29, MAIN ROAD</v>
          </cell>
          <cell r="G92" t="str">
            <v>ANDHRA</v>
          </cell>
          <cell r="H92" t="str">
            <v>BOBBILI</v>
          </cell>
          <cell r="I92" t="str">
            <v>532573</v>
          </cell>
          <cell r="J92" t="str">
            <v>003</v>
          </cell>
          <cell r="K92" t="str">
            <v>APGST 03-2 1241 VZM</v>
          </cell>
          <cell r="L92" t="str">
            <v>N</v>
          </cell>
          <cell r="M92">
            <v>0</v>
          </cell>
          <cell r="N92" t="str">
            <v>CST 03-2 1056 VZM</v>
          </cell>
          <cell r="O92" t="str">
            <v>N</v>
          </cell>
          <cell r="Q92" t="str">
            <v>190</v>
          </cell>
          <cell r="R92" t="str">
            <v>01</v>
          </cell>
          <cell r="S92" t="str">
            <v>01</v>
          </cell>
          <cell r="T92" t="str">
            <v>01</v>
          </cell>
          <cell r="U92">
            <v>0</v>
          </cell>
          <cell r="X92" t="str">
            <v>30002</v>
          </cell>
          <cell r="Y92" t="str">
            <v>00190</v>
          </cell>
        </row>
        <row r="93">
          <cell r="A93" t="str">
            <v>01010091</v>
          </cell>
          <cell r="B93" t="str">
            <v>01</v>
          </cell>
          <cell r="C93" t="str">
            <v>HARIKA ENTERPRISES</v>
          </cell>
          <cell r="D93" t="str">
            <v>MAIN ROAD</v>
          </cell>
          <cell r="G93" t="str">
            <v>ANDHRA</v>
          </cell>
          <cell r="H93" t="str">
            <v>SALUR (VZM DT.,</v>
          </cell>
          <cell r="I93" t="str">
            <v>535591</v>
          </cell>
          <cell r="J93" t="str">
            <v>003</v>
          </cell>
          <cell r="L93" t="str">
            <v>N</v>
          </cell>
          <cell r="M93">
            <v>0</v>
          </cell>
          <cell r="N93" t="str">
            <v>APGST VZM/03/3/1948/96-97</v>
          </cell>
          <cell r="O93" t="str">
            <v>N</v>
          </cell>
          <cell r="Q93" t="str">
            <v>191</v>
          </cell>
          <cell r="R93" t="str">
            <v>01</v>
          </cell>
          <cell r="S93" t="str">
            <v>01</v>
          </cell>
          <cell r="T93" t="str">
            <v>01</v>
          </cell>
          <cell r="U93">
            <v>0</v>
          </cell>
          <cell r="X93" t="str">
            <v>30002</v>
          </cell>
          <cell r="Y93" t="str">
            <v>00191</v>
          </cell>
        </row>
        <row r="94">
          <cell r="A94" t="str">
            <v>01010092</v>
          </cell>
          <cell r="B94" t="str">
            <v>01</v>
          </cell>
          <cell r="C94" t="str">
            <v>C&amp;F AGENT    (HYDER)</v>
          </cell>
          <cell r="D94" t="str">
            <v>10-1-99/5&amp;6LINGOJIGUDA VILLAGE</v>
          </cell>
          <cell r="E94" t="str">
            <v>SARRORNAGAR MANDAL,L.B NAGAR</v>
          </cell>
          <cell r="F94" t="str">
            <v>MUNICIPALITY (R.R.DIST)</v>
          </cell>
          <cell r="G94" t="str">
            <v>ANDHRA</v>
          </cell>
          <cell r="H94" t="str">
            <v>HYDERABAD</v>
          </cell>
          <cell r="I94" t="str">
            <v>500001</v>
          </cell>
          <cell r="J94" t="str">
            <v>003</v>
          </cell>
          <cell r="K94" t="str">
            <v>APGST:ABS/07/1/1404</v>
          </cell>
          <cell r="L94" t="str">
            <v>N</v>
          </cell>
          <cell r="M94">
            <v>0</v>
          </cell>
          <cell r="N94" t="str">
            <v>CST:ABS/07/1/1294</v>
          </cell>
          <cell r="O94" t="str">
            <v>N</v>
          </cell>
          <cell r="Q94" t="str">
            <v>827</v>
          </cell>
          <cell r="R94" t="str">
            <v>01</v>
          </cell>
          <cell r="S94" t="str">
            <v>01</v>
          </cell>
          <cell r="T94" t="str">
            <v>01</v>
          </cell>
          <cell r="U94">
            <v>0</v>
          </cell>
          <cell r="X94" t="str">
            <v>30001</v>
          </cell>
          <cell r="Y94" t="str">
            <v>00827</v>
          </cell>
        </row>
        <row r="95">
          <cell r="A95" t="str">
            <v>01010093</v>
          </cell>
          <cell r="B95" t="str">
            <v>01</v>
          </cell>
          <cell r="C95" t="str">
            <v>SRI SAI GANESH GIFTS&amp;G.A</v>
          </cell>
          <cell r="D95" t="str">
            <v>SHOP NO 8</v>
          </cell>
          <cell r="E95" t="str">
            <v>S.K.P.S COMPLEX</v>
          </cell>
          <cell r="G95" t="str">
            <v>ANDHRA PRADESH</v>
          </cell>
          <cell r="H95" t="str">
            <v>BAPTLA</v>
          </cell>
          <cell r="I95" t="str">
            <v>522 101</v>
          </cell>
          <cell r="J95" t="str">
            <v>003</v>
          </cell>
          <cell r="K95" t="str">
            <v>APGST:GNT/06/03/1867</v>
          </cell>
          <cell r="L95" t="str">
            <v>N</v>
          </cell>
          <cell r="M95">
            <v>0</v>
          </cell>
          <cell r="N95" t="str">
            <v>CST:1169 DT:09.03.1994</v>
          </cell>
          <cell r="O95" t="str">
            <v>N</v>
          </cell>
          <cell r="Q95" t="str">
            <v>482</v>
          </cell>
          <cell r="R95" t="str">
            <v>01</v>
          </cell>
          <cell r="S95" t="str">
            <v>01</v>
          </cell>
          <cell r="T95" t="str">
            <v>01</v>
          </cell>
          <cell r="U95">
            <v>0</v>
          </cell>
          <cell r="X95" t="str">
            <v>30002</v>
          </cell>
          <cell r="Y95" t="str">
            <v>00482</v>
          </cell>
        </row>
        <row r="96">
          <cell r="A96" t="str">
            <v>01010094</v>
          </cell>
          <cell r="B96" t="str">
            <v>01</v>
          </cell>
          <cell r="C96" t="str">
            <v>KRISTAM G.MURTHY S &amp;SONS</v>
          </cell>
          <cell r="D96" t="str">
            <v>MUNDY MERCHANT</v>
          </cell>
          <cell r="G96" t="str">
            <v>ANDHRA</v>
          </cell>
          <cell r="H96" t="str">
            <v>DHARMAVARAM</v>
          </cell>
          <cell r="I96" t="str">
            <v>515 671</v>
          </cell>
          <cell r="J96" t="str">
            <v>003</v>
          </cell>
          <cell r="K96" t="str">
            <v>APGST:KNL/01/3/1650</v>
          </cell>
          <cell r="L96" t="str">
            <v>N</v>
          </cell>
          <cell r="M96">
            <v>0</v>
          </cell>
          <cell r="N96" t="str">
            <v>CST:KNL/01/3/1391</v>
          </cell>
          <cell r="O96" t="str">
            <v>N</v>
          </cell>
          <cell r="Q96" t="str">
            <v>182</v>
          </cell>
          <cell r="R96" t="str">
            <v>01</v>
          </cell>
          <cell r="S96" t="str">
            <v>01</v>
          </cell>
          <cell r="T96" t="str">
            <v>01</v>
          </cell>
          <cell r="U96">
            <v>0</v>
          </cell>
          <cell r="X96" t="str">
            <v>30002</v>
          </cell>
          <cell r="Y96" t="str">
            <v>00182</v>
          </cell>
        </row>
        <row r="97">
          <cell r="A97" t="str">
            <v>01010095</v>
          </cell>
          <cell r="B97" t="str">
            <v>01</v>
          </cell>
          <cell r="C97" t="str">
            <v>GEETHA AGENCIES</v>
          </cell>
          <cell r="D97" t="str">
            <v>2-6-5, RAPOLLA TEMPLE STREET</v>
          </cell>
          <cell r="F97" t="str">
            <v>NALGONDA DIST.</v>
          </cell>
          <cell r="G97" t="str">
            <v>ANDHRA</v>
          </cell>
          <cell r="H97" t="str">
            <v>SURYAPET</v>
          </cell>
          <cell r="I97" t="str">
            <v>508 213</v>
          </cell>
          <cell r="J97" t="str">
            <v>003</v>
          </cell>
          <cell r="K97" t="str">
            <v>NLG/03/1/2237/96-97</v>
          </cell>
          <cell r="L97" t="str">
            <v>N</v>
          </cell>
          <cell r="M97">
            <v>0</v>
          </cell>
          <cell r="N97" t="str">
            <v>NLG/03/1/1397/96-97</v>
          </cell>
          <cell r="O97" t="str">
            <v>N</v>
          </cell>
          <cell r="Q97" t="str">
            <v>483</v>
          </cell>
          <cell r="R97" t="str">
            <v>01</v>
          </cell>
          <cell r="S97" t="str">
            <v>01</v>
          </cell>
          <cell r="T97" t="str">
            <v>01</v>
          </cell>
          <cell r="U97">
            <v>0</v>
          </cell>
          <cell r="X97" t="str">
            <v>30002</v>
          </cell>
          <cell r="Y97" t="str">
            <v>00483</v>
          </cell>
        </row>
        <row r="98">
          <cell r="A98" t="str">
            <v>01010096</v>
          </cell>
          <cell r="B98" t="str">
            <v>01</v>
          </cell>
          <cell r="C98" t="str">
            <v>DOGIPATHY AGENCIES</v>
          </cell>
          <cell r="D98" t="str">
            <v>MAIN BAZAAR</v>
          </cell>
          <cell r="F98" t="str">
            <v>VINUKONDA [Guntur Dt.]</v>
          </cell>
          <cell r="G98" t="str">
            <v>ANDHRA PRADESH</v>
          </cell>
          <cell r="H98" t="str">
            <v>VINUKONDA</v>
          </cell>
          <cell r="I98" t="str">
            <v>522 647</v>
          </cell>
          <cell r="J98" t="str">
            <v>003</v>
          </cell>
          <cell r="K98" t="str">
            <v>GST:NRP/08/02/1682</v>
          </cell>
          <cell r="L98" t="str">
            <v>N</v>
          </cell>
          <cell r="M98">
            <v>0</v>
          </cell>
          <cell r="N98" t="str">
            <v>CST:NRP/08/2/1145</v>
          </cell>
          <cell r="O98" t="str">
            <v>N</v>
          </cell>
          <cell r="Q98" t="str">
            <v>493</v>
          </cell>
          <cell r="R98" t="str">
            <v>01</v>
          </cell>
          <cell r="S98" t="str">
            <v>01</v>
          </cell>
          <cell r="T98" t="str">
            <v>01</v>
          </cell>
          <cell r="U98">
            <v>0</v>
          </cell>
          <cell r="X98" t="str">
            <v>30002</v>
          </cell>
          <cell r="Y98" t="str">
            <v>00493</v>
          </cell>
        </row>
        <row r="99">
          <cell r="A99" t="str">
            <v>01010097</v>
          </cell>
          <cell r="B99" t="str">
            <v>01</v>
          </cell>
          <cell r="C99" t="str">
            <v>LAXMISRI AGENCIES</v>
          </cell>
          <cell r="D99" t="str">
            <v>3-5-272 AZMATHPURA</v>
          </cell>
          <cell r="G99" t="str">
            <v>ANDHRA PRADESH</v>
          </cell>
          <cell r="H99" t="str">
            <v>KARIMNAGAR</v>
          </cell>
          <cell r="I99" t="str">
            <v>505 001</v>
          </cell>
          <cell r="J99" t="str">
            <v>003</v>
          </cell>
          <cell r="K99" t="str">
            <v>KRM/01/1/4078/99-2000</v>
          </cell>
          <cell r="L99" t="str">
            <v>N</v>
          </cell>
          <cell r="M99">
            <v>0</v>
          </cell>
          <cell r="O99" t="str">
            <v>N</v>
          </cell>
          <cell r="Q99" t="str">
            <v>501</v>
          </cell>
          <cell r="R99" t="str">
            <v>01</v>
          </cell>
          <cell r="S99" t="str">
            <v>01</v>
          </cell>
          <cell r="T99" t="str">
            <v>01</v>
          </cell>
          <cell r="U99">
            <v>0</v>
          </cell>
          <cell r="X99" t="str">
            <v>30002</v>
          </cell>
          <cell r="Y99" t="str">
            <v>00501</v>
          </cell>
        </row>
        <row r="100">
          <cell r="A100" t="str">
            <v>01010098</v>
          </cell>
          <cell r="B100" t="str">
            <v>01</v>
          </cell>
          <cell r="C100" t="str">
            <v>HIMAGIRI AGENCIES</v>
          </cell>
          <cell r="D100" t="str">
            <v>H.NO.9-5 DODRAJ BAZAAR</v>
          </cell>
          <cell r="G100" t="str">
            <v>ANDHRA PRADESH</v>
          </cell>
          <cell r="H100" t="str">
            <v>KODAD[Nalgonda]</v>
          </cell>
          <cell r="I100" t="str">
            <v>508 206</v>
          </cell>
          <cell r="J100" t="str">
            <v>003</v>
          </cell>
          <cell r="K100" t="str">
            <v>NLG/08/01/2076</v>
          </cell>
          <cell r="L100" t="str">
            <v>N</v>
          </cell>
          <cell r="M100">
            <v>0</v>
          </cell>
          <cell r="O100" t="str">
            <v>N</v>
          </cell>
          <cell r="Q100" t="str">
            <v>502</v>
          </cell>
          <cell r="R100" t="str">
            <v>01</v>
          </cell>
          <cell r="S100" t="str">
            <v>01</v>
          </cell>
          <cell r="T100" t="str">
            <v>01</v>
          </cell>
          <cell r="U100">
            <v>0</v>
          </cell>
          <cell r="X100" t="str">
            <v>30002</v>
          </cell>
          <cell r="Y100" t="str">
            <v>00502</v>
          </cell>
        </row>
        <row r="101">
          <cell r="A101" t="str">
            <v>01010099</v>
          </cell>
          <cell r="B101" t="str">
            <v>01</v>
          </cell>
          <cell r="C101" t="str">
            <v>SRI SATYA SAI ENTERPRISE</v>
          </cell>
          <cell r="D101" t="str">
            <v>D.NO:40-1-6/7</v>
          </cell>
          <cell r="E101" t="str">
            <v>[Near Mogalrajpuram Bus Stop]</v>
          </cell>
          <cell r="F101" t="str">
            <v>LABBIPET,BUNDER ROAD</v>
          </cell>
          <cell r="G101" t="str">
            <v>ANDHRA PRADESH</v>
          </cell>
          <cell r="H101" t="str">
            <v>VIJAYAWADA</v>
          </cell>
          <cell r="I101" t="str">
            <v>520 010</v>
          </cell>
          <cell r="J101" t="str">
            <v>003</v>
          </cell>
          <cell r="K101" t="str">
            <v>VJ2-08-2/1887/23.3</v>
          </cell>
          <cell r="L101" t="str">
            <v>N</v>
          </cell>
          <cell r="M101">
            <v>0</v>
          </cell>
          <cell r="N101" t="str">
            <v>VJ2-08-2/1593/23.2</v>
          </cell>
          <cell r="O101" t="str">
            <v>N</v>
          </cell>
          <cell r="Q101" t="str">
            <v>503</v>
          </cell>
          <cell r="R101" t="str">
            <v>01</v>
          </cell>
          <cell r="S101" t="str">
            <v>01</v>
          </cell>
          <cell r="T101" t="str">
            <v>01</v>
          </cell>
          <cell r="U101">
            <v>0</v>
          </cell>
          <cell r="X101" t="str">
            <v>30002</v>
          </cell>
          <cell r="Y101" t="str">
            <v>00503</v>
          </cell>
        </row>
        <row r="102">
          <cell r="A102" t="str">
            <v>01010100</v>
          </cell>
          <cell r="B102" t="str">
            <v>01</v>
          </cell>
          <cell r="C102" t="str">
            <v>APARNA ENTERPRISES</v>
          </cell>
          <cell r="D102" t="str">
            <v>Ground Floor</v>
          </cell>
          <cell r="E102" t="str">
            <v>Pallavi Residency</v>
          </cell>
          <cell r="F102" t="str">
            <v>Dno 58-15-56/12 Santhi Nagar</v>
          </cell>
          <cell r="G102" t="str">
            <v>ANDHRAPRADESH</v>
          </cell>
          <cell r="H102" t="str">
            <v>VISAKAPATNAM</v>
          </cell>
          <cell r="I102" t="str">
            <v>530 009</v>
          </cell>
          <cell r="J102" t="str">
            <v>003</v>
          </cell>
          <cell r="K102" t="str">
            <v>VSP-06-04/1944/2</v>
          </cell>
          <cell r="L102" t="str">
            <v>N</v>
          </cell>
          <cell r="M102">
            <v>0</v>
          </cell>
          <cell r="O102" t="str">
            <v>N</v>
          </cell>
          <cell r="Q102" t="str">
            <v>512</v>
          </cell>
          <cell r="R102" t="str">
            <v>01</v>
          </cell>
          <cell r="S102" t="str">
            <v>01</v>
          </cell>
          <cell r="T102" t="str">
            <v>01</v>
          </cell>
          <cell r="U102">
            <v>0</v>
          </cell>
          <cell r="X102" t="str">
            <v>30002</v>
          </cell>
          <cell r="Y102" t="str">
            <v>00512</v>
          </cell>
        </row>
        <row r="103">
          <cell r="A103" t="str">
            <v>01010101</v>
          </cell>
          <cell r="B103" t="str">
            <v>01</v>
          </cell>
          <cell r="C103" t="str">
            <v>NEW MODERN STORES</v>
          </cell>
          <cell r="D103" t="str">
            <v>1-6-50/A,CHAMAN ROAD</v>
          </cell>
          <cell r="G103" t="str">
            <v>ANDHRAPRADESH</v>
          </cell>
          <cell r="H103" t="str">
            <v>MEDAK</v>
          </cell>
          <cell r="I103" t="str">
            <v>502 110</v>
          </cell>
          <cell r="J103" t="str">
            <v>003</v>
          </cell>
          <cell r="K103" t="str">
            <v>NZB/05/1/2480/93-94</v>
          </cell>
          <cell r="L103" t="str">
            <v>N</v>
          </cell>
          <cell r="M103">
            <v>0</v>
          </cell>
          <cell r="O103" t="str">
            <v>N</v>
          </cell>
          <cell r="Q103" t="str">
            <v>513</v>
          </cell>
          <cell r="R103" t="str">
            <v>01</v>
          </cell>
          <cell r="S103" t="str">
            <v>01</v>
          </cell>
          <cell r="T103" t="str">
            <v>01</v>
          </cell>
          <cell r="U103">
            <v>0</v>
          </cell>
          <cell r="X103" t="str">
            <v>30002</v>
          </cell>
          <cell r="Y103" t="str">
            <v>00513</v>
          </cell>
        </row>
        <row r="104">
          <cell r="A104" t="str">
            <v>01010102</v>
          </cell>
          <cell r="B104" t="str">
            <v>01</v>
          </cell>
          <cell r="C104" t="str">
            <v>SRI SAI RAM DISTRIBUTORS</v>
          </cell>
          <cell r="D104" t="str">
            <v>H.NO:1-6-147/1</v>
          </cell>
          <cell r="E104" t="str">
            <v>BESIDE OPCO GODAN</v>
          </cell>
          <cell r="F104" t="str">
            <v>STATION ROAD</v>
          </cell>
          <cell r="G104" t="str">
            <v>ANDHRA PRADESH</v>
          </cell>
          <cell r="H104" t="str">
            <v>MAHABUBNAGAR</v>
          </cell>
          <cell r="I104" t="str">
            <v>509 001</v>
          </cell>
          <cell r="J104" t="str">
            <v>003</v>
          </cell>
          <cell r="K104" t="str">
            <v>NLG/05/1/1697/95-96</v>
          </cell>
          <cell r="L104" t="str">
            <v>N</v>
          </cell>
          <cell r="M104">
            <v>0</v>
          </cell>
          <cell r="O104" t="str">
            <v>N</v>
          </cell>
          <cell r="Q104" t="str">
            <v>515</v>
          </cell>
          <cell r="R104" t="str">
            <v>01</v>
          </cell>
          <cell r="S104" t="str">
            <v>01</v>
          </cell>
          <cell r="T104" t="str">
            <v>01</v>
          </cell>
          <cell r="U104">
            <v>0</v>
          </cell>
          <cell r="X104" t="str">
            <v>30002</v>
          </cell>
          <cell r="Y104" t="str">
            <v>00515</v>
          </cell>
        </row>
        <row r="105">
          <cell r="A105" t="str">
            <v>01010103</v>
          </cell>
          <cell r="B105" t="str">
            <v>01</v>
          </cell>
          <cell r="C105" t="str">
            <v>J.K.AGENCIES</v>
          </cell>
          <cell r="D105" t="str">
            <v>H.NO.2-3-56/1</v>
          </cell>
          <cell r="E105" t="str">
            <v>RAJA VEDDHI</v>
          </cell>
          <cell r="G105" t="str">
            <v>ANDHRA PRADESH</v>
          </cell>
          <cell r="H105" t="str">
            <v>GODWAL</v>
          </cell>
          <cell r="I105" t="str">
            <v>509 125</v>
          </cell>
          <cell r="J105" t="str">
            <v>003</v>
          </cell>
          <cell r="K105" t="str">
            <v>NLG/07/1/2046/97-98</v>
          </cell>
          <cell r="L105" t="str">
            <v>N</v>
          </cell>
          <cell r="M105">
            <v>0</v>
          </cell>
          <cell r="O105" t="str">
            <v>N</v>
          </cell>
          <cell r="Q105" t="str">
            <v>516</v>
          </cell>
          <cell r="R105" t="str">
            <v>01</v>
          </cell>
          <cell r="S105" t="str">
            <v>01</v>
          </cell>
          <cell r="T105" t="str">
            <v>01</v>
          </cell>
          <cell r="U105">
            <v>0</v>
          </cell>
          <cell r="X105" t="str">
            <v>30002</v>
          </cell>
          <cell r="Y105" t="str">
            <v>00516</v>
          </cell>
        </row>
        <row r="106">
          <cell r="A106" t="str">
            <v>01010104</v>
          </cell>
          <cell r="B106" t="str">
            <v>01</v>
          </cell>
          <cell r="C106" t="str">
            <v>SAPTHAGIRI AGENCIES</v>
          </cell>
          <cell r="D106" t="str">
            <v>SHOP NO:4 &amp; 5</v>
          </cell>
          <cell r="E106" t="str">
            <v>NEW RAILWAY GOODSHED ROAD</v>
          </cell>
          <cell r="F106" t="str">
            <v>MOOSAPET</v>
          </cell>
          <cell r="G106" t="str">
            <v>ANDHRA PRADESH</v>
          </cell>
          <cell r="H106" t="str">
            <v>HYDERABAD</v>
          </cell>
          <cell r="I106" t="str">
            <v>500 018</v>
          </cell>
          <cell r="J106" t="str">
            <v>003</v>
          </cell>
          <cell r="K106" t="str">
            <v>PJT/01/1/2295</v>
          </cell>
          <cell r="L106" t="str">
            <v>N</v>
          </cell>
          <cell r="M106">
            <v>0</v>
          </cell>
          <cell r="O106" t="str">
            <v>N</v>
          </cell>
          <cell r="Q106" t="str">
            <v>518</v>
          </cell>
          <cell r="R106" t="str">
            <v>01</v>
          </cell>
          <cell r="S106" t="str">
            <v>01</v>
          </cell>
          <cell r="T106" t="str">
            <v>01</v>
          </cell>
          <cell r="U106">
            <v>0</v>
          </cell>
          <cell r="X106" t="str">
            <v>30002</v>
          </cell>
          <cell r="Y106" t="str">
            <v>00518</v>
          </cell>
        </row>
        <row r="107">
          <cell r="A107" t="str">
            <v>01010105</v>
          </cell>
          <cell r="B107" t="str">
            <v>01</v>
          </cell>
          <cell r="C107" t="str">
            <v>SRI VENKATESWARA ENTERPRI</v>
          </cell>
          <cell r="D107" t="str">
            <v>1-7-1226</v>
          </cell>
          <cell r="E107" t="str">
            <v>ADVOCATES COLONY</v>
          </cell>
          <cell r="G107" t="str">
            <v>ANDHRA PRADESH</v>
          </cell>
          <cell r="H107" t="str">
            <v>HANAMKONDA</v>
          </cell>
          <cell r="I107" t="str">
            <v>506 001</v>
          </cell>
          <cell r="J107" t="str">
            <v>003</v>
          </cell>
          <cell r="K107" t="str">
            <v>WGL/04/3/2446</v>
          </cell>
          <cell r="L107" t="str">
            <v>N</v>
          </cell>
          <cell r="M107">
            <v>0</v>
          </cell>
          <cell r="O107" t="str">
            <v>N</v>
          </cell>
          <cell r="Q107" t="str">
            <v>520</v>
          </cell>
          <cell r="R107" t="str">
            <v>01</v>
          </cell>
          <cell r="S107" t="str">
            <v>01</v>
          </cell>
          <cell r="T107" t="str">
            <v>01</v>
          </cell>
          <cell r="U107">
            <v>0</v>
          </cell>
          <cell r="X107" t="str">
            <v>30002</v>
          </cell>
          <cell r="Y107" t="str">
            <v>00520</v>
          </cell>
        </row>
        <row r="108">
          <cell r="A108" t="str">
            <v>01010106</v>
          </cell>
          <cell r="B108" t="str">
            <v>01</v>
          </cell>
          <cell r="C108" t="str">
            <v>NIRMAL TRADERS</v>
          </cell>
          <cell r="D108" t="str">
            <v>NEW BUS STAND</v>
          </cell>
          <cell r="F108" t="str">
            <v>NIRMAL [ADILABAD DIST.]</v>
          </cell>
          <cell r="G108" t="str">
            <v>ANDHRA PRADESH</v>
          </cell>
          <cell r="H108" t="str">
            <v>NIRMAL</v>
          </cell>
          <cell r="I108" t="str">
            <v>504 106</v>
          </cell>
          <cell r="J108" t="str">
            <v>003</v>
          </cell>
          <cell r="K108" t="str">
            <v>ADB/02/1/1677</v>
          </cell>
          <cell r="L108" t="str">
            <v>N</v>
          </cell>
          <cell r="M108">
            <v>0</v>
          </cell>
          <cell r="O108" t="str">
            <v>N</v>
          </cell>
          <cell r="Q108" t="str">
            <v>521</v>
          </cell>
          <cell r="R108" t="str">
            <v>01</v>
          </cell>
          <cell r="S108" t="str">
            <v>01</v>
          </cell>
          <cell r="T108" t="str">
            <v>01</v>
          </cell>
          <cell r="U108">
            <v>0</v>
          </cell>
          <cell r="X108" t="str">
            <v>30002</v>
          </cell>
          <cell r="Y108" t="str">
            <v>00521</v>
          </cell>
        </row>
        <row r="109">
          <cell r="A109" t="str">
            <v>01010107</v>
          </cell>
          <cell r="B109" t="str">
            <v>01</v>
          </cell>
          <cell r="C109" t="str">
            <v>SRI SAI SANTHOSH GENERAL</v>
          </cell>
          <cell r="D109" t="str">
            <v>STORES</v>
          </cell>
          <cell r="E109" t="str">
            <v>MAIN BAZAAR</v>
          </cell>
          <cell r="F109" t="str">
            <v>[GUNTUR DIST.]</v>
          </cell>
          <cell r="G109" t="str">
            <v>ANDHRA PRADESH</v>
          </cell>
          <cell r="H109" t="str">
            <v>MANGALAGIRI</v>
          </cell>
          <cell r="I109" t="str">
            <v>522 503</v>
          </cell>
          <cell r="J109" t="str">
            <v>003</v>
          </cell>
          <cell r="K109" t="str">
            <v>GNT/08/1/1883/97-98</v>
          </cell>
          <cell r="L109" t="str">
            <v>N</v>
          </cell>
          <cell r="M109">
            <v>0</v>
          </cell>
          <cell r="O109" t="str">
            <v>N</v>
          </cell>
          <cell r="Q109" t="str">
            <v>525</v>
          </cell>
          <cell r="R109" t="str">
            <v>01</v>
          </cell>
          <cell r="S109" t="str">
            <v>01</v>
          </cell>
          <cell r="T109" t="str">
            <v>01</v>
          </cell>
          <cell r="U109">
            <v>0</v>
          </cell>
          <cell r="X109" t="str">
            <v>30002</v>
          </cell>
          <cell r="Y109" t="str">
            <v>00525</v>
          </cell>
        </row>
        <row r="110">
          <cell r="A110" t="str">
            <v>01010108</v>
          </cell>
          <cell r="B110" t="str">
            <v>01</v>
          </cell>
          <cell r="C110" t="str">
            <v>VEGUNTA AGENCIES</v>
          </cell>
          <cell r="D110" t="str">
            <v>SHOP NO:10 &amp; 11</v>
          </cell>
          <cell r="E110" t="str">
            <v>D R COMPLEX</v>
          </cell>
          <cell r="F110" t="str">
            <v>MAIN BAZAAR</v>
          </cell>
          <cell r="G110" t="str">
            <v>ANDHRA PRADESH</v>
          </cell>
          <cell r="H110" t="str">
            <v>ELURU</v>
          </cell>
          <cell r="I110" t="str">
            <v>534 001</v>
          </cell>
          <cell r="J110" t="str">
            <v>003</v>
          </cell>
          <cell r="K110" t="str">
            <v>ELR/01/1/2505</v>
          </cell>
          <cell r="L110" t="str">
            <v>N</v>
          </cell>
          <cell r="M110">
            <v>0</v>
          </cell>
          <cell r="O110" t="str">
            <v>N</v>
          </cell>
          <cell r="Q110" t="str">
            <v>135</v>
          </cell>
          <cell r="R110" t="str">
            <v>01</v>
          </cell>
          <cell r="S110" t="str">
            <v>01</v>
          </cell>
          <cell r="T110" t="str">
            <v>01</v>
          </cell>
          <cell r="U110">
            <v>0</v>
          </cell>
          <cell r="X110" t="str">
            <v>30002</v>
          </cell>
          <cell r="Y110" t="str">
            <v>00135</v>
          </cell>
        </row>
        <row r="111">
          <cell r="A111" t="str">
            <v>01010109</v>
          </cell>
          <cell r="B111" t="str">
            <v>01</v>
          </cell>
          <cell r="C111" t="str">
            <v>SRI PANDURANGA KIRANA &amp;</v>
          </cell>
          <cell r="D111" t="str">
            <v>GENERAL STORES</v>
          </cell>
          <cell r="E111" t="str">
            <v>H.NO: 5-118</v>
          </cell>
          <cell r="F111" t="str">
            <v>OLD GUNJ</v>
          </cell>
          <cell r="G111" t="str">
            <v>ANDHRA PRADESH</v>
          </cell>
          <cell r="H111" t="str">
            <v>VIKARABAD</v>
          </cell>
          <cell r="I111" t="str">
            <v>501 101</v>
          </cell>
          <cell r="J111" t="str">
            <v>003</v>
          </cell>
          <cell r="K111" t="str">
            <v>HYR/02/2/1614</v>
          </cell>
          <cell r="L111" t="str">
            <v>N</v>
          </cell>
          <cell r="M111">
            <v>0</v>
          </cell>
          <cell r="O111" t="str">
            <v>N</v>
          </cell>
          <cell r="Q111" t="str">
            <v>526</v>
          </cell>
          <cell r="R111" t="str">
            <v>01</v>
          </cell>
          <cell r="S111" t="str">
            <v>01</v>
          </cell>
          <cell r="T111" t="str">
            <v>01</v>
          </cell>
          <cell r="U111">
            <v>0</v>
          </cell>
          <cell r="X111" t="str">
            <v>30001</v>
          </cell>
          <cell r="Y111" t="str">
            <v>00526</v>
          </cell>
        </row>
        <row r="112">
          <cell r="A112" t="str">
            <v>01010110</v>
          </cell>
          <cell r="B112" t="str">
            <v>01</v>
          </cell>
          <cell r="C112" t="str">
            <v>SRI SAI SANTOSHI AGENCIES</v>
          </cell>
          <cell r="D112" t="str">
            <v>2-1-31/2 &amp; 3</v>
          </cell>
          <cell r="E112" t="str">
            <v>OLD BEET BAZAR</v>
          </cell>
          <cell r="F112" t="str">
            <v>[Warangal Dist]</v>
          </cell>
          <cell r="G112" t="str">
            <v>ANDHRA PRADESH</v>
          </cell>
          <cell r="H112" t="str">
            <v>JANGAON</v>
          </cell>
          <cell r="I112" t="str">
            <v>506 167</v>
          </cell>
          <cell r="J112" t="str">
            <v>003</v>
          </cell>
          <cell r="K112" t="str">
            <v>WGL/04/4/1797/98-99</v>
          </cell>
          <cell r="L112" t="str">
            <v>N</v>
          </cell>
          <cell r="M112">
            <v>0</v>
          </cell>
          <cell r="O112" t="str">
            <v>N</v>
          </cell>
          <cell r="Q112" t="str">
            <v>527</v>
          </cell>
          <cell r="R112" t="str">
            <v>01</v>
          </cell>
          <cell r="S112" t="str">
            <v>01</v>
          </cell>
          <cell r="T112" t="str">
            <v>01</v>
          </cell>
          <cell r="U112">
            <v>0</v>
          </cell>
          <cell r="X112" t="str">
            <v>30001</v>
          </cell>
          <cell r="Y112" t="str">
            <v>00527</v>
          </cell>
        </row>
        <row r="113">
          <cell r="A113" t="str">
            <v>01010111</v>
          </cell>
          <cell r="B113" t="str">
            <v>01</v>
          </cell>
          <cell r="C113" t="str">
            <v>SHANKAR ENTERPRISES</v>
          </cell>
          <cell r="D113" t="str">
            <v>H.NO.2-2-9,</v>
          </cell>
          <cell r="E113" t="str">
            <v>R.T.C.BUS STAND ROAD</v>
          </cell>
          <cell r="G113" t="str">
            <v>ANDHRA</v>
          </cell>
          <cell r="H113" t="str">
            <v>MAHABUBABAD</v>
          </cell>
          <cell r="I113" t="str">
            <v>506 101</v>
          </cell>
          <cell r="J113" t="str">
            <v>003</v>
          </cell>
          <cell r="K113" t="str">
            <v>GST:WGL/05-01/1921</v>
          </cell>
          <cell r="L113" t="str">
            <v>N</v>
          </cell>
          <cell r="M113">
            <v>0</v>
          </cell>
          <cell r="O113" t="str">
            <v>N</v>
          </cell>
          <cell r="Q113" t="str">
            <v>530</v>
          </cell>
          <cell r="R113" t="str">
            <v>01</v>
          </cell>
          <cell r="S113" t="str">
            <v>01</v>
          </cell>
          <cell r="T113" t="str">
            <v>01</v>
          </cell>
          <cell r="U113">
            <v>0</v>
          </cell>
          <cell r="X113" t="str">
            <v>30002</v>
          </cell>
          <cell r="Y113" t="str">
            <v>00530</v>
          </cell>
        </row>
        <row r="114">
          <cell r="A114" t="str">
            <v>01010112</v>
          </cell>
          <cell r="B114" t="str">
            <v>01</v>
          </cell>
          <cell r="C114" t="str">
            <v>J K DISTRIBUTORS</v>
          </cell>
          <cell r="D114" t="str">
            <v>Shop No 2-3-56/1</v>
          </cell>
          <cell r="E114" t="str">
            <v>Raja Veedhi</v>
          </cell>
          <cell r="G114" t="str">
            <v>Andhra Pradesh</v>
          </cell>
          <cell r="H114" t="str">
            <v>Gadwal</v>
          </cell>
          <cell r="I114" t="str">
            <v>509 125</v>
          </cell>
          <cell r="J114" t="str">
            <v>003</v>
          </cell>
          <cell r="K114" t="str">
            <v>APGST NLG/07/1/2046</v>
          </cell>
          <cell r="L114" t="str">
            <v>N</v>
          </cell>
          <cell r="M114">
            <v>0</v>
          </cell>
          <cell r="O114" t="str">
            <v>N</v>
          </cell>
          <cell r="Q114" t="str">
            <v>516</v>
          </cell>
          <cell r="R114" t="str">
            <v>01</v>
          </cell>
          <cell r="S114" t="str">
            <v>01</v>
          </cell>
          <cell r="T114" t="str">
            <v>01</v>
          </cell>
          <cell r="U114">
            <v>0</v>
          </cell>
          <cell r="X114" t="str">
            <v>30002</v>
          </cell>
          <cell r="Y114" t="str">
            <v>00516</v>
          </cell>
        </row>
        <row r="115">
          <cell r="A115" t="str">
            <v>01010113</v>
          </cell>
          <cell r="B115" t="str">
            <v>01</v>
          </cell>
          <cell r="C115" t="str">
            <v>MARAM RAMACHANDRAIAH &amp;SON</v>
          </cell>
          <cell r="D115" t="str">
            <v>13-78 MUNDY BAZAR</v>
          </cell>
          <cell r="G115" t="str">
            <v>ANDHRA PRADESH</v>
          </cell>
          <cell r="H115" t="str">
            <v>KURNOOL</v>
          </cell>
          <cell r="I115" t="str">
            <v>518 001</v>
          </cell>
          <cell r="J115" t="str">
            <v>003</v>
          </cell>
          <cell r="K115" t="str">
            <v>APGST: KNL/10/2/1169</v>
          </cell>
          <cell r="L115" t="str">
            <v>N</v>
          </cell>
          <cell r="M115">
            <v>0</v>
          </cell>
          <cell r="N115" t="str">
            <v>CST: KNL/10/2/1095</v>
          </cell>
          <cell r="O115" t="str">
            <v>N</v>
          </cell>
          <cell r="Q115" t="str">
            <v>133</v>
          </cell>
          <cell r="R115" t="str">
            <v>01</v>
          </cell>
          <cell r="S115" t="str">
            <v>01</v>
          </cell>
          <cell r="T115" t="str">
            <v>01</v>
          </cell>
          <cell r="U115">
            <v>0</v>
          </cell>
          <cell r="X115" t="str">
            <v>30001</v>
          </cell>
          <cell r="Y115" t="str">
            <v>00133</v>
          </cell>
        </row>
        <row r="116">
          <cell r="A116" t="str">
            <v>01010114</v>
          </cell>
          <cell r="B116" t="str">
            <v>01</v>
          </cell>
          <cell r="C116" t="str">
            <v>GOPIKRISHNA AGENCIES</v>
          </cell>
          <cell r="D116" t="str">
            <v>Room No. 11-A 7-3-135</v>
          </cell>
          <cell r="E116" t="str">
            <v>KURUVADI BUILDINGS</v>
          </cell>
          <cell r="F116" t="str">
            <v>MAIN BAZAR</v>
          </cell>
          <cell r="G116" t="str">
            <v>ANDHRA PRADESH</v>
          </cell>
          <cell r="H116" t="str">
            <v>HINDUPUR</v>
          </cell>
          <cell r="I116" t="str">
            <v>515 201</v>
          </cell>
          <cell r="J116" t="str">
            <v>003</v>
          </cell>
          <cell r="K116" t="str">
            <v>APGST: KNL/02/01/2112</v>
          </cell>
          <cell r="L116" t="str">
            <v>N</v>
          </cell>
          <cell r="M116">
            <v>0</v>
          </cell>
          <cell r="O116" t="str">
            <v>N</v>
          </cell>
          <cell r="Q116" t="str">
            <v>173</v>
          </cell>
          <cell r="R116" t="str">
            <v>01</v>
          </cell>
          <cell r="S116" t="str">
            <v>01</v>
          </cell>
          <cell r="T116" t="str">
            <v>01</v>
          </cell>
          <cell r="U116">
            <v>0</v>
          </cell>
          <cell r="X116" t="str">
            <v>30002</v>
          </cell>
          <cell r="Y116" t="str">
            <v>00173</v>
          </cell>
        </row>
        <row r="117">
          <cell r="A117" t="str">
            <v>01010115</v>
          </cell>
          <cell r="B117" t="str">
            <v>01</v>
          </cell>
          <cell r="C117" t="str">
            <v>T L J &amp; CO</v>
          </cell>
          <cell r="D117" t="str">
            <v>6-2-119</v>
          </cell>
          <cell r="E117" t="str">
            <v>KAKAJI COLONY</v>
          </cell>
          <cell r="G117" t="str">
            <v>ANDHRA PRADESH</v>
          </cell>
          <cell r="H117" t="str">
            <v>HANAMKONDA</v>
          </cell>
          <cell r="I117" t="str">
            <v>506 001</v>
          </cell>
          <cell r="J117" t="str">
            <v>003</v>
          </cell>
          <cell r="K117" t="str">
            <v>WGL/04/03/2170/96-97</v>
          </cell>
          <cell r="L117" t="str">
            <v>N</v>
          </cell>
          <cell r="M117">
            <v>0</v>
          </cell>
          <cell r="O117" t="str">
            <v>N</v>
          </cell>
          <cell r="Q117" t="str">
            <v>520</v>
          </cell>
          <cell r="R117" t="str">
            <v>01</v>
          </cell>
          <cell r="S117" t="str">
            <v>01</v>
          </cell>
          <cell r="T117" t="str">
            <v>01</v>
          </cell>
          <cell r="U117">
            <v>0</v>
          </cell>
          <cell r="X117" t="str">
            <v>30002</v>
          </cell>
          <cell r="Y117" t="str">
            <v>00520</v>
          </cell>
        </row>
        <row r="118">
          <cell r="A118" t="str">
            <v>01010116</v>
          </cell>
          <cell r="B118" t="str">
            <v>01</v>
          </cell>
          <cell r="C118" t="str">
            <v>J V G CORPORATION</v>
          </cell>
          <cell r="D118" t="str">
            <v>105 SWAPNA LOK COMPLEX</v>
          </cell>
          <cell r="E118" t="str">
            <v>S D ROAD</v>
          </cell>
          <cell r="G118" t="str">
            <v>ANDHRA PRADESH</v>
          </cell>
          <cell r="H118" t="str">
            <v>SECUNDERABAD</v>
          </cell>
          <cell r="I118" t="str">
            <v>500 003</v>
          </cell>
          <cell r="J118" t="str">
            <v>003</v>
          </cell>
          <cell r="K118" t="str">
            <v>SEC/09/02/3041/96-97</v>
          </cell>
          <cell r="L118" t="str">
            <v>N</v>
          </cell>
          <cell r="M118">
            <v>0</v>
          </cell>
          <cell r="N118" t="str">
            <v>SEC/09/02/2656/96-97</v>
          </cell>
          <cell r="O118" t="str">
            <v>N</v>
          </cell>
          <cell r="Q118" t="str">
            <v>101</v>
          </cell>
          <cell r="R118" t="str">
            <v>01</v>
          </cell>
          <cell r="S118" t="str">
            <v>01</v>
          </cell>
          <cell r="T118" t="str">
            <v>01</v>
          </cell>
          <cell r="U118">
            <v>0</v>
          </cell>
          <cell r="X118" t="str">
            <v>30002</v>
          </cell>
          <cell r="Y118" t="str">
            <v>00101</v>
          </cell>
        </row>
        <row r="119">
          <cell r="A119" t="str">
            <v>01010117</v>
          </cell>
          <cell r="B119" t="str">
            <v>01</v>
          </cell>
          <cell r="C119" t="str">
            <v>SRI GOWRI ENTERPRISES</v>
          </cell>
          <cell r="D119" t="str">
            <v>MAIN ROAD</v>
          </cell>
          <cell r="E119" t="str">
            <v>SRIKAKULAM DIST</v>
          </cell>
          <cell r="G119" t="str">
            <v>ANDHRA PRADESH</v>
          </cell>
          <cell r="H119" t="str">
            <v>TEKKALI</v>
          </cell>
          <cell r="I119" t="str">
            <v>532 201</v>
          </cell>
          <cell r="J119" t="str">
            <v>003</v>
          </cell>
          <cell r="K119" t="str">
            <v>VZM/05/2/2001/A</v>
          </cell>
          <cell r="L119" t="str">
            <v>N</v>
          </cell>
          <cell r="M119">
            <v>0</v>
          </cell>
          <cell r="O119" t="str">
            <v>N</v>
          </cell>
          <cell r="Q119" t="str">
            <v>153</v>
          </cell>
          <cell r="R119" t="str">
            <v>01</v>
          </cell>
          <cell r="S119" t="str">
            <v>01</v>
          </cell>
          <cell r="T119" t="str">
            <v>01</v>
          </cell>
          <cell r="U119">
            <v>0</v>
          </cell>
          <cell r="X119" t="str">
            <v>30002</v>
          </cell>
          <cell r="Y119" t="str">
            <v>00153</v>
          </cell>
        </row>
        <row r="120">
          <cell r="A120" t="str">
            <v>01010118</v>
          </cell>
          <cell r="B120" t="str">
            <v>01</v>
          </cell>
          <cell r="C120" t="str">
            <v>S L ENTERPRISES</v>
          </cell>
          <cell r="D120" t="str">
            <v>HNO 6-99/13 IIUDA COLONY</v>
          </cell>
          <cell r="E120" t="str">
            <v>CHANDHA NAGAR</v>
          </cell>
          <cell r="G120" t="str">
            <v>ANDHRA PRADESH</v>
          </cell>
          <cell r="H120" t="str">
            <v>HYDERABAD</v>
          </cell>
          <cell r="I120" t="str">
            <v>500 050</v>
          </cell>
          <cell r="J120" t="str">
            <v>003</v>
          </cell>
          <cell r="K120" t="str">
            <v>HYR/02/3/3159/98-99</v>
          </cell>
          <cell r="L120" t="str">
            <v>N</v>
          </cell>
          <cell r="M120">
            <v>0</v>
          </cell>
          <cell r="O120" t="str">
            <v>N</v>
          </cell>
          <cell r="Q120" t="str">
            <v>124</v>
          </cell>
          <cell r="R120" t="str">
            <v>01</v>
          </cell>
          <cell r="S120" t="str">
            <v>01</v>
          </cell>
          <cell r="T120" t="str">
            <v>01</v>
          </cell>
          <cell r="U120">
            <v>0</v>
          </cell>
          <cell r="X120" t="str">
            <v>30002</v>
          </cell>
          <cell r="Y120" t="str">
            <v>00124</v>
          </cell>
        </row>
        <row r="121">
          <cell r="A121" t="str">
            <v>11010000</v>
          </cell>
          <cell r="B121" t="str">
            <v>01</v>
          </cell>
          <cell r="C121" t="str">
            <v>C&amp;F AGENT    (BANGALORE)</v>
          </cell>
          <cell r="D121" t="str">
            <v>49/1,BANASANKARI II STAGE</v>
          </cell>
          <cell r="E121" t="str">
            <v>29TH CROSS</v>
          </cell>
          <cell r="F121" t="str">
            <v>9TH MAIN RAOD</v>
          </cell>
          <cell r="G121" t="str">
            <v>KARNATAKA</v>
          </cell>
          <cell r="H121" t="str">
            <v>BANGALORE</v>
          </cell>
          <cell r="I121" t="str">
            <v>560 070</v>
          </cell>
          <cell r="J121" t="str">
            <v>003</v>
          </cell>
          <cell r="K121" t="str">
            <v>KST:0040145-6</v>
          </cell>
          <cell r="L121" t="str">
            <v>N</v>
          </cell>
          <cell r="M121">
            <v>0</v>
          </cell>
          <cell r="N121" t="str">
            <v>CST:0045145-9</v>
          </cell>
          <cell r="O121" t="str">
            <v>N</v>
          </cell>
          <cell r="Q121" t="str">
            <v>803</v>
          </cell>
          <cell r="R121" t="str">
            <v>01</v>
          </cell>
          <cell r="S121" t="str">
            <v>01</v>
          </cell>
          <cell r="T121" t="str">
            <v>11</v>
          </cell>
          <cell r="U121">
            <v>0</v>
          </cell>
          <cell r="X121" t="str">
            <v>30001</v>
          </cell>
          <cell r="Y121" t="str">
            <v>00803</v>
          </cell>
        </row>
        <row r="122">
          <cell r="A122" t="str">
            <v>11010002</v>
          </cell>
          <cell r="B122" t="str">
            <v>01</v>
          </cell>
          <cell r="C122" t="str">
            <v>R.S.KANDUKUR</v>
          </cell>
          <cell r="D122" t="str">
            <v>P.B.NO.9</v>
          </cell>
          <cell r="E122" t="str">
            <v>M G ROAD</v>
          </cell>
          <cell r="G122" t="str">
            <v>KARNATAKA</v>
          </cell>
          <cell r="H122" t="str">
            <v>BAGALKOT</v>
          </cell>
          <cell r="I122" t="str">
            <v>587101</v>
          </cell>
          <cell r="J122" t="str">
            <v>003</v>
          </cell>
          <cell r="K122" t="str">
            <v>KST 5320177-2</v>
          </cell>
          <cell r="L122" t="str">
            <v>N</v>
          </cell>
          <cell r="M122">
            <v>0</v>
          </cell>
          <cell r="N122" t="str">
            <v>CST 5325177-5</v>
          </cell>
          <cell r="O122" t="str">
            <v>N</v>
          </cell>
          <cell r="Q122" t="str">
            <v>236</v>
          </cell>
          <cell r="R122" t="str">
            <v>01</v>
          </cell>
          <cell r="S122" t="str">
            <v>01</v>
          </cell>
          <cell r="T122" t="str">
            <v>11</v>
          </cell>
          <cell r="X122" t="str">
            <v>30001</v>
          </cell>
          <cell r="Y122" t="str">
            <v>00236</v>
          </cell>
        </row>
        <row r="123">
          <cell r="A123" t="str">
            <v>11010003</v>
          </cell>
          <cell r="B123" t="str">
            <v>01</v>
          </cell>
          <cell r="C123" t="str">
            <v>H.RAMACHANDRAPPA SETTY &amp;</v>
          </cell>
          <cell r="D123" t="str">
            <v>SONS</v>
          </cell>
          <cell r="E123" t="str">
            <v>JUMMA MOSQUE STREET</v>
          </cell>
          <cell r="G123" t="str">
            <v>KARNATAKA</v>
          </cell>
          <cell r="H123" t="str">
            <v>BELLARY</v>
          </cell>
          <cell r="I123" t="str">
            <v>583101</v>
          </cell>
          <cell r="J123" t="str">
            <v>003</v>
          </cell>
          <cell r="K123" t="str">
            <v>KGST  8270114-3</v>
          </cell>
          <cell r="L123" t="str">
            <v>N</v>
          </cell>
          <cell r="M123">
            <v>0</v>
          </cell>
          <cell r="N123" t="str">
            <v>CST  8275114-6</v>
          </cell>
          <cell r="O123" t="str">
            <v>N</v>
          </cell>
          <cell r="Q123" t="str">
            <v>237</v>
          </cell>
          <cell r="R123" t="str">
            <v>01</v>
          </cell>
          <cell r="S123" t="str">
            <v>01</v>
          </cell>
          <cell r="T123" t="str">
            <v>11</v>
          </cell>
          <cell r="X123" t="str">
            <v>30001</v>
          </cell>
          <cell r="Y123" t="str">
            <v>00237</v>
          </cell>
        </row>
        <row r="124">
          <cell r="A124" t="str">
            <v>11010004</v>
          </cell>
          <cell r="B124" t="str">
            <v>01</v>
          </cell>
          <cell r="C124" t="str">
            <v>G K SAMANT</v>
          </cell>
          <cell r="D124" t="str">
            <v>1440, KALMATH ROAD</v>
          </cell>
          <cell r="G124" t="str">
            <v>KARNATAKA</v>
          </cell>
          <cell r="H124" t="str">
            <v>BELGAUM</v>
          </cell>
          <cell r="I124" t="str">
            <v>590002</v>
          </cell>
          <cell r="J124" t="str">
            <v>003</v>
          </cell>
          <cell r="K124" t="str">
            <v>KGST 5030146-9</v>
          </cell>
          <cell r="L124" t="str">
            <v>N</v>
          </cell>
          <cell r="M124">
            <v>0</v>
          </cell>
          <cell r="N124" t="str">
            <v>CST  5035146-1</v>
          </cell>
          <cell r="O124" t="str">
            <v>N</v>
          </cell>
          <cell r="Q124" t="str">
            <v>238</v>
          </cell>
          <cell r="R124" t="str">
            <v>01</v>
          </cell>
          <cell r="S124" t="str">
            <v>01</v>
          </cell>
          <cell r="T124" t="str">
            <v>11</v>
          </cell>
          <cell r="X124" t="str">
            <v>30001</v>
          </cell>
          <cell r="Y124" t="str">
            <v>00238</v>
          </cell>
        </row>
        <row r="125">
          <cell r="A125" t="str">
            <v>11010005</v>
          </cell>
          <cell r="B125" t="str">
            <v>01</v>
          </cell>
          <cell r="C125" t="str">
            <v>K VAMAN GANPAYYA SHANBHAG</v>
          </cell>
          <cell r="D125" t="str">
            <v>&amp; SONS</v>
          </cell>
          <cell r="E125" t="str">
            <v>MAIN ROAD</v>
          </cell>
          <cell r="G125" t="str">
            <v>KARNATAKA</v>
          </cell>
          <cell r="H125" t="str">
            <v>BHATKAL</v>
          </cell>
          <cell r="J125" t="str">
            <v>003</v>
          </cell>
          <cell r="K125" t="str">
            <v>KST  4330789-9-R</v>
          </cell>
          <cell r="L125" t="str">
            <v>N</v>
          </cell>
          <cell r="M125">
            <v>0</v>
          </cell>
          <cell r="N125" t="str">
            <v>CST  4335789-1-R</v>
          </cell>
          <cell r="O125" t="str">
            <v>N</v>
          </cell>
          <cell r="Q125" t="str">
            <v>239</v>
          </cell>
          <cell r="R125" t="str">
            <v>01</v>
          </cell>
          <cell r="S125" t="str">
            <v>01</v>
          </cell>
          <cell r="T125" t="str">
            <v>11</v>
          </cell>
          <cell r="X125" t="str">
            <v>30001</v>
          </cell>
          <cell r="Y125" t="str">
            <v>00239</v>
          </cell>
        </row>
        <row r="126">
          <cell r="A126" t="str">
            <v>11010006</v>
          </cell>
          <cell r="B126" t="str">
            <v>01</v>
          </cell>
          <cell r="C126" t="str">
            <v>SRI GURURAJ AGENCIES</v>
          </cell>
          <cell r="D126" t="str">
            <v>SINDOL SHOPPING COMPLEX</v>
          </cell>
          <cell r="E126" t="str">
            <v>NEAR RAILWAY STATION</v>
          </cell>
          <cell r="G126" t="str">
            <v>KARNATAKA</v>
          </cell>
          <cell r="H126" t="str">
            <v>BIDAR</v>
          </cell>
          <cell r="I126" t="str">
            <v>585401</v>
          </cell>
          <cell r="J126" t="str">
            <v>003</v>
          </cell>
          <cell r="K126" t="str">
            <v>KST :63522135/07.11.96</v>
          </cell>
          <cell r="L126" t="str">
            <v>N</v>
          </cell>
          <cell r="M126">
            <v>0</v>
          </cell>
          <cell r="N126" t="str">
            <v>CST :63572138/21.11.96</v>
          </cell>
          <cell r="O126" t="str">
            <v>N</v>
          </cell>
          <cell r="Q126" t="str">
            <v>240</v>
          </cell>
          <cell r="R126" t="str">
            <v>01</v>
          </cell>
          <cell r="S126" t="str">
            <v>01</v>
          </cell>
          <cell r="T126" t="str">
            <v>11</v>
          </cell>
          <cell r="X126" t="str">
            <v>30001</v>
          </cell>
          <cell r="Y126" t="str">
            <v>00240</v>
          </cell>
        </row>
        <row r="127">
          <cell r="A127" t="str">
            <v>11010007</v>
          </cell>
          <cell r="B127" t="str">
            <v>01</v>
          </cell>
          <cell r="C127" t="str">
            <v>S V DANDUR &amp; SONS GEN MER</v>
          </cell>
          <cell r="D127" t="str">
            <v>MAIN ROAD</v>
          </cell>
          <cell r="G127" t="str">
            <v>KARNATAKA</v>
          </cell>
          <cell r="H127" t="str">
            <v>BYADGI DHARWAR</v>
          </cell>
          <cell r="I127" t="str">
            <v>587106</v>
          </cell>
          <cell r="J127" t="str">
            <v>003</v>
          </cell>
          <cell r="K127" t="str">
            <v>KST 4300044-7</v>
          </cell>
          <cell r="L127" t="str">
            <v>N</v>
          </cell>
          <cell r="M127">
            <v>0</v>
          </cell>
          <cell r="N127" t="str">
            <v>CST 4305044-0</v>
          </cell>
          <cell r="O127" t="str">
            <v>N</v>
          </cell>
          <cell r="Q127" t="str">
            <v>241</v>
          </cell>
          <cell r="R127" t="str">
            <v>01</v>
          </cell>
          <cell r="S127" t="str">
            <v>01</v>
          </cell>
          <cell r="T127" t="str">
            <v>11</v>
          </cell>
          <cell r="X127" t="str">
            <v>30002</v>
          </cell>
          <cell r="Y127" t="str">
            <v>00241</v>
          </cell>
        </row>
        <row r="128">
          <cell r="A128" t="str">
            <v>11010008</v>
          </cell>
          <cell r="B128" t="str">
            <v>01</v>
          </cell>
          <cell r="C128" t="str">
            <v>TULASI AGENCIES</v>
          </cell>
          <cell r="D128" t="str">
            <v>BUNDER ROAD</v>
          </cell>
          <cell r="G128" t="str">
            <v>KARNATAKA</v>
          </cell>
          <cell r="H128" t="str">
            <v>HONAVAR</v>
          </cell>
          <cell r="I128" t="str">
            <v>581334</v>
          </cell>
          <cell r="J128" t="str">
            <v>003</v>
          </cell>
          <cell r="K128" t="str">
            <v>KGST 4772513-8</v>
          </cell>
          <cell r="L128" t="str">
            <v>N</v>
          </cell>
          <cell r="M128">
            <v>0</v>
          </cell>
          <cell r="N128" t="str">
            <v>CST 4777513-8</v>
          </cell>
          <cell r="O128" t="str">
            <v>N</v>
          </cell>
          <cell r="Q128" t="str">
            <v>242</v>
          </cell>
          <cell r="R128" t="str">
            <v>01</v>
          </cell>
          <cell r="S128" t="str">
            <v>01</v>
          </cell>
          <cell r="T128" t="str">
            <v>11</v>
          </cell>
          <cell r="X128" t="str">
            <v>30001</v>
          </cell>
          <cell r="Y128" t="str">
            <v>00242</v>
          </cell>
        </row>
        <row r="129">
          <cell r="A129" t="str">
            <v>11010009</v>
          </cell>
          <cell r="B129" t="str">
            <v>01</v>
          </cell>
          <cell r="C129" t="str">
            <v>TIKARE BROS</v>
          </cell>
          <cell r="D129" t="str">
            <v>NO.31,KEMPGERI</v>
          </cell>
          <cell r="E129" t="str">
            <v>IYENGAR BUILDING</v>
          </cell>
          <cell r="F129" t="str">
            <v>SHIVANANDNAGAR</v>
          </cell>
          <cell r="G129" t="str">
            <v>KARNATAKA</v>
          </cell>
          <cell r="H129" t="str">
            <v>DHARWAD</v>
          </cell>
          <cell r="I129" t="str">
            <v>580 001</v>
          </cell>
          <cell r="J129" t="str">
            <v>003</v>
          </cell>
          <cell r="K129" t="str">
            <v>KST  4170174-4/2.4.73</v>
          </cell>
          <cell r="L129" t="str">
            <v>N</v>
          </cell>
          <cell r="M129">
            <v>0</v>
          </cell>
          <cell r="N129" t="str">
            <v>CST  4175175-7/2.4.73</v>
          </cell>
          <cell r="O129" t="str">
            <v>N</v>
          </cell>
          <cell r="Q129" t="str">
            <v>243</v>
          </cell>
          <cell r="R129" t="str">
            <v>01</v>
          </cell>
          <cell r="S129" t="str">
            <v>01</v>
          </cell>
          <cell r="T129" t="str">
            <v>11</v>
          </cell>
          <cell r="U129">
            <v>0</v>
          </cell>
          <cell r="X129" t="str">
            <v>30001</v>
          </cell>
          <cell r="Y129" t="str">
            <v>00243</v>
          </cell>
        </row>
        <row r="130">
          <cell r="A130" t="str">
            <v>11010010</v>
          </cell>
          <cell r="B130" t="str">
            <v>01</v>
          </cell>
          <cell r="C130" t="str">
            <v>D.C.VAJJRAVATTI &amp; SONS</v>
          </cell>
          <cell r="D130" t="str">
            <v>MAIN ROAD</v>
          </cell>
          <cell r="G130" t="str">
            <v>KARNATAKA</v>
          </cell>
          <cell r="H130" t="str">
            <v>MAHALINGPUR</v>
          </cell>
          <cell r="I130" t="str">
            <v>587312</v>
          </cell>
          <cell r="J130" t="str">
            <v>003</v>
          </cell>
          <cell r="K130" t="str">
            <v>KGST 5753402-0</v>
          </cell>
          <cell r="L130" t="str">
            <v>N</v>
          </cell>
          <cell r="M130">
            <v>0</v>
          </cell>
          <cell r="N130" t="str">
            <v>CST 5758402-3</v>
          </cell>
          <cell r="O130" t="str">
            <v>N</v>
          </cell>
          <cell r="Q130" t="str">
            <v>244</v>
          </cell>
          <cell r="R130" t="str">
            <v>01</v>
          </cell>
          <cell r="S130" t="str">
            <v>01</v>
          </cell>
          <cell r="T130" t="str">
            <v>11</v>
          </cell>
          <cell r="X130" t="str">
            <v>30002</v>
          </cell>
          <cell r="Y130" t="str">
            <v>00244</v>
          </cell>
        </row>
        <row r="131">
          <cell r="A131" t="str">
            <v>11010011</v>
          </cell>
          <cell r="B131" t="str">
            <v>01</v>
          </cell>
          <cell r="C131" t="str">
            <v>DURGA ENTERPRISES</v>
          </cell>
          <cell r="D131" t="str">
            <v>CLOTH MARKET</v>
          </cell>
          <cell r="E131" t="str">
            <v>P.B.NO.12</v>
          </cell>
          <cell r="G131" t="str">
            <v>KARNATAKA</v>
          </cell>
          <cell r="H131" t="str">
            <v>GADAG</v>
          </cell>
          <cell r="I131" t="str">
            <v>582101</v>
          </cell>
          <cell r="J131" t="str">
            <v>003</v>
          </cell>
          <cell r="K131" t="str">
            <v>KGST  4231641-8</v>
          </cell>
          <cell r="L131" t="str">
            <v>N</v>
          </cell>
          <cell r="M131">
            <v>0</v>
          </cell>
          <cell r="N131" t="str">
            <v>CST 4236640-9</v>
          </cell>
          <cell r="O131" t="str">
            <v>N</v>
          </cell>
          <cell r="Q131" t="str">
            <v>245</v>
          </cell>
          <cell r="R131" t="str">
            <v>01</v>
          </cell>
          <cell r="S131" t="str">
            <v>01</v>
          </cell>
          <cell r="T131" t="str">
            <v>11</v>
          </cell>
          <cell r="X131" t="str">
            <v>30001</v>
          </cell>
          <cell r="Y131" t="str">
            <v>00245</v>
          </cell>
        </row>
        <row r="132">
          <cell r="A132" t="str">
            <v>11010012</v>
          </cell>
          <cell r="B132" t="str">
            <v>01</v>
          </cell>
          <cell r="C132" t="str">
            <v>KHANAGE BROS</v>
          </cell>
          <cell r="D132" t="str">
            <v>4 SUPER MARKET COMPLEX</v>
          </cell>
          <cell r="E132" t="str">
            <v>P.B.NO:21</v>
          </cell>
          <cell r="G132" t="str">
            <v>KARNATAKA</v>
          </cell>
          <cell r="H132" t="str">
            <v>GULBARGA</v>
          </cell>
          <cell r="I132" t="str">
            <v>585101</v>
          </cell>
          <cell r="J132" t="str">
            <v>003</v>
          </cell>
          <cell r="K132" t="str">
            <v>KST  6330278-0</v>
          </cell>
          <cell r="L132" t="str">
            <v>N</v>
          </cell>
          <cell r="M132">
            <v>0</v>
          </cell>
          <cell r="N132" t="str">
            <v>CST  6335278-4</v>
          </cell>
          <cell r="O132" t="str">
            <v>N</v>
          </cell>
          <cell r="Q132" t="str">
            <v>246</v>
          </cell>
          <cell r="R132" t="str">
            <v>01</v>
          </cell>
          <cell r="S132" t="str">
            <v>01</v>
          </cell>
          <cell r="T132" t="str">
            <v>11</v>
          </cell>
          <cell r="X132" t="str">
            <v>30001</v>
          </cell>
          <cell r="Y132" t="str">
            <v>00246</v>
          </cell>
        </row>
        <row r="133">
          <cell r="A133" t="str">
            <v>11010013</v>
          </cell>
          <cell r="B133" t="str">
            <v>01</v>
          </cell>
          <cell r="C133" t="str">
            <v>ASHOK ENTERPRISES</v>
          </cell>
          <cell r="D133" t="str">
            <v>3029/C,RAVIWAR PETH</v>
          </cell>
          <cell r="G133" t="str">
            <v>KARNATAKA</v>
          </cell>
          <cell r="H133" t="str">
            <v>GOKAK</v>
          </cell>
          <cell r="I133" t="str">
            <v>591307</v>
          </cell>
          <cell r="J133" t="str">
            <v>003</v>
          </cell>
          <cell r="K133" t="str">
            <v>KST 5211151-9</v>
          </cell>
          <cell r="L133" t="str">
            <v>N</v>
          </cell>
          <cell r="M133">
            <v>0</v>
          </cell>
          <cell r="O133" t="str">
            <v>N</v>
          </cell>
          <cell r="Q133" t="str">
            <v>247</v>
          </cell>
          <cell r="R133" t="str">
            <v>01</v>
          </cell>
          <cell r="S133" t="str">
            <v>01</v>
          </cell>
          <cell r="T133" t="str">
            <v>11</v>
          </cell>
          <cell r="X133" t="str">
            <v>30001</v>
          </cell>
          <cell r="Y133" t="str">
            <v>00247</v>
          </cell>
        </row>
        <row r="134">
          <cell r="A134" t="str">
            <v>11010014</v>
          </cell>
          <cell r="B134" t="str">
            <v>01</v>
          </cell>
          <cell r="C134" t="str">
            <v>A M KITTOOR</v>
          </cell>
          <cell r="D134" t="str">
            <v>MAIN ROAD</v>
          </cell>
          <cell r="G134" t="str">
            <v>KARNATAKA</v>
          </cell>
          <cell r="H134" t="str">
            <v>KARWAR</v>
          </cell>
          <cell r="I134" t="str">
            <v>581301</v>
          </cell>
          <cell r="J134" t="str">
            <v>003</v>
          </cell>
          <cell r="K134" t="str">
            <v>KST  4011452-1</v>
          </cell>
          <cell r="L134" t="str">
            <v>N</v>
          </cell>
          <cell r="M134">
            <v>0</v>
          </cell>
          <cell r="N134" t="str">
            <v>CST  4016452-4</v>
          </cell>
          <cell r="O134" t="str">
            <v>N</v>
          </cell>
          <cell r="Q134" t="str">
            <v>248</v>
          </cell>
          <cell r="R134" t="str">
            <v>01</v>
          </cell>
          <cell r="S134" t="str">
            <v>01</v>
          </cell>
          <cell r="T134" t="str">
            <v>11</v>
          </cell>
          <cell r="X134" t="str">
            <v>30002</v>
          </cell>
          <cell r="Y134" t="str">
            <v>00248</v>
          </cell>
        </row>
        <row r="135">
          <cell r="A135" t="str">
            <v>11010015</v>
          </cell>
          <cell r="B135" t="str">
            <v>01</v>
          </cell>
          <cell r="C135" t="str">
            <v>THE SUPREME TRADING AGCY.</v>
          </cell>
          <cell r="D135" t="str">
            <v>STATION ROAD</v>
          </cell>
          <cell r="G135" t="str">
            <v>KARNATAKA</v>
          </cell>
          <cell r="H135" t="str">
            <v>HUBLI</v>
          </cell>
          <cell r="I135" t="str">
            <v>580020</v>
          </cell>
          <cell r="J135" t="str">
            <v>003</v>
          </cell>
          <cell r="K135" t="str">
            <v>KST  4160284-5</v>
          </cell>
          <cell r="L135" t="str">
            <v>N</v>
          </cell>
          <cell r="M135">
            <v>0</v>
          </cell>
          <cell r="N135" t="str">
            <v>CST  4165284-8</v>
          </cell>
          <cell r="O135" t="str">
            <v>N</v>
          </cell>
          <cell r="Q135" t="str">
            <v>249</v>
          </cell>
          <cell r="R135" t="str">
            <v>01</v>
          </cell>
          <cell r="S135" t="str">
            <v>01</v>
          </cell>
          <cell r="T135" t="str">
            <v>11</v>
          </cell>
          <cell r="U135">
            <v>0</v>
          </cell>
          <cell r="X135" t="str">
            <v>30001</v>
          </cell>
          <cell r="Y135" t="str">
            <v>00249</v>
          </cell>
        </row>
        <row r="136">
          <cell r="A136" t="str">
            <v>11010016</v>
          </cell>
          <cell r="B136" t="str">
            <v>01</v>
          </cell>
          <cell r="C136" t="str">
            <v>JAMBU MARKETING</v>
          </cell>
          <cell r="D136" t="str">
            <v>50/B1-5,MURGOD ROAD</v>
          </cell>
          <cell r="G136" t="str">
            <v>KARNATAKA</v>
          </cell>
          <cell r="H136" t="str">
            <v>NIPANI</v>
          </cell>
          <cell r="I136" t="str">
            <v>591237</v>
          </cell>
          <cell r="J136" t="str">
            <v>003</v>
          </cell>
          <cell r="K136" t="str">
            <v>KGST 5190783-5</v>
          </cell>
          <cell r="L136" t="str">
            <v>N</v>
          </cell>
          <cell r="M136">
            <v>0</v>
          </cell>
          <cell r="N136" t="str">
            <v>CST 5195783-8</v>
          </cell>
          <cell r="O136" t="str">
            <v>N</v>
          </cell>
          <cell r="Q136" t="str">
            <v>250</v>
          </cell>
          <cell r="R136" t="str">
            <v>01</v>
          </cell>
          <cell r="S136" t="str">
            <v>01</v>
          </cell>
          <cell r="T136" t="str">
            <v>11</v>
          </cell>
          <cell r="X136" t="str">
            <v>30001</v>
          </cell>
          <cell r="Y136" t="str">
            <v>00250</v>
          </cell>
        </row>
        <row r="137">
          <cell r="A137" t="str">
            <v>11010017</v>
          </cell>
          <cell r="B137" t="str">
            <v>01</v>
          </cell>
          <cell r="C137" t="str">
            <v>ABDUR RAHIM MOHD YAKUB</v>
          </cell>
          <cell r="D137" t="str">
            <v>P B NO 25 NETAJI ROAD</v>
          </cell>
          <cell r="G137" t="str">
            <v>KARNATAKA</v>
          </cell>
          <cell r="H137" t="str">
            <v>RAICHUR</v>
          </cell>
          <cell r="I137" t="str">
            <v>564101</v>
          </cell>
          <cell r="J137" t="str">
            <v>003</v>
          </cell>
          <cell r="K137" t="str">
            <v>KST  6170059-9</v>
          </cell>
          <cell r="L137" t="str">
            <v>N</v>
          </cell>
          <cell r="M137">
            <v>0</v>
          </cell>
          <cell r="N137" t="str">
            <v>CST  6175059-1</v>
          </cell>
          <cell r="O137" t="str">
            <v>N</v>
          </cell>
          <cell r="Q137" t="str">
            <v>251</v>
          </cell>
          <cell r="R137" t="str">
            <v>01</v>
          </cell>
          <cell r="S137" t="str">
            <v>01</v>
          </cell>
          <cell r="T137" t="str">
            <v>11</v>
          </cell>
          <cell r="X137" t="str">
            <v>30001</v>
          </cell>
          <cell r="Y137" t="str">
            <v>00251</v>
          </cell>
        </row>
        <row r="138">
          <cell r="A138" t="str">
            <v>11010018</v>
          </cell>
          <cell r="B138" t="str">
            <v>01</v>
          </cell>
          <cell r="C138" t="str">
            <v>SRI MARUDHAR ENTERPRIES</v>
          </cell>
          <cell r="D138" t="str">
            <v>5-1-19,NEAR JAIN TEMPLE</v>
          </cell>
          <cell r="G138" t="str">
            <v>KARNATAKA</v>
          </cell>
          <cell r="H138" t="str">
            <v>SINDHANUR</v>
          </cell>
          <cell r="I138" t="str">
            <v>584128</v>
          </cell>
          <cell r="J138" t="str">
            <v>003</v>
          </cell>
          <cell r="K138" t="str">
            <v>KGST 6250646-8/25.10.84</v>
          </cell>
          <cell r="L138" t="str">
            <v>N</v>
          </cell>
          <cell r="M138">
            <v>0</v>
          </cell>
          <cell r="N138" t="str">
            <v>CST 6255646-0/28.10.84</v>
          </cell>
          <cell r="O138" t="str">
            <v>N</v>
          </cell>
          <cell r="Q138" t="str">
            <v>252</v>
          </cell>
          <cell r="R138" t="str">
            <v>01</v>
          </cell>
          <cell r="S138" t="str">
            <v>01</v>
          </cell>
          <cell r="T138" t="str">
            <v>11</v>
          </cell>
          <cell r="X138" t="str">
            <v>30002</v>
          </cell>
          <cell r="Y138" t="str">
            <v>00252</v>
          </cell>
        </row>
        <row r="139">
          <cell r="A139" t="str">
            <v>11010019</v>
          </cell>
          <cell r="B139" t="str">
            <v>01</v>
          </cell>
          <cell r="C139" t="str">
            <v>PRAVEEN DISTRIBUTORES</v>
          </cell>
          <cell r="D139" t="str">
            <v>SHOP NO 3, MITHAJAS COMPLEX</v>
          </cell>
          <cell r="E139" t="str">
            <v>11-4-65, CLOTH BAZAAR</v>
          </cell>
          <cell r="G139" t="str">
            <v>KARNATAKA</v>
          </cell>
          <cell r="H139" t="str">
            <v>RAICHUR</v>
          </cell>
          <cell r="I139" t="str">
            <v>584101</v>
          </cell>
          <cell r="J139" t="str">
            <v>003</v>
          </cell>
          <cell r="K139" t="str">
            <v>KGST 6211413-0</v>
          </cell>
          <cell r="L139" t="str">
            <v>N</v>
          </cell>
          <cell r="M139">
            <v>0</v>
          </cell>
          <cell r="N139" t="str">
            <v>CST 6216413-2</v>
          </cell>
          <cell r="O139" t="str">
            <v>N</v>
          </cell>
          <cell r="Q139" t="str">
            <v>253</v>
          </cell>
          <cell r="R139" t="str">
            <v>01</v>
          </cell>
          <cell r="S139" t="str">
            <v>01</v>
          </cell>
          <cell r="T139" t="str">
            <v>11</v>
          </cell>
          <cell r="X139" t="str">
            <v>30001</v>
          </cell>
          <cell r="Y139" t="str">
            <v>00253</v>
          </cell>
        </row>
        <row r="140">
          <cell r="A140" t="str">
            <v>11010020</v>
          </cell>
          <cell r="B140" t="str">
            <v>01</v>
          </cell>
          <cell r="C140" t="str">
            <v>GAJANAN AGENCY</v>
          </cell>
          <cell r="D140" t="str">
            <v>MAIN ROAD</v>
          </cell>
          <cell r="G140" t="str">
            <v>KARNATAKA</v>
          </cell>
          <cell r="H140" t="str">
            <v>SHAHABAD(GULBAR</v>
          </cell>
          <cell r="I140" t="str">
            <v>585228</v>
          </cell>
          <cell r="J140" t="str">
            <v>003</v>
          </cell>
          <cell r="K140" t="str">
            <v>KGST 6330159-3</v>
          </cell>
          <cell r="L140" t="str">
            <v>N</v>
          </cell>
          <cell r="M140">
            <v>0</v>
          </cell>
          <cell r="O140" t="str">
            <v>N</v>
          </cell>
          <cell r="Q140" t="str">
            <v>254</v>
          </cell>
          <cell r="R140" t="str">
            <v>01</v>
          </cell>
          <cell r="S140" t="str">
            <v>01</v>
          </cell>
          <cell r="T140" t="str">
            <v>11</v>
          </cell>
          <cell r="X140" t="str">
            <v>30002</v>
          </cell>
          <cell r="Y140" t="str">
            <v>00254</v>
          </cell>
        </row>
        <row r="141">
          <cell r="A141" t="str">
            <v>11010021</v>
          </cell>
          <cell r="B141" t="str">
            <v>01</v>
          </cell>
          <cell r="C141" t="str">
            <v>LAKSHMI TRADERS</v>
          </cell>
          <cell r="D141" t="str">
            <v>POST BOX NO 95</v>
          </cell>
          <cell r="E141" t="str">
            <v>1/37,MAHADEVPET</v>
          </cell>
          <cell r="G141" t="str">
            <v>KARNATAKA</v>
          </cell>
          <cell r="H141" t="str">
            <v>MERCARA</v>
          </cell>
          <cell r="I141" t="str">
            <v>571201</v>
          </cell>
          <cell r="J141" t="str">
            <v>003</v>
          </cell>
          <cell r="K141" t="str">
            <v>KST 32604580</v>
          </cell>
          <cell r="L141" t="str">
            <v>N</v>
          </cell>
          <cell r="M141">
            <v>0</v>
          </cell>
          <cell r="O141" t="str">
            <v>N</v>
          </cell>
          <cell r="Q141" t="str">
            <v>255</v>
          </cell>
          <cell r="R141" t="str">
            <v>01</v>
          </cell>
          <cell r="S141" t="str">
            <v>01</v>
          </cell>
          <cell r="T141" t="str">
            <v>11</v>
          </cell>
          <cell r="X141" t="str">
            <v>30001</v>
          </cell>
          <cell r="Y141" t="str">
            <v>00255</v>
          </cell>
        </row>
        <row r="142">
          <cell r="A142" t="str">
            <v>11010022</v>
          </cell>
          <cell r="B142" t="str">
            <v>01</v>
          </cell>
          <cell r="C142" t="str">
            <v>POPULAR STORES</v>
          </cell>
          <cell r="D142" t="str">
            <v>C.P.BAZAAR</v>
          </cell>
          <cell r="G142" t="str">
            <v>KARNATAKA</v>
          </cell>
          <cell r="H142" t="str">
            <v>SIRSI</v>
          </cell>
          <cell r="I142" t="str">
            <v>581401</v>
          </cell>
          <cell r="J142" t="str">
            <v>003</v>
          </cell>
          <cell r="K142" t="str">
            <v>KGST 4310309-1/1.4.64</v>
          </cell>
          <cell r="L142" t="str">
            <v>N</v>
          </cell>
          <cell r="M142">
            <v>0</v>
          </cell>
          <cell r="N142" t="str">
            <v>CST 4315309-4/1.4.64</v>
          </cell>
          <cell r="O142" t="str">
            <v>N</v>
          </cell>
          <cell r="Q142" t="str">
            <v>256</v>
          </cell>
          <cell r="R142" t="str">
            <v>01</v>
          </cell>
          <cell r="S142" t="str">
            <v>01</v>
          </cell>
          <cell r="T142" t="str">
            <v>11</v>
          </cell>
          <cell r="X142" t="str">
            <v>30001</v>
          </cell>
          <cell r="Y142" t="str">
            <v>00256</v>
          </cell>
        </row>
        <row r="143">
          <cell r="A143" t="str">
            <v>11010023</v>
          </cell>
          <cell r="B143" t="str">
            <v>01</v>
          </cell>
          <cell r="C143" t="str">
            <v>G P KHANDELWAL SONS</v>
          </cell>
          <cell r="D143" t="str">
            <v>WADI JUNCTION C RLY</v>
          </cell>
          <cell r="G143" t="str">
            <v>KARNATAKA</v>
          </cell>
          <cell r="H143" t="str">
            <v>WADI</v>
          </cell>
          <cell r="I143" t="str">
            <v>585211</v>
          </cell>
          <cell r="J143" t="str">
            <v>003</v>
          </cell>
          <cell r="K143" t="str">
            <v>KST  6290944-7</v>
          </cell>
          <cell r="L143" t="str">
            <v>N</v>
          </cell>
          <cell r="M143">
            <v>0</v>
          </cell>
          <cell r="N143" t="str">
            <v>CST  6295944-0</v>
          </cell>
          <cell r="O143" t="str">
            <v>N</v>
          </cell>
          <cell r="Q143" t="str">
            <v>257</v>
          </cell>
          <cell r="R143" t="str">
            <v>01</v>
          </cell>
          <cell r="S143" t="str">
            <v>01</v>
          </cell>
          <cell r="T143" t="str">
            <v>11</v>
          </cell>
          <cell r="X143" t="str">
            <v>30002</v>
          </cell>
          <cell r="Y143" t="str">
            <v>00257</v>
          </cell>
        </row>
        <row r="144">
          <cell r="A144" t="str">
            <v>11010024</v>
          </cell>
          <cell r="B144" t="str">
            <v>01</v>
          </cell>
          <cell r="C144" t="str">
            <v>ASHOK AGENCIES</v>
          </cell>
          <cell r="D144" t="str">
            <v>MAIN ROAD</v>
          </cell>
          <cell r="G144" t="str">
            <v>KARNATAKA</v>
          </cell>
          <cell r="H144" t="str">
            <v>YADGIRI</v>
          </cell>
          <cell r="I144" t="str">
            <v>585201</v>
          </cell>
          <cell r="J144" t="str">
            <v>003</v>
          </cell>
          <cell r="K144" t="str">
            <v>KGST 62312674</v>
          </cell>
          <cell r="L144" t="str">
            <v>N</v>
          </cell>
          <cell r="M144">
            <v>0</v>
          </cell>
          <cell r="N144" t="str">
            <v>CST 62362677</v>
          </cell>
          <cell r="O144" t="str">
            <v>N</v>
          </cell>
          <cell r="Q144" t="str">
            <v>258</v>
          </cell>
          <cell r="R144" t="str">
            <v>01</v>
          </cell>
          <cell r="S144" t="str">
            <v>01</v>
          </cell>
          <cell r="T144" t="str">
            <v>11</v>
          </cell>
          <cell r="X144" t="str">
            <v>30002</v>
          </cell>
          <cell r="Y144" t="str">
            <v>00258</v>
          </cell>
        </row>
        <row r="145">
          <cell r="A145" t="str">
            <v>11010025</v>
          </cell>
          <cell r="B145" t="str">
            <v>01</v>
          </cell>
          <cell r="C145" t="str">
            <v>SRIPADA TRADERS</v>
          </cell>
          <cell r="D145" t="str">
            <v>79/10 WARD, MAIN ROAD</v>
          </cell>
          <cell r="G145" t="str">
            <v>KARNATAKA</v>
          </cell>
          <cell r="H145" t="str">
            <v>HOSPET</v>
          </cell>
          <cell r="I145" t="str">
            <v>583201</v>
          </cell>
          <cell r="J145" t="str">
            <v>003</v>
          </cell>
          <cell r="K145" t="str">
            <v>KGST 82912658</v>
          </cell>
          <cell r="L145" t="str">
            <v>N</v>
          </cell>
          <cell r="M145">
            <v>0</v>
          </cell>
          <cell r="O145" t="str">
            <v>N</v>
          </cell>
          <cell r="Q145" t="str">
            <v>259</v>
          </cell>
          <cell r="R145" t="str">
            <v>01</v>
          </cell>
          <cell r="S145" t="str">
            <v>01</v>
          </cell>
          <cell r="T145" t="str">
            <v>11</v>
          </cell>
          <cell r="X145" t="str">
            <v>30002</v>
          </cell>
          <cell r="Y145" t="str">
            <v>00259</v>
          </cell>
        </row>
        <row r="146">
          <cell r="A146" t="str">
            <v>11010026</v>
          </cell>
          <cell r="B146" t="str">
            <v>01</v>
          </cell>
          <cell r="C146" t="str">
            <v>NIDONI BROS</v>
          </cell>
          <cell r="D146" t="str">
            <v>1006 RAVIWAR PETH</v>
          </cell>
          <cell r="G146" t="str">
            <v>KARNATAKA</v>
          </cell>
          <cell r="H146" t="str">
            <v>ATHANI</v>
          </cell>
          <cell r="I146" t="str">
            <v>591304</v>
          </cell>
          <cell r="J146" t="str">
            <v>003</v>
          </cell>
          <cell r="K146" t="str">
            <v>KST  5210832 6</v>
          </cell>
          <cell r="L146" t="str">
            <v>N</v>
          </cell>
          <cell r="M146">
            <v>0</v>
          </cell>
          <cell r="N146" t="str">
            <v>CST  5215832 9</v>
          </cell>
          <cell r="O146" t="str">
            <v>N</v>
          </cell>
          <cell r="Q146" t="str">
            <v>260</v>
          </cell>
          <cell r="R146" t="str">
            <v>01</v>
          </cell>
          <cell r="S146" t="str">
            <v>01</v>
          </cell>
          <cell r="T146" t="str">
            <v>11</v>
          </cell>
          <cell r="X146" t="str">
            <v>30001</v>
          </cell>
          <cell r="Y146" t="str">
            <v>00260</v>
          </cell>
        </row>
        <row r="147">
          <cell r="A147" t="str">
            <v>11010027</v>
          </cell>
          <cell r="B147" t="str">
            <v>01</v>
          </cell>
          <cell r="C147" t="str">
            <v>SRINIVASA TRADE LINKS</v>
          </cell>
          <cell r="D147" t="str">
            <v>O.S.B.ROAD</v>
          </cell>
          <cell r="G147" t="str">
            <v>KARNATAKA</v>
          </cell>
          <cell r="H147" t="str">
            <v>GANGAVATHI,</v>
          </cell>
          <cell r="I147" t="str">
            <v>583227</v>
          </cell>
          <cell r="J147" t="str">
            <v>003</v>
          </cell>
          <cell r="K147" t="str">
            <v>KGST 61329654/16.05.94</v>
          </cell>
          <cell r="L147" t="str">
            <v>N</v>
          </cell>
          <cell r="M147">
            <v>0</v>
          </cell>
          <cell r="O147" t="str">
            <v>N</v>
          </cell>
          <cell r="Q147" t="str">
            <v>261</v>
          </cell>
          <cell r="R147" t="str">
            <v>01</v>
          </cell>
          <cell r="S147" t="str">
            <v>01</v>
          </cell>
          <cell r="T147" t="str">
            <v>11</v>
          </cell>
          <cell r="X147" t="str">
            <v>30002</v>
          </cell>
          <cell r="Y147" t="str">
            <v>00261</v>
          </cell>
        </row>
        <row r="148">
          <cell r="A148" t="str">
            <v>11010028</v>
          </cell>
          <cell r="B148" t="str">
            <v>01</v>
          </cell>
          <cell r="C148" t="str">
            <v>ANNAPURNA TRADERS</v>
          </cell>
          <cell r="D148" t="str">
            <v>VEERAYYA SWAMI COMPLEX</v>
          </cell>
          <cell r="E148" t="str">
            <v>HOSUR ROAD</v>
          </cell>
          <cell r="G148" t="str">
            <v>KARNATAKA</v>
          </cell>
          <cell r="H148" t="str">
            <v>BASAVAKALYAN</v>
          </cell>
          <cell r="I148" t="str">
            <v>585327</v>
          </cell>
          <cell r="J148" t="str">
            <v>003</v>
          </cell>
          <cell r="K148" t="str">
            <v>KGST 67138123</v>
          </cell>
          <cell r="L148" t="str">
            <v>N</v>
          </cell>
          <cell r="M148">
            <v>0</v>
          </cell>
          <cell r="O148" t="str">
            <v>N</v>
          </cell>
          <cell r="Q148" t="str">
            <v>262</v>
          </cell>
          <cell r="R148" t="str">
            <v>01</v>
          </cell>
          <cell r="S148" t="str">
            <v>01</v>
          </cell>
          <cell r="T148" t="str">
            <v>11</v>
          </cell>
          <cell r="X148" t="str">
            <v>30002</v>
          </cell>
          <cell r="Y148" t="str">
            <v>00262</v>
          </cell>
        </row>
        <row r="149">
          <cell r="A149" t="str">
            <v>11010029</v>
          </cell>
          <cell r="B149" t="str">
            <v>01</v>
          </cell>
          <cell r="C149" t="str">
            <v>CLASSIC DISTRIBUTORS</v>
          </cell>
          <cell r="D149" t="str">
            <v>JYOTHI NILAYA</v>
          </cell>
          <cell r="E149" t="str">
            <v>2ND CROSS</v>
          </cell>
          <cell r="F149" t="str">
            <v>VENKATESH NAGAR</v>
          </cell>
          <cell r="G149" t="str">
            <v>KARNATAKA</v>
          </cell>
          <cell r="H149" t="str">
            <v>SHIMOGA</v>
          </cell>
          <cell r="I149" t="str">
            <v>577 201</v>
          </cell>
          <cell r="J149" t="str">
            <v>003</v>
          </cell>
          <cell r="K149" t="str">
            <v>KST 81728293</v>
          </cell>
          <cell r="L149" t="str">
            <v>N</v>
          </cell>
          <cell r="M149">
            <v>0</v>
          </cell>
          <cell r="N149" t="str">
            <v>CST 81778296</v>
          </cell>
          <cell r="O149" t="str">
            <v>N</v>
          </cell>
          <cell r="Q149" t="str">
            <v>263</v>
          </cell>
          <cell r="R149" t="str">
            <v>01</v>
          </cell>
          <cell r="S149" t="str">
            <v>01</v>
          </cell>
          <cell r="T149" t="str">
            <v>11</v>
          </cell>
          <cell r="X149" t="str">
            <v>30001</v>
          </cell>
          <cell r="Y149" t="str">
            <v>00263</v>
          </cell>
        </row>
        <row r="150">
          <cell r="A150" t="str">
            <v>11010030</v>
          </cell>
          <cell r="B150" t="str">
            <v>01</v>
          </cell>
          <cell r="C150" t="str">
            <v>SPANDANA BUSINESS HOUSE</v>
          </cell>
          <cell r="D150" t="str">
            <v>No. 100 AECS LAYOUT</v>
          </cell>
          <cell r="E150" t="str">
            <v>Ist PHASE RMV 2ND STAGE</v>
          </cell>
          <cell r="F150" t="str">
            <v>(NR RMV HOSPITAL) GEDDALHALLI</v>
          </cell>
          <cell r="G150" t="str">
            <v>KARNATAKA</v>
          </cell>
          <cell r="H150" t="str">
            <v>BANGALORE</v>
          </cell>
          <cell r="I150" t="str">
            <v>560 094</v>
          </cell>
          <cell r="J150" t="str">
            <v>003</v>
          </cell>
          <cell r="K150" t="str">
            <v>KGST 10626219</v>
          </cell>
          <cell r="L150" t="str">
            <v>N</v>
          </cell>
          <cell r="M150">
            <v>0</v>
          </cell>
          <cell r="N150" t="str">
            <v>CST 10676211</v>
          </cell>
          <cell r="O150" t="str">
            <v>N</v>
          </cell>
          <cell r="Q150" t="str">
            <v>264</v>
          </cell>
          <cell r="R150" t="str">
            <v>01</v>
          </cell>
          <cell r="S150" t="str">
            <v>01</v>
          </cell>
          <cell r="T150" t="str">
            <v>11</v>
          </cell>
          <cell r="U150">
            <v>0</v>
          </cell>
          <cell r="X150" t="str">
            <v>30003</v>
          </cell>
          <cell r="Y150" t="str">
            <v>00264</v>
          </cell>
        </row>
        <row r="151">
          <cell r="A151" t="str">
            <v>11010031</v>
          </cell>
          <cell r="B151" t="str">
            <v>01</v>
          </cell>
          <cell r="C151" t="str">
            <v>SRI LAKSHMI AGENCIES</v>
          </cell>
          <cell r="D151" t="str">
            <v>PATEL CHANNAPPA EXTENTION</v>
          </cell>
          <cell r="E151" t="str">
            <v>B.H.ROAD</v>
          </cell>
          <cell r="G151" t="str">
            <v>KARNATAKA</v>
          </cell>
          <cell r="H151" t="str">
            <v>NELAMANGALA</v>
          </cell>
          <cell r="I151" t="str">
            <v>562123</v>
          </cell>
          <cell r="J151" t="str">
            <v>003</v>
          </cell>
          <cell r="K151" t="str">
            <v>KST 10615910</v>
          </cell>
          <cell r="L151" t="str">
            <v>N</v>
          </cell>
          <cell r="M151">
            <v>0</v>
          </cell>
          <cell r="N151" t="str">
            <v>CST 10665912</v>
          </cell>
          <cell r="O151" t="str">
            <v>N</v>
          </cell>
          <cell r="Q151" t="str">
            <v>265</v>
          </cell>
          <cell r="R151" t="str">
            <v>01</v>
          </cell>
          <cell r="S151" t="str">
            <v>01</v>
          </cell>
          <cell r="T151" t="str">
            <v>11</v>
          </cell>
          <cell r="X151" t="str">
            <v>30002</v>
          </cell>
          <cell r="Y151" t="str">
            <v>00265</v>
          </cell>
        </row>
        <row r="152">
          <cell r="A152" t="str">
            <v>11010032</v>
          </cell>
          <cell r="B152" t="str">
            <v>01</v>
          </cell>
          <cell r="C152" t="str">
            <v>RAJENDRA AGENCIES</v>
          </cell>
          <cell r="D152" t="str">
            <v>HALIYAL</v>
          </cell>
          <cell r="G152" t="str">
            <v>KARNATAKA</v>
          </cell>
          <cell r="H152" t="str">
            <v>HAVAGI POST(U.K</v>
          </cell>
          <cell r="I152" t="str">
            <v>581356</v>
          </cell>
          <cell r="J152" t="str">
            <v>003</v>
          </cell>
          <cell r="K152" t="str">
            <v>KST :4180846 -0</v>
          </cell>
          <cell r="L152" t="str">
            <v>N</v>
          </cell>
          <cell r="M152">
            <v>0</v>
          </cell>
          <cell r="O152" t="str">
            <v>N</v>
          </cell>
          <cell r="Q152" t="str">
            <v>266</v>
          </cell>
          <cell r="R152" t="str">
            <v>01</v>
          </cell>
          <cell r="S152" t="str">
            <v>01</v>
          </cell>
          <cell r="T152" t="str">
            <v>11</v>
          </cell>
          <cell r="X152" t="str">
            <v>30002</v>
          </cell>
          <cell r="Y152" t="str">
            <v>00266</v>
          </cell>
        </row>
        <row r="153">
          <cell r="A153" t="str">
            <v>11010034</v>
          </cell>
          <cell r="B153" t="str">
            <v>01</v>
          </cell>
          <cell r="C153" t="str">
            <v>UNITED MARKETING</v>
          </cell>
          <cell r="D153" t="str">
            <v>52, I.T.I LAYOUT, B.N.PURA</v>
          </cell>
          <cell r="E153" t="str">
            <v>DOORVANINAGAR</v>
          </cell>
          <cell r="G153" t="str">
            <v>KARNATAKA</v>
          </cell>
          <cell r="H153" t="str">
            <v>BANGALORE</v>
          </cell>
          <cell r="I153" t="str">
            <v>560016</v>
          </cell>
          <cell r="J153" t="str">
            <v>003</v>
          </cell>
          <cell r="K153" t="str">
            <v>KST 10937304</v>
          </cell>
          <cell r="L153" t="str">
            <v>N</v>
          </cell>
          <cell r="M153">
            <v>0</v>
          </cell>
          <cell r="N153" t="str">
            <v>CST 10987307</v>
          </cell>
          <cell r="O153" t="str">
            <v>N</v>
          </cell>
          <cell r="Q153" t="str">
            <v>268</v>
          </cell>
          <cell r="R153" t="str">
            <v>01</v>
          </cell>
          <cell r="S153" t="str">
            <v>01</v>
          </cell>
          <cell r="T153" t="str">
            <v>11</v>
          </cell>
          <cell r="X153" t="str">
            <v>30003</v>
          </cell>
          <cell r="Y153" t="str">
            <v>00268</v>
          </cell>
        </row>
        <row r="154">
          <cell r="A154" t="str">
            <v>11010035</v>
          </cell>
          <cell r="B154" t="str">
            <v>01</v>
          </cell>
          <cell r="C154" t="str">
            <v>ASHWINI DISTRIBUTORS</v>
          </cell>
          <cell r="D154" t="str">
            <v>NO.73, DICKENSON ROAD</v>
          </cell>
          <cell r="G154" t="str">
            <v>KARNATAKA</v>
          </cell>
          <cell r="H154" t="str">
            <v>BANGALORE</v>
          </cell>
          <cell r="I154" t="str">
            <v>560042</v>
          </cell>
          <cell r="J154" t="str">
            <v>003</v>
          </cell>
          <cell r="K154" t="str">
            <v>KST 0040556 -5</v>
          </cell>
          <cell r="L154" t="str">
            <v>N</v>
          </cell>
          <cell r="M154">
            <v>0</v>
          </cell>
          <cell r="O154" t="str">
            <v>N</v>
          </cell>
          <cell r="Q154" t="str">
            <v>269</v>
          </cell>
          <cell r="R154" t="str">
            <v>01</v>
          </cell>
          <cell r="S154" t="str">
            <v>01</v>
          </cell>
          <cell r="T154" t="str">
            <v>11</v>
          </cell>
          <cell r="X154" t="str">
            <v>30003</v>
          </cell>
          <cell r="Y154" t="str">
            <v>00269</v>
          </cell>
        </row>
        <row r="155">
          <cell r="A155" t="str">
            <v>11010036</v>
          </cell>
          <cell r="B155" t="str">
            <v>01</v>
          </cell>
          <cell r="C155" t="str">
            <v>SRI VIJAYA LAKSHMI TRADER</v>
          </cell>
          <cell r="D155" t="str">
            <v>NO.9,SOMASHEKARAPPA LAYOUT</v>
          </cell>
          <cell r="E155" t="str">
            <v>8TH MAIN, BASAVESHWARA NAGAR</v>
          </cell>
          <cell r="G155" t="str">
            <v>KARNATAKA</v>
          </cell>
          <cell r="H155" t="str">
            <v>BANGALORE</v>
          </cell>
          <cell r="I155" t="str">
            <v>560079</v>
          </cell>
          <cell r="J155" t="str">
            <v>003</v>
          </cell>
          <cell r="K155" t="str">
            <v>KST 93308498 DT.04.04.95</v>
          </cell>
          <cell r="L155" t="str">
            <v>N</v>
          </cell>
          <cell r="M155">
            <v>0</v>
          </cell>
          <cell r="N155" t="str">
            <v>CST 93358490 DT.04.04.95</v>
          </cell>
          <cell r="O155" t="str">
            <v>N</v>
          </cell>
          <cell r="Q155" t="str">
            <v>270</v>
          </cell>
          <cell r="R155" t="str">
            <v>01</v>
          </cell>
          <cell r="S155" t="str">
            <v>01</v>
          </cell>
          <cell r="T155" t="str">
            <v>11</v>
          </cell>
          <cell r="X155" t="str">
            <v>30003</v>
          </cell>
          <cell r="Y155" t="str">
            <v>00270</v>
          </cell>
        </row>
        <row r="156">
          <cell r="A156" t="str">
            <v>11010037</v>
          </cell>
          <cell r="B156" t="str">
            <v>01</v>
          </cell>
          <cell r="C156" t="str">
            <v>APOORVA COMMERCIALS</v>
          </cell>
          <cell r="D156" t="str">
            <v>HALIYAR ROAD</v>
          </cell>
          <cell r="G156" t="str">
            <v>KARNATAKA</v>
          </cell>
          <cell r="H156" t="str">
            <v>HIRIYUR</v>
          </cell>
          <cell r="I156" t="str">
            <v>572143</v>
          </cell>
          <cell r="J156" t="str">
            <v>003</v>
          </cell>
          <cell r="K156" t="str">
            <v>KST 81316732</v>
          </cell>
          <cell r="L156" t="str">
            <v>N</v>
          </cell>
          <cell r="M156">
            <v>0</v>
          </cell>
          <cell r="O156" t="str">
            <v>N</v>
          </cell>
          <cell r="Q156" t="str">
            <v>271</v>
          </cell>
          <cell r="R156" t="str">
            <v>01</v>
          </cell>
          <cell r="S156" t="str">
            <v>01</v>
          </cell>
          <cell r="T156" t="str">
            <v>11</v>
          </cell>
          <cell r="X156" t="str">
            <v>30002</v>
          </cell>
          <cell r="Y156" t="str">
            <v>00271</v>
          </cell>
        </row>
        <row r="157">
          <cell r="A157" t="str">
            <v>11010038</v>
          </cell>
          <cell r="B157" t="str">
            <v>01</v>
          </cell>
          <cell r="C157" t="str">
            <v>MANJUNATHA AGENCIES</v>
          </cell>
          <cell r="D157" t="str">
            <v>NO. 16 Ist CROSS</v>
          </cell>
          <cell r="E157" t="str">
            <v>LORRY STAND GODOWN STREET</v>
          </cell>
          <cell r="F157" t="str">
            <v>YESHWANTHAPUR YARD</v>
          </cell>
          <cell r="G157" t="str">
            <v>KARNATAKA</v>
          </cell>
          <cell r="H157" t="str">
            <v>BANGALORE</v>
          </cell>
          <cell r="I157" t="str">
            <v>560 022</v>
          </cell>
          <cell r="J157" t="str">
            <v>003</v>
          </cell>
          <cell r="K157" t="str">
            <v>KGST 71518897</v>
          </cell>
          <cell r="L157" t="str">
            <v>N</v>
          </cell>
          <cell r="M157">
            <v>0</v>
          </cell>
          <cell r="N157" t="str">
            <v>CST: 71568890</v>
          </cell>
          <cell r="O157" t="str">
            <v>N</v>
          </cell>
          <cell r="Q157" t="str">
            <v>272</v>
          </cell>
          <cell r="R157" t="str">
            <v>01</v>
          </cell>
          <cell r="S157" t="str">
            <v>01</v>
          </cell>
          <cell r="T157" t="str">
            <v>11</v>
          </cell>
          <cell r="U157">
            <v>0</v>
          </cell>
          <cell r="X157" t="str">
            <v>30003</v>
          </cell>
          <cell r="Y157" t="str">
            <v>00272</v>
          </cell>
        </row>
        <row r="158">
          <cell r="A158" t="str">
            <v>11010039</v>
          </cell>
          <cell r="B158" t="str">
            <v>01</v>
          </cell>
          <cell r="C158" t="str">
            <v>S P V GUPTHA AGENCIES</v>
          </cell>
          <cell r="D158" t="str">
            <v>LAKSHMI BUILDINGS</v>
          </cell>
          <cell r="E158" t="str">
            <v>143 R V ROAD V V PURAM</v>
          </cell>
          <cell r="G158" t="str">
            <v>KARNATAKA</v>
          </cell>
          <cell r="H158" t="str">
            <v>BANGALORE</v>
          </cell>
          <cell r="I158" t="str">
            <v>560004</v>
          </cell>
          <cell r="J158" t="str">
            <v>003</v>
          </cell>
          <cell r="K158" t="str">
            <v>KST 00300500</v>
          </cell>
          <cell r="L158" t="str">
            <v>N</v>
          </cell>
          <cell r="M158">
            <v>0</v>
          </cell>
          <cell r="N158" t="str">
            <v>CST 00350503</v>
          </cell>
          <cell r="O158" t="str">
            <v>N</v>
          </cell>
          <cell r="Q158" t="str">
            <v>273</v>
          </cell>
          <cell r="R158" t="str">
            <v>01</v>
          </cell>
          <cell r="S158" t="str">
            <v>01</v>
          </cell>
          <cell r="T158" t="str">
            <v>11</v>
          </cell>
          <cell r="X158" t="str">
            <v>30003</v>
          </cell>
          <cell r="Y158" t="str">
            <v>00273</v>
          </cell>
        </row>
        <row r="159">
          <cell r="A159" t="str">
            <v>11010040</v>
          </cell>
          <cell r="B159" t="str">
            <v>01</v>
          </cell>
          <cell r="C159" t="str">
            <v>KARNATAKA CO OP CONS -</v>
          </cell>
          <cell r="D159" t="str">
            <v>FEDERATIONS LTD.</v>
          </cell>
          <cell r="E159" t="str">
            <v>4 PAMPAMAHAKAVI ROAD</v>
          </cell>
          <cell r="F159" t="str">
            <v>CHAMRRAJPET</v>
          </cell>
          <cell r="G159" t="str">
            <v>KARNATAKA</v>
          </cell>
          <cell r="H159" t="str">
            <v>BANGALORE</v>
          </cell>
          <cell r="I159" t="str">
            <v>560018</v>
          </cell>
          <cell r="J159" t="str">
            <v>003</v>
          </cell>
          <cell r="K159" t="str">
            <v>KST  00100997</v>
          </cell>
          <cell r="L159" t="str">
            <v>N</v>
          </cell>
          <cell r="M159">
            <v>0</v>
          </cell>
          <cell r="N159" t="str">
            <v>CST  00150990</v>
          </cell>
          <cell r="O159" t="str">
            <v>N</v>
          </cell>
          <cell r="Q159" t="str">
            <v>274</v>
          </cell>
          <cell r="R159" t="str">
            <v>01</v>
          </cell>
          <cell r="S159" t="str">
            <v>01</v>
          </cell>
          <cell r="T159" t="str">
            <v>11</v>
          </cell>
          <cell r="X159" t="str">
            <v>30003</v>
          </cell>
          <cell r="Y159" t="str">
            <v>00274</v>
          </cell>
        </row>
        <row r="160">
          <cell r="A160" t="str">
            <v>11010041</v>
          </cell>
          <cell r="B160" t="str">
            <v>01</v>
          </cell>
          <cell r="C160" t="str">
            <v>SRIDHAR COMMERCIALS</v>
          </cell>
          <cell r="D160" t="str">
            <v>SANTHEPET</v>
          </cell>
          <cell r="G160" t="str">
            <v>KARNATAKA</v>
          </cell>
          <cell r="H160" t="str">
            <v>CHITRADURGA</v>
          </cell>
          <cell r="I160" t="str">
            <v>577501</v>
          </cell>
          <cell r="J160" t="str">
            <v>003</v>
          </cell>
          <cell r="K160" t="str">
            <v>KGST 8111674-3</v>
          </cell>
          <cell r="L160" t="str">
            <v>N</v>
          </cell>
          <cell r="M160">
            <v>0</v>
          </cell>
          <cell r="N160" t="str">
            <v>CST 8116674-6</v>
          </cell>
          <cell r="O160" t="str">
            <v>N</v>
          </cell>
          <cell r="Q160" t="str">
            <v>275</v>
          </cell>
          <cell r="R160" t="str">
            <v>01</v>
          </cell>
          <cell r="S160" t="str">
            <v>01</v>
          </cell>
          <cell r="T160" t="str">
            <v>11</v>
          </cell>
          <cell r="X160" t="str">
            <v>30001</v>
          </cell>
          <cell r="Y160" t="str">
            <v>00275</v>
          </cell>
        </row>
        <row r="161">
          <cell r="A161" t="str">
            <v>11010042</v>
          </cell>
          <cell r="B161" t="str">
            <v>01</v>
          </cell>
          <cell r="C161" t="str">
            <v>NANJUNDESWARA ASSOCIATES</v>
          </cell>
          <cell r="D161" t="str">
            <v>323-J, SHOP NO 8 &amp; 9</v>
          </cell>
          <cell r="E161" t="str">
            <v>JINKA PLAZA</v>
          </cell>
          <cell r="F161" t="str">
            <v>H.M.ROAD, BINNY CO. ROAD</v>
          </cell>
          <cell r="G161" t="str">
            <v>KARNATAKA</v>
          </cell>
          <cell r="H161" t="str">
            <v>DAVANAGERE</v>
          </cell>
          <cell r="I161" t="str">
            <v>577001</v>
          </cell>
          <cell r="J161" t="str">
            <v>003</v>
          </cell>
          <cell r="K161" t="str">
            <v>KST NO:8540308-8</v>
          </cell>
          <cell r="L161" t="str">
            <v>N</v>
          </cell>
          <cell r="M161">
            <v>0</v>
          </cell>
          <cell r="N161" t="str">
            <v>CST NO:8545308-0</v>
          </cell>
          <cell r="O161" t="str">
            <v>N</v>
          </cell>
          <cell r="Q161" t="str">
            <v>276</v>
          </cell>
          <cell r="R161" t="str">
            <v>01</v>
          </cell>
          <cell r="S161" t="str">
            <v>01</v>
          </cell>
          <cell r="T161" t="str">
            <v>11</v>
          </cell>
          <cell r="X161" t="str">
            <v>30001</v>
          </cell>
          <cell r="Y161" t="str">
            <v>00276</v>
          </cell>
        </row>
        <row r="162">
          <cell r="A162" t="str">
            <v>11010043</v>
          </cell>
          <cell r="B162" t="str">
            <v>01</v>
          </cell>
          <cell r="C162" t="str">
            <v>SUCHEETA ENTERPRISES</v>
          </cell>
          <cell r="D162" t="str">
            <v>BASAVANHALLI EXTENTION</v>
          </cell>
          <cell r="G162" t="str">
            <v>KARNATAKA</v>
          </cell>
          <cell r="H162" t="str">
            <v>CHICKMAGALUR</v>
          </cell>
          <cell r="I162" t="str">
            <v>577101</v>
          </cell>
          <cell r="J162" t="str">
            <v>003</v>
          </cell>
          <cell r="K162" t="str">
            <v>KGST 21919343</v>
          </cell>
          <cell r="L162" t="str">
            <v>N</v>
          </cell>
          <cell r="M162">
            <v>0</v>
          </cell>
          <cell r="O162" t="str">
            <v>N</v>
          </cell>
          <cell r="Q162" t="str">
            <v>277</v>
          </cell>
          <cell r="R162" t="str">
            <v>01</v>
          </cell>
          <cell r="S162" t="str">
            <v>01</v>
          </cell>
          <cell r="T162" t="str">
            <v>11</v>
          </cell>
          <cell r="X162" t="str">
            <v>30001</v>
          </cell>
          <cell r="Y162" t="str">
            <v>00277</v>
          </cell>
        </row>
        <row r="163">
          <cell r="A163" t="str">
            <v>11010044</v>
          </cell>
          <cell r="B163" t="str">
            <v>01</v>
          </cell>
          <cell r="C163" t="str">
            <v>SANJAY ENTERPRISES</v>
          </cell>
          <cell r="D163" t="str">
            <v>26,RUSSEL MARKET SQUARE</v>
          </cell>
          <cell r="G163" t="str">
            <v>KARNATAKA</v>
          </cell>
          <cell r="H163" t="str">
            <v>BANGALORE</v>
          </cell>
          <cell r="I163" t="str">
            <v>560051</v>
          </cell>
          <cell r="J163" t="str">
            <v>003</v>
          </cell>
          <cell r="K163" t="str">
            <v>KGST 0392422/1 DT.27.8.91</v>
          </cell>
          <cell r="L163" t="str">
            <v>N</v>
          </cell>
          <cell r="M163">
            <v>0</v>
          </cell>
          <cell r="O163" t="str">
            <v>N</v>
          </cell>
          <cell r="Q163" t="str">
            <v>278</v>
          </cell>
          <cell r="R163" t="str">
            <v>01</v>
          </cell>
          <cell r="S163" t="str">
            <v>01</v>
          </cell>
          <cell r="T163" t="str">
            <v>11</v>
          </cell>
          <cell r="X163" t="str">
            <v>30003</v>
          </cell>
          <cell r="Y163" t="str">
            <v>00278</v>
          </cell>
        </row>
        <row r="164">
          <cell r="A164" t="str">
            <v>11010045</v>
          </cell>
          <cell r="B164" t="str">
            <v>01</v>
          </cell>
          <cell r="C164" t="str">
            <v>SEVEN SEAS DISTRIBUTORS</v>
          </cell>
          <cell r="D164" t="str">
            <v>CITADEL,DINNUR MAIN ROAD</v>
          </cell>
          <cell r="E164" t="str">
            <v>R.T.NAGAR</v>
          </cell>
          <cell r="G164" t="str">
            <v>KARNATAKA</v>
          </cell>
          <cell r="H164" t="str">
            <v>BANGALORE</v>
          </cell>
          <cell r="I164" t="str">
            <v>560032</v>
          </cell>
          <cell r="J164" t="str">
            <v>003</v>
          </cell>
          <cell r="K164" t="str">
            <v>KGST 06619940</v>
          </cell>
          <cell r="L164" t="str">
            <v>N</v>
          </cell>
          <cell r="M164">
            <v>0</v>
          </cell>
          <cell r="O164" t="str">
            <v>N</v>
          </cell>
          <cell r="Q164" t="str">
            <v>279</v>
          </cell>
          <cell r="R164" t="str">
            <v>01</v>
          </cell>
          <cell r="S164" t="str">
            <v>01</v>
          </cell>
          <cell r="T164" t="str">
            <v>11</v>
          </cell>
          <cell r="X164" t="str">
            <v>30003</v>
          </cell>
          <cell r="Y164" t="str">
            <v>00279</v>
          </cell>
        </row>
        <row r="165">
          <cell r="A165" t="str">
            <v>11010046</v>
          </cell>
          <cell r="B165" t="str">
            <v>01</v>
          </cell>
          <cell r="C165" t="str">
            <v>K.N.ENTERPRISES</v>
          </cell>
          <cell r="D165" t="str">
            <v>MADIWALA 1ST CROSS</v>
          </cell>
          <cell r="E165" t="str">
            <v>HOSUR MAIN ROAD</v>
          </cell>
          <cell r="G165" t="str">
            <v>KARNATAKA</v>
          </cell>
          <cell r="H165" t="str">
            <v>BANGALORE</v>
          </cell>
          <cell r="I165" t="str">
            <v>560068</v>
          </cell>
          <cell r="J165" t="str">
            <v>003</v>
          </cell>
          <cell r="K165" t="str">
            <v>KGST 10118159</v>
          </cell>
          <cell r="L165" t="str">
            <v>N</v>
          </cell>
          <cell r="M165">
            <v>0</v>
          </cell>
          <cell r="N165" t="str">
            <v>CST 10168151</v>
          </cell>
          <cell r="O165" t="str">
            <v>N</v>
          </cell>
          <cell r="Q165" t="str">
            <v>280</v>
          </cell>
          <cell r="R165" t="str">
            <v>01</v>
          </cell>
          <cell r="S165" t="str">
            <v>01</v>
          </cell>
          <cell r="T165" t="str">
            <v>11</v>
          </cell>
          <cell r="X165" t="str">
            <v>30003</v>
          </cell>
          <cell r="Y165" t="str">
            <v>00280</v>
          </cell>
        </row>
        <row r="166">
          <cell r="A166" t="str">
            <v>11010047</v>
          </cell>
          <cell r="B166" t="str">
            <v>01</v>
          </cell>
          <cell r="C166" t="str">
            <v>S.P.V.MARKETING</v>
          </cell>
          <cell r="D166" t="str">
            <v>143,R.V.ROAD</v>
          </cell>
          <cell r="E166" t="str">
            <v>V.V.PURAM</v>
          </cell>
          <cell r="G166" t="str">
            <v>KARNATAKA</v>
          </cell>
          <cell r="H166" t="str">
            <v>BANGALORE</v>
          </cell>
          <cell r="I166" t="str">
            <v>560004</v>
          </cell>
          <cell r="J166" t="str">
            <v>003</v>
          </cell>
          <cell r="K166" t="str">
            <v>KGST 04731840</v>
          </cell>
          <cell r="L166" t="str">
            <v>N</v>
          </cell>
          <cell r="M166">
            <v>0</v>
          </cell>
          <cell r="N166" t="str">
            <v>CST 04781843</v>
          </cell>
          <cell r="O166" t="str">
            <v>N</v>
          </cell>
          <cell r="Q166" t="str">
            <v>281</v>
          </cell>
          <cell r="R166" t="str">
            <v>01</v>
          </cell>
          <cell r="S166" t="str">
            <v>01</v>
          </cell>
          <cell r="T166" t="str">
            <v>11</v>
          </cell>
          <cell r="X166" t="str">
            <v>30003</v>
          </cell>
          <cell r="Y166" t="str">
            <v>00281</v>
          </cell>
        </row>
        <row r="167">
          <cell r="A167" t="str">
            <v>11010048</v>
          </cell>
          <cell r="B167" t="str">
            <v>01</v>
          </cell>
          <cell r="C167" t="str">
            <v>RAJU TRADERS</v>
          </cell>
          <cell r="D167" t="str">
            <v>HALAPPA SONS  COMPOUND,</v>
          </cell>
          <cell r="E167" t="str">
            <v>DURGIGUDI</v>
          </cell>
          <cell r="F167" t="str">
            <v>NEHURU ROAD</v>
          </cell>
          <cell r="G167" t="str">
            <v>KARNATAKA</v>
          </cell>
          <cell r="H167" t="str">
            <v>SHIMOGA</v>
          </cell>
          <cell r="I167" t="str">
            <v>577201</v>
          </cell>
          <cell r="J167" t="str">
            <v>003</v>
          </cell>
          <cell r="K167" t="str">
            <v>KST  28315376</v>
          </cell>
          <cell r="L167" t="str">
            <v>N</v>
          </cell>
          <cell r="M167">
            <v>0</v>
          </cell>
          <cell r="O167" t="str">
            <v>N</v>
          </cell>
          <cell r="Q167" t="str">
            <v>282</v>
          </cell>
          <cell r="R167" t="str">
            <v>01</v>
          </cell>
          <cell r="S167" t="str">
            <v>01</v>
          </cell>
          <cell r="T167" t="str">
            <v>11</v>
          </cell>
          <cell r="X167" t="str">
            <v>30001</v>
          </cell>
          <cell r="Y167" t="str">
            <v>00282</v>
          </cell>
        </row>
        <row r="168">
          <cell r="A168" t="str">
            <v>11010049</v>
          </cell>
          <cell r="B168" t="str">
            <v>01</v>
          </cell>
          <cell r="C168" t="str">
            <v>ASWINI ENTERPRISES</v>
          </cell>
          <cell r="D168" t="str">
            <v>BRINDAVAN COMPLEX</v>
          </cell>
          <cell r="E168" t="str">
            <v>VIVEKANANDA ROAD</v>
          </cell>
          <cell r="G168" t="str">
            <v>KARNATAKA</v>
          </cell>
          <cell r="H168" t="str">
            <v>TUMKUR</v>
          </cell>
          <cell r="I168" t="str">
            <v>572101</v>
          </cell>
          <cell r="J168" t="str">
            <v>003</v>
          </cell>
          <cell r="K168" t="str">
            <v>KGST 11721730</v>
          </cell>
          <cell r="L168" t="str">
            <v>N</v>
          </cell>
          <cell r="M168">
            <v>0</v>
          </cell>
          <cell r="N168" t="str">
            <v>CST 11771732</v>
          </cell>
          <cell r="O168" t="str">
            <v>N</v>
          </cell>
          <cell r="Q168" t="str">
            <v>283</v>
          </cell>
          <cell r="R168" t="str">
            <v>01</v>
          </cell>
          <cell r="S168" t="str">
            <v>01</v>
          </cell>
          <cell r="T168" t="str">
            <v>11</v>
          </cell>
          <cell r="X168" t="str">
            <v>30001</v>
          </cell>
          <cell r="Y168" t="str">
            <v>00283</v>
          </cell>
        </row>
        <row r="169">
          <cell r="A169" t="str">
            <v>11010050</v>
          </cell>
          <cell r="B169" t="str">
            <v>01</v>
          </cell>
          <cell r="C169" t="str">
            <v>DAKSHIN ENTERPRISES</v>
          </cell>
          <cell r="D169" t="str">
            <v>NO.88, 11TH CROSS</v>
          </cell>
          <cell r="E169" t="str">
            <v>MALLESWARAM</v>
          </cell>
          <cell r="G169" t="str">
            <v>KARNATAKA</v>
          </cell>
          <cell r="H169" t="str">
            <v>BANGALORE</v>
          </cell>
          <cell r="I169" t="str">
            <v>560003</v>
          </cell>
          <cell r="J169" t="str">
            <v>003</v>
          </cell>
          <cell r="K169" t="str">
            <v>KGST 72710550</v>
          </cell>
          <cell r="L169" t="str">
            <v>N</v>
          </cell>
          <cell r="M169">
            <v>0</v>
          </cell>
          <cell r="N169" t="str">
            <v>CST 72760552</v>
          </cell>
          <cell r="O169" t="str">
            <v>N</v>
          </cell>
          <cell r="Q169" t="str">
            <v>284</v>
          </cell>
          <cell r="R169" t="str">
            <v>01</v>
          </cell>
          <cell r="S169" t="str">
            <v>01</v>
          </cell>
          <cell r="T169" t="str">
            <v>11</v>
          </cell>
          <cell r="X169" t="str">
            <v>30003</v>
          </cell>
          <cell r="Y169" t="str">
            <v>00284</v>
          </cell>
        </row>
        <row r="170">
          <cell r="A170" t="str">
            <v>11010051</v>
          </cell>
          <cell r="B170" t="str">
            <v>01</v>
          </cell>
          <cell r="C170" t="str">
            <v>DEE FOODS &amp; BEVERAGES -</v>
          </cell>
          <cell r="D170" t="str">
            <v>120 Out house</v>
          </cell>
          <cell r="E170" t="str">
            <v>Margosa Road 11th Cross</v>
          </cell>
          <cell r="F170" t="str">
            <v>Malleswaram</v>
          </cell>
          <cell r="G170" t="str">
            <v>KARNATAKA</v>
          </cell>
          <cell r="H170" t="str">
            <v>BANGALORE</v>
          </cell>
          <cell r="I170" t="str">
            <v>560 003</v>
          </cell>
          <cell r="J170" t="str">
            <v>003</v>
          </cell>
          <cell r="K170" t="str">
            <v>KST 74614680</v>
          </cell>
          <cell r="L170" t="str">
            <v>N</v>
          </cell>
          <cell r="M170">
            <v>0</v>
          </cell>
          <cell r="N170" t="str">
            <v>CST 74664682</v>
          </cell>
          <cell r="O170" t="str">
            <v>N</v>
          </cell>
          <cell r="Q170" t="str">
            <v>285</v>
          </cell>
          <cell r="R170" t="str">
            <v>01</v>
          </cell>
          <cell r="S170" t="str">
            <v>01</v>
          </cell>
          <cell r="T170" t="str">
            <v>11</v>
          </cell>
          <cell r="U170">
            <v>0</v>
          </cell>
          <cell r="X170" t="str">
            <v>30003</v>
          </cell>
          <cell r="Y170" t="str">
            <v>00285</v>
          </cell>
        </row>
        <row r="171">
          <cell r="A171" t="str">
            <v>11010052</v>
          </cell>
          <cell r="B171" t="str">
            <v>01</v>
          </cell>
          <cell r="C171" t="str">
            <v>KANTHAPPA AGENCIES</v>
          </cell>
          <cell r="D171" t="str">
            <v>P.B.NO.28</v>
          </cell>
          <cell r="E171" t="str">
            <v>SHOBA THEATRE ROAD</v>
          </cell>
          <cell r="G171" t="str">
            <v>KARNATAKA</v>
          </cell>
          <cell r="H171" t="str">
            <v>HARIHAR</v>
          </cell>
          <cell r="I171" t="str">
            <v>577601</v>
          </cell>
          <cell r="J171" t="str">
            <v>003</v>
          </cell>
          <cell r="K171" t="str">
            <v>KST 81005271</v>
          </cell>
          <cell r="L171" t="str">
            <v>N</v>
          </cell>
          <cell r="M171">
            <v>0</v>
          </cell>
          <cell r="O171" t="str">
            <v>N</v>
          </cell>
          <cell r="Q171" t="str">
            <v>286</v>
          </cell>
          <cell r="R171" t="str">
            <v>01</v>
          </cell>
          <cell r="S171" t="str">
            <v>01</v>
          </cell>
          <cell r="T171" t="str">
            <v>11</v>
          </cell>
          <cell r="X171" t="str">
            <v>30001</v>
          </cell>
          <cell r="Y171" t="str">
            <v>00286</v>
          </cell>
        </row>
        <row r="172">
          <cell r="A172" t="str">
            <v>11010053</v>
          </cell>
          <cell r="B172" t="str">
            <v>01</v>
          </cell>
          <cell r="C172" t="str">
            <v>SHAKTHI AGENCIES</v>
          </cell>
          <cell r="D172" t="str">
            <v>TALUK OFFICES ROAD</v>
          </cell>
          <cell r="G172" t="str">
            <v>KARNATAKA</v>
          </cell>
          <cell r="H172" t="str">
            <v>BANGARAPET</v>
          </cell>
          <cell r="I172" t="str">
            <v>563114</v>
          </cell>
          <cell r="J172" t="str">
            <v>003</v>
          </cell>
          <cell r="K172" t="str">
            <v>KGST 11405752</v>
          </cell>
          <cell r="L172" t="str">
            <v>N</v>
          </cell>
          <cell r="M172">
            <v>0</v>
          </cell>
          <cell r="O172" t="str">
            <v>N</v>
          </cell>
          <cell r="Q172" t="str">
            <v>287</v>
          </cell>
          <cell r="R172" t="str">
            <v>01</v>
          </cell>
          <cell r="S172" t="str">
            <v>01</v>
          </cell>
          <cell r="T172" t="str">
            <v>11</v>
          </cell>
          <cell r="X172" t="str">
            <v>30002</v>
          </cell>
          <cell r="Y172" t="str">
            <v>00287</v>
          </cell>
        </row>
        <row r="173">
          <cell r="A173" t="str">
            <v>11010054</v>
          </cell>
          <cell r="B173" t="str">
            <v>01</v>
          </cell>
          <cell r="C173" t="str">
            <v>TRUST AGENCIES</v>
          </cell>
          <cell r="D173" t="str">
            <v>P.B.NO.36</v>
          </cell>
          <cell r="G173" t="str">
            <v>KARNATAKA</v>
          </cell>
          <cell r="H173" t="str">
            <v>SAKLASPUR</v>
          </cell>
          <cell r="I173" t="str">
            <v>573134</v>
          </cell>
          <cell r="J173" t="str">
            <v>003</v>
          </cell>
          <cell r="K173" t="str">
            <v>KGST  21512840</v>
          </cell>
          <cell r="L173" t="str">
            <v>N</v>
          </cell>
          <cell r="M173">
            <v>0</v>
          </cell>
          <cell r="O173" t="str">
            <v>N</v>
          </cell>
          <cell r="Q173" t="str">
            <v>288</v>
          </cell>
          <cell r="R173" t="str">
            <v>01</v>
          </cell>
          <cell r="S173" t="str">
            <v>01</v>
          </cell>
          <cell r="T173" t="str">
            <v>11</v>
          </cell>
          <cell r="X173" t="str">
            <v>30001</v>
          </cell>
          <cell r="Y173" t="str">
            <v>00288</v>
          </cell>
        </row>
        <row r="174">
          <cell r="A174" t="str">
            <v>11010055</v>
          </cell>
          <cell r="B174" t="str">
            <v>01</v>
          </cell>
          <cell r="C174" t="str">
            <v>ARAVIND TRADERS</v>
          </cell>
          <cell r="D174" t="str">
            <v>SRI KANTESHWARA BUILDING</v>
          </cell>
          <cell r="E174" t="str">
            <v>KASTURBA ROAD</v>
          </cell>
          <cell r="G174" t="str">
            <v>KARNATAKA</v>
          </cell>
          <cell r="H174" t="str">
            <v>HASSAN</v>
          </cell>
          <cell r="I174" t="str">
            <v>573201</v>
          </cell>
          <cell r="J174" t="str">
            <v>003</v>
          </cell>
          <cell r="K174" t="str">
            <v>KGST 21512220</v>
          </cell>
          <cell r="L174" t="str">
            <v>N</v>
          </cell>
          <cell r="M174">
            <v>0</v>
          </cell>
          <cell r="O174" t="str">
            <v>N</v>
          </cell>
          <cell r="Q174" t="str">
            <v>289</v>
          </cell>
          <cell r="R174" t="str">
            <v>01</v>
          </cell>
          <cell r="S174" t="str">
            <v>01</v>
          </cell>
          <cell r="T174" t="str">
            <v>11</v>
          </cell>
          <cell r="X174" t="str">
            <v>30001</v>
          </cell>
          <cell r="Y174" t="str">
            <v>00289</v>
          </cell>
        </row>
        <row r="175">
          <cell r="A175" t="str">
            <v>11010056</v>
          </cell>
          <cell r="B175" t="str">
            <v>01</v>
          </cell>
          <cell r="C175" t="str">
            <v>SRI RAJENDRA STORES</v>
          </cell>
          <cell r="D175" t="str">
            <v>READING ROOM ROAD</v>
          </cell>
          <cell r="G175" t="str">
            <v>KARNATAKA</v>
          </cell>
          <cell r="H175" t="str">
            <v>ARSIKERE</v>
          </cell>
          <cell r="I175" t="str">
            <v>573103</v>
          </cell>
          <cell r="J175" t="str">
            <v>003</v>
          </cell>
          <cell r="K175" t="str">
            <v>KST 21719688</v>
          </cell>
          <cell r="L175" t="str">
            <v>N</v>
          </cell>
          <cell r="M175">
            <v>0</v>
          </cell>
          <cell r="O175" t="str">
            <v>N</v>
          </cell>
          <cell r="Q175" t="str">
            <v>290</v>
          </cell>
          <cell r="R175" t="str">
            <v>01</v>
          </cell>
          <cell r="S175" t="str">
            <v>01</v>
          </cell>
          <cell r="T175" t="str">
            <v>11</v>
          </cell>
          <cell r="X175" t="str">
            <v>30001</v>
          </cell>
          <cell r="Y175" t="str">
            <v>00290</v>
          </cell>
        </row>
        <row r="176">
          <cell r="A176" t="str">
            <v>11010057</v>
          </cell>
          <cell r="B176" t="str">
            <v>01</v>
          </cell>
          <cell r="C176" t="str">
            <v>SREE BASAVESWARA AGENCIES</v>
          </cell>
          <cell r="D176" t="str">
            <v>TEMPLE STREET</v>
          </cell>
          <cell r="G176" t="str">
            <v>KARNATAKA</v>
          </cell>
          <cell r="H176" t="str">
            <v>MANDYA</v>
          </cell>
          <cell r="I176" t="str">
            <v>571401</v>
          </cell>
          <cell r="J176" t="str">
            <v>003</v>
          </cell>
          <cell r="K176" t="str">
            <v>KST  2130061-6</v>
          </cell>
          <cell r="L176" t="str">
            <v>N</v>
          </cell>
          <cell r="M176">
            <v>0</v>
          </cell>
          <cell r="N176" t="str">
            <v>CST  2135061-9</v>
          </cell>
          <cell r="O176" t="str">
            <v>N</v>
          </cell>
          <cell r="Q176" t="str">
            <v>291</v>
          </cell>
          <cell r="R176" t="str">
            <v>01</v>
          </cell>
          <cell r="S176" t="str">
            <v>01</v>
          </cell>
          <cell r="T176" t="str">
            <v>11</v>
          </cell>
          <cell r="X176" t="str">
            <v>30001</v>
          </cell>
          <cell r="Y176" t="str">
            <v>00291</v>
          </cell>
        </row>
        <row r="177">
          <cell r="A177" t="str">
            <v>11010058</v>
          </cell>
          <cell r="B177" t="str">
            <v>01</v>
          </cell>
          <cell r="C177" t="str">
            <v>SRINIVAS &amp; COMPANY</v>
          </cell>
          <cell r="D177" t="str">
            <v>1066 SHIVARAMPET</v>
          </cell>
          <cell r="G177" t="str">
            <v>KARNATAKA</v>
          </cell>
          <cell r="H177" t="str">
            <v>MYSORE</v>
          </cell>
          <cell r="I177" t="str">
            <v>570001</v>
          </cell>
          <cell r="J177" t="str">
            <v>003</v>
          </cell>
          <cell r="K177" t="str">
            <v>KST  20905543</v>
          </cell>
          <cell r="L177" t="str">
            <v>N</v>
          </cell>
          <cell r="M177">
            <v>0</v>
          </cell>
          <cell r="N177" t="str">
            <v>CST  20955546</v>
          </cell>
          <cell r="O177" t="str">
            <v>N</v>
          </cell>
          <cell r="Q177" t="str">
            <v>292</v>
          </cell>
          <cell r="R177" t="str">
            <v>01</v>
          </cell>
          <cell r="S177" t="str">
            <v>01</v>
          </cell>
          <cell r="T177" t="str">
            <v>11</v>
          </cell>
          <cell r="X177" t="str">
            <v>30001</v>
          </cell>
          <cell r="Y177" t="str">
            <v>00292</v>
          </cell>
        </row>
        <row r="178">
          <cell r="A178" t="str">
            <v>11010059</v>
          </cell>
          <cell r="B178" t="str">
            <v>01</v>
          </cell>
          <cell r="C178" t="str">
            <v>SIVADURGA ENTERPRISES</v>
          </cell>
          <cell r="D178" t="str">
            <v>BOLWAR</v>
          </cell>
          <cell r="G178" t="str">
            <v>KARNATAKA</v>
          </cell>
          <cell r="H178" t="str">
            <v>PUTTUR</v>
          </cell>
          <cell r="I178" t="str">
            <v>574201</v>
          </cell>
          <cell r="J178" t="str">
            <v>003</v>
          </cell>
          <cell r="K178" t="str">
            <v>KGST 3652600-9</v>
          </cell>
          <cell r="L178" t="str">
            <v>N</v>
          </cell>
          <cell r="M178">
            <v>0</v>
          </cell>
          <cell r="N178" t="str">
            <v>CST 3657600-1</v>
          </cell>
          <cell r="O178" t="str">
            <v>N</v>
          </cell>
          <cell r="Q178" t="str">
            <v>293</v>
          </cell>
          <cell r="R178" t="str">
            <v>01</v>
          </cell>
          <cell r="S178" t="str">
            <v>01</v>
          </cell>
          <cell r="T178" t="str">
            <v>11</v>
          </cell>
          <cell r="X178" t="str">
            <v>30001</v>
          </cell>
          <cell r="Y178" t="str">
            <v>00293</v>
          </cell>
        </row>
        <row r="179">
          <cell r="A179" t="str">
            <v>11010060</v>
          </cell>
          <cell r="B179" t="str">
            <v>01</v>
          </cell>
          <cell r="C179" t="str">
            <v>SRI BRAHMACHAITHANYA-</v>
          </cell>
          <cell r="D179" t="str">
            <v>STORES</v>
          </cell>
          <cell r="E179" t="str">
            <v>627/38 M G ROAD</v>
          </cell>
          <cell r="G179" t="str">
            <v>KARNATAKA</v>
          </cell>
          <cell r="H179" t="str">
            <v>CHINTAMANI</v>
          </cell>
          <cell r="I179" t="str">
            <v>563125</v>
          </cell>
          <cell r="J179" t="str">
            <v>003</v>
          </cell>
          <cell r="K179" t="str">
            <v>KST 10109286</v>
          </cell>
          <cell r="L179" t="str">
            <v>N</v>
          </cell>
          <cell r="M179">
            <v>0</v>
          </cell>
          <cell r="N179" t="str">
            <v>CST 10159289</v>
          </cell>
          <cell r="O179" t="str">
            <v>N</v>
          </cell>
          <cell r="Q179" t="str">
            <v>294</v>
          </cell>
          <cell r="R179" t="str">
            <v>01</v>
          </cell>
          <cell r="S179" t="str">
            <v>01</v>
          </cell>
          <cell r="T179" t="str">
            <v>11</v>
          </cell>
          <cell r="X179" t="str">
            <v>30002</v>
          </cell>
          <cell r="Y179" t="str">
            <v>00294</v>
          </cell>
        </row>
        <row r="180">
          <cell r="A180" t="str">
            <v>11010061</v>
          </cell>
          <cell r="B180" t="str">
            <v>01</v>
          </cell>
          <cell r="C180" t="str">
            <v>SHAKTHI AGENCIES</v>
          </cell>
          <cell r="D180" t="str">
            <v>STATION ROAD</v>
          </cell>
          <cell r="G180" t="str">
            <v>KARNATAKA</v>
          </cell>
          <cell r="H180" t="str">
            <v>ROBERSONPET KGF</v>
          </cell>
          <cell r="I180" t="str">
            <v>563101</v>
          </cell>
          <cell r="J180" t="str">
            <v>003</v>
          </cell>
          <cell r="K180" t="str">
            <v>KGST 10119316</v>
          </cell>
          <cell r="L180" t="str">
            <v>N</v>
          </cell>
          <cell r="M180">
            <v>0</v>
          </cell>
          <cell r="O180" t="str">
            <v>N</v>
          </cell>
          <cell r="Q180" t="str">
            <v>295</v>
          </cell>
          <cell r="R180" t="str">
            <v>01</v>
          </cell>
          <cell r="S180" t="str">
            <v>01</v>
          </cell>
          <cell r="T180" t="str">
            <v>11</v>
          </cell>
          <cell r="X180" t="str">
            <v>30002</v>
          </cell>
          <cell r="Y180" t="str">
            <v>00295</v>
          </cell>
        </row>
        <row r="181">
          <cell r="A181" t="str">
            <v>11010062</v>
          </cell>
          <cell r="B181" t="str">
            <v>01</v>
          </cell>
          <cell r="C181" t="str">
            <v>RATHNA AGENCIES</v>
          </cell>
          <cell r="D181" t="str">
            <v>B M ROAD</v>
          </cell>
          <cell r="G181" t="str">
            <v>KARNATAKA</v>
          </cell>
          <cell r="H181" t="str">
            <v>CHANNARAYAPATNA</v>
          </cell>
          <cell r="I181" t="str">
            <v>573116</v>
          </cell>
          <cell r="J181" t="str">
            <v>003</v>
          </cell>
          <cell r="K181" t="str">
            <v>KGST 21716970</v>
          </cell>
          <cell r="L181" t="str">
            <v>N</v>
          </cell>
          <cell r="M181">
            <v>0</v>
          </cell>
          <cell r="O181" t="str">
            <v>N</v>
          </cell>
          <cell r="Q181" t="str">
            <v>296</v>
          </cell>
          <cell r="R181" t="str">
            <v>01</v>
          </cell>
          <cell r="S181" t="str">
            <v>01</v>
          </cell>
          <cell r="T181" t="str">
            <v>11</v>
          </cell>
          <cell r="X181" t="str">
            <v>30002</v>
          </cell>
          <cell r="Y181" t="str">
            <v>00296</v>
          </cell>
        </row>
        <row r="182">
          <cell r="A182" t="str">
            <v>11010063</v>
          </cell>
          <cell r="B182" t="str">
            <v>01</v>
          </cell>
          <cell r="C182" t="str">
            <v>VIGNESH TRADING CO.</v>
          </cell>
          <cell r="D182" t="str">
            <v>4-5-518/2, SHREE NILAYA</v>
          </cell>
          <cell r="E182" t="str">
            <v>JAIL ROAD</v>
          </cell>
          <cell r="G182" t="str">
            <v>KARNATAKA</v>
          </cell>
          <cell r="H182" t="str">
            <v>MANGALORE</v>
          </cell>
          <cell r="I182" t="str">
            <v>575003</v>
          </cell>
          <cell r="J182" t="str">
            <v>003</v>
          </cell>
          <cell r="K182" t="str">
            <v>KGST 3111857-4</v>
          </cell>
          <cell r="L182" t="str">
            <v>N</v>
          </cell>
          <cell r="M182">
            <v>0</v>
          </cell>
          <cell r="N182" t="str">
            <v>CST 3116857-7</v>
          </cell>
          <cell r="O182" t="str">
            <v>N</v>
          </cell>
          <cell r="Q182" t="str">
            <v>297</v>
          </cell>
          <cell r="R182" t="str">
            <v>01</v>
          </cell>
          <cell r="S182" t="str">
            <v>01</v>
          </cell>
          <cell r="T182" t="str">
            <v>11</v>
          </cell>
          <cell r="X182" t="str">
            <v>30001</v>
          </cell>
          <cell r="Y182" t="str">
            <v>00297</v>
          </cell>
        </row>
        <row r="183">
          <cell r="A183" t="str">
            <v>11010064</v>
          </cell>
          <cell r="B183" t="str">
            <v>01</v>
          </cell>
          <cell r="C183" t="str">
            <v>GANESH TRADING COMPANY</v>
          </cell>
          <cell r="D183" t="str">
            <v>9-4-149,TENKPET CROSS ROAD</v>
          </cell>
          <cell r="G183" t="str">
            <v>KARNATAKA</v>
          </cell>
          <cell r="H183" t="str">
            <v>UDUPI</v>
          </cell>
          <cell r="I183" t="str">
            <v>576101</v>
          </cell>
          <cell r="J183" t="str">
            <v>003</v>
          </cell>
          <cell r="K183" t="str">
            <v>KGST 30300927</v>
          </cell>
          <cell r="L183" t="str">
            <v>N</v>
          </cell>
          <cell r="M183">
            <v>0</v>
          </cell>
          <cell r="N183" t="str">
            <v>CST 30350920</v>
          </cell>
          <cell r="O183" t="str">
            <v>N</v>
          </cell>
          <cell r="Q183" t="str">
            <v>298</v>
          </cell>
          <cell r="R183" t="str">
            <v>01</v>
          </cell>
          <cell r="S183" t="str">
            <v>01</v>
          </cell>
          <cell r="T183" t="str">
            <v>11</v>
          </cell>
          <cell r="U183">
            <v>0</v>
          </cell>
          <cell r="X183" t="str">
            <v>30001</v>
          </cell>
          <cell r="Y183" t="str">
            <v>00298</v>
          </cell>
        </row>
        <row r="184">
          <cell r="A184" t="str">
            <v>11010065</v>
          </cell>
          <cell r="B184" t="str">
            <v>01</v>
          </cell>
          <cell r="C184" t="str">
            <v>SRI VINAYAKA TRADERS</v>
          </cell>
          <cell r="D184" t="str">
            <v>7/440-D, SOUTHERN EXTENSION</v>
          </cell>
          <cell r="G184" t="str">
            <v>KARNATAKA</v>
          </cell>
          <cell r="H184" t="str">
            <v>KOLLEGAL</v>
          </cell>
          <cell r="I184" t="str">
            <v>571440</v>
          </cell>
          <cell r="J184" t="str">
            <v>003</v>
          </cell>
          <cell r="K184" t="str">
            <v>KGST 22108142</v>
          </cell>
          <cell r="L184" t="str">
            <v>N</v>
          </cell>
          <cell r="M184">
            <v>0</v>
          </cell>
          <cell r="N184" t="str">
            <v>CST 22158145</v>
          </cell>
          <cell r="O184" t="str">
            <v>N</v>
          </cell>
          <cell r="Q184" t="str">
            <v>299</v>
          </cell>
          <cell r="R184" t="str">
            <v>01</v>
          </cell>
          <cell r="S184" t="str">
            <v>01</v>
          </cell>
          <cell r="T184" t="str">
            <v>11</v>
          </cell>
          <cell r="X184" t="str">
            <v>30001</v>
          </cell>
          <cell r="Y184" t="str">
            <v>00299</v>
          </cell>
        </row>
        <row r="185">
          <cell r="A185" t="str">
            <v>11010066</v>
          </cell>
          <cell r="B185" t="str">
            <v>01</v>
          </cell>
          <cell r="C185" t="str">
            <v>NANDI TRADERS</v>
          </cell>
          <cell r="D185" t="str">
            <v>J.L.B.ROAD</v>
          </cell>
          <cell r="G185" t="str">
            <v>KARNATAKA</v>
          </cell>
          <cell r="H185" t="str">
            <v>HUNSUR</v>
          </cell>
          <cell r="I185" t="str">
            <v>571105</v>
          </cell>
          <cell r="J185" t="str">
            <v>003</v>
          </cell>
          <cell r="K185" t="str">
            <v>KST.22301987</v>
          </cell>
          <cell r="L185" t="str">
            <v>N</v>
          </cell>
          <cell r="M185">
            <v>0</v>
          </cell>
          <cell r="O185" t="str">
            <v>N</v>
          </cell>
          <cell r="Q185" t="str">
            <v>300</v>
          </cell>
          <cell r="R185" t="str">
            <v>01</v>
          </cell>
          <cell r="S185" t="str">
            <v>01</v>
          </cell>
          <cell r="T185" t="str">
            <v>11</v>
          </cell>
          <cell r="X185" t="str">
            <v>30001</v>
          </cell>
          <cell r="Y185" t="str">
            <v>00300</v>
          </cell>
        </row>
        <row r="186">
          <cell r="A186" t="str">
            <v>11010067</v>
          </cell>
          <cell r="B186" t="str">
            <v>01</v>
          </cell>
          <cell r="C186" t="str">
            <v>POOJITHA ENTERPRISES</v>
          </cell>
          <cell r="D186" t="str">
            <v>P.B.NO.66</v>
          </cell>
          <cell r="E186" t="str">
            <v>RAILWAY STATION ROAD</v>
          </cell>
          <cell r="G186" t="str">
            <v>KARNATAKA</v>
          </cell>
          <cell r="H186" t="str">
            <v>TIPTUR</v>
          </cell>
          <cell r="I186" t="str">
            <v>572201</v>
          </cell>
          <cell r="J186" t="str">
            <v>003</v>
          </cell>
          <cell r="K186" t="str">
            <v>KST 12121289</v>
          </cell>
          <cell r="L186" t="str">
            <v>N</v>
          </cell>
          <cell r="M186">
            <v>0</v>
          </cell>
          <cell r="O186" t="str">
            <v>N</v>
          </cell>
          <cell r="Q186" t="str">
            <v>301</v>
          </cell>
          <cell r="R186" t="str">
            <v>01</v>
          </cell>
          <cell r="S186" t="str">
            <v>01</v>
          </cell>
          <cell r="T186" t="str">
            <v>11</v>
          </cell>
          <cell r="X186" t="str">
            <v>30002</v>
          </cell>
          <cell r="Y186" t="str">
            <v>00301</v>
          </cell>
        </row>
        <row r="187">
          <cell r="A187" t="str">
            <v>11010068</v>
          </cell>
          <cell r="B187" t="str">
            <v>01</v>
          </cell>
          <cell r="C187" t="str">
            <v>UMESH ENTERPRISES</v>
          </cell>
          <cell r="D187" t="str">
            <v>417-A, SRI RAMA MANDIR ROAD</v>
          </cell>
          <cell r="G187" t="str">
            <v>KARNATAKA</v>
          </cell>
          <cell r="H187" t="str">
            <v>TIPTUR</v>
          </cell>
          <cell r="I187" t="str">
            <v>572201</v>
          </cell>
          <cell r="J187" t="str">
            <v>003</v>
          </cell>
          <cell r="K187" t="str">
            <v>KST 17533181</v>
          </cell>
          <cell r="L187" t="str">
            <v>N</v>
          </cell>
          <cell r="M187">
            <v>0</v>
          </cell>
          <cell r="O187" t="str">
            <v>N</v>
          </cell>
          <cell r="Q187" t="str">
            <v>302</v>
          </cell>
          <cell r="R187" t="str">
            <v>01</v>
          </cell>
          <cell r="S187" t="str">
            <v>01</v>
          </cell>
          <cell r="T187" t="str">
            <v>11</v>
          </cell>
          <cell r="X187" t="str">
            <v>30002</v>
          </cell>
          <cell r="Y187" t="str">
            <v>00302</v>
          </cell>
        </row>
        <row r="188">
          <cell r="A188" t="str">
            <v>11010069</v>
          </cell>
          <cell r="B188" t="str">
            <v>01</v>
          </cell>
          <cell r="C188" t="str">
            <v>HASIRUTHOTA AGENCIES</v>
          </cell>
          <cell r="D188" t="str">
            <v>NEAR CHENNAKESHAVA TEMPLE</v>
          </cell>
          <cell r="E188" t="str">
            <v>CAR STREET</v>
          </cell>
          <cell r="G188" t="str">
            <v>KARNATAKA</v>
          </cell>
          <cell r="H188" t="str">
            <v>SULLIA</v>
          </cell>
          <cell r="I188" t="str">
            <v>574239</v>
          </cell>
          <cell r="J188" t="str">
            <v>003</v>
          </cell>
          <cell r="K188" t="str">
            <v>KGST 3231930-7</v>
          </cell>
          <cell r="L188" t="str">
            <v>N</v>
          </cell>
          <cell r="M188">
            <v>0</v>
          </cell>
          <cell r="O188" t="str">
            <v>N</v>
          </cell>
          <cell r="Q188" t="str">
            <v>303</v>
          </cell>
          <cell r="R188" t="str">
            <v>01</v>
          </cell>
          <cell r="S188" t="str">
            <v>01</v>
          </cell>
          <cell r="T188" t="str">
            <v>11</v>
          </cell>
          <cell r="X188" t="str">
            <v>30002</v>
          </cell>
          <cell r="Y188" t="str">
            <v>00303</v>
          </cell>
        </row>
        <row r="189">
          <cell r="A189" t="str">
            <v>11010070</v>
          </cell>
          <cell r="B189" t="str">
            <v>01</v>
          </cell>
          <cell r="C189" t="str">
            <v>SHANTHI ENTERPRISES</v>
          </cell>
          <cell r="D189" t="str">
            <v>KRISHNA BUILDING</v>
          </cell>
          <cell r="E189" t="str">
            <v>BAZAAR STREET</v>
          </cell>
          <cell r="G189" t="str">
            <v>KARNATAKA</v>
          </cell>
          <cell r="H189" t="str">
            <v>NANJANGUD</v>
          </cell>
          <cell r="I189" t="str">
            <v>571301</v>
          </cell>
          <cell r="J189" t="str">
            <v>003</v>
          </cell>
          <cell r="K189" t="str">
            <v>KST 21186896</v>
          </cell>
          <cell r="L189" t="str">
            <v>N</v>
          </cell>
          <cell r="M189">
            <v>0</v>
          </cell>
          <cell r="O189" t="str">
            <v>N</v>
          </cell>
          <cell r="Q189" t="str">
            <v>304</v>
          </cell>
          <cell r="R189" t="str">
            <v>01</v>
          </cell>
          <cell r="S189" t="str">
            <v>01</v>
          </cell>
          <cell r="T189" t="str">
            <v>11</v>
          </cell>
          <cell r="X189" t="str">
            <v>30002</v>
          </cell>
          <cell r="Y189" t="str">
            <v>00304</v>
          </cell>
        </row>
        <row r="190">
          <cell r="A190" t="str">
            <v>11010071</v>
          </cell>
          <cell r="B190" t="str">
            <v>01</v>
          </cell>
          <cell r="C190" t="str">
            <v>MAGIC ENTERPRISES</v>
          </cell>
          <cell r="D190" t="str">
            <v>GUDDE KOPLA ROAD</v>
          </cell>
          <cell r="G190" t="str">
            <v>KARNATAKA</v>
          </cell>
          <cell r="H190" t="str">
            <v>SURATKAL</v>
          </cell>
          <cell r="I190" t="str">
            <v>574158</v>
          </cell>
          <cell r="J190" t="str">
            <v>003</v>
          </cell>
          <cell r="K190" t="str">
            <v>KST NO:35535611</v>
          </cell>
          <cell r="L190" t="str">
            <v>N</v>
          </cell>
          <cell r="M190">
            <v>0</v>
          </cell>
          <cell r="N190" t="str">
            <v>CST NO:35585614</v>
          </cell>
          <cell r="O190" t="str">
            <v>N</v>
          </cell>
          <cell r="Q190" t="str">
            <v>305</v>
          </cell>
          <cell r="R190" t="str">
            <v>01</v>
          </cell>
          <cell r="S190" t="str">
            <v>01</v>
          </cell>
          <cell r="T190" t="str">
            <v>11</v>
          </cell>
          <cell r="X190" t="str">
            <v>30001</v>
          </cell>
          <cell r="Y190" t="str">
            <v>00305</v>
          </cell>
        </row>
        <row r="191">
          <cell r="A191" t="str">
            <v>11010072</v>
          </cell>
          <cell r="B191" t="str">
            <v>01</v>
          </cell>
          <cell r="C191" t="str">
            <v>MAHAVEER STORES</v>
          </cell>
          <cell r="D191" t="str">
            <v>10TH CROSS</v>
          </cell>
          <cell r="E191" t="str">
            <v>B.H.ROAD</v>
          </cell>
          <cell r="G191" t="str">
            <v>KARNATAKA</v>
          </cell>
          <cell r="H191" t="str">
            <v>BHADRAVATHI</v>
          </cell>
          <cell r="J191" t="str">
            <v>003</v>
          </cell>
          <cell r="K191" t="str">
            <v>KST 81901082</v>
          </cell>
          <cell r="L191" t="str">
            <v>N</v>
          </cell>
          <cell r="M191">
            <v>0</v>
          </cell>
          <cell r="O191" t="str">
            <v>N</v>
          </cell>
          <cell r="Q191" t="str">
            <v>306</v>
          </cell>
          <cell r="R191" t="str">
            <v>01</v>
          </cell>
          <cell r="S191" t="str">
            <v>01</v>
          </cell>
          <cell r="T191" t="str">
            <v>11</v>
          </cell>
          <cell r="X191" t="str">
            <v>30001</v>
          </cell>
          <cell r="Y191" t="str">
            <v>00306</v>
          </cell>
        </row>
        <row r="192">
          <cell r="A192" t="str">
            <v>11010073</v>
          </cell>
          <cell r="B192" t="str">
            <v>01</v>
          </cell>
          <cell r="C192" t="str">
            <v>THRUPTHI SWEETS</v>
          </cell>
          <cell r="D192" t="str">
            <v>AZAD ROAD</v>
          </cell>
          <cell r="G192" t="str">
            <v>KARNATAKA</v>
          </cell>
          <cell r="H192" t="str">
            <v>THIRTHAHALLI</v>
          </cell>
          <cell r="J192" t="str">
            <v>003</v>
          </cell>
          <cell r="K192" t="str">
            <v>KST 85940800</v>
          </cell>
          <cell r="L192" t="str">
            <v>N</v>
          </cell>
          <cell r="M192">
            <v>0</v>
          </cell>
          <cell r="O192" t="str">
            <v>N</v>
          </cell>
          <cell r="Q192" t="str">
            <v>307</v>
          </cell>
          <cell r="R192" t="str">
            <v>01</v>
          </cell>
          <cell r="S192" t="str">
            <v>01</v>
          </cell>
          <cell r="T192" t="str">
            <v>11</v>
          </cell>
          <cell r="X192" t="str">
            <v>30001</v>
          </cell>
          <cell r="Y192" t="str">
            <v>00307</v>
          </cell>
        </row>
        <row r="193">
          <cell r="A193" t="str">
            <v>11010074</v>
          </cell>
          <cell r="B193" t="str">
            <v>01</v>
          </cell>
          <cell r="C193" t="str">
            <v>VIJAYAKUMAR &amp; CO</v>
          </cell>
          <cell r="D193" t="str">
            <v>AKKA MAHADEVI ROAD</v>
          </cell>
          <cell r="E193" t="str">
            <v>INDI ROAD</v>
          </cell>
          <cell r="G193" t="str">
            <v>KARNATAKA</v>
          </cell>
          <cell r="H193" t="str">
            <v>BIJAPUR</v>
          </cell>
          <cell r="I193" t="str">
            <v>586101</v>
          </cell>
          <cell r="J193" t="str">
            <v>003</v>
          </cell>
          <cell r="K193" t="str">
            <v>KGST 5231659-2</v>
          </cell>
          <cell r="L193" t="str">
            <v>N</v>
          </cell>
          <cell r="M193">
            <v>0</v>
          </cell>
          <cell r="N193" t="str">
            <v>CST 5236659-5</v>
          </cell>
          <cell r="O193" t="str">
            <v>N</v>
          </cell>
          <cell r="Q193" t="str">
            <v>308</v>
          </cell>
          <cell r="R193" t="str">
            <v>01</v>
          </cell>
          <cell r="S193" t="str">
            <v>01</v>
          </cell>
          <cell r="T193" t="str">
            <v>11</v>
          </cell>
          <cell r="X193" t="str">
            <v>30001</v>
          </cell>
          <cell r="Y193" t="str">
            <v>00308</v>
          </cell>
        </row>
        <row r="194">
          <cell r="A194" t="str">
            <v>11010075</v>
          </cell>
          <cell r="B194" t="str">
            <v>01</v>
          </cell>
          <cell r="C194" t="str">
            <v>SHAKTHI AGENCIES</v>
          </cell>
          <cell r="D194" t="str">
            <v>M.G.ROAD</v>
          </cell>
          <cell r="E194" t="str">
            <v>OPP.TOWN POLICE STATION</v>
          </cell>
          <cell r="G194" t="str">
            <v>KARNATAKA</v>
          </cell>
          <cell r="H194" t="str">
            <v>KOLAR</v>
          </cell>
          <cell r="J194" t="str">
            <v>003</v>
          </cell>
          <cell r="K194" t="str">
            <v>KGST 10115316</v>
          </cell>
          <cell r="L194" t="str">
            <v>N</v>
          </cell>
          <cell r="M194">
            <v>0</v>
          </cell>
          <cell r="O194" t="str">
            <v>N</v>
          </cell>
          <cell r="Q194" t="str">
            <v>309</v>
          </cell>
          <cell r="R194" t="str">
            <v>01</v>
          </cell>
          <cell r="S194" t="str">
            <v>01</v>
          </cell>
          <cell r="T194" t="str">
            <v>11</v>
          </cell>
          <cell r="X194" t="str">
            <v>30002</v>
          </cell>
          <cell r="Y194" t="str">
            <v>00309</v>
          </cell>
        </row>
        <row r="195">
          <cell r="A195" t="str">
            <v>11010076</v>
          </cell>
          <cell r="B195" t="str">
            <v>01</v>
          </cell>
          <cell r="C195" t="str">
            <v>SRI RAMA ASSOCIATES</v>
          </cell>
          <cell r="D195" t="str">
            <v>324, D. SUBBAIAH ROAD</v>
          </cell>
          <cell r="G195" t="str">
            <v>KARNATAKA</v>
          </cell>
          <cell r="H195" t="str">
            <v>MYSORE</v>
          </cell>
          <cell r="I195" t="str">
            <v>570024</v>
          </cell>
          <cell r="J195" t="str">
            <v>003</v>
          </cell>
          <cell r="K195" t="str">
            <v>KGST 20616314</v>
          </cell>
          <cell r="L195" t="str">
            <v>N</v>
          </cell>
          <cell r="M195">
            <v>0</v>
          </cell>
          <cell r="O195" t="str">
            <v>N</v>
          </cell>
          <cell r="Q195" t="str">
            <v>310</v>
          </cell>
          <cell r="R195" t="str">
            <v>01</v>
          </cell>
          <cell r="S195" t="str">
            <v>01</v>
          </cell>
          <cell r="T195" t="str">
            <v>11</v>
          </cell>
          <cell r="X195" t="str">
            <v>30001</v>
          </cell>
          <cell r="Y195" t="str">
            <v>00310</v>
          </cell>
        </row>
        <row r="196">
          <cell r="A196" t="str">
            <v>11010077</v>
          </cell>
          <cell r="B196" t="str">
            <v>01</v>
          </cell>
          <cell r="C196" t="str">
            <v>FAIR DEAL</v>
          </cell>
          <cell r="D196" t="str">
            <v>KALYAN CO OP SOCIETY</v>
          </cell>
          <cell r="E196" t="str">
            <v>RPC LAYOUT, VIJAYANAGAR EAST</v>
          </cell>
          <cell r="G196" t="str">
            <v>KARNATAKA</v>
          </cell>
          <cell r="H196" t="str">
            <v>BANGALORE</v>
          </cell>
          <cell r="I196" t="str">
            <v>560040</v>
          </cell>
          <cell r="J196" t="str">
            <v>003</v>
          </cell>
          <cell r="K196" t="str">
            <v>KST 95710462/7.5.96</v>
          </cell>
          <cell r="L196" t="str">
            <v>N</v>
          </cell>
          <cell r="M196">
            <v>0</v>
          </cell>
          <cell r="N196" t="str">
            <v>CST 95760465/7.5.96</v>
          </cell>
          <cell r="O196" t="str">
            <v>N</v>
          </cell>
          <cell r="Q196" t="str">
            <v>311</v>
          </cell>
          <cell r="R196" t="str">
            <v>01</v>
          </cell>
          <cell r="S196" t="str">
            <v>01</v>
          </cell>
          <cell r="T196" t="str">
            <v>11</v>
          </cell>
          <cell r="X196" t="str">
            <v>30003</v>
          </cell>
          <cell r="Y196" t="str">
            <v>00311</v>
          </cell>
        </row>
        <row r="197">
          <cell r="A197" t="str">
            <v>11010078</v>
          </cell>
          <cell r="B197" t="str">
            <v>01</v>
          </cell>
          <cell r="C197" t="str">
            <v>S.G.MARKETING</v>
          </cell>
          <cell r="D197" t="str">
            <v>NO.12, 5TH CROSS, CHURCH STREE</v>
          </cell>
          <cell r="E197" t="str">
            <v>HENNUR MAIN ROAD, LINGARAJAPUR</v>
          </cell>
          <cell r="G197" t="str">
            <v>KARNATAKA</v>
          </cell>
          <cell r="H197" t="str">
            <v>BANGALORE</v>
          </cell>
          <cell r="I197" t="str">
            <v>560084</v>
          </cell>
          <cell r="J197" t="str">
            <v>003</v>
          </cell>
          <cell r="K197" t="str">
            <v>KST 15634073 DT.04.02.97</v>
          </cell>
          <cell r="L197" t="str">
            <v>N</v>
          </cell>
          <cell r="M197">
            <v>0</v>
          </cell>
          <cell r="O197" t="str">
            <v>N</v>
          </cell>
          <cell r="Q197" t="str">
            <v>312</v>
          </cell>
          <cell r="R197" t="str">
            <v>01</v>
          </cell>
          <cell r="S197" t="str">
            <v>01</v>
          </cell>
          <cell r="T197" t="str">
            <v>11</v>
          </cell>
          <cell r="X197" t="str">
            <v>30003</v>
          </cell>
          <cell r="Y197" t="str">
            <v>00312</v>
          </cell>
        </row>
        <row r="198">
          <cell r="A198" t="str">
            <v>11010079</v>
          </cell>
          <cell r="B198" t="str">
            <v>01</v>
          </cell>
          <cell r="C198" t="str">
            <v>PAVAN DISTRIBUTORS</v>
          </cell>
          <cell r="D198" t="str">
            <v>NO.17/1, I CROSS</v>
          </cell>
          <cell r="E198" t="str">
            <v>GUPTHA LAYOUT, ULSOOR</v>
          </cell>
          <cell r="G198" t="str">
            <v>KARNATAKA</v>
          </cell>
          <cell r="H198" t="str">
            <v>BANGALORE</v>
          </cell>
          <cell r="I198" t="str">
            <v>560008</v>
          </cell>
          <cell r="J198" t="str">
            <v>003</v>
          </cell>
          <cell r="K198" t="str">
            <v>KST 00407264</v>
          </cell>
          <cell r="L198" t="str">
            <v>N</v>
          </cell>
          <cell r="M198">
            <v>0</v>
          </cell>
          <cell r="N198" t="str">
            <v>CST 00457267</v>
          </cell>
          <cell r="O198" t="str">
            <v>N</v>
          </cell>
          <cell r="Q198" t="str">
            <v>313</v>
          </cell>
          <cell r="R198" t="str">
            <v>01</v>
          </cell>
          <cell r="S198" t="str">
            <v>01</v>
          </cell>
          <cell r="T198" t="str">
            <v>11</v>
          </cell>
          <cell r="X198" t="str">
            <v>30003</v>
          </cell>
          <cell r="Y198" t="str">
            <v>00313</v>
          </cell>
        </row>
        <row r="199">
          <cell r="A199" t="str">
            <v>11010080</v>
          </cell>
          <cell r="B199" t="str">
            <v>01</v>
          </cell>
          <cell r="C199" t="str">
            <v>BRITANNIA E.O.</v>
          </cell>
          <cell r="D199" t="str">
            <v>BRITANNIA GARDENS</v>
          </cell>
          <cell r="E199" t="str">
            <v>VIMANA PURA, AIRPORT ROAD</v>
          </cell>
          <cell r="G199" t="str">
            <v>KARNATAKA</v>
          </cell>
          <cell r="H199" t="str">
            <v>BANGALORE</v>
          </cell>
          <cell r="I199" t="str">
            <v>560 018</v>
          </cell>
          <cell r="J199" t="str">
            <v>003</v>
          </cell>
          <cell r="K199" t="str">
            <v>KST:0040145-6</v>
          </cell>
          <cell r="L199" t="str">
            <v>N</v>
          </cell>
          <cell r="M199">
            <v>0</v>
          </cell>
          <cell r="N199" t="str">
            <v>CST:0045145-9</v>
          </cell>
          <cell r="O199" t="str">
            <v>N</v>
          </cell>
          <cell r="Q199" t="str">
            <v>005</v>
          </cell>
          <cell r="R199" t="str">
            <v>01</v>
          </cell>
          <cell r="S199" t="str">
            <v>01</v>
          </cell>
          <cell r="T199" t="str">
            <v>11</v>
          </cell>
          <cell r="U199">
            <v>0</v>
          </cell>
          <cell r="X199" t="str">
            <v>30001</v>
          </cell>
          <cell r="Y199" t="str">
            <v>00005</v>
          </cell>
        </row>
        <row r="200">
          <cell r="A200" t="str">
            <v>11010081</v>
          </cell>
          <cell r="B200" t="str">
            <v>01</v>
          </cell>
          <cell r="C200" t="str">
            <v>LABLINE</v>
          </cell>
          <cell r="D200" t="str">
            <v>NO.341, 7TH MAIN</v>
          </cell>
          <cell r="E200" t="str">
            <v>H A L - II STAGE</v>
          </cell>
          <cell r="G200" t="str">
            <v>KARNATAKA</v>
          </cell>
          <cell r="H200" t="str">
            <v>BANGALORE</v>
          </cell>
          <cell r="I200" t="str">
            <v>560 008</v>
          </cell>
          <cell r="J200" t="str">
            <v>003</v>
          </cell>
          <cell r="K200" t="str">
            <v>KST: 93304420</v>
          </cell>
          <cell r="L200" t="str">
            <v>N</v>
          </cell>
          <cell r="M200">
            <v>0</v>
          </cell>
          <cell r="N200" t="str">
            <v>CST: 93354423</v>
          </cell>
          <cell r="O200" t="str">
            <v>N</v>
          </cell>
          <cell r="Q200" t="str">
            <v>267</v>
          </cell>
          <cell r="R200" t="str">
            <v>01</v>
          </cell>
          <cell r="S200" t="str">
            <v>01</v>
          </cell>
          <cell r="T200" t="str">
            <v>11</v>
          </cell>
          <cell r="U200">
            <v>0</v>
          </cell>
          <cell r="X200" t="str">
            <v>30003</v>
          </cell>
          <cell r="Y200" t="str">
            <v>00267</v>
          </cell>
        </row>
        <row r="201">
          <cell r="A201" t="str">
            <v>11010082</v>
          </cell>
          <cell r="B201" t="str">
            <v>01</v>
          </cell>
          <cell r="C201" t="str">
            <v>SHALIMAR AGENCIES</v>
          </cell>
          <cell r="D201" t="str">
            <v>DASWAL ROAD</v>
          </cell>
          <cell r="G201" t="str">
            <v>KARNATAKA</v>
          </cell>
          <cell r="H201" t="str">
            <v>MADIKERI</v>
          </cell>
          <cell r="I201" t="str">
            <v>571 201</v>
          </cell>
          <cell r="J201" t="str">
            <v>003</v>
          </cell>
          <cell r="K201" t="str">
            <v>KST: 32516526</v>
          </cell>
          <cell r="L201" t="str">
            <v>N</v>
          </cell>
          <cell r="M201">
            <v>0</v>
          </cell>
          <cell r="O201" t="str">
            <v>N</v>
          </cell>
          <cell r="Q201" t="str">
            <v>480</v>
          </cell>
          <cell r="R201" t="str">
            <v>01</v>
          </cell>
          <cell r="S201" t="str">
            <v>01</v>
          </cell>
          <cell r="T201" t="str">
            <v>11</v>
          </cell>
          <cell r="U201">
            <v>0</v>
          </cell>
          <cell r="X201" t="str">
            <v>30003</v>
          </cell>
          <cell r="Y201" t="str">
            <v>00480</v>
          </cell>
        </row>
        <row r="202">
          <cell r="A202" t="str">
            <v>11010083</v>
          </cell>
          <cell r="B202" t="str">
            <v>01</v>
          </cell>
          <cell r="C202" t="str">
            <v>M/s.JAI KRISHNA AGENCIES</v>
          </cell>
          <cell r="D202" t="str">
            <v>ARAVINDA NAGAR</v>
          </cell>
          <cell r="G202" t="str">
            <v>KARNATAKA</v>
          </cell>
          <cell r="H202" t="str">
            <v>CHICKMAGALUR</v>
          </cell>
          <cell r="I202" t="str">
            <v>577 101</v>
          </cell>
          <cell r="J202" t="str">
            <v>003</v>
          </cell>
          <cell r="K202" t="str">
            <v>KST:21911400</v>
          </cell>
          <cell r="L202" t="str">
            <v>N</v>
          </cell>
          <cell r="M202">
            <v>0</v>
          </cell>
          <cell r="O202" t="str">
            <v>N</v>
          </cell>
          <cell r="Q202" t="str">
            <v>486</v>
          </cell>
          <cell r="R202" t="str">
            <v>01</v>
          </cell>
          <cell r="S202" t="str">
            <v>01</v>
          </cell>
          <cell r="T202" t="str">
            <v>11</v>
          </cell>
          <cell r="U202">
            <v>0</v>
          </cell>
          <cell r="X202" t="str">
            <v>30001</v>
          </cell>
          <cell r="Y202" t="str">
            <v>486</v>
          </cell>
        </row>
        <row r="203">
          <cell r="A203" t="str">
            <v>11010084</v>
          </cell>
          <cell r="B203" t="str">
            <v>01</v>
          </cell>
          <cell r="C203" t="str">
            <v>VINAY AGENCIES</v>
          </cell>
          <cell r="D203" t="str">
            <v>K.R.C. ROAD</v>
          </cell>
          <cell r="E203" t="str">
            <v>1st DIVISION</v>
          </cell>
          <cell r="F203" t="str">
            <v>[Mysore Dist.]</v>
          </cell>
          <cell r="G203" t="str">
            <v>KARNATAKA</v>
          </cell>
          <cell r="H203" t="str">
            <v>GUNDULUPET</v>
          </cell>
          <cell r="I203" t="str">
            <v>571 111</v>
          </cell>
          <cell r="J203" t="str">
            <v>003</v>
          </cell>
          <cell r="K203" t="str">
            <v>KST:2613350/7</v>
          </cell>
          <cell r="L203" t="str">
            <v>N</v>
          </cell>
          <cell r="M203">
            <v>0</v>
          </cell>
          <cell r="O203" t="str">
            <v>N</v>
          </cell>
          <cell r="Q203" t="str">
            <v>492</v>
          </cell>
          <cell r="R203" t="str">
            <v>01</v>
          </cell>
          <cell r="S203" t="str">
            <v>01</v>
          </cell>
          <cell r="T203" t="str">
            <v>11</v>
          </cell>
          <cell r="U203">
            <v>0</v>
          </cell>
          <cell r="X203" t="str">
            <v>30002</v>
          </cell>
          <cell r="Y203" t="str">
            <v>00492</v>
          </cell>
        </row>
        <row r="204">
          <cell r="A204" t="str">
            <v>11010085</v>
          </cell>
          <cell r="B204" t="str">
            <v>01</v>
          </cell>
          <cell r="C204" t="str">
            <v>M/S. ANAND TRADERS</v>
          </cell>
          <cell r="D204" t="str">
            <v>SHOP-NO :22-23-1</v>
          </cell>
          <cell r="E204" t="str">
            <v>JAJEE COMPLEX[Near Bus Stand]</v>
          </cell>
          <cell r="G204" t="str">
            <v>KARNATAKA</v>
          </cell>
          <cell r="H204" t="str">
            <v>HUMANABAD</v>
          </cell>
          <cell r="I204" t="str">
            <v>585 330</v>
          </cell>
          <cell r="J204" t="str">
            <v>003</v>
          </cell>
          <cell r="K204" t="str">
            <v>KST:67188114</v>
          </cell>
          <cell r="L204" t="str">
            <v>N</v>
          </cell>
          <cell r="M204">
            <v>0</v>
          </cell>
          <cell r="N204" t="str">
            <v>CST:67138111</v>
          </cell>
          <cell r="O204" t="str">
            <v>N</v>
          </cell>
          <cell r="Q204" t="str">
            <v>489</v>
          </cell>
          <cell r="R204" t="str">
            <v>01</v>
          </cell>
          <cell r="S204" t="str">
            <v>01</v>
          </cell>
          <cell r="T204" t="str">
            <v>11</v>
          </cell>
          <cell r="U204">
            <v>0</v>
          </cell>
          <cell r="X204" t="str">
            <v>30002</v>
          </cell>
          <cell r="Y204" t="str">
            <v>00489</v>
          </cell>
        </row>
        <row r="205">
          <cell r="A205" t="str">
            <v>11010086</v>
          </cell>
          <cell r="B205" t="str">
            <v>01</v>
          </cell>
          <cell r="C205" t="str">
            <v>M/S.AKSHAY AGENCIES</v>
          </cell>
          <cell r="D205" t="str">
            <v>SHOP NO:5-2-64</v>
          </cell>
          <cell r="E205" t="str">
            <v>RAILWAY STATION ROAD</v>
          </cell>
          <cell r="F205" t="str">
            <v>BHALKI [BIDAR DT]</v>
          </cell>
          <cell r="G205" t="str">
            <v>KARNATAKA</v>
          </cell>
          <cell r="H205" t="str">
            <v>BHALKI</v>
          </cell>
          <cell r="I205" t="str">
            <v>585 328</v>
          </cell>
          <cell r="J205" t="str">
            <v>003</v>
          </cell>
          <cell r="K205" t="str">
            <v>APPLIED</v>
          </cell>
          <cell r="L205" t="str">
            <v>N</v>
          </cell>
          <cell r="O205" t="str">
            <v>N</v>
          </cell>
          <cell r="Q205" t="str">
            <v>477</v>
          </cell>
          <cell r="R205" t="str">
            <v>01</v>
          </cell>
          <cell r="S205" t="str">
            <v>01</v>
          </cell>
          <cell r="T205" t="str">
            <v>11</v>
          </cell>
          <cell r="X205" t="str">
            <v>30002</v>
          </cell>
          <cell r="Y205" t="str">
            <v>00477</v>
          </cell>
        </row>
        <row r="206">
          <cell r="A206" t="str">
            <v>11010087</v>
          </cell>
          <cell r="B206" t="str">
            <v>01</v>
          </cell>
          <cell r="C206" t="str">
            <v>M/s.MAHAVEER DISTRIBUTORS</v>
          </cell>
          <cell r="D206" t="str">
            <v>SHOP NO:44 CENTURY COMPLEX</v>
          </cell>
          <cell r="E206" t="str">
            <v>OPP:SANGAM TALKIES</v>
          </cell>
          <cell r="G206" t="str">
            <v>KARNATAKA</v>
          </cell>
          <cell r="H206" t="str">
            <v>GULBARGA</v>
          </cell>
          <cell r="I206" t="str">
            <v>585 101</v>
          </cell>
          <cell r="J206" t="str">
            <v>003</v>
          </cell>
          <cell r="K206" t="str">
            <v>KST:6291931-3</v>
          </cell>
          <cell r="L206" t="str">
            <v>N</v>
          </cell>
          <cell r="N206" t="str">
            <v>CST:6296931-6</v>
          </cell>
          <cell r="O206" t="str">
            <v>N</v>
          </cell>
          <cell r="Q206" t="str">
            <v>478</v>
          </cell>
          <cell r="R206" t="str">
            <v>01</v>
          </cell>
          <cell r="S206" t="str">
            <v>01</v>
          </cell>
          <cell r="T206" t="str">
            <v>11</v>
          </cell>
          <cell r="X206" t="str">
            <v>30002</v>
          </cell>
          <cell r="Y206" t="str">
            <v>00478</v>
          </cell>
        </row>
        <row r="207">
          <cell r="A207" t="str">
            <v>11010088</v>
          </cell>
          <cell r="B207" t="str">
            <v>01</v>
          </cell>
          <cell r="C207" t="str">
            <v>VIJAY TRADE LINKS</v>
          </cell>
          <cell r="D207" t="str">
            <v>VIJAY TRADE LINKS</v>
          </cell>
          <cell r="E207" t="str">
            <v>3rd DEVANGA STREET</v>
          </cell>
          <cell r="G207" t="str">
            <v>KARNATAKA</v>
          </cell>
          <cell r="H207" t="str">
            <v>CHAMRAJANAGAR</v>
          </cell>
          <cell r="I207" t="str">
            <v>571 313</v>
          </cell>
          <cell r="J207" t="str">
            <v>003</v>
          </cell>
          <cell r="K207" t="str">
            <v>KST:21139179</v>
          </cell>
          <cell r="L207" t="str">
            <v>N</v>
          </cell>
          <cell r="M207">
            <v>0</v>
          </cell>
          <cell r="N207" t="str">
            <v>CST:21189171</v>
          </cell>
          <cell r="O207" t="str">
            <v>N</v>
          </cell>
          <cell r="Q207" t="str">
            <v>500</v>
          </cell>
          <cell r="R207" t="str">
            <v>01</v>
          </cell>
          <cell r="S207" t="str">
            <v>01</v>
          </cell>
          <cell r="T207" t="str">
            <v>11</v>
          </cell>
          <cell r="U207">
            <v>0</v>
          </cell>
          <cell r="X207" t="str">
            <v>30002</v>
          </cell>
          <cell r="Y207" t="str">
            <v>00500</v>
          </cell>
        </row>
        <row r="208">
          <cell r="A208" t="str">
            <v>11010089</v>
          </cell>
          <cell r="B208" t="str">
            <v>01</v>
          </cell>
          <cell r="C208" t="str">
            <v>VIJAYA ENTERPRISES</v>
          </cell>
          <cell r="D208" t="str">
            <v>SANGAPPANAVA MUDUGAL COMPLEX</v>
          </cell>
          <cell r="E208" t="str">
            <v>JAWAHAR ROAD</v>
          </cell>
          <cell r="G208" t="str">
            <v>KARNATAKA</v>
          </cell>
          <cell r="H208" t="str">
            <v>KOPPAL</v>
          </cell>
          <cell r="I208" t="str">
            <v>583 231</v>
          </cell>
          <cell r="J208" t="str">
            <v>003</v>
          </cell>
          <cell r="K208" t="str">
            <v>KST:63807040</v>
          </cell>
          <cell r="L208" t="str">
            <v>N</v>
          </cell>
          <cell r="M208">
            <v>0</v>
          </cell>
          <cell r="N208" t="str">
            <v>CST:63857042</v>
          </cell>
          <cell r="O208" t="str">
            <v>N</v>
          </cell>
          <cell r="Q208" t="str">
            <v>505</v>
          </cell>
          <cell r="R208" t="str">
            <v>01</v>
          </cell>
          <cell r="S208" t="str">
            <v>01</v>
          </cell>
          <cell r="T208" t="str">
            <v>11</v>
          </cell>
          <cell r="U208">
            <v>0</v>
          </cell>
          <cell r="X208" t="str">
            <v>30002</v>
          </cell>
          <cell r="Y208" t="str">
            <v>00505</v>
          </cell>
        </row>
        <row r="209">
          <cell r="A209" t="str">
            <v>11010090</v>
          </cell>
          <cell r="B209" t="str">
            <v>01</v>
          </cell>
          <cell r="C209" t="str">
            <v>MARAM DATTANNA SETTY&amp;CO</v>
          </cell>
          <cell r="D209" t="str">
            <v>NETAJI ROAD</v>
          </cell>
          <cell r="G209" t="str">
            <v>KARNATAKA</v>
          </cell>
          <cell r="H209" t="str">
            <v>RAICHUR</v>
          </cell>
          <cell r="I209" t="str">
            <v>584 101</v>
          </cell>
          <cell r="J209" t="str">
            <v>003</v>
          </cell>
          <cell r="K209" t="str">
            <v>KST:6020318/3</v>
          </cell>
          <cell r="L209" t="str">
            <v>N</v>
          </cell>
          <cell r="M209">
            <v>0</v>
          </cell>
          <cell r="N209" t="str">
            <v>CST:6025318/6</v>
          </cell>
          <cell r="O209" t="str">
            <v>N</v>
          </cell>
          <cell r="Q209" t="str">
            <v>506</v>
          </cell>
          <cell r="R209" t="str">
            <v>01</v>
          </cell>
          <cell r="S209" t="str">
            <v>01</v>
          </cell>
          <cell r="T209" t="str">
            <v>11</v>
          </cell>
          <cell r="U209">
            <v>0</v>
          </cell>
          <cell r="X209" t="str">
            <v>30002</v>
          </cell>
          <cell r="Y209" t="str">
            <v>00506</v>
          </cell>
        </row>
        <row r="210">
          <cell r="A210" t="str">
            <v>11010091</v>
          </cell>
          <cell r="B210" t="str">
            <v>01</v>
          </cell>
          <cell r="C210" t="str">
            <v>SUNIL AGENCIES</v>
          </cell>
          <cell r="D210" t="str">
            <v>SARANGAPANI TEMPLE ROAD</v>
          </cell>
          <cell r="E210" t="str">
            <v>FORT STREET</v>
          </cell>
          <cell r="G210" t="str">
            <v>KARNATAKA</v>
          </cell>
          <cell r="H210" t="str">
            <v>MALAVALLI</v>
          </cell>
          <cell r="I210" t="str">
            <v>571 430</v>
          </cell>
          <cell r="J210" t="str">
            <v>003</v>
          </cell>
          <cell r="K210" t="str">
            <v>KST:2673599-4</v>
          </cell>
          <cell r="L210" t="str">
            <v>N</v>
          </cell>
          <cell r="M210">
            <v>0</v>
          </cell>
          <cell r="O210" t="str">
            <v>N</v>
          </cell>
          <cell r="Q210" t="str">
            <v>507</v>
          </cell>
          <cell r="R210" t="str">
            <v>01</v>
          </cell>
          <cell r="S210" t="str">
            <v>01</v>
          </cell>
          <cell r="T210" t="str">
            <v>11</v>
          </cell>
          <cell r="U210">
            <v>0</v>
          </cell>
          <cell r="X210" t="str">
            <v>30002</v>
          </cell>
          <cell r="Y210" t="str">
            <v>00507</v>
          </cell>
        </row>
        <row r="211">
          <cell r="A211" t="str">
            <v>11010092</v>
          </cell>
          <cell r="B211" t="str">
            <v>01</v>
          </cell>
          <cell r="C211" t="str">
            <v>KRISHNA AGENCIES</v>
          </cell>
          <cell r="D211" t="str">
            <v>6-39-A</v>
          </cell>
          <cell r="E211" t="str">
            <v>MARKET ROAD</v>
          </cell>
          <cell r="G211" t="str">
            <v>KARNATAKA</v>
          </cell>
          <cell r="H211" t="str">
            <v>KOLLEGAL</v>
          </cell>
          <cell r="I211" t="str">
            <v>571 440</v>
          </cell>
          <cell r="J211" t="str">
            <v>003</v>
          </cell>
          <cell r="K211" t="str">
            <v>KST:2211219-4</v>
          </cell>
          <cell r="L211" t="str">
            <v>N</v>
          </cell>
          <cell r="M211">
            <v>0</v>
          </cell>
          <cell r="O211" t="str">
            <v>N</v>
          </cell>
          <cell r="Q211" t="str">
            <v>508</v>
          </cell>
          <cell r="R211" t="str">
            <v>01</v>
          </cell>
          <cell r="S211" t="str">
            <v>01</v>
          </cell>
          <cell r="T211" t="str">
            <v>11</v>
          </cell>
          <cell r="U211">
            <v>0</v>
          </cell>
          <cell r="X211" t="str">
            <v>30002</v>
          </cell>
          <cell r="Y211" t="str">
            <v>00508</v>
          </cell>
        </row>
        <row r="212">
          <cell r="A212" t="str">
            <v>11010093</v>
          </cell>
          <cell r="B212" t="str">
            <v>01</v>
          </cell>
          <cell r="C212" t="str">
            <v>VARDHAMAN AGENCIES</v>
          </cell>
          <cell r="D212" t="str">
            <v>CHIKMATH BUILDING</v>
          </cell>
          <cell r="E212" t="str">
            <v>J N ROAD</v>
          </cell>
          <cell r="G212" t="str">
            <v>KARNATAKA</v>
          </cell>
          <cell r="H212" t="str">
            <v>DANDELI</v>
          </cell>
          <cell r="I212" t="str">
            <v>581 325</v>
          </cell>
          <cell r="J212" t="str">
            <v>003</v>
          </cell>
          <cell r="K212" t="str">
            <v>KST:4280730</v>
          </cell>
          <cell r="L212" t="str">
            <v>N</v>
          </cell>
          <cell r="M212">
            <v>0</v>
          </cell>
          <cell r="O212" t="str">
            <v>N</v>
          </cell>
          <cell r="Q212" t="str">
            <v>510</v>
          </cell>
          <cell r="R212" t="str">
            <v>01</v>
          </cell>
          <cell r="S212" t="str">
            <v>01</v>
          </cell>
          <cell r="T212" t="str">
            <v>11</v>
          </cell>
          <cell r="U212">
            <v>0</v>
          </cell>
          <cell r="X212" t="str">
            <v>30002</v>
          </cell>
          <cell r="Y212" t="str">
            <v>00510</v>
          </cell>
        </row>
        <row r="213">
          <cell r="A213" t="str">
            <v>11010094</v>
          </cell>
          <cell r="B213" t="str">
            <v>01</v>
          </cell>
          <cell r="C213" t="str">
            <v>ANNAPURNA TRADERS</v>
          </cell>
          <cell r="D213" t="str">
            <v>F.N.MENSINKAI BUILDING</v>
          </cell>
          <cell r="E213" t="str">
            <v>opp to Traffic Police Station</v>
          </cell>
          <cell r="F213" t="str">
            <v>NEW COTTON MARKET</v>
          </cell>
          <cell r="G213" t="str">
            <v>KARNATAKA</v>
          </cell>
          <cell r="H213" t="str">
            <v>HUBLI</v>
          </cell>
          <cell r="I213" t="str">
            <v>580 029</v>
          </cell>
          <cell r="J213" t="str">
            <v>003</v>
          </cell>
          <cell r="K213" t="str">
            <v>KST:4161154-8</v>
          </cell>
          <cell r="L213" t="str">
            <v>N</v>
          </cell>
          <cell r="M213">
            <v>0</v>
          </cell>
          <cell r="N213" t="str">
            <v>CST:4166154-0</v>
          </cell>
          <cell r="O213" t="str">
            <v>N</v>
          </cell>
          <cell r="Q213" t="str">
            <v>511</v>
          </cell>
          <cell r="R213" t="str">
            <v>01</v>
          </cell>
          <cell r="S213" t="str">
            <v>01</v>
          </cell>
          <cell r="T213" t="str">
            <v>11</v>
          </cell>
          <cell r="U213">
            <v>0</v>
          </cell>
          <cell r="X213" t="str">
            <v>30002</v>
          </cell>
          <cell r="Y213" t="str">
            <v>00511</v>
          </cell>
        </row>
        <row r="214">
          <cell r="A214" t="str">
            <v>11010095</v>
          </cell>
          <cell r="B214" t="str">
            <v>01</v>
          </cell>
          <cell r="C214" t="str">
            <v>GREEN AGENCIES</v>
          </cell>
          <cell r="D214" t="str">
            <v>SRIDHAR TOWERS</v>
          </cell>
          <cell r="E214" t="str">
            <v>M G ROAD</v>
          </cell>
          <cell r="G214" t="str">
            <v>KARNATAKA</v>
          </cell>
          <cell r="H214" t="str">
            <v>CHIKMANGALUR</v>
          </cell>
          <cell r="I214" t="str">
            <v>577 101</v>
          </cell>
          <cell r="J214" t="str">
            <v>003</v>
          </cell>
          <cell r="K214" t="str">
            <v>KST:27736740</v>
          </cell>
          <cell r="L214" t="str">
            <v>N</v>
          </cell>
          <cell r="M214">
            <v>0</v>
          </cell>
          <cell r="O214" t="str">
            <v>N</v>
          </cell>
          <cell r="Q214" t="str">
            <v>514</v>
          </cell>
          <cell r="R214" t="str">
            <v>01</v>
          </cell>
          <cell r="S214" t="str">
            <v>01</v>
          </cell>
          <cell r="T214" t="str">
            <v>11</v>
          </cell>
          <cell r="U214">
            <v>0</v>
          </cell>
          <cell r="X214" t="str">
            <v>30002</v>
          </cell>
          <cell r="Y214" t="str">
            <v>00514</v>
          </cell>
        </row>
        <row r="215">
          <cell r="A215" t="str">
            <v>11010096</v>
          </cell>
          <cell r="B215" t="str">
            <v>01</v>
          </cell>
          <cell r="C215" t="str">
            <v>ATLAS DISTRIBUTORS(P) LTD</v>
          </cell>
          <cell r="D215" t="str">
            <v>341, 7TH MAIN</v>
          </cell>
          <cell r="E215" t="str">
            <v>H A L - II STAGE</v>
          </cell>
          <cell r="G215" t="str">
            <v>KARNATAKA</v>
          </cell>
          <cell r="H215" t="str">
            <v>BANGALORE</v>
          </cell>
          <cell r="I215" t="str">
            <v>560 008</v>
          </cell>
          <cell r="J215" t="str">
            <v>003</v>
          </cell>
          <cell r="K215" t="str">
            <v>KST:00902068</v>
          </cell>
          <cell r="L215" t="str">
            <v>N</v>
          </cell>
          <cell r="M215">
            <v>0</v>
          </cell>
          <cell r="N215" t="str">
            <v>CST:00952060</v>
          </cell>
          <cell r="O215" t="str">
            <v>N</v>
          </cell>
          <cell r="Q215" t="str">
            <v>267</v>
          </cell>
          <cell r="R215" t="str">
            <v>01</v>
          </cell>
          <cell r="S215" t="str">
            <v>01</v>
          </cell>
          <cell r="T215" t="str">
            <v>11</v>
          </cell>
          <cell r="U215">
            <v>0</v>
          </cell>
          <cell r="X215" t="str">
            <v>30001</v>
          </cell>
          <cell r="Y215" t="str">
            <v>00267</v>
          </cell>
        </row>
        <row r="216">
          <cell r="A216" t="str">
            <v>11010097</v>
          </cell>
          <cell r="B216" t="str">
            <v>01</v>
          </cell>
          <cell r="C216" t="str">
            <v>DURGA   ENTERPRISES</v>
          </cell>
          <cell r="D216" t="str">
            <v>Door No:195   Ward No:XVI</v>
          </cell>
          <cell r="E216" t="str">
            <v>Sindgi Compound</v>
          </cell>
          <cell r="F216" t="str">
            <v>Mubarak Talkies Road</v>
          </cell>
          <cell r="G216" t="str">
            <v>Karnataka</v>
          </cell>
          <cell r="H216" t="str">
            <v>Bellary</v>
          </cell>
          <cell r="J216" t="str">
            <v>003</v>
          </cell>
          <cell r="K216" t="str">
            <v>KST:86536059</v>
          </cell>
          <cell r="L216" t="str">
            <v>N</v>
          </cell>
          <cell r="M216">
            <v>0</v>
          </cell>
          <cell r="N216" t="str">
            <v>CST:86586051</v>
          </cell>
          <cell r="O216" t="str">
            <v>N</v>
          </cell>
          <cell r="Q216" t="str">
            <v>237</v>
          </cell>
          <cell r="R216" t="str">
            <v>01</v>
          </cell>
          <cell r="S216" t="str">
            <v>01</v>
          </cell>
          <cell r="T216" t="str">
            <v>11</v>
          </cell>
          <cell r="U216">
            <v>0</v>
          </cell>
          <cell r="X216" t="str">
            <v>30001</v>
          </cell>
          <cell r="Y216" t="str">
            <v>00237</v>
          </cell>
        </row>
        <row r="217">
          <cell r="A217" t="str">
            <v>11010098</v>
          </cell>
          <cell r="B217" t="str">
            <v>01</v>
          </cell>
          <cell r="C217" t="str">
            <v>Sri Renuka Provision &amp;</v>
          </cell>
          <cell r="D217" t="str">
            <v>General Stores</v>
          </cell>
          <cell r="E217" t="str">
            <v>Door No:105/A/2,  Ward No:17</v>
          </cell>
          <cell r="F217" t="str">
            <v>S N Pet,  Main Road</v>
          </cell>
          <cell r="G217" t="str">
            <v>Karnataka</v>
          </cell>
          <cell r="H217" t="str">
            <v>Bellary</v>
          </cell>
          <cell r="I217" t="str">
            <v>583 103</v>
          </cell>
          <cell r="J217" t="str">
            <v>003</v>
          </cell>
          <cell r="K217" t="str">
            <v>KST:86525402</v>
          </cell>
          <cell r="L217" t="str">
            <v>N</v>
          </cell>
          <cell r="M217">
            <v>0</v>
          </cell>
          <cell r="N217" t="str">
            <v>CST:86575405</v>
          </cell>
          <cell r="O217" t="str">
            <v>N</v>
          </cell>
          <cell r="Q217" t="str">
            <v>237</v>
          </cell>
          <cell r="R217" t="str">
            <v>01</v>
          </cell>
          <cell r="S217" t="str">
            <v>01</v>
          </cell>
          <cell r="T217" t="str">
            <v>11</v>
          </cell>
          <cell r="U217">
            <v>0</v>
          </cell>
          <cell r="X217" t="str">
            <v>30001</v>
          </cell>
          <cell r="Y217" t="str">
            <v>00237</v>
          </cell>
        </row>
        <row r="218">
          <cell r="A218" t="str">
            <v>11010099</v>
          </cell>
          <cell r="B218" t="str">
            <v>01</v>
          </cell>
          <cell r="C218" t="str">
            <v>Sri VijayaVinayaka Trader</v>
          </cell>
          <cell r="D218" t="str">
            <v>Shop No:4-1-202</v>
          </cell>
          <cell r="E218" t="str">
            <v>Main Road</v>
          </cell>
          <cell r="G218" t="str">
            <v>Karnataka</v>
          </cell>
          <cell r="H218" t="str">
            <v>Sindhanur</v>
          </cell>
          <cell r="I218" t="str">
            <v>584 128</v>
          </cell>
          <cell r="J218" t="str">
            <v>003</v>
          </cell>
          <cell r="K218" t="str">
            <v>KST:6732108-2</v>
          </cell>
          <cell r="L218" t="str">
            <v>N</v>
          </cell>
          <cell r="M218">
            <v>0</v>
          </cell>
          <cell r="N218" t="str">
            <v>CST:6737108-5</v>
          </cell>
          <cell r="O218" t="str">
            <v>N</v>
          </cell>
          <cell r="Q218" t="str">
            <v>252</v>
          </cell>
          <cell r="R218" t="str">
            <v>01</v>
          </cell>
          <cell r="S218" t="str">
            <v>01</v>
          </cell>
          <cell r="T218" t="str">
            <v>11</v>
          </cell>
          <cell r="U218">
            <v>0</v>
          </cell>
          <cell r="X218" t="str">
            <v>30001</v>
          </cell>
          <cell r="Y218" t="str">
            <v>00252</v>
          </cell>
        </row>
        <row r="219">
          <cell r="A219" t="str">
            <v>11010100</v>
          </cell>
          <cell r="B219" t="str">
            <v>01</v>
          </cell>
          <cell r="C219" t="str">
            <v>RACHANA ENTERPRISES</v>
          </cell>
          <cell r="D219" t="str">
            <v>NO:684  1st CROSS</v>
          </cell>
          <cell r="E219" t="str">
            <v>MAHALAKSHMI LAYOUT</v>
          </cell>
          <cell r="G219" t="str">
            <v>KARNATAKA</v>
          </cell>
          <cell r="H219" t="str">
            <v>CHANNAPATNA</v>
          </cell>
          <cell r="I219" t="str">
            <v>571 501</v>
          </cell>
          <cell r="J219" t="str">
            <v>003</v>
          </cell>
          <cell r="K219" t="str">
            <v>KST:15139300</v>
          </cell>
          <cell r="L219" t="str">
            <v>N</v>
          </cell>
          <cell r="M219">
            <v>0</v>
          </cell>
          <cell r="O219" t="str">
            <v>N</v>
          </cell>
          <cell r="Q219" t="str">
            <v>528</v>
          </cell>
          <cell r="R219" t="str">
            <v>01</v>
          </cell>
          <cell r="S219" t="str">
            <v>01</v>
          </cell>
          <cell r="T219" t="str">
            <v>11</v>
          </cell>
          <cell r="U219">
            <v>0</v>
          </cell>
          <cell r="X219" t="str">
            <v>30001</v>
          </cell>
          <cell r="Y219" t="str">
            <v>00528</v>
          </cell>
        </row>
        <row r="220">
          <cell r="A220" t="str">
            <v>11010101</v>
          </cell>
          <cell r="B220" t="str">
            <v>01</v>
          </cell>
          <cell r="C220" t="str">
            <v>GABRADI TRADING CO</v>
          </cell>
          <cell r="D220" t="str">
            <v>SHOP NO 2  PLOT NO. 3</v>
          </cell>
          <cell r="E220" t="str">
            <v>N V LAYOUT</v>
          </cell>
          <cell r="F220" t="str">
            <v>S B TEMPLE ROAD</v>
          </cell>
          <cell r="G220" t="str">
            <v>KARNATAKA</v>
          </cell>
          <cell r="H220" t="str">
            <v>GULBARGA</v>
          </cell>
          <cell r="I220" t="str">
            <v>585 103</v>
          </cell>
          <cell r="J220" t="str">
            <v>003</v>
          </cell>
          <cell r="K220" t="str">
            <v>66940047</v>
          </cell>
          <cell r="L220" t="str">
            <v>N</v>
          </cell>
          <cell r="M220">
            <v>0</v>
          </cell>
          <cell r="N220" t="str">
            <v>66990040</v>
          </cell>
          <cell r="O220" t="str">
            <v>N</v>
          </cell>
          <cell r="Q220" t="str">
            <v>246</v>
          </cell>
          <cell r="R220" t="str">
            <v>01</v>
          </cell>
          <cell r="S220" t="str">
            <v>01</v>
          </cell>
          <cell r="T220" t="str">
            <v>11</v>
          </cell>
          <cell r="U220">
            <v>0</v>
          </cell>
          <cell r="X220" t="str">
            <v>30002</v>
          </cell>
          <cell r="Y220" t="str">
            <v>00246</v>
          </cell>
        </row>
        <row r="221">
          <cell r="A221" t="str">
            <v>11010102</v>
          </cell>
          <cell r="B221" t="str">
            <v>04</v>
          </cell>
          <cell r="C221" t="str">
            <v>ANURAG FOODS &amp; APPLIANCES</v>
          </cell>
          <cell r="D221" t="str">
            <v>LIMITED</v>
          </cell>
          <cell r="E221" t="str">
            <v>3 INDUSTRIAL SUBURG</v>
          </cell>
          <cell r="F221" t="str">
            <v>MYSORE SOUTH</v>
          </cell>
          <cell r="G221" t="str">
            <v>KARNATAKA</v>
          </cell>
          <cell r="H221" t="str">
            <v>MYSORE</v>
          </cell>
          <cell r="I221" t="str">
            <v>570 008</v>
          </cell>
          <cell r="J221" t="str">
            <v>006</v>
          </cell>
          <cell r="K221" t="str">
            <v>25726055</v>
          </cell>
          <cell r="L221" t="str">
            <v>N</v>
          </cell>
          <cell r="M221">
            <v>0</v>
          </cell>
          <cell r="N221" t="str">
            <v>25776058</v>
          </cell>
          <cell r="O221" t="str">
            <v>N</v>
          </cell>
          <cell r="Q221" t="str">
            <v>292</v>
          </cell>
          <cell r="R221" t="str">
            <v>01</v>
          </cell>
          <cell r="S221" t="str">
            <v>01</v>
          </cell>
          <cell r="T221" t="str">
            <v>11</v>
          </cell>
          <cell r="U221">
            <v>0</v>
          </cell>
          <cell r="X221" t="str">
            <v>30002</v>
          </cell>
          <cell r="Y221" t="str">
            <v>00292</v>
          </cell>
        </row>
        <row r="222">
          <cell r="A222" t="str">
            <v>11010103</v>
          </cell>
          <cell r="B222" t="str">
            <v>01</v>
          </cell>
          <cell r="C222" t="str">
            <v>SREE BALAJI TRADERS</v>
          </cell>
          <cell r="D222" t="str">
            <v>324-2 SRINIVASA COMPLEX</v>
          </cell>
          <cell r="E222" t="str">
            <v>OPP NANDHINI HOTEL</v>
          </cell>
          <cell r="F222" t="str">
            <v>2ND MAIN P J EXTN</v>
          </cell>
          <cell r="G222" t="str">
            <v>KARNATAKA</v>
          </cell>
          <cell r="H222" t="str">
            <v>DAVANGERE</v>
          </cell>
          <cell r="I222" t="str">
            <v>577 004</v>
          </cell>
          <cell r="J222" t="str">
            <v>003</v>
          </cell>
          <cell r="K222" t="str">
            <v>KST 80717937</v>
          </cell>
          <cell r="L222" t="str">
            <v>N</v>
          </cell>
          <cell r="M222">
            <v>0</v>
          </cell>
          <cell r="N222" t="str">
            <v>80767930</v>
          </cell>
          <cell r="O222" t="str">
            <v>N</v>
          </cell>
          <cell r="Q222" t="str">
            <v>276</v>
          </cell>
          <cell r="R222" t="str">
            <v>01</v>
          </cell>
          <cell r="S222" t="str">
            <v>01</v>
          </cell>
          <cell r="T222" t="str">
            <v>11</v>
          </cell>
          <cell r="U222">
            <v>0</v>
          </cell>
          <cell r="X222" t="str">
            <v>30002</v>
          </cell>
          <cell r="Y222" t="str">
            <v>00276</v>
          </cell>
        </row>
        <row r="223">
          <cell r="A223" t="str">
            <v>11010104</v>
          </cell>
          <cell r="B223" t="str">
            <v>01</v>
          </cell>
          <cell r="C223" t="str">
            <v>SREE VEERABHADRESWARA</v>
          </cell>
          <cell r="D223" t="str">
            <v>AGENCIES</v>
          </cell>
          <cell r="E223" t="str">
            <v>GOWLI STREET</v>
          </cell>
          <cell r="F223" t="str">
            <v>DAVANAGERE DIST</v>
          </cell>
          <cell r="G223" t="str">
            <v>KARNATAKA</v>
          </cell>
          <cell r="H223" t="str">
            <v>HARAPANAHALLI</v>
          </cell>
          <cell r="J223" t="str">
            <v>003</v>
          </cell>
          <cell r="K223" t="str">
            <v>KST 81014510 Dt. 25.8.99</v>
          </cell>
          <cell r="L223" t="str">
            <v>N</v>
          </cell>
          <cell r="M223">
            <v>0</v>
          </cell>
          <cell r="O223" t="str">
            <v>N</v>
          </cell>
          <cell r="Q223" t="str">
            <v>906</v>
          </cell>
          <cell r="R223" t="str">
            <v>01</v>
          </cell>
          <cell r="S223" t="str">
            <v>01</v>
          </cell>
          <cell r="T223" t="str">
            <v>11</v>
          </cell>
          <cell r="U223">
            <v>0</v>
          </cell>
          <cell r="X223" t="str">
            <v>30002</v>
          </cell>
          <cell r="Y223" t="str">
            <v>00906</v>
          </cell>
        </row>
        <row r="224">
          <cell r="A224" t="str">
            <v>11010105</v>
          </cell>
          <cell r="B224" t="str">
            <v>01</v>
          </cell>
          <cell r="C224" t="str">
            <v>VIVEK AGENCIES</v>
          </cell>
          <cell r="D224" t="str">
            <v>OLD POST OFFICE ROAD</v>
          </cell>
          <cell r="G224" t="str">
            <v>KARNATAKA</v>
          </cell>
          <cell r="H224" t="str">
            <v>HOSAKOTE</v>
          </cell>
          <cell r="I224" t="str">
            <v>562 114</v>
          </cell>
          <cell r="J224" t="str">
            <v>003</v>
          </cell>
          <cell r="K224" t="str">
            <v>KST 13200460</v>
          </cell>
          <cell r="L224" t="str">
            <v>N</v>
          </cell>
          <cell r="M224">
            <v>0</v>
          </cell>
          <cell r="O224" t="str">
            <v>N</v>
          </cell>
          <cell r="Q224" t="str">
            <v>907</v>
          </cell>
          <cell r="R224" t="str">
            <v>01</v>
          </cell>
          <cell r="S224" t="str">
            <v>01</v>
          </cell>
          <cell r="T224" t="str">
            <v>11</v>
          </cell>
          <cell r="U224">
            <v>0</v>
          </cell>
          <cell r="X224" t="str">
            <v>30002</v>
          </cell>
          <cell r="Y224" t="str">
            <v>00907</v>
          </cell>
        </row>
        <row r="225">
          <cell r="A225" t="str">
            <v>11010106</v>
          </cell>
          <cell r="B225" t="str">
            <v>01</v>
          </cell>
          <cell r="C225" t="str">
            <v>MANJUNATHA ENTERPRISES</v>
          </cell>
          <cell r="D225" t="str">
            <v>No. 16/A Ist CROSS</v>
          </cell>
          <cell r="E225" t="str">
            <v>LORRY STAND GODOWN STREET</v>
          </cell>
          <cell r="F225" t="str">
            <v>YESHWANTHPUR</v>
          </cell>
          <cell r="G225" t="str">
            <v>KARNATAKA</v>
          </cell>
          <cell r="H225" t="str">
            <v>BANGALORE</v>
          </cell>
          <cell r="I225" t="str">
            <v>560 022</v>
          </cell>
          <cell r="J225" t="str">
            <v>003</v>
          </cell>
          <cell r="K225" t="str">
            <v>KGST:71515458</v>
          </cell>
          <cell r="L225" t="str">
            <v>N</v>
          </cell>
          <cell r="M225">
            <v>0</v>
          </cell>
          <cell r="N225" t="str">
            <v>CST:71565450</v>
          </cell>
          <cell r="O225" t="str">
            <v>N</v>
          </cell>
          <cell r="Q225" t="str">
            <v>272</v>
          </cell>
          <cell r="R225" t="str">
            <v>01</v>
          </cell>
          <cell r="S225" t="str">
            <v>01</v>
          </cell>
          <cell r="T225" t="str">
            <v>11</v>
          </cell>
          <cell r="U225">
            <v>0</v>
          </cell>
          <cell r="X225" t="str">
            <v>30001</v>
          </cell>
          <cell r="Y225" t="str">
            <v>00272</v>
          </cell>
        </row>
        <row r="226">
          <cell r="A226" t="str">
            <v>11010107</v>
          </cell>
          <cell r="B226" t="str">
            <v>01</v>
          </cell>
          <cell r="C226" t="str">
            <v>ABIMAN MARKETING</v>
          </cell>
          <cell r="D226" t="str">
            <v>912/22 (4/5)</v>
          </cell>
          <cell r="E226" t="str">
            <v>IST MAIN ROAD</v>
          </cell>
          <cell r="F226" t="str">
            <v>YESHWANTHPUR</v>
          </cell>
          <cell r="G226" t="str">
            <v>KARNATAKA</v>
          </cell>
          <cell r="H226" t="str">
            <v>BANGALORE</v>
          </cell>
          <cell r="I226" t="str">
            <v>560 022</v>
          </cell>
          <cell r="J226" t="str">
            <v>003</v>
          </cell>
          <cell r="K226" t="str">
            <v>KGST: 71810780</v>
          </cell>
          <cell r="L226" t="str">
            <v>N</v>
          </cell>
          <cell r="M226">
            <v>0</v>
          </cell>
          <cell r="N226" t="str">
            <v>CST: 71860782</v>
          </cell>
          <cell r="O226" t="str">
            <v>N</v>
          </cell>
          <cell r="Q226" t="str">
            <v>312</v>
          </cell>
          <cell r="R226" t="str">
            <v>01</v>
          </cell>
          <cell r="S226" t="str">
            <v>01</v>
          </cell>
          <cell r="T226" t="str">
            <v>11</v>
          </cell>
          <cell r="U226">
            <v>0</v>
          </cell>
          <cell r="X226" t="str">
            <v>30001</v>
          </cell>
          <cell r="Y226" t="str">
            <v>00312</v>
          </cell>
        </row>
        <row r="227">
          <cell r="A227" t="str">
            <v>11010108</v>
          </cell>
          <cell r="B227" t="str">
            <v>01</v>
          </cell>
          <cell r="C227" t="str">
            <v>POORNAPRAGNA ENTERPRISES</v>
          </cell>
          <cell r="D227" t="str">
            <v>NO 19/1 9TH CROSS</v>
          </cell>
          <cell r="E227" t="str">
            <v>8TH MAIN</v>
          </cell>
          <cell r="F227" t="str">
            <v>MALLESWARAM</v>
          </cell>
          <cell r="G227" t="str">
            <v>KARNATAKA</v>
          </cell>
          <cell r="H227" t="str">
            <v>BANGALORE</v>
          </cell>
          <cell r="I227" t="str">
            <v>560 003</v>
          </cell>
          <cell r="J227" t="str">
            <v>003</v>
          </cell>
          <cell r="K227" t="str">
            <v>78210185</v>
          </cell>
          <cell r="L227" t="str">
            <v>N</v>
          </cell>
          <cell r="M227">
            <v>0</v>
          </cell>
          <cell r="O227" t="str">
            <v>N</v>
          </cell>
          <cell r="Q227" t="str">
            <v>264</v>
          </cell>
          <cell r="R227" t="str">
            <v>01</v>
          </cell>
          <cell r="S227" t="str">
            <v>01</v>
          </cell>
          <cell r="T227" t="str">
            <v>11</v>
          </cell>
          <cell r="U227">
            <v>0</v>
          </cell>
          <cell r="X227" t="str">
            <v>30001</v>
          </cell>
          <cell r="Y227" t="str">
            <v>00264</v>
          </cell>
        </row>
        <row r="228">
          <cell r="A228" t="str">
            <v>11010109</v>
          </cell>
          <cell r="B228" t="str">
            <v>01</v>
          </cell>
          <cell r="C228" t="str">
            <v>SRI DEVI ENTERPRISES</v>
          </cell>
          <cell r="D228" t="str">
            <v>GODOWN NO. 574</v>
          </cell>
          <cell r="E228" t="str">
            <v>OPP CHAMUNDESWARIO TEMPLE</v>
          </cell>
          <cell r="F228" t="str">
            <v>CHAMUNDESWARI EXTENSION</v>
          </cell>
          <cell r="G228" t="str">
            <v>KARNATAKA</v>
          </cell>
          <cell r="H228" t="str">
            <v>RAMANAGARAM</v>
          </cell>
          <cell r="I228" t="str">
            <v>571 511</v>
          </cell>
          <cell r="J228" t="str">
            <v>003</v>
          </cell>
          <cell r="K228" t="str">
            <v>15327905</v>
          </cell>
          <cell r="L228" t="str">
            <v>N</v>
          </cell>
          <cell r="M228">
            <v>0</v>
          </cell>
          <cell r="O228" t="str">
            <v>N</v>
          </cell>
          <cell r="Q228" t="str">
            <v>908</v>
          </cell>
          <cell r="R228" t="str">
            <v>01</v>
          </cell>
          <cell r="S228" t="str">
            <v>01</v>
          </cell>
          <cell r="T228" t="str">
            <v>11</v>
          </cell>
          <cell r="U228">
            <v>0</v>
          </cell>
          <cell r="X228" t="str">
            <v>30002</v>
          </cell>
          <cell r="Y228" t="str">
            <v>00908</v>
          </cell>
        </row>
        <row r="229">
          <cell r="A229" t="str">
            <v>11020000</v>
          </cell>
          <cell r="B229" t="str">
            <v>01</v>
          </cell>
          <cell r="C229" t="str">
            <v>C&amp;F AGENT    (HUBLI)</v>
          </cell>
          <cell r="D229" t="str">
            <v>Pl.No.58</v>
          </cell>
          <cell r="E229" t="str">
            <v>Cts no.5159 Near Vidhyut Nagar</v>
          </cell>
          <cell r="F229" t="str">
            <v>Karwar Road</v>
          </cell>
          <cell r="G229" t="str">
            <v>KARNATAKA</v>
          </cell>
          <cell r="H229" t="str">
            <v>HUBLI</v>
          </cell>
          <cell r="I229" t="str">
            <v>580024</v>
          </cell>
          <cell r="J229" t="str">
            <v>003</v>
          </cell>
          <cell r="K229" t="str">
            <v>KST: 0040145-6</v>
          </cell>
          <cell r="L229" t="str">
            <v>N</v>
          </cell>
          <cell r="M229">
            <v>0</v>
          </cell>
          <cell r="N229" t="str">
            <v>CST:0045145-9</v>
          </cell>
          <cell r="O229" t="str">
            <v>N</v>
          </cell>
          <cell r="Q229" t="str">
            <v>821</v>
          </cell>
          <cell r="R229" t="str">
            <v>02</v>
          </cell>
          <cell r="S229" t="str">
            <v>02</v>
          </cell>
          <cell r="T229" t="str">
            <v>11</v>
          </cell>
          <cell r="U229">
            <v>0</v>
          </cell>
          <cell r="X229" t="str">
            <v>30001</v>
          </cell>
          <cell r="Y229" t="str">
            <v>00821</v>
          </cell>
        </row>
        <row r="230">
          <cell r="A230" t="str">
            <v>11020002</v>
          </cell>
          <cell r="B230" t="str">
            <v>01</v>
          </cell>
          <cell r="C230" t="str">
            <v>R.S.KANDUKUR</v>
          </cell>
          <cell r="D230" t="str">
            <v>P.B.NO.9</v>
          </cell>
          <cell r="E230" t="str">
            <v>M G ROAD</v>
          </cell>
          <cell r="G230" t="str">
            <v>KARNATAKA</v>
          </cell>
          <cell r="H230" t="str">
            <v>BAGALKOT</v>
          </cell>
          <cell r="I230" t="str">
            <v>587101</v>
          </cell>
          <cell r="J230" t="str">
            <v>003</v>
          </cell>
          <cell r="K230" t="str">
            <v>KST 5320177-2</v>
          </cell>
          <cell r="L230" t="str">
            <v>N</v>
          </cell>
          <cell r="M230">
            <v>0</v>
          </cell>
          <cell r="N230" t="str">
            <v>CST 5325177-5</v>
          </cell>
          <cell r="O230" t="str">
            <v>N</v>
          </cell>
          <cell r="Q230" t="str">
            <v>236</v>
          </cell>
          <cell r="R230" t="str">
            <v>02</v>
          </cell>
          <cell r="S230" t="str">
            <v>02</v>
          </cell>
          <cell r="T230" t="str">
            <v>11</v>
          </cell>
          <cell r="X230" t="str">
            <v>30001</v>
          </cell>
          <cell r="Y230" t="str">
            <v>00236</v>
          </cell>
        </row>
        <row r="231">
          <cell r="A231" t="str">
            <v>11020003</v>
          </cell>
          <cell r="B231" t="str">
            <v>01</v>
          </cell>
          <cell r="C231" t="str">
            <v>H.RAMACHANDRAPPA SETTY &amp;</v>
          </cell>
          <cell r="D231" t="str">
            <v>SONS</v>
          </cell>
          <cell r="E231" t="str">
            <v>JUMMA MOSQUE STREET</v>
          </cell>
          <cell r="G231" t="str">
            <v>KARNATAKA</v>
          </cell>
          <cell r="H231" t="str">
            <v>BELLARY</v>
          </cell>
          <cell r="I231" t="str">
            <v>583101</v>
          </cell>
          <cell r="J231" t="str">
            <v>003</v>
          </cell>
          <cell r="K231" t="str">
            <v>KGST  8270114-3</v>
          </cell>
          <cell r="L231" t="str">
            <v>N</v>
          </cell>
          <cell r="M231">
            <v>0</v>
          </cell>
          <cell r="N231" t="str">
            <v>CST  8275114-6</v>
          </cell>
          <cell r="O231" t="str">
            <v>N</v>
          </cell>
          <cell r="Q231" t="str">
            <v>237</v>
          </cell>
          <cell r="R231" t="str">
            <v>02</v>
          </cell>
          <cell r="S231" t="str">
            <v>02</v>
          </cell>
          <cell r="T231" t="str">
            <v>11</v>
          </cell>
          <cell r="X231" t="str">
            <v>30001</v>
          </cell>
          <cell r="Y231" t="str">
            <v>00237</v>
          </cell>
        </row>
        <row r="232">
          <cell r="A232" t="str">
            <v>11020004</v>
          </cell>
          <cell r="B232" t="str">
            <v>01</v>
          </cell>
          <cell r="C232" t="str">
            <v>G K SAMANT</v>
          </cell>
          <cell r="D232" t="str">
            <v>1440, KALMATH ROAD</v>
          </cell>
          <cell r="G232" t="str">
            <v>KARNATAKA</v>
          </cell>
          <cell r="H232" t="str">
            <v>BELGAUM</v>
          </cell>
          <cell r="I232" t="str">
            <v>590002</v>
          </cell>
          <cell r="J232" t="str">
            <v>003</v>
          </cell>
          <cell r="K232" t="str">
            <v>KGST 5030146-9</v>
          </cell>
          <cell r="L232" t="str">
            <v>N</v>
          </cell>
          <cell r="M232">
            <v>0</v>
          </cell>
          <cell r="N232" t="str">
            <v>CST  5035146-1</v>
          </cell>
          <cell r="O232" t="str">
            <v>N</v>
          </cell>
          <cell r="Q232" t="str">
            <v>238</v>
          </cell>
          <cell r="R232" t="str">
            <v>02</v>
          </cell>
          <cell r="S232" t="str">
            <v>02</v>
          </cell>
          <cell r="T232" t="str">
            <v>11</v>
          </cell>
          <cell r="X232" t="str">
            <v>30001</v>
          </cell>
          <cell r="Y232" t="str">
            <v>00238</v>
          </cell>
        </row>
        <row r="233">
          <cell r="A233" t="str">
            <v>11020005</v>
          </cell>
          <cell r="B233" t="str">
            <v>01</v>
          </cell>
          <cell r="C233" t="str">
            <v>K VAMAN GANPAYYA SHANBHAG</v>
          </cell>
          <cell r="D233" t="str">
            <v>&amp; SONS</v>
          </cell>
          <cell r="E233" t="str">
            <v>MAIN ROAD</v>
          </cell>
          <cell r="G233" t="str">
            <v>KARNATAKA</v>
          </cell>
          <cell r="H233" t="str">
            <v>BHATKAL</v>
          </cell>
          <cell r="J233" t="str">
            <v>003</v>
          </cell>
          <cell r="K233" t="str">
            <v>KST  4350371-8</v>
          </cell>
          <cell r="L233" t="str">
            <v>N</v>
          </cell>
          <cell r="M233">
            <v>0</v>
          </cell>
          <cell r="N233" t="str">
            <v>CST  4353571-0</v>
          </cell>
          <cell r="O233" t="str">
            <v>N</v>
          </cell>
          <cell r="Q233" t="str">
            <v>239</v>
          </cell>
          <cell r="R233" t="str">
            <v>02</v>
          </cell>
          <cell r="S233" t="str">
            <v>02</v>
          </cell>
          <cell r="T233" t="str">
            <v>11</v>
          </cell>
          <cell r="U233">
            <v>0</v>
          </cell>
          <cell r="X233" t="str">
            <v>30001</v>
          </cell>
          <cell r="Y233" t="str">
            <v>00239</v>
          </cell>
        </row>
        <row r="234">
          <cell r="A234" t="str">
            <v>11020006</v>
          </cell>
          <cell r="B234" t="str">
            <v>01</v>
          </cell>
          <cell r="C234" t="str">
            <v>SRI GURURAJ AGENCIES</v>
          </cell>
          <cell r="D234" t="str">
            <v>SINDOL SHOPPING COMPLEX</v>
          </cell>
          <cell r="E234" t="str">
            <v>NEAR RAILWAY STATION</v>
          </cell>
          <cell r="G234" t="str">
            <v>KARNATAKA</v>
          </cell>
          <cell r="H234" t="str">
            <v>BIDAR</v>
          </cell>
          <cell r="I234" t="str">
            <v>585401</v>
          </cell>
          <cell r="J234" t="str">
            <v>003</v>
          </cell>
          <cell r="K234" t="str">
            <v>KST :63522135/07.11.96</v>
          </cell>
          <cell r="L234" t="str">
            <v>N</v>
          </cell>
          <cell r="M234">
            <v>0</v>
          </cell>
          <cell r="N234" t="str">
            <v>CST :63572138/21.11.96</v>
          </cell>
          <cell r="O234" t="str">
            <v>N</v>
          </cell>
          <cell r="Q234" t="str">
            <v>240</v>
          </cell>
          <cell r="R234" t="str">
            <v>02</v>
          </cell>
          <cell r="S234" t="str">
            <v>02</v>
          </cell>
          <cell r="T234" t="str">
            <v>11</v>
          </cell>
          <cell r="X234" t="str">
            <v>30001</v>
          </cell>
          <cell r="Y234" t="str">
            <v>00240</v>
          </cell>
        </row>
        <row r="235">
          <cell r="A235" t="str">
            <v>11020007</v>
          </cell>
          <cell r="B235" t="str">
            <v>01</v>
          </cell>
          <cell r="C235" t="str">
            <v>S V DANDUR &amp; SONS GEN MER</v>
          </cell>
          <cell r="D235" t="str">
            <v>MAIN ROAD</v>
          </cell>
          <cell r="G235" t="str">
            <v>KARNATAKA</v>
          </cell>
          <cell r="H235" t="str">
            <v>BYADGI DHARWAR</v>
          </cell>
          <cell r="I235" t="str">
            <v>587106</v>
          </cell>
          <cell r="J235" t="str">
            <v>003</v>
          </cell>
          <cell r="K235" t="str">
            <v>KST 4300044-7</v>
          </cell>
          <cell r="L235" t="str">
            <v>N</v>
          </cell>
          <cell r="M235">
            <v>0</v>
          </cell>
          <cell r="N235" t="str">
            <v>CST 4305044-0</v>
          </cell>
          <cell r="O235" t="str">
            <v>N</v>
          </cell>
          <cell r="Q235" t="str">
            <v>241</v>
          </cell>
          <cell r="R235" t="str">
            <v>02</v>
          </cell>
          <cell r="S235" t="str">
            <v>02</v>
          </cell>
          <cell r="T235" t="str">
            <v>11</v>
          </cell>
          <cell r="X235" t="str">
            <v>30002</v>
          </cell>
          <cell r="Y235" t="str">
            <v>00241</v>
          </cell>
        </row>
        <row r="236">
          <cell r="A236" t="str">
            <v>11020008</v>
          </cell>
          <cell r="B236" t="str">
            <v>01</v>
          </cell>
          <cell r="C236" t="str">
            <v>TULASI AGENCIES</v>
          </cell>
          <cell r="D236" t="str">
            <v>BUNDER ROAD</v>
          </cell>
          <cell r="G236" t="str">
            <v>KARNATAKA</v>
          </cell>
          <cell r="H236" t="str">
            <v>HONAVAR</v>
          </cell>
          <cell r="I236" t="str">
            <v>581334</v>
          </cell>
          <cell r="J236" t="str">
            <v>003</v>
          </cell>
          <cell r="K236" t="str">
            <v>KGST 4772513-8</v>
          </cell>
          <cell r="L236" t="str">
            <v>N</v>
          </cell>
          <cell r="M236">
            <v>0</v>
          </cell>
          <cell r="N236" t="str">
            <v>CST 4777513-8</v>
          </cell>
          <cell r="O236" t="str">
            <v>N</v>
          </cell>
          <cell r="Q236" t="str">
            <v>242</v>
          </cell>
          <cell r="R236" t="str">
            <v>02</v>
          </cell>
          <cell r="S236" t="str">
            <v>02</v>
          </cell>
          <cell r="T236" t="str">
            <v>11</v>
          </cell>
          <cell r="X236" t="str">
            <v>30001</v>
          </cell>
          <cell r="Y236" t="str">
            <v>00242</v>
          </cell>
        </row>
        <row r="237">
          <cell r="A237" t="str">
            <v>11020009</v>
          </cell>
          <cell r="B237" t="str">
            <v>01</v>
          </cell>
          <cell r="C237" t="str">
            <v>TIKARE BROS</v>
          </cell>
          <cell r="D237" t="str">
            <v>No.31,KEMPGERI</v>
          </cell>
          <cell r="E237" t="str">
            <v>IYENGAR BUILDING</v>
          </cell>
          <cell r="F237" t="str">
            <v>SHIVANAND NAGAR</v>
          </cell>
          <cell r="G237" t="str">
            <v>KARNATAKA</v>
          </cell>
          <cell r="H237" t="str">
            <v>DHARWAD</v>
          </cell>
          <cell r="I237" t="str">
            <v>580 001</v>
          </cell>
          <cell r="J237" t="str">
            <v>003</v>
          </cell>
          <cell r="K237" t="str">
            <v>KST  4170174-4/2.4.73</v>
          </cell>
          <cell r="L237" t="str">
            <v>N</v>
          </cell>
          <cell r="M237">
            <v>0</v>
          </cell>
          <cell r="N237" t="str">
            <v>CST  4175175-7/2.4.73</v>
          </cell>
          <cell r="O237" t="str">
            <v>N</v>
          </cell>
          <cell r="Q237" t="str">
            <v>243</v>
          </cell>
          <cell r="R237" t="str">
            <v>02</v>
          </cell>
          <cell r="S237" t="str">
            <v>02</v>
          </cell>
          <cell r="T237" t="str">
            <v>11</v>
          </cell>
          <cell r="U237">
            <v>0</v>
          </cell>
          <cell r="X237" t="str">
            <v>30001</v>
          </cell>
          <cell r="Y237" t="str">
            <v>00243</v>
          </cell>
        </row>
        <row r="238">
          <cell r="A238" t="str">
            <v>11020010</v>
          </cell>
          <cell r="B238" t="str">
            <v>01</v>
          </cell>
          <cell r="C238" t="str">
            <v>D.C.VAJJRAVATTI &amp; SONS</v>
          </cell>
          <cell r="D238" t="str">
            <v>MAIN ROAD</v>
          </cell>
          <cell r="G238" t="str">
            <v>KARNATAKA</v>
          </cell>
          <cell r="H238" t="str">
            <v>MAHALINGPUR</v>
          </cell>
          <cell r="I238" t="str">
            <v>587312</v>
          </cell>
          <cell r="J238" t="str">
            <v>003</v>
          </cell>
          <cell r="K238" t="str">
            <v>KGST 5753402-0</v>
          </cell>
          <cell r="L238" t="str">
            <v>N</v>
          </cell>
          <cell r="M238">
            <v>0</v>
          </cell>
          <cell r="N238" t="str">
            <v>CST 5758402-3</v>
          </cell>
          <cell r="O238" t="str">
            <v>N</v>
          </cell>
          <cell r="Q238" t="str">
            <v>244</v>
          </cell>
          <cell r="R238" t="str">
            <v>02</v>
          </cell>
          <cell r="S238" t="str">
            <v>02</v>
          </cell>
          <cell r="T238" t="str">
            <v>11</v>
          </cell>
          <cell r="X238" t="str">
            <v>30002</v>
          </cell>
          <cell r="Y238" t="str">
            <v>00244</v>
          </cell>
        </row>
        <row r="239">
          <cell r="A239" t="str">
            <v>11020011</v>
          </cell>
          <cell r="B239" t="str">
            <v>01</v>
          </cell>
          <cell r="C239" t="str">
            <v>DURGA ENTERPRISES</v>
          </cell>
          <cell r="D239" t="str">
            <v>CLOTH MARKET</v>
          </cell>
          <cell r="E239" t="str">
            <v>P.B.NO.12</v>
          </cell>
          <cell r="G239" t="str">
            <v>KARNATAKA</v>
          </cell>
          <cell r="H239" t="str">
            <v>GADAG</v>
          </cell>
          <cell r="I239" t="str">
            <v>582101</v>
          </cell>
          <cell r="J239" t="str">
            <v>003</v>
          </cell>
          <cell r="K239" t="str">
            <v>KGST  4231641-8</v>
          </cell>
          <cell r="L239" t="str">
            <v>N</v>
          </cell>
          <cell r="M239">
            <v>0</v>
          </cell>
          <cell r="N239" t="str">
            <v>CST 4236640-9</v>
          </cell>
          <cell r="O239" t="str">
            <v>N</v>
          </cell>
          <cell r="Q239" t="str">
            <v>245</v>
          </cell>
          <cell r="R239" t="str">
            <v>02</v>
          </cell>
          <cell r="S239" t="str">
            <v>02</v>
          </cell>
          <cell r="T239" t="str">
            <v>11</v>
          </cell>
          <cell r="X239" t="str">
            <v>30001</v>
          </cell>
          <cell r="Y239" t="str">
            <v>00245</v>
          </cell>
        </row>
        <row r="240">
          <cell r="A240" t="str">
            <v>11020012</v>
          </cell>
          <cell r="B240" t="str">
            <v>01</v>
          </cell>
          <cell r="C240" t="str">
            <v>KHANAGE BROS</v>
          </cell>
          <cell r="D240" t="str">
            <v>4 SUPER MARKET COMPLEX</v>
          </cell>
          <cell r="E240" t="str">
            <v>P.B.NO:21</v>
          </cell>
          <cell r="G240" t="str">
            <v>KARNATAKA</v>
          </cell>
          <cell r="H240" t="str">
            <v>GULBARGA</v>
          </cell>
          <cell r="I240" t="str">
            <v>585101</v>
          </cell>
          <cell r="J240" t="str">
            <v>003</v>
          </cell>
          <cell r="K240" t="str">
            <v>KST  6330278-0</v>
          </cell>
          <cell r="L240" t="str">
            <v>N</v>
          </cell>
          <cell r="M240">
            <v>0</v>
          </cell>
          <cell r="N240" t="str">
            <v>CST  6335278-4</v>
          </cell>
          <cell r="O240" t="str">
            <v>N</v>
          </cell>
          <cell r="Q240" t="str">
            <v>246</v>
          </cell>
          <cell r="R240" t="str">
            <v>02</v>
          </cell>
          <cell r="S240" t="str">
            <v>02</v>
          </cell>
          <cell r="T240" t="str">
            <v>11</v>
          </cell>
          <cell r="X240" t="str">
            <v>30001</v>
          </cell>
          <cell r="Y240" t="str">
            <v>00246</v>
          </cell>
        </row>
        <row r="241">
          <cell r="A241" t="str">
            <v>11020013</v>
          </cell>
          <cell r="B241" t="str">
            <v>01</v>
          </cell>
          <cell r="C241" t="str">
            <v>ASHOK ENTERPRISES</v>
          </cell>
          <cell r="D241" t="str">
            <v>3029/C,RAVIWAR PETH</v>
          </cell>
          <cell r="G241" t="str">
            <v>KARNATAKA</v>
          </cell>
          <cell r="H241" t="str">
            <v>GOKAK</v>
          </cell>
          <cell r="I241" t="str">
            <v>591307</v>
          </cell>
          <cell r="J241" t="str">
            <v>003</v>
          </cell>
          <cell r="K241" t="str">
            <v>KST 5211151-9</v>
          </cell>
          <cell r="L241" t="str">
            <v>N</v>
          </cell>
          <cell r="M241">
            <v>0</v>
          </cell>
          <cell r="O241" t="str">
            <v>N</v>
          </cell>
          <cell r="Q241" t="str">
            <v>247</v>
          </cell>
          <cell r="R241" t="str">
            <v>02</v>
          </cell>
          <cell r="S241" t="str">
            <v>02</v>
          </cell>
          <cell r="T241" t="str">
            <v>11</v>
          </cell>
          <cell r="X241" t="str">
            <v>30001</v>
          </cell>
          <cell r="Y241" t="str">
            <v>00247</v>
          </cell>
        </row>
        <row r="242">
          <cell r="A242" t="str">
            <v>11020014</v>
          </cell>
          <cell r="B242" t="str">
            <v>01</v>
          </cell>
          <cell r="C242" t="str">
            <v>A M KITTOOR</v>
          </cell>
          <cell r="D242" t="str">
            <v>MAIN ROAD</v>
          </cell>
          <cell r="G242" t="str">
            <v>KARNATAKA</v>
          </cell>
          <cell r="H242" t="str">
            <v>KARWAR</v>
          </cell>
          <cell r="I242" t="str">
            <v>581301</v>
          </cell>
          <cell r="J242" t="str">
            <v>003</v>
          </cell>
          <cell r="K242" t="str">
            <v>KST  4011452-1</v>
          </cell>
          <cell r="L242" t="str">
            <v>N</v>
          </cell>
          <cell r="M242">
            <v>0</v>
          </cell>
          <cell r="N242" t="str">
            <v>CST  4016452-4</v>
          </cell>
          <cell r="O242" t="str">
            <v>N</v>
          </cell>
          <cell r="Q242" t="str">
            <v>248</v>
          </cell>
          <cell r="R242" t="str">
            <v>02</v>
          </cell>
          <cell r="S242" t="str">
            <v>02</v>
          </cell>
          <cell r="T242" t="str">
            <v>11</v>
          </cell>
          <cell r="X242" t="str">
            <v>30002</v>
          </cell>
          <cell r="Y242" t="str">
            <v>00248</v>
          </cell>
        </row>
        <row r="243">
          <cell r="A243" t="str">
            <v>11020015</v>
          </cell>
          <cell r="B243" t="str">
            <v>01</v>
          </cell>
          <cell r="C243" t="str">
            <v>THE SUPREME TRADING AGCY.</v>
          </cell>
          <cell r="D243" t="str">
            <v>STATION ROAD</v>
          </cell>
          <cell r="G243" t="str">
            <v>KARNATAKA</v>
          </cell>
          <cell r="H243" t="str">
            <v>HUBLI</v>
          </cell>
          <cell r="I243" t="str">
            <v>580020</v>
          </cell>
          <cell r="J243" t="str">
            <v>003</v>
          </cell>
          <cell r="K243" t="str">
            <v>KST  4160284 \5</v>
          </cell>
          <cell r="L243" t="str">
            <v>N</v>
          </cell>
          <cell r="M243">
            <v>0</v>
          </cell>
          <cell r="N243" t="str">
            <v>CST  4165284 \8</v>
          </cell>
          <cell r="O243" t="str">
            <v>N</v>
          </cell>
          <cell r="Q243" t="str">
            <v>249</v>
          </cell>
          <cell r="R243" t="str">
            <v>02</v>
          </cell>
          <cell r="S243" t="str">
            <v>02</v>
          </cell>
          <cell r="T243" t="str">
            <v>11</v>
          </cell>
          <cell r="U243">
            <v>0</v>
          </cell>
          <cell r="X243" t="str">
            <v>30001</v>
          </cell>
          <cell r="Y243" t="str">
            <v>00249</v>
          </cell>
        </row>
        <row r="244">
          <cell r="A244" t="str">
            <v>11020016</v>
          </cell>
          <cell r="B244" t="str">
            <v>01</v>
          </cell>
          <cell r="C244" t="str">
            <v>JAMBU MARKETING</v>
          </cell>
          <cell r="D244" t="str">
            <v>50/B1-5,MURGOD ROAD</v>
          </cell>
          <cell r="G244" t="str">
            <v>KARNATAKA</v>
          </cell>
          <cell r="H244" t="str">
            <v>NIPANI</v>
          </cell>
          <cell r="I244" t="str">
            <v>591237</v>
          </cell>
          <cell r="J244" t="str">
            <v>003</v>
          </cell>
          <cell r="K244" t="str">
            <v>KGST 5190783-5</v>
          </cell>
          <cell r="L244" t="str">
            <v>N</v>
          </cell>
          <cell r="M244">
            <v>0</v>
          </cell>
          <cell r="N244" t="str">
            <v>CST 5195783-8</v>
          </cell>
          <cell r="O244" t="str">
            <v>N</v>
          </cell>
          <cell r="Q244" t="str">
            <v>250</v>
          </cell>
          <cell r="R244" t="str">
            <v>02</v>
          </cell>
          <cell r="S244" t="str">
            <v>02</v>
          </cell>
          <cell r="T244" t="str">
            <v>11</v>
          </cell>
          <cell r="X244" t="str">
            <v>30001</v>
          </cell>
          <cell r="Y244" t="str">
            <v>00250</v>
          </cell>
        </row>
        <row r="245">
          <cell r="A245" t="str">
            <v>11020017</v>
          </cell>
          <cell r="B245" t="str">
            <v>01</v>
          </cell>
          <cell r="C245" t="str">
            <v>ABDUR RAHIM MOHD YAKUB</v>
          </cell>
          <cell r="D245" t="str">
            <v>P B NO 25 NETAJI ROAD</v>
          </cell>
          <cell r="G245" t="str">
            <v>KARNATAKA</v>
          </cell>
          <cell r="H245" t="str">
            <v>RAICHUR</v>
          </cell>
          <cell r="I245" t="str">
            <v>564101</v>
          </cell>
          <cell r="J245" t="str">
            <v>003</v>
          </cell>
          <cell r="K245" t="str">
            <v>KST  6170059-9</v>
          </cell>
          <cell r="L245" t="str">
            <v>N</v>
          </cell>
          <cell r="M245">
            <v>0</v>
          </cell>
          <cell r="N245" t="str">
            <v>CST  6175059-1</v>
          </cell>
          <cell r="O245" t="str">
            <v>N</v>
          </cell>
          <cell r="Q245" t="str">
            <v>251</v>
          </cell>
          <cell r="R245" t="str">
            <v>02</v>
          </cell>
          <cell r="S245" t="str">
            <v>02</v>
          </cell>
          <cell r="T245" t="str">
            <v>11</v>
          </cell>
          <cell r="X245" t="str">
            <v>30001</v>
          </cell>
          <cell r="Y245" t="str">
            <v>00251</v>
          </cell>
        </row>
        <row r="246">
          <cell r="A246" t="str">
            <v>11020018</v>
          </cell>
          <cell r="B246" t="str">
            <v>01</v>
          </cell>
          <cell r="C246" t="str">
            <v>SRI MARUDHAR ENTERPRIES</v>
          </cell>
          <cell r="D246" t="str">
            <v>5-1-19,NEAR JAIN TEMPLE</v>
          </cell>
          <cell r="G246" t="str">
            <v>KARNATAKA</v>
          </cell>
          <cell r="H246" t="str">
            <v>SINDHANUR</v>
          </cell>
          <cell r="I246" t="str">
            <v>584128</v>
          </cell>
          <cell r="J246" t="str">
            <v>003</v>
          </cell>
          <cell r="K246" t="str">
            <v>KGST 6250646-8/25.10.84</v>
          </cell>
          <cell r="L246" t="str">
            <v>N</v>
          </cell>
          <cell r="M246">
            <v>0</v>
          </cell>
          <cell r="N246" t="str">
            <v>CST 6255646-0/28.10.84</v>
          </cell>
          <cell r="O246" t="str">
            <v>N</v>
          </cell>
          <cell r="Q246" t="str">
            <v>252</v>
          </cell>
          <cell r="R246" t="str">
            <v>02</v>
          </cell>
          <cell r="S246" t="str">
            <v>02</v>
          </cell>
          <cell r="T246" t="str">
            <v>11</v>
          </cell>
          <cell r="X246" t="str">
            <v>30002</v>
          </cell>
          <cell r="Y246" t="str">
            <v>00252</v>
          </cell>
        </row>
        <row r="247">
          <cell r="A247" t="str">
            <v>11020019</v>
          </cell>
          <cell r="B247" t="str">
            <v>01</v>
          </cell>
          <cell r="C247" t="str">
            <v>PRAVEEN DISTRIBUTORES</v>
          </cell>
          <cell r="D247" t="str">
            <v>SHOP NO 3, MITHAJAS COMPLEX</v>
          </cell>
          <cell r="E247" t="str">
            <v>11-4-65, CLOTH BAZAAR</v>
          </cell>
          <cell r="G247" t="str">
            <v>KARNATAKA</v>
          </cell>
          <cell r="H247" t="str">
            <v>RAICHUR</v>
          </cell>
          <cell r="I247" t="str">
            <v>584101</v>
          </cell>
          <cell r="J247" t="str">
            <v>003</v>
          </cell>
          <cell r="K247" t="str">
            <v>KGST 6211413-0</v>
          </cell>
          <cell r="L247" t="str">
            <v>N</v>
          </cell>
          <cell r="M247">
            <v>0</v>
          </cell>
          <cell r="N247" t="str">
            <v>CST 6216413-2</v>
          </cell>
          <cell r="O247" t="str">
            <v>N</v>
          </cell>
          <cell r="Q247" t="str">
            <v>253</v>
          </cell>
          <cell r="R247" t="str">
            <v>02</v>
          </cell>
          <cell r="S247" t="str">
            <v>02</v>
          </cell>
          <cell r="T247" t="str">
            <v>11</v>
          </cell>
          <cell r="X247" t="str">
            <v>30001</v>
          </cell>
          <cell r="Y247" t="str">
            <v>00253</v>
          </cell>
        </row>
        <row r="248">
          <cell r="A248" t="str">
            <v>11020020</v>
          </cell>
          <cell r="B248" t="str">
            <v>01</v>
          </cell>
          <cell r="C248" t="str">
            <v>GAJANAN AGENCY</v>
          </cell>
          <cell r="D248" t="str">
            <v>MAIN ROAD</v>
          </cell>
          <cell r="G248" t="str">
            <v>KARNATAKA</v>
          </cell>
          <cell r="H248" t="str">
            <v>SHAHABAD(GULBAR</v>
          </cell>
          <cell r="I248" t="str">
            <v>585228</v>
          </cell>
          <cell r="J248" t="str">
            <v>003</v>
          </cell>
          <cell r="K248" t="str">
            <v>KGST 6330159-3</v>
          </cell>
          <cell r="L248" t="str">
            <v>N</v>
          </cell>
          <cell r="M248">
            <v>0</v>
          </cell>
          <cell r="O248" t="str">
            <v>N</v>
          </cell>
          <cell r="Q248" t="str">
            <v>254</v>
          </cell>
          <cell r="R248" t="str">
            <v>02</v>
          </cell>
          <cell r="S248" t="str">
            <v>02</v>
          </cell>
          <cell r="T248" t="str">
            <v>11</v>
          </cell>
          <cell r="X248" t="str">
            <v>30002</v>
          </cell>
          <cell r="Y248" t="str">
            <v>00254</v>
          </cell>
        </row>
        <row r="249">
          <cell r="A249" t="str">
            <v>11020021</v>
          </cell>
          <cell r="B249" t="str">
            <v>01</v>
          </cell>
          <cell r="C249" t="str">
            <v>LAKSHMI TRADERS</v>
          </cell>
          <cell r="D249" t="str">
            <v>POST BOX NO 95</v>
          </cell>
          <cell r="E249" t="str">
            <v>1/37,MAHADEVPET</v>
          </cell>
          <cell r="G249" t="str">
            <v>KARNATAKA</v>
          </cell>
          <cell r="H249" t="str">
            <v>MERCARA</v>
          </cell>
          <cell r="I249" t="str">
            <v>571201</v>
          </cell>
          <cell r="J249" t="str">
            <v>003</v>
          </cell>
          <cell r="K249" t="str">
            <v>KST 32604580</v>
          </cell>
          <cell r="L249" t="str">
            <v>N</v>
          </cell>
          <cell r="M249">
            <v>0</v>
          </cell>
          <cell r="O249" t="str">
            <v>N</v>
          </cell>
          <cell r="Q249" t="str">
            <v>255</v>
          </cell>
          <cell r="R249" t="str">
            <v>02</v>
          </cell>
          <cell r="S249" t="str">
            <v>02</v>
          </cell>
          <cell r="T249" t="str">
            <v>11</v>
          </cell>
          <cell r="X249" t="str">
            <v>30001</v>
          </cell>
          <cell r="Y249" t="str">
            <v>00255</v>
          </cell>
        </row>
        <row r="250">
          <cell r="A250" t="str">
            <v>11020022</v>
          </cell>
          <cell r="B250" t="str">
            <v>01</v>
          </cell>
          <cell r="C250" t="str">
            <v>POPULAR STORES</v>
          </cell>
          <cell r="D250" t="str">
            <v>C.P.BAZAAR</v>
          </cell>
          <cell r="G250" t="str">
            <v>KARNATAKA</v>
          </cell>
          <cell r="H250" t="str">
            <v>SIRSI</v>
          </cell>
          <cell r="I250" t="str">
            <v>581401</v>
          </cell>
          <cell r="J250" t="str">
            <v>003</v>
          </cell>
          <cell r="K250" t="str">
            <v>KGST 4310309-1/1.4.64</v>
          </cell>
          <cell r="L250" t="str">
            <v>N</v>
          </cell>
          <cell r="M250">
            <v>0</v>
          </cell>
          <cell r="N250" t="str">
            <v>CST 4315309-4/1.4.64</v>
          </cell>
          <cell r="O250" t="str">
            <v>N</v>
          </cell>
          <cell r="Q250" t="str">
            <v>256</v>
          </cell>
          <cell r="R250" t="str">
            <v>02</v>
          </cell>
          <cell r="S250" t="str">
            <v>02</v>
          </cell>
          <cell r="T250" t="str">
            <v>11</v>
          </cell>
          <cell r="X250" t="str">
            <v>30001</v>
          </cell>
          <cell r="Y250" t="str">
            <v>00256</v>
          </cell>
        </row>
        <row r="251">
          <cell r="A251" t="str">
            <v>11020023</v>
          </cell>
          <cell r="B251" t="str">
            <v>01</v>
          </cell>
          <cell r="C251" t="str">
            <v>G P KHANDELWAL SONS</v>
          </cell>
          <cell r="D251" t="str">
            <v>WADI JUNCTION C RLY</v>
          </cell>
          <cell r="G251" t="str">
            <v>KARNATAKA</v>
          </cell>
          <cell r="H251" t="str">
            <v>WADI</v>
          </cell>
          <cell r="I251" t="str">
            <v>585211</v>
          </cell>
          <cell r="J251" t="str">
            <v>003</v>
          </cell>
          <cell r="K251" t="str">
            <v>KST  6290944-7</v>
          </cell>
          <cell r="L251" t="str">
            <v>N</v>
          </cell>
          <cell r="M251">
            <v>0</v>
          </cell>
          <cell r="N251" t="str">
            <v>CST  6295944-0</v>
          </cell>
          <cell r="O251" t="str">
            <v>N</v>
          </cell>
          <cell r="Q251" t="str">
            <v>257</v>
          </cell>
          <cell r="R251" t="str">
            <v>02</v>
          </cell>
          <cell r="S251" t="str">
            <v>02</v>
          </cell>
          <cell r="T251" t="str">
            <v>11</v>
          </cell>
          <cell r="X251" t="str">
            <v>30002</v>
          </cell>
          <cell r="Y251" t="str">
            <v>00257</v>
          </cell>
        </row>
        <row r="252">
          <cell r="A252" t="str">
            <v>11020024</v>
          </cell>
          <cell r="B252" t="str">
            <v>01</v>
          </cell>
          <cell r="C252" t="str">
            <v>ASHOK AGENCIES</v>
          </cell>
          <cell r="D252" t="str">
            <v>MAIN ROAD</v>
          </cell>
          <cell r="G252" t="str">
            <v>KARNATAKA</v>
          </cell>
          <cell r="H252" t="str">
            <v>YADGIRI</v>
          </cell>
          <cell r="I252" t="str">
            <v>585201</v>
          </cell>
          <cell r="J252" t="str">
            <v>003</v>
          </cell>
          <cell r="K252" t="str">
            <v>KGST 62312674</v>
          </cell>
          <cell r="L252" t="str">
            <v>N</v>
          </cell>
          <cell r="M252">
            <v>0</v>
          </cell>
          <cell r="N252" t="str">
            <v>CST 62362677</v>
          </cell>
          <cell r="O252" t="str">
            <v>N</v>
          </cell>
          <cell r="Q252" t="str">
            <v>258</v>
          </cell>
          <cell r="R252" t="str">
            <v>02</v>
          </cell>
          <cell r="S252" t="str">
            <v>02</v>
          </cell>
          <cell r="T252" t="str">
            <v>11</v>
          </cell>
          <cell r="X252" t="str">
            <v>30002</v>
          </cell>
          <cell r="Y252" t="str">
            <v>00258</v>
          </cell>
        </row>
        <row r="253">
          <cell r="A253" t="str">
            <v>11020025</v>
          </cell>
          <cell r="B253" t="str">
            <v>01</v>
          </cell>
          <cell r="C253" t="str">
            <v>SRIPADA TRADERS</v>
          </cell>
          <cell r="D253" t="str">
            <v>79/10 WARD, MAIN ROAD</v>
          </cell>
          <cell r="G253" t="str">
            <v>KARNATAKA</v>
          </cell>
          <cell r="H253" t="str">
            <v>HOSPET</v>
          </cell>
          <cell r="I253" t="str">
            <v>583201</v>
          </cell>
          <cell r="J253" t="str">
            <v>003</v>
          </cell>
          <cell r="K253" t="str">
            <v>KGST 82912658</v>
          </cell>
          <cell r="L253" t="str">
            <v>N</v>
          </cell>
          <cell r="M253">
            <v>0</v>
          </cell>
          <cell r="O253" t="str">
            <v>N</v>
          </cell>
          <cell r="Q253" t="str">
            <v>259</v>
          </cell>
          <cell r="R253" t="str">
            <v>02</v>
          </cell>
          <cell r="S253" t="str">
            <v>02</v>
          </cell>
          <cell r="T253" t="str">
            <v>11</v>
          </cell>
          <cell r="X253" t="str">
            <v>30002</v>
          </cell>
          <cell r="Y253" t="str">
            <v>00259</v>
          </cell>
        </row>
        <row r="254">
          <cell r="A254" t="str">
            <v>11020026</v>
          </cell>
          <cell r="B254" t="str">
            <v>01</v>
          </cell>
          <cell r="C254" t="str">
            <v>NIDONI BROS</v>
          </cell>
          <cell r="D254" t="str">
            <v>1006 RAVIWAR PETH</v>
          </cell>
          <cell r="G254" t="str">
            <v>KARNATAKA</v>
          </cell>
          <cell r="H254" t="str">
            <v>ATHANI</v>
          </cell>
          <cell r="I254" t="str">
            <v>591304</v>
          </cell>
          <cell r="J254" t="str">
            <v>003</v>
          </cell>
          <cell r="K254" t="str">
            <v>KST  5210832 6</v>
          </cell>
          <cell r="L254" t="str">
            <v>N</v>
          </cell>
          <cell r="M254">
            <v>0</v>
          </cell>
          <cell r="N254" t="str">
            <v>CST  5215832 9</v>
          </cell>
          <cell r="O254" t="str">
            <v>N</v>
          </cell>
          <cell r="Q254" t="str">
            <v>260</v>
          </cell>
          <cell r="R254" t="str">
            <v>02</v>
          </cell>
          <cell r="S254" t="str">
            <v>02</v>
          </cell>
          <cell r="T254" t="str">
            <v>11</v>
          </cell>
          <cell r="X254" t="str">
            <v>30001</v>
          </cell>
          <cell r="Y254" t="str">
            <v>00260</v>
          </cell>
        </row>
        <row r="255">
          <cell r="A255" t="str">
            <v>11020027</v>
          </cell>
          <cell r="B255" t="str">
            <v>01</v>
          </cell>
          <cell r="C255" t="str">
            <v>SRINIVASA TRADE LINKS</v>
          </cell>
          <cell r="D255" t="str">
            <v>O.S.B.ROAD</v>
          </cell>
          <cell r="G255" t="str">
            <v>KARNATAKA</v>
          </cell>
          <cell r="H255" t="str">
            <v>GANGAVATHI,</v>
          </cell>
          <cell r="I255" t="str">
            <v>583227</v>
          </cell>
          <cell r="J255" t="str">
            <v>003</v>
          </cell>
          <cell r="K255" t="str">
            <v>KGST 61329654/16.05.94</v>
          </cell>
          <cell r="L255" t="str">
            <v>N</v>
          </cell>
          <cell r="M255">
            <v>0</v>
          </cell>
          <cell r="O255" t="str">
            <v>N</v>
          </cell>
          <cell r="Q255" t="str">
            <v>261</v>
          </cell>
          <cell r="R255" t="str">
            <v>02</v>
          </cell>
          <cell r="S255" t="str">
            <v>02</v>
          </cell>
          <cell r="T255" t="str">
            <v>11</v>
          </cell>
          <cell r="X255" t="str">
            <v>30002</v>
          </cell>
          <cell r="Y255" t="str">
            <v>00261</v>
          </cell>
        </row>
        <row r="256">
          <cell r="A256" t="str">
            <v>11020028</v>
          </cell>
          <cell r="B256" t="str">
            <v>01</v>
          </cell>
          <cell r="C256" t="str">
            <v>ANNAPURNA TRADERS</v>
          </cell>
          <cell r="D256" t="str">
            <v>VEERAYYA SWAMI COMPLEX</v>
          </cell>
          <cell r="E256" t="str">
            <v>HOSUR ROAD</v>
          </cell>
          <cell r="G256" t="str">
            <v>KARNATAKA</v>
          </cell>
          <cell r="H256" t="str">
            <v>BASAVAKALYAN</v>
          </cell>
          <cell r="I256" t="str">
            <v>585327</v>
          </cell>
          <cell r="J256" t="str">
            <v>003</v>
          </cell>
          <cell r="K256" t="str">
            <v>KGST 67138123</v>
          </cell>
          <cell r="L256" t="str">
            <v>N</v>
          </cell>
          <cell r="M256">
            <v>0</v>
          </cell>
          <cell r="O256" t="str">
            <v>N</v>
          </cell>
          <cell r="Q256" t="str">
            <v>262</v>
          </cell>
          <cell r="R256" t="str">
            <v>02</v>
          </cell>
          <cell r="S256" t="str">
            <v>02</v>
          </cell>
          <cell r="T256" t="str">
            <v>11</v>
          </cell>
          <cell r="X256" t="str">
            <v>30002</v>
          </cell>
          <cell r="Y256" t="str">
            <v>00262</v>
          </cell>
        </row>
        <row r="257">
          <cell r="A257" t="str">
            <v>11020029</v>
          </cell>
          <cell r="B257" t="str">
            <v>01</v>
          </cell>
          <cell r="C257" t="str">
            <v>CLASSIC DISTRIBUTORS</v>
          </cell>
          <cell r="D257" t="str">
            <v>JYOTHI NILAYA</v>
          </cell>
          <cell r="E257" t="str">
            <v>2ND CROSS</v>
          </cell>
          <cell r="F257" t="str">
            <v>VENKATESH NAGAR</v>
          </cell>
          <cell r="G257" t="str">
            <v>KARNATAKA</v>
          </cell>
          <cell r="H257" t="str">
            <v>SHIMOGA</v>
          </cell>
          <cell r="I257" t="str">
            <v>577 201</v>
          </cell>
          <cell r="J257" t="str">
            <v>003</v>
          </cell>
          <cell r="K257" t="str">
            <v>KST 81728293</v>
          </cell>
          <cell r="L257" t="str">
            <v>N</v>
          </cell>
          <cell r="M257">
            <v>0</v>
          </cell>
          <cell r="N257" t="str">
            <v>CST 81778296</v>
          </cell>
          <cell r="O257" t="str">
            <v>N</v>
          </cell>
          <cell r="Q257" t="str">
            <v>263</v>
          </cell>
          <cell r="R257" t="str">
            <v>02</v>
          </cell>
          <cell r="S257" t="str">
            <v>02</v>
          </cell>
          <cell r="T257" t="str">
            <v>11</v>
          </cell>
          <cell r="X257" t="str">
            <v>30001</v>
          </cell>
          <cell r="Y257" t="str">
            <v>00263</v>
          </cell>
        </row>
        <row r="258">
          <cell r="A258" t="str">
            <v>11020030</v>
          </cell>
          <cell r="B258" t="str">
            <v>01</v>
          </cell>
          <cell r="C258" t="str">
            <v>SPANDANA BUSINESS HOUSE</v>
          </cell>
          <cell r="D258" t="str">
            <v>No. 100 AECS LAYOUT</v>
          </cell>
          <cell r="E258" t="str">
            <v>Ist PHASE RMV 2ND STAGE</v>
          </cell>
          <cell r="F258" t="str">
            <v>Nr RMV HOSPITAL GEDDALHALLI</v>
          </cell>
          <cell r="G258" t="str">
            <v>KARNATAKA</v>
          </cell>
          <cell r="H258" t="str">
            <v>BANGALORE</v>
          </cell>
          <cell r="I258" t="str">
            <v>560 094</v>
          </cell>
          <cell r="J258" t="str">
            <v>003</v>
          </cell>
          <cell r="K258" t="str">
            <v>KGST 10626219</v>
          </cell>
          <cell r="L258" t="str">
            <v>N</v>
          </cell>
          <cell r="M258">
            <v>0</v>
          </cell>
          <cell r="N258" t="str">
            <v>CST 10676211</v>
          </cell>
          <cell r="O258" t="str">
            <v>N</v>
          </cell>
          <cell r="Q258" t="str">
            <v>264</v>
          </cell>
          <cell r="R258" t="str">
            <v>02</v>
          </cell>
          <cell r="S258" t="str">
            <v>02</v>
          </cell>
          <cell r="T258" t="str">
            <v>11</v>
          </cell>
          <cell r="U258">
            <v>0</v>
          </cell>
          <cell r="X258" t="str">
            <v>30003</v>
          </cell>
          <cell r="Y258" t="str">
            <v>00264</v>
          </cell>
        </row>
        <row r="259">
          <cell r="A259" t="str">
            <v>11020031</v>
          </cell>
          <cell r="B259" t="str">
            <v>01</v>
          </cell>
          <cell r="C259" t="str">
            <v>SRI LAKSHMI AGENCIES</v>
          </cell>
          <cell r="D259" t="str">
            <v>PATEL CHANNAPPA EXTENTION</v>
          </cell>
          <cell r="E259" t="str">
            <v>B.H.ROAD</v>
          </cell>
          <cell r="G259" t="str">
            <v>KARNATAKA</v>
          </cell>
          <cell r="H259" t="str">
            <v>NELAMANGALA</v>
          </cell>
          <cell r="I259" t="str">
            <v>562123</v>
          </cell>
          <cell r="J259" t="str">
            <v>003</v>
          </cell>
          <cell r="K259" t="str">
            <v>KST 10615910</v>
          </cell>
          <cell r="L259" t="str">
            <v>N</v>
          </cell>
          <cell r="M259">
            <v>0</v>
          </cell>
          <cell r="N259" t="str">
            <v>CST 10665912</v>
          </cell>
          <cell r="O259" t="str">
            <v>N</v>
          </cell>
          <cell r="Q259" t="str">
            <v>265</v>
          </cell>
          <cell r="R259" t="str">
            <v>02</v>
          </cell>
          <cell r="S259" t="str">
            <v>02</v>
          </cell>
          <cell r="T259" t="str">
            <v>11</v>
          </cell>
          <cell r="X259" t="str">
            <v>30002</v>
          </cell>
          <cell r="Y259" t="str">
            <v>00265</v>
          </cell>
        </row>
        <row r="260">
          <cell r="A260" t="str">
            <v>11020032</v>
          </cell>
          <cell r="B260" t="str">
            <v>01</v>
          </cell>
          <cell r="C260" t="str">
            <v>RAJENDRA AGENCIES</v>
          </cell>
          <cell r="D260" t="str">
            <v>HALIYAL</v>
          </cell>
          <cell r="G260" t="str">
            <v>KARNATAKA</v>
          </cell>
          <cell r="H260" t="str">
            <v>HAVAGI POST(U.K</v>
          </cell>
          <cell r="I260" t="str">
            <v>581356</v>
          </cell>
          <cell r="J260" t="str">
            <v>003</v>
          </cell>
          <cell r="K260" t="str">
            <v>KST :4180846 -0</v>
          </cell>
          <cell r="L260" t="str">
            <v>N</v>
          </cell>
          <cell r="M260">
            <v>0</v>
          </cell>
          <cell r="O260" t="str">
            <v>N</v>
          </cell>
          <cell r="Q260" t="str">
            <v>266</v>
          </cell>
          <cell r="R260" t="str">
            <v>02</v>
          </cell>
          <cell r="S260" t="str">
            <v>02</v>
          </cell>
          <cell r="T260" t="str">
            <v>11</v>
          </cell>
          <cell r="X260" t="str">
            <v>30002</v>
          </cell>
          <cell r="Y260" t="str">
            <v>00266</v>
          </cell>
        </row>
        <row r="261">
          <cell r="A261" t="str">
            <v>11020034</v>
          </cell>
          <cell r="B261" t="str">
            <v>01</v>
          </cell>
          <cell r="C261" t="str">
            <v>UNITED MARKETING</v>
          </cell>
          <cell r="D261" t="str">
            <v>52, I.T.I LAYOUT, B.N.PURA</v>
          </cell>
          <cell r="E261" t="str">
            <v>DOORVANINAGAR</v>
          </cell>
          <cell r="G261" t="str">
            <v>KARNATAKA</v>
          </cell>
          <cell r="H261" t="str">
            <v>BANGALORE</v>
          </cell>
          <cell r="I261" t="str">
            <v>560016</v>
          </cell>
          <cell r="J261" t="str">
            <v>003</v>
          </cell>
          <cell r="K261" t="str">
            <v>KST 10937304</v>
          </cell>
          <cell r="L261" t="str">
            <v>N</v>
          </cell>
          <cell r="M261">
            <v>0</v>
          </cell>
          <cell r="N261" t="str">
            <v>CST 10987307</v>
          </cell>
          <cell r="O261" t="str">
            <v>N</v>
          </cell>
          <cell r="Q261" t="str">
            <v>268</v>
          </cell>
          <cell r="R261" t="str">
            <v>02</v>
          </cell>
          <cell r="S261" t="str">
            <v>02</v>
          </cell>
          <cell r="T261" t="str">
            <v>11</v>
          </cell>
          <cell r="X261" t="str">
            <v>30003</v>
          </cell>
          <cell r="Y261" t="str">
            <v>00268</v>
          </cell>
        </row>
        <row r="262">
          <cell r="A262" t="str">
            <v>11020035</v>
          </cell>
          <cell r="B262" t="str">
            <v>01</v>
          </cell>
          <cell r="C262" t="str">
            <v>ASHWINI DISTRIBUTORS</v>
          </cell>
          <cell r="D262" t="str">
            <v>NO.73, DICKENSON ROAD</v>
          </cell>
          <cell r="G262" t="str">
            <v>KARNATAKA</v>
          </cell>
          <cell r="H262" t="str">
            <v>BANGALORE</v>
          </cell>
          <cell r="I262" t="str">
            <v>560042</v>
          </cell>
          <cell r="J262" t="str">
            <v>003</v>
          </cell>
          <cell r="K262" t="str">
            <v>KST 0040556 -5</v>
          </cell>
          <cell r="L262" t="str">
            <v>N</v>
          </cell>
          <cell r="M262">
            <v>0</v>
          </cell>
          <cell r="O262" t="str">
            <v>N</v>
          </cell>
          <cell r="Q262" t="str">
            <v>269</v>
          </cell>
          <cell r="R262" t="str">
            <v>02</v>
          </cell>
          <cell r="S262" t="str">
            <v>02</v>
          </cell>
          <cell r="T262" t="str">
            <v>11</v>
          </cell>
          <cell r="X262" t="str">
            <v>30003</v>
          </cell>
          <cell r="Y262" t="str">
            <v>00269</v>
          </cell>
        </row>
        <row r="263">
          <cell r="A263" t="str">
            <v>11020036</v>
          </cell>
          <cell r="B263" t="str">
            <v>01</v>
          </cell>
          <cell r="C263" t="str">
            <v>SRI VIJAYA LAKSHMI TRADER</v>
          </cell>
          <cell r="D263" t="str">
            <v>NO.9,SOMASHEKARAPPA LAYOUT</v>
          </cell>
          <cell r="E263" t="str">
            <v>8TH MAIN, BASAVESHWARA NAGAR</v>
          </cell>
          <cell r="G263" t="str">
            <v>KARNATAKA</v>
          </cell>
          <cell r="H263" t="str">
            <v>BANGALORE</v>
          </cell>
          <cell r="I263" t="str">
            <v>560079</v>
          </cell>
          <cell r="J263" t="str">
            <v>003</v>
          </cell>
          <cell r="K263" t="str">
            <v>KST 93308498 DT.04.04.95</v>
          </cell>
          <cell r="L263" t="str">
            <v>N</v>
          </cell>
          <cell r="M263">
            <v>0</v>
          </cell>
          <cell r="N263" t="str">
            <v>CST 93358490 DT.04.04.95</v>
          </cell>
          <cell r="O263" t="str">
            <v>N</v>
          </cell>
          <cell r="Q263" t="str">
            <v>270</v>
          </cell>
          <cell r="R263" t="str">
            <v>02</v>
          </cell>
          <cell r="S263" t="str">
            <v>02</v>
          </cell>
          <cell r="T263" t="str">
            <v>11</v>
          </cell>
          <cell r="X263" t="str">
            <v>30003</v>
          </cell>
          <cell r="Y263" t="str">
            <v>00270</v>
          </cell>
        </row>
        <row r="264">
          <cell r="A264" t="str">
            <v>11020037</v>
          </cell>
          <cell r="B264" t="str">
            <v>01</v>
          </cell>
          <cell r="C264" t="str">
            <v>APOORVA COMMERCIALS</v>
          </cell>
          <cell r="D264" t="str">
            <v>HALIYAR ROAD</v>
          </cell>
          <cell r="G264" t="str">
            <v>KARNATAKA</v>
          </cell>
          <cell r="H264" t="str">
            <v>HIRIYUR</v>
          </cell>
          <cell r="I264" t="str">
            <v>572143</v>
          </cell>
          <cell r="J264" t="str">
            <v>003</v>
          </cell>
          <cell r="K264" t="str">
            <v>KST 81316732</v>
          </cell>
          <cell r="L264" t="str">
            <v>N</v>
          </cell>
          <cell r="M264">
            <v>0</v>
          </cell>
          <cell r="O264" t="str">
            <v>N</v>
          </cell>
          <cell r="Q264" t="str">
            <v>271</v>
          </cell>
          <cell r="R264" t="str">
            <v>02</v>
          </cell>
          <cell r="S264" t="str">
            <v>02</v>
          </cell>
          <cell r="T264" t="str">
            <v>11</v>
          </cell>
          <cell r="X264" t="str">
            <v>30002</v>
          </cell>
          <cell r="Y264" t="str">
            <v>00271</v>
          </cell>
        </row>
        <row r="265">
          <cell r="A265" t="str">
            <v>11020038</v>
          </cell>
          <cell r="B265" t="str">
            <v>01</v>
          </cell>
          <cell r="C265" t="str">
            <v>MANJUNATHA AGENCIES</v>
          </cell>
          <cell r="D265" t="str">
            <v>NO. 16 Ist CROSS</v>
          </cell>
          <cell r="E265" t="str">
            <v>LORRY STAND GODOWN STREET</v>
          </cell>
          <cell r="F265" t="str">
            <v>YESHWANTHAPUR YARD</v>
          </cell>
          <cell r="G265" t="str">
            <v>KARNATAKA</v>
          </cell>
          <cell r="H265" t="str">
            <v>BANGALORE</v>
          </cell>
          <cell r="I265" t="str">
            <v>560 022</v>
          </cell>
          <cell r="J265" t="str">
            <v>003</v>
          </cell>
          <cell r="K265" t="str">
            <v>KGST 70405128</v>
          </cell>
          <cell r="L265" t="str">
            <v>N</v>
          </cell>
          <cell r="M265">
            <v>0</v>
          </cell>
          <cell r="N265" t="str">
            <v>CST 70455120</v>
          </cell>
          <cell r="O265" t="str">
            <v>N</v>
          </cell>
          <cell r="Q265" t="str">
            <v>272</v>
          </cell>
          <cell r="R265" t="str">
            <v>02</v>
          </cell>
          <cell r="S265" t="str">
            <v>02</v>
          </cell>
          <cell r="T265" t="str">
            <v>11</v>
          </cell>
          <cell r="U265">
            <v>0</v>
          </cell>
          <cell r="X265" t="str">
            <v>30003</v>
          </cell>
          <cell r="Y265" t="str">
            <v>00272</v>
          </cell>
        </row>
        <row r="266">
          <cell r="A266" t="str">
            <v>11020039</v>
          </cell>
          <cell r="B266" t="str">
            <v>01</v>
          </cell>
          <cell r="C266" t="str">
            <v>S P V GUPTHA AGENCIES</v>
          </cell>
          <cell r="D266" t="str">
            <v>LAKSHMI BUILDINGS</v>
          </cell>
          <cell r="E266" t="str">
            <v>143 R V ROAD V V PURAM</v>
          </cell>
          <cell r="G266" t="str">
            <v>KARNATAKA</v>
          </cell>
          <cell r="H266" t="str">
            <v>BANGALORE</v>
          </cell>
          <cell r="I266" t="str">
            <v>560004</v>
          </cell>
          <cell r="J266" t="str">
            <v>003</v>
          </cell>
          <cell r="K266" t="str">
            <v>KST 00300500</v>
          </cell>
          <cell r="L266" t="str">
            <v>N</v>
          </cell>
          <cell r="M266">
            <v>0</v>
          </cell>
          <cell r="N266" t="str">
            <v>CST 00350503</v>
          </cell>
          <cell r="O266" t="str">
            <v>N</v>
          </cell>
          <cell r="Q266" t="str">
            <v>273</v>
          </cell>
          <cell r="R266" t="str">
            <v>02</v>
          </cell>
          <cell r="S266" t="str">
            <v>02</v>
          </cell>
          <cell r="T266" t="str">
            <v>11</v>
          </cell>
          <cell r="X266" t="str">
            <v>30003</v>
          </cell>
          <cell r="Y266" t="str">
            <v>00273</v>
          </cell>
        </row>
        <row r="267">
          <cell r="A267" t="str">
            <v>11020040</v>
          </cell>
          <cell r="B267" t="str">
            <v>01</v>
          </cell>
          <cell r="C267" t="str">
            <v>KARNATAKA CO OP CONS -</v>
          </cell>
          <cell r="D267" t="str">
            <v>FEDERATIONS LTD.</v>
          </cell>
          <cell r="E267" t="str">
            <v>4 PAMPAMAHAKAVI ROAD</v>
          </cell>
          <cell r="F267" t="str">
            <v>CHAMRRAJPET</v>
          </cell>
          <cell r="G267" t="str">
            <v>KARNATAKA</v>
          </cell>
          <cell r="H267" t="str">
            <v>BANGALORE</v>
          </cell>
          <cell r="I267" t="str">
            <v>560018</v>
          </cell>
          <cell r="J267" t="str">
            <v>003</v>
          </cell>
          <cell r="K267" t="str">
            <v>KST  00100997</v>
          </cell>
          <cell r="L267" t="str">
            <v>N</v>
          </cell>
          <cell r="M267">
            <v>0</v>
          </cell>
          <cell r="N267" t="str">
            <v>CST  00150990</v>
          </cell>
          <cell r="O267" t="str">
            <v>N</v>
          </cell>
          <cell r="Q267" t="str">
            <v>274</v>
          </cell>
          <cell r="R267" t="str">
            <v>02</v>
          </cell>
          <cell r="S267" t="str">
            <v>02</v>
          </cell>
          <cell r="T267" t="str">
            <v>11</v>
          </cell>
          <cell r="X267" t="str">
            <v>30003</v>
          </cell>
          <cell r="Y267" t="str">
            <v>00274</v>
          </cell>
        </row>
        <row r="268">
          <cell r="A268" t="str">
            <v>11020041</v>
          </cell>
          <cell r="B268" t="str">
            <v>01</v>
          </cell>
          <cell r="C268" t="str">
            <v>SRIDHAR COMMERCIALS</v>
          </cell>
          <cell r="D268" t="str">
            <v>SANTHEPET</v>
          </cell>
          <cell r="G268" t="str">
            <v>KARNATAKA</v>
          </cell>
          <cell r="H268" t="str">
            <v>CHITRADURGA</v>
          </cell>
          <cell r="I268" t="str">
            <v>577501</v>
          </cell>
          <cell r="J268" t="str">
            <v>003</v>
          </cell>
          <cell r="K268" t="str">
            <v>KGST 8111674-3</v>
          </cell>
          <cell r="L268" t="str">
            <v>N</v>
          </cell>
          <cell r="M268">
            <v>0</v>
          </cell>
          <cell r="N268" t="str">
            <v>CST 8116674-6</v>
          </cell>
          <cell r="O268" t="str">
            <v>N</v>
          </cell>
          <cell r="Q268" t="str">
            <v>275</v>
          </cell>
          <cell r="R268" t="str">
            <v>02</v>
          </cell>
          <cell r="S268" t="str">
            <v>02</v>
          </cell>
          <cell r="T268" t="str">
            <v>11</v>
          </cell>
          <cell r="X268" t="str">
            <v>30001</v>
          </cell>
          <cell r="Y268" t="str">
            <v>00275</v>
          </cell>
        </row>
        <row r="269">
          <cell r="A269" t="str">
            <v>11020042</v>
          </cell>
          <cell r="B269" t="str">
            <v>01</v>
          </cell>
          <cell r="C269" t="str">
            <v>NANJUNDESWARA ASSOCIATES</v>
          </cell>
          <cell r="D269" t="str">
            <v>323-J, SHOP NO 8 &amp; 9</v>
          </cell>
          <cell r="E269" t="str">
            <v>JINKA PLAZA</v>
          </cell>
          <cell r="F269" t="str">
            <v>H.M.ROAD, BINNY CO. ROAD</v>
          </cell>
          <cell r="G269" t="str">
            <v>KARNATAKA</v>
          </cell>
          <cell r="H269" t="str">
            <v>DAVANAGERE</v>
          </cell>
          <cell r="I269" t="str">
            <v>577001</v>
          </cell>
          <cell r="J269" t="str">
            <v>003</v>
          </cell>
          <cell r="K269" t="str">
            <v>KST NO:8540308-8</v>
          </cell>
          <cell r="L269" t="str">
            <v>N</v>
          </cell>
          <cell r="M269">
            <v>0</v>
          </cell>
          <cell r="N269" t="str">
            <v>CST NO:8545308-0</v>
          </cell>
          <cell r="O269" t="str">
            <v>N</v>
          </cell>
          <cell r="Q269" t="str">
            <v>276</v>
          </cell>
          <cell r="R269" t="str">
            <v>02</v>
          </cell>
          <cell r="S269" t="str">
            <v>02</v>
          </cell>
          <cell r="T269" t="str">
            <v>11</v>
          </cell>
          <cell r="X269" t="str">
            <v>30001</v>
          </cell>
          <cell r="Y269" t="str">
            <v>00276</v>
          </cell>
        </row>
        <row r="270">
          <cell r="A270" t="str">
            <v>11020043</v>
          </cell>
          <cell r="B270" t="str">
            <v>01</v>
          </cell>
          <cell r="C270" t="str">
            <v>SUCHEETA ENTERPRISES</v>
          </cell>
          <cell r="D270" t="str">
            <v>BASAVANHALLI EXTENTION</v>
          </cell>
          <cell r="G270" t="str">
            <v>KARNATAKA</v>
          </cell>
          <cell r="H270" t="str">
            <v>CHICKMAGALUR</v>
          </cell>
          <cell r="I270" t="str">
            <v>577101</v>
          </cell>
          <cell r="J270" t="str">
            <v>003</v>
          </cell>
          <cell r="K270" t="str">
            <v>KGST 21919343</v>
          </cell>
          <cell r="L270" t="str">
            <v>N</v>
          </cell>
          <cell r="M270">
            <v>0</v>
          </cell>
          <cell r="O270" t="str">
            <v>N</v>
          </cell>
          <cell r="Q270" t="str">
            <v>277</v>
          </cell>
          <cell r="R270" t="str">
            <v>02</v>
          </cell>
          <cell r="S270" t="str">
            <v>02</v>
          </cell>
          <cell r="T270" t="str">
            <v>11</v>
          </cell>
          <cell r="X270" t="str">
            <v>30001</v>
          </cell>
          <cell r="Y270" t="str">
            <v>00277</v>
          </cell>
        </row>
        <row r="271">
          <cell r="A271" t="str">
            <v>11020044</v>
          </cell>
          <cell r="B271" t="str">
            <v>01</v>
          </cell>
          <cell r="C271" t="str">
            <v>SANJAY ENTERPRISES</v>
          </cell>
          <cell r="D271" t="str">
            <v>26,RUSSEL MARKET SQUARE</v>
          </cell>
          <cell r="G271" t="str">
            <v>KARNATAKA</v>
          </cell>
          <cell r="H271" t="str">
            <v>BANGALORE</v>
          </cell>
          <cell r="I271" t="str">
            <v>560051</v>
          </cell>
          <cell r="J271" t="str">
            <v>003</v>
          </cell>
          <cell r="K271" t="str">
            <v>KGST 0392422/1 DT.27.8.91</v>
          </cell>
          <cell r="L271" t="str">
            <v>N</v>
          </cell>
          <cell r="M271">
            <v>0</v>
          </cell>
          <cell r="O271" t="str">
            <v>N</v>
          </cell>
          <cell r="Q271" t="str">
            <v>278</v>
          </cell>
          <cell r="R271" t="str">
            <v>02</v>
          </cell>
          <cell r="S271" t="str">
            <v>02</v>
          </cell>
          <cell r="T271" t="str">
            <v>11</v>
          </cell>
          <cell r="X271" t="str">
            <v>30003</v>
          </cell>
          <cell r="Y271" t="str">
            <v>00278</v>
          </cell>
        </row>
        <row r="272">
          <cell r="A272" t="str">
            <v>11020045</v>
          </cell>
          <cell r="B272" t="str">
            <v>01</v>
          </cell>
          <cell r="C272" t="str">
            <v>SEVEN SEAS DISTRIBUTORS</v>
          </cell>
          <cell r="D272" t="str">
            <v>CITADEL,DINNUR MAIN ROAD</v>
          </cell>
          <cell r="E272" t="str">
            <v>R.T.NAGAR</v>
          </cell>
          <cell r="G272" t="str">
            <v>KARNATAKA</v>
          </cell>
          <cell r="H272" t="str">
            <v>BANGALORE</v>
          </cell>
          <cell r="I272" t="str">
            <v>560032</v>
          </cell>
          <cell r="J272" t="str">
            <v>003</v>
          </cell>
          <cell r="K272" t="str">
            <v>KGST 06619940</v>
          </cell>
          <cell r="L272" t="str">
            <v>N</v>
          </cell>
          <cell r="M272">
            <v>0</v>
          </cell>
          <cell r="O272" t="str">
            <v>N</v>
          </cell>
          <cell r="Q272" t="str">
            <v>279</v>
          </cell>
          <cell r="R272" t="str">
            <v>02</v>
          </cell>
          <cell r="S272" t="str">
            <v>02</v>
          </cell>
          <cell r="T272" t="str">
            <v>11</v>
          </cell>
          <cell r="X272" t="str">
            <v>30003</v>
          </cell>
          <cell r="Y272" t="str">
            <v>00279</v>
          </cell>
        </row>
        <row r="273">
          <cell r="A273" t="str">
            <v>11020046</v>
          </cell>
          <cell r="B273" t="str">
            <v>01</v>
          </cell>
          <cell r="C273" t="str">
            <v>K.N.ENTERPRISES</v>
          </cell>
          <cell r="D273" t="str">
            <v>MADIWALA 1ST CROSS</v>
          </cell>
          <cell r="E273" t="str">
            <v>HOSUR MAIN ROAD</v>
          </cell>
          <cell r="G273" t="str">
            <v>KARNATAKA</v>
          </cell>
          <cell r="H273" t="str">
            <v>BANGALORE</v>
          </cell>
          <cell r="I273" t="str">
            <v>560068</v>
          </cell>
          <cell r="J273" t="str">
            <v>003</v>
          </cell>
          <cell r="K273" t="str">
            <v>KGST 10118159</v>
          </cell>
          <cell r="L273" t="str">
            <v>N</v>
          </cell>
          <cell r="M273">
            <v>0</v>
          </cell>
          <cell r="N273" t="str">
            <v>CST 10168151</v>
          </cell>
          <cell r="O273" t="str">
            <v>N</v>
          </cell>
          <cell r="Q273" t="str">
            <v>280</v>
          </cell>
          <cell r="R273" t="str">
            <v>02</v>
          </cell>
          <cell r="S273" t="str">
            <v>02</v>
          </cell>
          <cell r="T273" t="str">
            <v>11</v>
          </cell>
          <cell r="X273" t="str">
            <v>30003</v>
          </cell>
          <cell r="Y273" t="str">
            <v>00280</v>
          </cell>
        </row>
        <row r="274">
          <cell r="A274" t="str">
            <v>11020047</v>
          </cell>
          <cell r="B274" t="str">
            <v>01</v>
          </cell>
          <cell r="C274" t="str">
            <v>S.P.V.MARKETING</v>
          </cell>
          <cell r="D274" t="str">
            <v>143,R.V.ROAD</v>
          </cell>
          <cell r="E274" t="str">
            <v>V.V.PURAM</v>
          </cell>
          <cell r="G274" t="str">
            <v>KARNATAKA</v>
          </cell>
          <cell r="H274" t="str">
            <v>BANGALORE</v>
          </cell>
          <cell r="I274" t="str">
            <v>560004</v>
          </cell>
          <cell r="J274" t="str">
            <v>003</v>
          </cell>
          <cell r="K274" t="str">
            <v>KGST 04731840</v>
          </cell>
          <cell r="L274" t="str">
            <v>N</v>
          </cell>
          <cell r="M274">
            <v>0</v>
          </cell>
          <cell r="N274" t="str">
            <v>CST 04781843</v>
          </cell>
          <cell r="O274" t="str">
            <v>N</v>
          </cell>
          <cell r="Q274" t="str">
            <v>281</v>
          </cell>
          <cell r="R274" t="str">
            <v>02</v>
          </cell>
          <cell r="S274" t="str">
            <v>02</v>
          </cell>
          <cell r="T274" t="str">
            <v>11</v>
          </cell>
          <cell r="X274" t="str">
            <v>30003</v>
          </cell>
          <cell r="Y274" t="str">
            <v>00281</v>
          </cell>
        </row>
        <row r="275">
          <cell r="A275" t="str">
            <v>11020048</v>
          </cell>
          <cell r="B275" t="str">
            <v>01</v>
          </cell>
          <cell r="C275" t="str">
            <v>RAJU TRADERS</v>
          </cell>
          <cell r="D275" t="str">
            <v>HALAPPA SONS  COMPOUND,</v>
          </cell>
          <cell r="E275" t="str">
            <v>DURGIGUDI</v>
          </cell>
          <cell r="F275" t="str">
            <v>NEHURU ROAD</v>
          </cell>
          <cell r="G275" t="str">
            <v>KARNATAKA</v>
          </cell>
          <cell r="H275" t="str">
            <v>SHIMOGA</v>
          </cell>
          <cell r="I275" t="str">
            <v>577201</v>
          </cell>
          <cell r="J275" t="str">
            <v>003</v>
          </cell>
          <cell r="K275" t="str">
            <v>KST  28315376</v>
          </cell>
          <cell r="L275" t="str">
            <v>N</v>
          </cell>
          <cell r="M275">
            <v>0</v>
          </cell>
          <cell r="O275" t="str">
            <v>N</v>
          </cell>
          <cell r="Q275" t="str">
            <v>282</v>
          </cell>
          <cell r="R275" t="str">
            <v>02</v>
          </cell>
          <cell r="S275" t="str">
            <v>02</v>
          </cell>
          <cell r="T275" t="str">
            <v>11</v>
          </cell>
          <cell r="X275" t="str">
            <v>30001</v>
          </cell>
          <cell r="Y275" t="str">
            <v>00282</v>
          </cell>
        </row>
        <row r="276">
          <cell r="A276" t="str">
            <v>11020049</v>
          </cell>
          <cell r="B276" t="str">
            <v>01</v>
          </cell>
          <cell r="C276" t="str">
            <v>ASWINI ENTERPRISES</v>
          </cell>
          <cell r="D276" t="str">
            <v>BRINDAVAN COMPLEX</v>
          </cell>
          <cell r="E276" t="str">
            <v>VIVEKANANDA ROAD</v>
          </cell>
          <cell r="G276" t="str">
            <v>KARNATAKA</v>
          </cell>
          <cell r="H276" t="str">
            <v>TUMKUR</v>
          </cell>
          <cell r="I276" t="str">
            <v>572101</v>
          </cell>
          <cell r="J276" t="str">
            <v>003</v>
          </cell>
          <cell r="K276" t="str">
            <v>KGST 11721730</v>
          </cell>
          <cell r="L276" t="str">
            <v>N</v>
          </cell>
          <cell r="M276">
            <v>0</v>
          </cell>
          <cell r="N276" t="str">
            <v>CST 11771732</v>
          </cell>
          <cell r="O276" t="str">
            <v>N</v>
          </cell>
          <cell r="Q276" t="str">
            <v>283</v>
          </cell>
          <cell r="R276" t="str">
            <v>02</v>
          </cell>
          <cell r="S276" t="str">
            <v>02</v>
          </cell>
          <cell r="T276" t="str">
            <v>11</v>
          </cell>
          <cell r="X276" t="str">
            <v>30001</v>
          </cell>
          <cell r="Y276" t="str">
            <v>00283</v>
          </cell>
        </row>
        <row r="277">
          <cell r="A277" t="str">
            <v>11020050</v>
          </cell>
          <cell r="B277" t="str">
            <v>01</v>
          </cell>
          <cell r="C277" t="str">
            <v>DAKSHIN ENTERPRISES</v>
          </cell>
          <cell r="D277" t="str">
            <v>NO.88, 11TH CROSS</v>
          </cell>
          <cell r="E277" t="str">
            <v>MALLESWARAM</v>
          </cell>
          <cell r="G277" t="str">
            <v>KARNATAKA</v>
          </cell>
          <cell r="H277" t="str">
            <v>BANGALORE</v>
          </cell>
          <cell r="I277" t="str">
            <v>560003</v>
          </cell>
          <cell r="J277" t="str">
            <v>003</v>
          </cell>
          <cell r="K277" t="str">
            <v>KGST 72710550</v>
          </cell>
          <cell r="L277" t="str">
            <v>N</v>
          </cell>
          <cell r="M277">
            <v>0</v>
          </cell>
          <cell r="N277" t="str">
            <v>CST 72760552</v>
          </cell>
          <cell r="O277" t="str">
            <v>N</v>
          </cell>
          <cell r="Q277" t="str">
            <v>284</v>
          </cell>
          <cell r="R277" t="str">
            <v>02</v>
          </cell>
          <cell r="S277" t="str">
            <v>02</v>
          </cell>
          <cell r="T277" t="str">
            <v>11</v>
          </cell>
          <cell r="X277" t="str">
            <v>30003</v>
          </cell>
          <cell r="Y277" t="str">
            <v>00284</v>
          </cell>
        </row>
        <row r="278">
          <cell r="A278" t="str">
            <v>11020051</v>
          </cell>
          <cell r="B278" t="str">
            <v>01</v>
          </cell>
          <cell r="C278" t="str">
            <v>DEE FOODS &amp; BEVERAGES -</v>
          </cell>
          <cell r="D278" t="str">
            <v>(PVT) LIMITED</v>
          </cell>
          <cell r="E278" t="str">
            <v>NO:88,JEERIGE BUILDING,11CROSS</v>
          </cell>
          <cell r="F278" t="str">
            <v>SAMPIGE ROAD, MALLESWARAM</v>
          </cell>
          <cell r="G278" t="str">
            <v>KARNATAKA</v>
          </cell>
          <cell r="H278" t="str">
            <v>BANGALORE</v>
          </cell>
          <cell r="I278" t="str">
            <v>560003</v>
          </cell>
          <cell r="J278" t="str">
            <v>003</v>
          </cell>
          <cell r="K278" t="str">
            <v>KST 74614680</v>
          </cell>
          <cell r="L278" t="str">
            <v>N</v>
          </cell>
          <cell r="M278">
            <v>0</v>
          </cell>
          <cell r="N278" t="str">
            <v>CST 74664682</v>
          </cell>
          <cell r="O278" t="str">
            <v>N</v>
          </cell>
          <cell r="Q278" t="str">
            <v>285</v>
          </cell>
          <cell r="R278" t="str">
            <v>02</v>
          </cell>
          <cell r="S278" t="str">
            <v>02</v>
          </cell>
          <cell r="T278" t="str">
            <v>11</v>
          </cell>
          <cell r="U278">
            <v>0</v>
          </cell>
          <cell r="X278" t="str">
            <v>30003</v>
          </cell>
          <cell r="Y278" t="str">
            <v>00285</v>
          </cell>
        </row>
        <row r="279">
          <cell r="A279" t="str">
            <v>11020052</v>
          </cell>
          <cell r="B279" t="str">
            <v>01</v>
          </cell>
          <cell r="C279" t="str">
            <v>KANTHAPPA AGENCIES</v>
          </cell>
          <cell r="D279" t="str">
            <v>P.B.NO.28</v>
          </cell>
          <cell r="E279" t="str">
            <v>SHOBA THEATRE ROAD</v>
          </cell>
          <cell r="G279" t="str">
            <v>KARNATAKA</v>
          </cell>
          <cell r="H279" t="str">
            <v>HARIHAR</v>
          </cell>
          <cell r="I279" t="str">
            <v>577601</v>
          </cell>
          <cell r="J279" t="str">
            <v>003</v>
          </cell>
          <cell r="K279" t="str">
            <v>KST 81005271</v>
          </cell>
          <cell r="L279" t="str">
            <v>N</v>
          </cell>
          <cell r="M279">
            <v>0</v>
          </cell>
          <cell r="O279" t="str">
            <v>N</v>
          </cell>
          <cell r="Q279" t="str">
            <v>286</v>
          </cell>
          <cell r="R279" t="str">
            <v>02</v>
          </cell>
          <cell r="S279" t="str">
            <v>02</v>
          </cell>
          <cell r="T279" t="str">
            <v>11</v>
          </cell>
          <cell r="X279" t="str">
            <v>30001</v>
          </cell>
          <cell r="Y279" t="str">
            <v>00286</v>
          </cell>
        </row>
        <row r="280">
          <cell r="A280" t="str">
            <v>11020053</v>
          </cell>
          <cell r="B280" t="str">
            <v>01</v>
          </cell>
          <cell r="C280" t="str">
            <v>SHAKTHI AGENCIES</v>
          </cell>
          <cell r="D280" t="str">
            <v>TALUK OFFICES ROAD</v>
          </cell>
          <cell r="G280" t="str">
            <v>KARNATAKA</v>
          </cell>
          <cell r="H280" t="str">
            <v>BANGARAPET</v>
          </cell>
          <cell r="I280" t="str">
            <v>563114</v>
          </cell>
          <cell r="J280" t="str">
            <v>003</v>
          </cell>
          <cell r="K280" t="str">
            <v>KGST 11405752</v>
          </cell>
          <cell r="L280" t="str">
            <v>N</v>
          </cell>
          <cell r="M280">
            <v>0</v>
          </cell>
          <cell r="O280" t="str">
            <v>N</v>
          </cell>
          <cell r="Q280" t="str">
            <v>287</v>
          </cell>
          <cell r="R280" t="str">
            <v>02</v>
          </cell>
          <cell r="S280" t="str">
            <v>02</v>
          </cell>
          <cell r="T280" t="str">
            <v>11</v>
          </cell>
          <cell r="X280" t="str">
            <v>30002</v>
          </cell>
          <cell r="Y280" t="str">
            <v>00287</v>
          </cell>
        </row>
        <row r="281">
          <cell r="A281" t="str">
            <v>11020054</v>
          </cell>
          <cell r="B281" t="str">
            <v>01</v>
          </cell>
          <cell r="C281" t="str">
            <v>TRUST AGENCIES</v>
          </cell>
          <cell r="D281" t="str">
            <v>P.B.NO.36</v>
          </cell>
          <cell r="G281" t="str">
            <v>KARNATAKA</v>
          </cell>
          <cell r="H281" t="str">
            <v>SAKLASPUR</v>
          </cell>
          <cell r="I281" t="str">
            <v>573134</v>
          </cell>
          <cell r="J281" t="str">
            <v>003</v>
          </cell>
          <cell r="K281" t="str">
            <v>KGST  21512840</v>
          </cell>
          <cell r="L281" t="str">
            <v>N</v>
          </cell>
          <cell r="M281">
            <v>0</v>
          </cell>
          <cell r="O281" t="str">
            <v>N</v>
          </cell>
          <cell r="Q281" t="str">
            <v>288</v>
          </cell>
          <cell r="R281" t="str">
            <v>02</v>
          </cell>
          <cell r="S281" t="str">
            <v>02</v>
          </cell>
          <cell r="T281" t="str">
            <v>11</v>
          </cell>
          <cell r="X281" t="str">
            <v>30001</v>
          </cell>
          <cell r="Y281" t="str">
            <v>00288</v>
          </cell>
        </row>
        <row r="282">
          <cell r="A282" t="str">
            <v>11020055</v>
          </cell>
          <cell r="B282" t="str">
            <v>01</v>
          </cell>
          <cell r="C282" t="str">
            <v>ARAVIND TRADERS</v>
          </cell>
          <cell r="D282" t="str">
            <v>SRI KANTESHWARA BUILDING</v>
          </cell>
          <cell r="E282" t="str">
            <v>KASTURBA ROAD</v>
          </cell>
          <cell r="G282" t="str">
            <v>KARNATAKA</v>
          </cell>
          <cell r="H282" t="str">
            <v>HASSAN</v>
          </cell>
          <cell r="I282" t="str">
            <v>573201</v>
          </cell>
          <cell r="J282" t="str">
            <v>003</v>
          </cell>
          <cell r="K282" t="str">
            <v>KGST 21512220</v>
          </cell>
          <cell r="L282" t="str">
            <v>N</v>
          </cell>
          <cell r="M282">
            <v>0</v>
          </cell>
          <cell r="O282" t="str">
            <v>N</v>
          </cell>
          <cell r="Q282" t="str">
            <v>289</v>
          </cell>
          <cell r="R282" t="str">
            <v>02</v>
          </cell>
          <cell r="S282" t="str">
            <v>02</v>
          </cell>
          <cell r="T282" t="str">
            <v>11</v>
          </cell>
          <cell r="X282" t="str">
            <v>30001</v>
          </cell>
          <cell r="Y282" t="str">
            <v>00289</v>
          </cell>
        </row>
        <row r="283">
          <cell r="A283" t="str">
            <v>11020056</v>
          </cell>
          <cell r="B283" t="str">
            <v>01</v>
          </cell>
          <cell r="C283" t="str">
            <v>SRI RAJENDRA STORES</v>
          </cell>
          <cell r="D283" t="str">
            <v>READING ROOM ROAD</v>
          </cell>
          <cell r="G283" t="str">
            <v>KARNATAKA</v>
          </cell>
          <cell r="H283" t="str">
            <v>ARSIKERE</v>
          </cell>
          <cell r="I283" t="str">
            <v>573103</v>
          </cell>
          <cell r="J283" t="str">
            <v>003</v>
          </cell>
          <cell r="K283" t="str">
            <v>KST 21719688</v>
          </cell>
          <cell r="L283" t="str">
            <v>N</v>
          </cell>
          <cell r="M283">
            <v>0</v>
          </cell>
          <cell r="O283" t="str">
            <v>N</v>
          </cell>
          <cell r="Q283" t="str">
            <v>290</v>
          </cell>
          <cell r="R283" t="str">
            <v>02</v>
          </cell>
          <cell r="S283" t="str">
            <v>02</v>
          </cell>
          <cell r="T283" t="str">
            <v>11</v>
          </cell>
          <cell r="X283" t="str">
            <v>30001</v>
          </cell>
          <cell r="Y283" t="str">
            <v>00290</v>
          </cell>
        </row>
        <row r="284">
          <cell r="A284" t="str">
            <v>11020057</v>
          </cell>
          <cell r="B284" t="str">
            <v>01</v>
          </cell>
          <cell r="C284" t="str">
            <v>SREE BASAVESWARA AGENCIES</v>
          </cell>
          <cell r="D284" t="str">
            <v>TEMPLE STREET</v>
          </cell>
          <cell r="G284" t="str">
            <v>KARNATAKA</v>
          </cell>
          <cell r="H284" t="str">
            <v>MANDYA</v>
          </cell>
          <cell r="I284" t="str">
            <v>571401</v>
          </cell>
          <cell r="J284" t="str">
            <v>003</v>
          </cell>
          <cell r="K284" t="str">
            <v>KST  2130061-6</v>
          </cell>
          <cell r="L284" t="str">
            <v>N</v>
          </cell>
          <cell r="M284">
            <v>0</v>
          </cell>
          <cell r="N284" t="str">
            <v>CST  2135061-9</v>
          </cell>
          <cell r="O284" t="str">
            <v>N</v>
          </cell>
          <cell r="Q284" t="str">
            <v>291</v>
          </cell>
          <cell r="R284" t="str">
            <v>02</v>
          </cell>
          <cell r="S284" t="str">
            <v>02</v>
          </cell>
          <cell r="T284" t="str">
            <v>11</v>
          </cell>
          <cell r="X284" t="str">
            <v>30001</v>
          </cell>
          <cell r="Y284" t="str">
            <v>00291</v>
          </cell>
        </row>
        <row r="285">
          <cell r="A285" t="str">
            <v>11020058</v>
          </cell>
          <cell r="B285" t="str">
            <v>01</v>
          </cell>
          <cell r="C285" t="str">
            <v>SRINIVAS &amp; COMPANY</v>
          </cell>
          <cell r="D285" t="str">
            <v>1066 SHIVARAMPET</v>
          </cell>
          <cell r="G285" t="str">
            <v>KARNATAKA</v>
          </cell>
          <cell r="H285" t="str">
            <v>MYSORE</v>
          </cell>
          <cell r="I285" t="str">
            <v>570001</v>
          </cell>
          <cell r="J285" t="str">
            <v>003</v>
          </cell>
          <cell r="K285" t="str">
            <v>KST  20905543</v>
          </cell>
          <cell r="L285" t="str">
            <v>N</v>
          </cell>
          <cell r="M285">
            <v>0</v>
          </cell>
          <cell r="N285" t="str">
            <v>CST  20955546</v>
          </cell>
          <cell r="O285" t="str">
            <v>N</v>
          </cell>
          <cell r="Q285" t="str">
            <v>292</v>
          </cell>
          <cell r="R285" t="str">
            <v>02</v>
          </cell>
          <cell r="S285" t="str">
            <v>02</v>
          </cell>
          <cell r="T285" t="str">
            <v>11</v>
          </cell>
          <cell r="X285" t="str">
            <v>30001</v>
          </cell>
          <cell r="Y285" t="str">
            <v>00292</v>
          </cell>
        </row>
        <row r="286">
          <cell r="A286" t="str">
            <v>11020059</v>
          </cell>
          <cell r="B286" t="str">
            <v>01</v>
          </cell>
          <cell r="C286" t="str">
            <v>SIVADURGA ENTERPRISES</v>
          </cell>
          <cell r="D286" t="str">
            <v>BOLWAR</v>
          </cell>
          <cell r="G286" t="str">
            <v>KARNATAKA</v>
          </cell>
          <cell r="H286" t="str">
            <v>PUTTUR</v>
          </cell>
          <cell r="I286" t="str">
            <v>574201</v>
          </cell>
          <cell r="J286" t="str">
            <v>003</v>
          </cell>
          <cell r="K286" t="str">
            <v>KGST 3652600-9</v>
          </cell>
          <cell r="L286" t="str">
            <v>N</v>
          </cell>
          <cell r="M286">
            <v>0</v>
          </cell>
          <cell r="N286" t="str">
            <v>CST 3657600-1</v>
          </cell>
          <cell r="O286" t="str">
            <v>N</v>
          </cell>
          <cell r="Q286" t="str">
            <v>293</v>
          </cell>
          <cell r="R286" t="str">
            <v>02</v>
          </cell>
          <cell r="S286" t="str">
            <v>02</v>
          </cell>
          <cell r="T286" t="str">
            <v>11</v>
          </cell>
          <cell r="X286" t="str">
            <v>30001</v>
          </cell>
          <cell r="Y286" t="str">
            <v>00293</v>
          </cell>
        </row>
        <row r="287">
          <cell r="A287" t="str">
            <v>11020060</v>
          </cell>
          <cell r="B287" t="str">
            <v>01</v>
          </cell>
          <cell r="C287" t="str">
            <v>SRI BRAHMACHAITHANYA-</v>
          </cell>
          <cell r="D287" t="str">
            <v>STORES</v>
          </cell>
          <cell r="E287" t="str">
            <v>627/38 M G ROAD</v>
          </cell>
          <cell r="G287" t="str">
            <v>KARNATAKA</v>
          </cell>
          <cell r="H287" t="str">
            <v>CHINTAMANI</v>
          </cell>
          <cell r="I287" t="str">
            <v>563125</v>
          </cell>
          <cell r="J287" t="str">
            <v>003</v>
          </cell>
          <cell r="K287" t="str">
            <v>KST 10109286</v>
          </cell>
          <cell r="L287" t="str">
            <v>N</v>
          </cell>
          <cell r="M287">
            <v>0</v>
          </cell>
          <cell r="N287" t="str">
            <v>CST 10159289</v>
          </cell>
          <cell r="O287" t="str">
            <v>N</v>
          </cell>
          <cell r="Q287" t="str">
            <v>294</v>
          </cell>
          <cell r="R287" t="str">
            <v>02</v>
          </cell>
          <cell r="S287" t="str">
            <v>02</v>
          </cell>
          <cell r="T287" t="str">
            <v>11</v>
          </cell>
          <cell r="X287" t="str">
            <v>30002</v>
          </cell>
          <cell r="Y287" t="str">
            <v>00294</v>
          </cell>
        </row>
        <row r="288">
          <cell r="A288" t="str">
            <v>11020061</v>
          </cell>
          <cell r="B288" t="str">
            <v>01</v>
          </cell>
          <cell r="C288" t="str">
            <v>SHAKTHI AGENCIES</v>
          </cell>
          <cell r="D288" t="str">
            <v>STATION ROAD</v>
          </cell>
          <cell r="G288" t="str">
            <v>KARNATAKA</v>
          </cell>
          <cell r="H288" t="str">
            <v>ROBERSONPET KGF</v>
          </cell>
          <cell r="I288" t="str">
            <v>563101</v>
          </cell>
          <cell r="J288" t="str">
            <v>003</v>
          </cell>
          <cell r="K288" t="str">
            <v>KGST 10119316</v>
          </cell>
          <cell r="L288" t="str">
            <v>N</v>
          </cell>
          <cell r="M288">
            <v>0</v>
          </cell>
          <cell r="O288" t="str">
            <v>N</v>
          </cell>
          <cell r="Q288" t="str">
            <v>295</v>
          </cell>
          <cell r="R288" t="str">
            <v>02</v>
          </cell>
          <cell r="S288" t="str">
            <v>02</v>
          </cell>
          <cell r="T288" t="str">
            <v>11</v>
          </cell>
          <cell r="X288" t="str">
            <v>30002</v>
          </cell>
          <cell r="Y288" t="str">
            <v>00295</v>
          </cell>
        </row>
        <row r="289">
          <cell r="A289" t="str">
            <v>11020062</v>
          </cell>
          <cell r="B289" t="str">
            <v>01</v>
          </cell>
          <cell r="C289" t="str">
            <v>RATHNA AGENCIES</v>
          </cell>
          <cell r="D289" t="str">
            <v>B M ROAD</v>
          </cell>
          <cell r="G289" t="str">
            <v>KARNATAKA</v>
          </cell>
          <cell r="H289" t="str">
            <v>CHANNARAYAPATNA</v>
          </cell>
          <cell r="I289" t="str">
            <v>573116</v>
          </cell>
          <cell r="J289" t="str">
            <v>003</v>
          </cell>
          <cell r="K289" t="str">
            <v>KGST 21716970</v>
          </cell>
          <cell r="L289" t="str">
            <v>N</v>
          </cell>
          <cell r="M289">
            <v>0</v>
          </cell>
          <cell r="O289" t="str">
            <v>N</v>
          </cell>
          <cell r="Q289" t="str">
            <v>296</v>
          </cell>
          <cell r="R289" t="str">
            <v>02</v>
          </cell>
          <cell r="S289" t="str">
            <v>02</v>
          </cell>
          <cell r="T289" t="str">
            <v>11</v>
          </cell>
          <cell r="X289" t="str">
            <v>30002</v>
          </cell>
          <cell r="Y289" t="str">
            <v>00296</v>
          </cell>
        </row>
        <row r="290">
          <cell r="A290" t="str">
            <v>11020063</v>
          </cell>
          <cell r="B290" t="str">
            <v>01</v>
          </cell>
          <cell r="C290" t="str">
            <v>VIGNESH TRADING CO.</v>
          </cell>
          <cell r="D290" t="str">
            <v>4-5-518/2, SHREE NILAYA</v>
          </cell>
          <cell r="E290" t="str">
            <v>JAIL ROAD</v>
          </cell>
          <cell r="G290" t="str">
            <v>KARNATAKA</v>
          </cell>
          <cell r="H290" t="str">
            <v>MANGALORE</v>
          </cell>
          <cell r="I290" t="str">
            <v>575003</v>
          </cell>
          <cell r="J290" t="str">
            <v>003</v>
          </cell>
          <cell r="K290" t="str">
            <v>KGST 3111857-4</v>
          </cell>
          <cell r="L290" t="str">
            <v>N</v>
          </cell>
          <cell r="M290">
            <v>0</v>
          </cell>
          <cell r="N290" t="str">
            <v>CST 3116857-7</v>
          </cell>
          <cell r="O290" t="str">
            <v>N</v>
          </cell>
          <cell r="Q290" t="str">
            <v>297</v>
          </cell>
          <cell r="R290" t="str">
            <v>02</v>
          </cell>
          <cell r="S290" t="str">
            <v>02</v>
          </cell>
          <cell r="T290" t="str">
            <v>11</v>
          </cell>
          <cell r="X290" t="str">
            <v>30001</v>
          </cell>
          <cell r="Y290" t="str">
            <v>00297</v>
          </cell>
        </row>
        <row r="291">
          <cell r="A291" t="str">
            <v>11020064</v>
          </cell>
          <cell r="B291" t="str">
            <v>01</v>
          </cell>
          <cell r="C291" t="str">
            <v>GANESH TRADING COMPANY</v>
          </cell>
          <cell r="D291" t="str">
            <v>9-4-149,TENKPET CROSS ROAD</v>
          </cell>
          <cell r="G291" t="str">
            <v>KARNATAKA</v>
          </cell>
          <cell r="H291" t="str">
            <v>UDUPI</v>
          </cell>
          <cell r="I291" t="str">
            <v>576101</v>
          </cell>
          <cell r="J291" t="str">
            <v>003</v>
          </cell>
          <cell r="K291" t="str">
            <v>KGST 30207745</v>
          </cell>
          <cell r="L291" t="str">
            <v>N</v>
          </cell>
          <cell r="M291">
            <v>0</v>
          </cell>
          <cell r="N291" t="str">
            <v>CST 30257748</v>
          </cell>
          <cell r="O291" t="str">
            <v>N</v>
          </cell>
          <cell r="Q291" t="str">
            <v>298</v>
          </cell>
          <cell r="R291" t="str">
            <v>02</v>
          </cell>
          <cell r="S291" t="str">
            <v>02</v>
          </cell>
          <cell r="T291" t="str">
            <v>11</v>
          </cell>
          <cell r="X291" t="str">
            <v>30001</v>
          </cell>
          <cell r="Y291" t="str">
            <v>00298</v>
          </cell>
        </row>
        <row r="292">
          <cell r="A292" t="str">
            <v>11020065</v>
          </cell>
          <cell r="B292" t="str">
            <v>01</v>
          </cell>
          <cell r="C292" t="str">
            <v>SRI VINAYAKA TRADERS</v>
          </cell>
          <cell r="D292" t="str">
            <v>7/440-D, SOUTHERN EXTENSION</v>
          </cell>
          <cell r="G292" t="str">
            <v>KARNATAKA</v>
          </cell>
          <cell r="H292" t="str">
            <v>KOLLEGAL</v>
          </cell>
          <cell r="I292" t="str">
            <v>571440</v>
          </cell>
          <cell r="J292" t="str">
            <v>003</v>
          </cell>
          <cell r="K292" t="str">
            <v>KGST 22108142</v>
          </cell>
          <cell r="L292" t="str">
            <v>N</v>
          </cell>
          <cell r="M292">
            <v>0</v>
          </cell>
          <cell r="N292" t="str">
            <v>CST 22158145</v>
          </cell>
          <cell r="O292" t="str">
            <v>N</v>
          </cell>
          <cell r="Q292" t="str">
            <v>299</v>
          </cell>
          <cell r="R292" t="str">
            <v>02</v>
          </cell>
          <cell r="S292" t="str">
            <v>02</v>
          </cell>
          <cell r="T292" t="str">
            <v>11</v>
          </cell>
          <cell r="X292" t="str">
            <v>30001</v>
          </cell>
          <cell r="Y292" t="str">
            <v>00299</v>
          </cell>
        </row>
        <row r="293">
          <cell r="A293" t="str">
            <v>11020066</v>
          </cell>
          <cell r="B293" t="str">
            <v>01</v>
          </cell>
          <cell r="C293" t="str">
            <v>NANDI TRADERS</v>
          </cell>
          <cell r="D293" t="str">
            <v>J.L.B.ROAD</v>
          </cell>
          <cell r="G293" t="str">
            <v>KARNATAKA</v>
          </cell>
          <cell r="H293" t="str">
            <v>HUNSUR</v>
          </cell>
          <cell r="I293" t="str">
            <v>571105</v>
          </cell>
          <cell r="J293" t="str">
            <v>003</v>
          </cell>
          <cell r="K293" t="str">
            <v>KST.22301987</v>
          </cell>
          <cell r="L293" t="str">
            <v>N</v>
          </cell>
          <cell r="M293">
            <v>0</v>
          </cell>
          <cell r="O293" t="str">
            <v>N</v>
          </cell>
          <cell r="Q293" t="str">
            <v>300</v>
          </cell>
          <cell r="R293" t="str">
            <v>02</v>
          </cell>
          <cell r="S293" t="str">
            <v>02</v>
          </cell>
          <cell r="T293" t="str">
            <v>11</v>
          </cell>
          <cell r="X293" t="str">
            <v>30001</v>
          </cell>
          <cell r="Y293" t="str">
            <v>00300</v>
          </cell>
        </row>
        <row r="294">
          <cell r="A294" t="str">
            <v>11020067</v>
          </cell>
          <cell r="B294" t="str">
            <v>01</v>
          </cell>
          <cell r="C294" t="str">
            <v>POOJITHA ENTERPRISES</v>
          </cell>
          <cell r="D294" t="str">
            <v>P.B.NO.66</v>
          </cell>
          <cell r="E294" t="str">
            <v>RAILWAY STATION ROAD</v>
          </cell>
          <cell r="G294" t="str">
            <v>KARNATAKA</v>
          </cell>
          <cell r="H294" t="str">
            <v>TIPTUR</v>
          </cell>
          <cell r="I294" t="str">
            <v>572201</v>
          </cell>
          <cell r="J294" t="str">
            <v>003</v>
          </cell>
          <cell r="K294" t="str">
            <v>KST 12121289</v>
          </cell>
          <cell r="L294" t="str">
            <v>N</v>
          </cell>
          <cell r="M294">
            <v>0</v>
          </cell>
          <cell r="O294" t="str">
            <v>N</v>
          </cell>
          <cell r="Q294" t="str">
            <v>301</v>
          </cell>
          <cell r="R294" t="str">
            <v>02</v>
          </cell>
          <cell r="S294" t="str">
            <v>02</v>
          </cell>
          <cell r="T294" t="str">
            <v>11</v>
          </cell>
          <cell r="X294" t="str">
            <v>30002</v>
          </cell>
          <cell r="Y294" t="str">
            <v>00301</v>
          </cell>
        </row>
        <row r="295">
          <cell r="A295" t="str">
            <v>11020068</v>
          </cell>
          <cell r="B295" t="str">
            <v>01</v>
          </cell>
          <cell r="C295" t="str">
            <v>UMESH ENTERPRISES</v>
          </cell>
          <cell r="D295" t="str">
            <v>417-A, SRI RAMA MANDIR ROAD</v>
          </cell>
          <cell r="G295" t="str">
            <v>KARNATAKA</v>
          </cell>
          <cell r="H295" t="str">
            <v>TIPTUR</v>
          </cell>
          <cell r="I295" t="str">
            <v>572201</v>
          </cell>
          <cell r="J295" t="str">
            <v>003</v>
          </cell>
          <cell r="K295" t="str">
            <v>KST 17533181</v>
          </cell>
          <cell r="L295" t="str">
            <v>N</v>
          </cell>
          <cell r="M295">
            <v>0</v>
          </cell>
          <cell r="O295" t="str">
            <v>N</v>
          </cell>
          <cell r="Q295" t="str">
            <v>302</v>
          </cell>
          <cell r="R295" t="str">
            <v>02</v>
          </cell>
          <cell r="S295" t="str">
            <v>02</v>
          </cell>
          <cell r="T295" t="str">
            <v>11</v>
          </cell>
          <cell r="X295" t="str">
            <v>30002</v>
          </cell>
          <cell r="Y295" t="str">
            <v>00302</v>
          </cell>
        </row>
        <row r="296">
          <cell r="A296" t="str">
            <v>11020069</v>
          </cell>
          <cell r="B296" t="str">
            <v>01</v>
          </cell>
          <cell r="C296" t="str">
            <v>HASIRUTHOTA AGENCIES</v>
          </cell>
          <cell r="D296" t="str">
            <v>NEAR CHENNAKESHAVA TEMPLE</v>
          </cell>
          <cell r="E296" t="str">
            <v>CAR STREET</v>
          </cell>
          <cell r="G296" t="str">
            <v>KARNATAKA</v>
          </cell>
          <cell r="H296" t="str">
            <v>SULLIA</v>
          </cell>
          <cell r="I296" t="str">
            <v>574239</v>
          </cell>
          <cell r="J296" t="str">
            <v>003</v>
          </cell>
          <cell r="K296" t="str">
            <v>KGST 3231930-7</v>
          </cell>
          <cell r="L296" t="str">
            <v>N</v>
          </cell>
          <cell r="M296">
            <v>0</v>
          </cell>
          <cell r="O296" t="str">
            <v>N</v>
          </cell>
          <cell r="Q296" t="str">
            <v>303</v>
          </cell>
          <cell r="R296" t="str">
            <v>02</v>
          </cell>
          <cell r="S296" t="str">
            <v>02</v>
          </cell>
          <cell r="T296" t="str">
            <v>11</v>
          </cell>
          <cell r="X296" t="str">
            <v>30002</v>
          </cell>
          <cell r="Y296" t="str">
            <v>00303</v>
          </cell>
        </row>
        <row r="297">
          <cell r="A297" t="str">
            <v>11020070</v>
          </cell>
          <cell r="B297" t="str">
            <v>01</v>
          </cell>
          <cell r="C297" t="str">
            <v>SHANTHI ENTERPRISES</v>
          </cell>
          <cell r="D297" t="str">
            <v>KRISHNA BUILDING</v>
          </cell>
          <cell r="E297" t="str">
            <v>BAZAAR STREET</v>
          </cell>
          <cell r="G297" t="str">
            <v>KARNATAKA</v>
          </cell>
          <cell r="H297" t="str">
            <v>NANJANGUD</v>
          </cell>
          <cell r="I297" t="str">
            <v>571301</v>
          </cell>
          <cell r="J297" t="str">
            <v>003</v>
          </cell>
          <cell r="K297" t="str">
            <v>KST 21186896</v>
          </cell>
          <cell r="L297" t="str">
            <v>N</v>
          </cell>
          <cell r="M297">
            <v>0</v>
          </cell>
          <cell r="O297" t="str">
            <v>N</v>
          </cell>
          <cell r="Q297" t="str">
            <v>304</v>
          </cell>
          <cell r="R297" t="str">
            <v>02</v>
          </cell>
          <cell r="S297" t="str">
            <v>02</v>
          </cell>
          <cell r="T297" t="str">
            <v>11</v>
          </cell>
          <cell r="X297" t="str">
            <v>30002</v>
          </cell>
          <cell r="Y297" t="str">
            <v>00304</v>
          </cell>
        </row>
        <row r="298">
          <cell r="A298" t="str">
            <v>11020071</v>
          </cell>
          <cell r="B298" t="str">
            <v>01</v>
          </cell>
          <cell r="C298" t="str">
            <v>MAGIC ENTERPRISES</v>
          </cell>
          <cell r="D298" t="str">
            <v>GUDDE KOPLA ROAD</v>
          </cell>
          <cell r="G298" t="str">
            <v>KARNATAKA</v>
          </cell>
          <cell r="H298" t="str">
            <v>SURATKAL</v>
          </cell>
          <cell r="I298" t="str">
            <v>574158</v>
          </cell>
          <cell r="J298" t="str">
            <v>003</v>
          </cell>
          <cell r="K298" t="str">
            <v>KST NO:35535611</v>
          </cell>
          <cell r="L298" t="str">
            <v>N</v>
          </cell>
          <cell r="M298">
            <v>0</v>
          </cell>
          <cell r="N298" t="str">
            <v>CST NO:35585614</v>
          </cell>
          <cell r="O298" t="str">
            <v>N</v>
          </cell>
          <cell r="Q298" t="str">
            <v>305</v>
          </cell>
          <cell r="R298" t="str">
            <v>02</v>
          </cell>
          <cell r="S298" t="str">
            <v>02</v>
          </cell>
          <cell r="T298" t="str">
            <v>11</v>
          </cell>
          <cell r="X298" t="str">
            <v>30001</v>
          </cell>
          <cell r="Y298" t="str">
            <v>00305</v>
          </cell>
        </row>
        <row r="299">
          <cell r="A299" t="str">
            <v>11020072</v>
          </cell>
          <cell r="B299" t="str">
            <v>01</v>
          </cell>
          <cell r="C299" t="str">
            <v>MAHAVEER STORES</v>
          </cell>
          <cell r="D299" t="str">
            <v>10TH CROSS</v>
          </cell>
          <cell r="E299" t="str">
            <v>B.H.ROAD</v>
          </cell>
          <cell r="G299" t="str">
            <v>KARNATAKA</v>
          </cell>
          <cell r="H299" t="str">
            <v>BHADRAVATHI</v>
          </cell>
          <cell r="J299" t="str">
            <v>003</v>
          </cell>
          <cell r="K299" t="str">
            <v>KST 81901082</v>
          </cell>
          <cell r="L299" t="str">
            <v>N</v>
          </cell>
          <cell r="M299">
            <v>0</v>
          </cell>
          <cell r="O299" t="str">
            <v>N</v>
          </cell>
          <cell r="Q299" t="str">
            <v>306</v>
          </cell>
          <cell r="R299" t="str">
            <v>02</v>
          </cell>
          <cell r="S299" t="str">
            <v>02</v>
          </cell>
          <cell r="T299" t="str">
            <v>11</v>
          </cell>
          <cell r="X299" t="str">
            <v>30001</v>
          </cell>
          <cell r="Y299" t="str">
            <v>00306</v>
          </cell>
        </row>
        <row r="300">
          <cell r="A300" t="str">
            <v>11020073</v>
          </cell>
          <cell r="B300" t="str">
            <v>01</v>
          </cell>
          <cell r="C300" t="str">
            <v>THRUPTHI SWEETS</v>
          </cell>
          <cell r="D300" t="str">
            <v>AZAD ROAD</v>
          </cell>
          <cell r="G300" t="str">
            <v>KARNATAKA</v>
          </cell>
          <cell r="H300" t="str">
            <v>THIRTHAHALLI</v>
          </cell>
          <cell r="J300" t="str">
            <v>003</v>
          </cell>
          <cell r="K300" t="str">
            <v>KST 85940800</v>
          </cell>
          <cell r="L300" t="str">
            <v>N</v>
          </cell>
          <cell r="M300">
            <v>0</v>
          </cell>
          <cell r="O300" t="str">
            <v>N</v>
          </cell>
          <cell r="Q300" t="str">
            <v>307</v>
          </cell>
          <cell r="R300" t="str">
            <v>02</v>
          </cell>
          <cell r="S300" t="str">
            <v>02</v>
          </cell>
          <cell r="T300" t="str">
            <v>11</v>
          </cell>
          <cell r="X300" t="str">
            <v>30001</v>
          </cell>
          <cell r="Y300" t="str">
            <v>00307</v>
          </cell>
        </row>
        <row r="301">
          <cell r="A301" t="str">
            <v>11020074</v>
          </cell>
          <cell r="B301" t="str">
            <v>01</v>
          </cell>
          <cell r="C301" t="str">
            <v>VIJAYAKUMAR &amp; CO</v>
          </cell>
          <cell r="D301" t="str">
            <v>AKKA MAHADEVI ROAD</v>
          </cell>
          <cell r="E301" t="str">
            <v>INDI ROAD</v>
          </cell>
          <cell r="G301" t="str">
            <v>KARNATAKA</v>
          </cell>
          <cell r="H301" t="str">
            <v>BIJAPUR</v>
          </cell>
          <cell r="I301" t="str">
            <v>586101</v>
          </cell>
          <cell r="J301" t="str">
            <v>003</v>
          </cell>
          <cell r="K301" t="str">
            <v>KGST 5231659-2</v>
          </cell>
          <cell r="L301" t="str">
            <v>N</v>
          </cell>
          <cell r="M301">
            <v>0</v>
          </cell>
          <cell r="N301" t="str">
            <v>CST 5236659-5</v>
          </cell>
          <cell r="O301" t="str">
            <v>N</v>
          </cell>
          <cell r="Q301" t="str">
            <v>308</v>
          </cell>
          <cell r="R301" t="str">
            <v>02</v>
          </cell>
          <cell r="S301" t="str">
            <v>02</v>
          </cell>
          <cell r="T301" t="str">
            <v>11</v>
          </cell>
          <cell r="X301" t="str">
            <v>30001</v>
          </cell>
          <cell r="Y301" t="str">
            <v>00308</v>
          </cell>
        </row>
        <row r="302">
          <cell r="A302" t="str">
            <v>11020075</v>
          </cell>
          <cell r="B302" t="str">
            <v>01</v>
          </cell>
          <cell r="C302" t="str">
            <v>SHAKTHI AGENCIES</v>
          </cell>
          <cell r="D302" t="str">
            <v>M.G.ROAD</v>
          </cell>
          <cell r="E302" t="str">
            <v>OPP.TOWN POLICE STATION</v>
          </cell>
          <cell r="G302" t="str">
            <v>KARNATAKA</v>
          </cell>
          <cell r="H302" t="str">
            <v>KOLAR</v>
          </cell>
          <cell r="J302" t="str">
            <v>003</v>
          </cell>
          <cell r="K302" t="str">
            <v>KGST 10115316</v>
          </cell>
          <cell r="L302" t="str">
            <v>N</v>
          </cell>
          <cell r="M302">
            <v>0</v>
          </cell>
          <cell r="O302" t="str">
            <v>N</v>
          </cell>
          <cell r="Q302" t="str">
            <v>309</v>
          </cell>
          <cell r="R302" t="str">
            <v>02</v>
          </cell>
          <cell r="S302" t="str">
            <v>02</v>
          </cell>
          <cell r="T302" t="str">
            <v>11</v>
          </cell>
          <cell r="X302" t="str">
            <v>30002</v>
          </cell>
          <cell r="Y302" t="str">
            <v>00309</v>
          </cell>
        </row>
        <row r="303">
          <cell r="A303" t="str">
            <v>11020076</v>
          </cell>
          <cell r="B303" t="str">
            <v>01</v>
          </cell>
          <cell r="C303" t="str">
            <v>SRI RAMA ASSOCIATES</v>
          </cell>
          <cell r="D303" t="str">
            <v>324, D. SUBBAIAH ROAD</v>
          </cell>
          <cell r="G303" t="str">
            <v>KARNATAKA</v>
          </cell>
          <cell r="H303" t="str">
            <v>MYSORE</v>
          </cell>
          <cell r="I303" t="str">
            <v>570024</v>
          </cell>
          <cell r="J303" t="str">
            <v>003</v>
          </cell>
          <cell r="K303" t="str">
            <v>KGST 20616314</v>
          </cell>
          <cell r="L303" t="str">
            <v>N</v>
          </cell>
          <cell r="M303">
            <v>0</v>
          </cell>
          <cell r="O303" t="str">
            <v>N</v>
          </cell>
          <cell r="Q303" t="str">
            <v>310</v>
          </cell>
          <cell r="R303" t="str">
            <v>02</v>
          </cell>
          <cell r="S303" t="str">
            <v>02</v>
          </cell>
          <cell r="T303" t="str">
            <v>11</v>
          </cell>
          <cell r="X303" t="str">
            <v>30001</v>
          </cell>
          <cell r="Y303" t="str">
            <v>00310</v>
          </cell>
        </row>
        <row r="304">
          <cell r="A304" t="str">
            <v>11020077</v>
          </cell>
          <cell r="B304" t="str">
            <v>01</v>
          </cell>
          <cell r="C304" t="str">
            <v>FAIR DEAL</v>
          </cell>
          <cell r="D304" t="str">
            <v>KALYAN CO OP SOCIETY</v>
          </cell>
          <cell r="E304" t="str">
            <v>RPC LAYOUT, VIJAYANAGAR EAST</v>
          </cell>
          <cell r="G304" t="str">
            <v>KARNATAKA</v>
          </cell>
          <cell r="H304" t="str">
            <v>BANGALORE</v>
          </cell>
          <cell r="I304" t="str">
            <v>560040</v>
          </cell>
          <cell r="J304" t="str">
            <v>003</v>
          </cell>
          <cell r="K304" t="str">
            <v>KST 95710462/7.5.96</v>
          </cell>
          <cell r="L304" t="str">
            <v>N</v>
          </cell>
          <cell r="M304">
            <v>0</v>
          </cell>
          <cell r="N304" t="str">
            <v>CST 95760465/7.5.96</v>
          </cell>
          <cell r="O304" t="str">
            <v>N</v>
          </cell>
          <cell r="Q304" t="str">
            <v>311</v>
          </cell>
          <cell r="R304" t="str">
            <v>02</v>
          </cell>
          <cell r="S304" t="str">
            <v>02</v>
          </cell>
          <cell r="T304" t="str">
            <v>11</v>
          </cell>
          <cell r="X304" t="str">
            <v>30003</v>
          </cell>
          <cell r="Y304" t="str">
            <v>00311</v>
          </cell>
        </row>
        <row r="305">
          <cell r="A305" t="str">
            <v>11020078</v>
          </cell>
          <cell r="B305" t="str">
            <v>01</v>
          </cell>
          <cell r="C305" t="str">
            <v>S.G.MARKETING</v>
          </cell>
          <cell r="D305" t="str">
            <v>NO.12, 5TH CROSS, CHURCH STREE</v>
          </cell>
          <cell r="E305" t="str">
            <v>HENNUR MAIN ROAD, LINGARAJAPUR</v>
          </cell>
          <cell r="G305" t="str">
            <v>KARNATAKA</v>
          </cell>
          <cell r="H305" t="str">
            <v>BANGALORE</v>
          </cell>
          <cell r="I305" t="str">
            <v>560084</v>
          </cell>
          <cell r="J305" t="str">
            <v>003</v>
          </cell>
          <cell r="K305" t="str">
            <v>KST 15634073 DT.04.02.97</v>
          </cell>
          <cell r="L305" t="str">
            <v>N</v>
          </cell>
          <cell r="M305">
            <v>0</v>
          </cell>
          <cell r="O305" t="str">
            <v>N</v>
          </cell>
          <cell r="Q305" t="str">
            <v>312</v>
          </cell>
          <cell r="R305" t="str">
            <v>02</v>
          </cell>
          <cell r="S305" t="str">
            <v>02</v>
          </cell>
          <cell r="T305" t="str">
            <v>11</v>
          </cell>
          <cell r="X305" t="str">
            <v>30003</v>
          </cell>
          <cell r="Y305" t="str">
            <v>00312</v>
          </cell>
        </row>
        <row r="306">
          <cell r="A306" t="str">
            <v>11020079</v>
          </cell>
          <cell r="B306" t="str">
            <v>01</v>
          </cell>
          <cell r="C306" t="str">
            <v>PAVAN DISTRIBUTORS</v>
          </cell>
          <cell r="D306" t="str">
            <v>NO.17/1, I CROSS</v>
          </cell>
          <cell r="E306" t="str">
            <v>GUPTHA LAYOUT, ULSOOR</v>
          </cell>
          <cell r="G306" t="str">
            <v>KARNATAKA</v>
          </cell>
          <cell r="H306" t="str">
            <v>BANGALORE</v>
          </cell>
          <cell r="I306" t="str">
            <v>560008</v>
          </cell>
          <cell r="J306" t="str">
            <v>003</v>
          </cell>
          <cell r="K306" t="str">
            <v>KST 00407264</v>
          </cell>
          <cell r="L306" t="str">
            <v>N</v>
          </cell>
          <cell r="M306">
            <v>0</v>
          </cell>
          <cell r="N306" t="str">
            <v>CST 00457267</v>
          </cell>
          <cell r="O306" t="str">
            <v>N</v>
          </cell>
          <cell r="Q306" t="str">
            <v>313</v>
          </cell>
          <cell r="R306" t="str">
            <v>02</v>
          </cell>
          <cell r="S306" t="str">
            <v>02</v>
          </cell>
          <cell r="T306" t="str">
            <v>11</v>
          </cell>
          <cell r="X306" t="str">
            <v>30003</v>
          </cell>
          <cell r="Y306" t="str">
            <v>00313</v>
          </cell>
        </row>
        <row r="307">
          <cell r="A307" t="str">
            <v>11020080</v>
          </cell>
          <cell r="B307" t="str">
            <v>01</v>
          </cell>
          <cell r="C307" t="str">
            <v>BRITANNIA E.O.</v>
          </cell>
          <cell r="D307" t="str">
            <v>BRITANNIA GARDENS</v>
          </cell>
          <cell r="E307" t="str">
            <v>VIMANAPURA</v>
          </cell>
          <cell r="G307" t="str">
            <v>KARNATAKA</v>
          </cell>
          <cell r="H307" t="str">
            <v>BANGALORE</v>
          </cell>
          <cell r="I307" t="str">
            <v>560 018</v>
          </cell>
          <cell r="J307" t="str">
            <v>003</v>
          </cell>
          <cell r="K307" t="str">
            <v>KST: 0040145 -6</v>
          </cell>
          <cell r="L307" t="str">
            <v>N</v>
          </cell>
          <cell r="M307">
            <v>0</v>
          </cell>
          <cell r="N307" t="str">
            <v>CST: 0045145-9</v>
          </cell>
          <cell r="O307" t="str">
            <v>N</v>
          </cell>
          <cell r="Q307" t="str">
            <v>005</v>
          </cell>
          <cell r="R307" t="str">
            <v>02</v>
          </cell>
          <cell r="S307" t="str">
            <v>02</v>
          </cell>
          <cell r="T307" t="str">
            <v>11</v>
          </cell>
          <cell r="U307">
            <v>0</v>
          </cell>
          <cell r="X307" t="str">
            <v>30003</v>
          </cell>
          <cell r="Y307" t="str">
            <v>00005</v>
          </cell>
        </row>
        <row r="308">
          <cell r="A308" t="str">
            <v>11020082</v>
          </cell>
          <cell r="B308" t="str">
            <v>01</v>
          </cell>
          <cell r="C308" t="str">
            <v>SHALIMAR AGENCIES</v>
          </cell>
          <cell r="D308" t="str">
            <v>DASWAL ROAD</v>
          </cell>
          <cell r="G308" t="str">
            <v>KARNATAKA</v>
          </cell>
          <cell r="H308" t="str">
            <v>MADIKERI</v>
          </cell>
          <cell r="I308" t="str">
            <v>571 201</v>
          </cell>
          <cell r="J308" t="str">
            <v>003</v>
          </cell>
          <cell r="K308" t="str">
            <v>KST: 32516526</v>
          </cell>
          <cell r="L308" t="str">
            <v>N</v>
          </cell>
          <cell r="M308">
            <v>0</v>
          </cell>
          <cell r="O308" t="str">
            <v>N</v>
          </cell>
          <cell r="Q308" t="str">
            <v>480</v>
          </cell>
          <cell r="R308" t="str">
            <v>02</v>
          </cell>
          <cell r="S308" t="str">
            <v>02</v>
          </cell>
          <cell r="T308" t="str">
            <v>11</v>
          </cell>
          <cell r="U308">
            <v>0</v>
          </cell>
          <cell r="X308" t="str">
            <v>30003</v>
          </cell>
          <cell r="Y308" t="str">
            <v>00480</v>
          </cell>
        </row>
        <row r="309">
          <cell r="A309" t="str">
            <v>11020083</v>
          </cell>
          <cell r="B309" t="str">
            <v>01</v>
          </cell>
          <cell r="C309" t="str">
            <v>M/s.JAI KRISHNA AGENCIES</v>
          </cell>
          <cell r="D309" t="str">
            <v>ARAVINDA NAGAR</v>
          </cell>
          <cell r="G309" t="str">
            <v>KARNATAKA</v>
          </cell>
          <cell r="H309" t="str">
            <v>CHICKMAGALUR</v>
          </cell>
          <cell r="I309" t="str">
            <v>577 101</v>
          </cell>
          <cell r="J309" t="str">
            <v>003</v>
          </cell>
          <cell r="K309" t="str">
            <v>KST:21911400</v>
          </cell>
          <cell r="L309" t="str">
            <v>N</v>
          </cell>
          <cell r="M309">
            <v>0</v>
          </cell>
          <cell r="O309" t="str">
            <v>N</v>
          </cell>
          <cell r="Q309" t="str">
            <v>486</v>
          </cell>
          <cell r="R309" t="str">
            <v>02</v>
          </cell>
          <cell r="S309" t="str">
            <v>02</v>
          </cell>
          <cell r="T309" t="str">
            <v>11</v>
          </cell>
          <cell r="U309">
            <v>0</v>
          </cell>
          <cell r="X309" t="str">
            <v>30001</v>
          </cell>
          <cell r="Y309" t="str">
            <v>486</v>
          </cell>
        </row>
        <row r="310">
          <cell r="A310" t="str">
            <v>11020084</v>
          </cell>
          <cell r="B310" t="str">
            <v>01</v>
          </cell>
          <cell r="C310" t="str">
            <v>M/S. SHREE AGENCIES</v>
          </cell>
          <cell r="D310" t="str">
            <v>MADIWALAR CHALL</v>
          </cell>
          <cell r="G310" t="str">
            <v>KARNATAKA</v>
          </cell>
          <cell r="H310" t="str">
            <v>BAILHONGAL</v>
          </cell>
          <cell r="I310" t="str">
            <v>591 102</v>
          </cell>
          <cell r="J310" t="str">
            <v>003</v>
          </cell>
          <cell r="K310" t="str">
            <v>KST:5120845-3</v>
          </cell>
          <cell r="L310" t="str">
            <v>N</v>
          </cell>
          <cell r="M310">
            <v>0</v>
          </cell>
          <cell r="O310" t="str">
            <v>N</v>
          </cell>
          <cell r="Q310" t="str">
            <v>488</v>
          </cell>
          <cell r="R310" t="str">
            <v>02</v>
          </cell>
          <cell r="S310" t="str">
            <v>02</v>
          </cell>
          <cell r="T310" t="str">
            <v>11</v>
          </cell>
          <cell r="U310">
            <v>0</v>
          </cell>
          <cell r="X310" t="str">
            <v>30002</v>
          </cell>
          <cell r="Y310" t="str">
            <v>00488</v>
          </cell>
        </row>
        <row r="311">
          <cell r="A311" t="str">
            <v>11020085</v>
          </cell>
          <cell r="B311" t="str">
            <v>01</v>
          </cell>
          <cell r="C311" t="str">
            <v>M/S. ANAND TRADERS</v>
          </cell>
          <cell r="D311" t="str">
            <v>SHOP NO:22-23-1</v>
          </cell>
          <cell r="E311" t="str">
            <v>JAJEE COMPLEX[Near Bus Stand]</v>
          </cell>
          <cell r="G311" t="str">
            <v>KARNATAKA</v>
          </cell>
          <cell r="H311" t="str">
            <v>HUMANABAD</v>
          </cell>
          <cell r="I311" t="str">
            <v>585 330</v>
          </cell>
          <cell r="J311" t="str">
            <v>003</v>
          </cell>
          <cell r="K311" t="str">
            <v>KST:67188114</v>
          </cell>
          <cell r="L311" t="str">
            <v>N</v>
          </cell>
          <cell r="M311">
            <v>0</v>
          </cell>
          <cell r="N311" t="str">
            <v>CST:67138111</v>
          </cell>
          <cell r="O311" t="str">
            <v>N</v>
          </cell>
          <cell r="Q311" t="str">
            <v>489</v>
          </cell>
          <cell r="R311" t="str">
            <v>02</v>
          </cell>
          <cell r="S311" t="str">
            <v>02</v>
          </cell>
          <cell r="T311" t="str">
            <v>11</v>
          </cell>
          <cell r="U311">
            <v>0</v>
          </cell>
          <cell r="X311" t="str">
            <v>30002</v>
          </cell>
          <cell r="Y311" t="str">
            <v>00489</v>
          </cell>
        </row>
        <row r="312">
          <cell r="A312" t="str">
            <v>11020086</v>
          </cell>
          <cell r="B312" t="str">
            <v>01</v>
          </cell>
          <cell r="C312" t="str">
            <v>M/S.AKSHAY AGENCIES</v>
          </cell>
          <cell r="D312" t="str">
            <v>SHOP NO:5-2-64</v>
          </cell>
          <cell r="E312" t="str">
            <v>RAILWAY STATION ROAD</v>
          </cell>
          <cell r="F312" t="str">
            <v>BHALKI [BIDAR DT]</v>
          </cell>
          <cell r="G312" t="str">
            <v>KARNATAKA</v>
          </cell>
          <cell r="H312" t="str">
            <v>BHALKI</v>
          </cell>
          <cell r="I312" t="str">
            <v>585 328</v>
          </cell>
          <cell r="J312" t="str">
            <v>003</v>
          </cell>
          <cell r="K312" t="str">
            <v>APPLIED</v>
          </cell>
          <cell r="L312" t="str">
            <v>N</v>
          </cell>
          <cell r="M312">
            <v>0</v>
          </cell>
          <cell r="O312" t="str">
            <v>N</v>
          </cell>
          <cell r="Q312" t="str">
            <v>490</v>
          </cell>
          <cell r="R312" t="str">
            <v>02</v>
          </cell>
          <cell r="S312" t="str">
            <v>02</v>
          </cell>
          <cell r="T312" t="str">
            <v>11</v>
          </cell>
          <cell r="U312">
            <v>0</v>
          </cell>
          <cell r="X312" t="str">
            <v>30002</v>
          </cell>
          <cell r="Y312" t="str">
            <v>00490</v>
          </cell>
        </row>
        <row r="313">
          <cell r="A313" t="str">
            <v>11020087</v>
          </cell>
          <cell r="B313" t="str">
            <v>01</v>
          </cell>
          <cell r="C313" t="str">
            <v>M/s.MAHAVEER DISTRIBUTORS</v>
          </cell>
          <cell r="D313" t="str">
            <v>SHOP NO:44 CENTURY COMPLEX</v>
          </cell>
          <cell r="E313" t="str">
            <v>OPP:SANGAM TALKIES</v>
          </cell>
          <cell r="G313" t="str">
            <v>KARNATAKA</v>
          </cell>
          <cell r="H313" t="str">
            <v>GULBARGA</v>
          </cell>
          <cell r="I313" t="str">
            <v>585 101</v>
          </cell>
          <cell r="J313" t="str">
            <v>003</v>
          </cell>
          <cell r="K313" t="str">
            <v>KST:6291931-3</v>
          </cell>
          <cell r="L313" t="str">
            <v>N</v>
          </cell>
          <cell r="M313">
            <v>0</v>
          </cell>
          <cell r="N313" t="str">
            <v>CST:6296931-6</v>
          </cell>
          <cell r="O313" t="str">
            <v>N</v>
          </cell>
          <cell r="Q313" t="str">
            <v>491</v>
          </cell>
          <cell r="R313" t="str">
            <v>02</v>
          </cell>
          <cell r="S313" t="str">
            <v>02</v>
          </cell>
          <cell r="T313" t="str">
            <v>11</v>
          </cell>
          <cell r="U313">
            <v>0</v>
          </cell>
          <cell r="X313" t="str">
            <v>30002</v>
          </cell>
          <cell r="Y313" t="str">
            <v>00491</v>
          </cell>
        </row>
        <row r="314">
          <cell r="A314" t="str">
            <v>11020088</v>
          </cell>
          <cell r="B314" t="str">
            <v>01</v>
          </cell>
          <cell r="C314" t="str">
            <v>VIJAY TRADE LINKS</v>
          </cell>
          <cell r="D314" t="str">
            <v>3rd DEVANGA STREET</v>
          </cell>
          <cell r="G314" t="str">
            <v>KARNATAKA</v>
          </cell>
          <cell r="H314" t="str">
            <v>CHAMRAJANAGAR</v>
          </cell>
          <cell r="I314" t="str">
            <v>571 313</v>
          </cell>
          <cell r="J314" t="str">
            <v>003</v>
          </cell>
          <cell r="K314" t="str">
            <v>KST:21139179</v>
          </cell>
          <cell r="L314" t="str">
            <v>N</v>
          </cell>
          <cell r="M314">
            <v>0</v>
          </cell>
          <cell r="N314" t="str">
            <v>CST:21189171</v>
          </cell>
          <cell r="O314" t="str">
            <v>N</v>
          </cell>
          <cell r="Q314" t="str">
            <v>500</v>
          </cell>
          <cell r="R314" t="str">
            <v>02</v>
          </cell>
          <cell r="S314" t="str">
            <v>02</v>
          </cell>
          <cell r="T314" t="str">
            <v>11</v>
          </cell>
          <cell r="U314">
            <v>0</v>
          </cell>
          <cell r="X314" t="str">
            <v>30002</v>
          </cell>
          <cell r="Y314" t="str">
            <v>00500</v>
          </cell>
        </row>
        <row r="315">
          <cell r="A315" t="str">
            <v>11020089</v>
          </cell>
          <cell r="B315" t="str">
            <v>01</v>
          </cell>
          <cell r="C315" t="str">
            <v>VIJAYA  ENTERPRISES</v>
          </cell>
          <cell r="D315" t="str">
            <v>SANGAPPANAVA MUDUGAL COMPLEX</v>
          </cell>
          <cell r="E315" t="str">
            <v>JAWAHAR ROAD</v>
          </cell>
          <cell r="G315" t="str">
            <v>KARNATAKA</v>
          </cell>
          <cell r="H315" t="str">
            <v>KOPPAL</v>
          </cell>
          <cell r="I315" t="str">
            <v>583 231</v>
          </cell>
          <cell r="J315" t="str">
            <v>003</v>
          </cell>
          <cell r="K315" t="str">
            <v>KST:63807040</v>
          </cell>
          <cell r="L315" t="str">
            <v>N</v>
          </cell>
          <cell r="M315">
            <v>0</v>
          </cell>
          <cell r="N315" t="str">
            <v>CST:63857042</v>
          </cell>
          <cell r="O315" t="str">
            <v>N</v>
          </cell>
          <cell r="Q315" t="str">
            <v>505</v>
          </cell>
          <cell r="R315" t="str">
            <v>02</v>
          </cell>
          <cell r="S315" t="str">
            <v>02</v>
          </cell>
          <cell r="T315" t="str">
            <v>11</v>
          </cell>
          <cell r="U315">
            <v>0</v>
          </cell>
          <cell r="X315" t="str">
            <v>30002</v>
          </cell>
          <cell r="Y315" t="str">
            <v>00505</v>
          </cell>
        </row>
        <row r="316">
          <cell r="A316" t="str">
            <v>11020090</v>
          </cell>
          <cell r="B316" t="str">
            <v>01</v>
          </cell>
          <cell r="C316" t="str">
            <v>MARAM DATTANNA SETTY&amp; CO</v>
          </cell>
          <cell r="D316" t="str">
            <v>NETAJI ROAD</v>
          </cell>
          <cell r="G316" t="str">
            <v>KARNATAKA</v>
          </cell>
          <cell r="H316" t="str">
            <v>RAICHUR</v>
          </cell>
          <cell r="I316" t="str">
            <v>584 101</v>
          </cell>
          <cell r="J316" t="str">
            <v>003</v>
          </cell>
          <cell r="K316" t="str">
            <v>KST:6020318/3</v>
          </cell>
          <cell r="L316" t="str">
            <v>N</v>
          </cell>
          <cell r="M316">
            <v>0</v>
          </cell>
          <cell r="N316" t="str">
            <v>CST:6025318/6</v>
          </cell>
          <cell r="O316" t="str">
            <v>N</v>
          </cell>
          <cell r="Q316" t="str">
            <v>506</v>
          </cell>
          <cell r="R316" t="str">
            <v>02</v>
          </cell>
          <cell r="S316" t="str">
            <v>02</v>
          </cell>
          <cell r="T316" t="str">
            <v>11</v>
          </cell>
          <cell r="U316">
            <v>0</v>
          </cell>
          <cell r="X316" t="str">
            <v>30002</v>
          </cell>
          <cell r="Y316" t="str">
            <v>00506</v>
          </cell>
        </row>
        <row r="317">
          <cell r="A317" t="str">
            <v>11020091</v>
          </cell>
          <cell r="B317" t="str">
            <v>01</v>
          </cell>
          <cell r="C317" t="str">
            <v>SUNIL AGENCIES</v>
          </cell>
          <cell r="D317" t="str">
            <v>SARANGAPANI TEMPLE ROAD</v>
          </cell>
          <cell r="E317" t="str">
            <v>FORT STREET</v>
          </cell>
          <cell r="G317" t="str">
            <v>KARNATAKA</v>
          </cell>
          <cell r="H317" t="str">
            <v>MALAVALLI</v>
          </cell>
          <cell r="I317" t="str">
            <v>571 430</v>
          </cell>
          <cell r="J317" t="str">
            <v>003</v>
          </cell>
          <cell r="K317" t="str">
            <v>KST:2673599-4</v>
          </cell>
          <cell r="L317" t="str">
            <v>N</v>
          </cell>
          <cell r="M317">
            <v>0</v>
          </cell>
          <cell r="O317" t="str">
            <v>N</v>
          </cell>
          <cell r="Q317" t="str">
            <v>507</v>
          </cell>
          <cell r="R317" t="str">
            <v>02</v>
          </cell>
          <cell r="S317" t="str">
            <v>02</v>
          </cell>
          <cell r="T317" t="str">
            <v>11</v>
          </cell>
          <cell r="U317">
            <v>0</v>
          </cell>
          <cell r="X317" t="str">
            <v>30002</v>
          </cell>
          <cell r="Y317" t="str">
            <v>00507</v>
          </cell>
        </row>
        <row r="318">
          <cell r="A318" t="str">
            <v>11020092</v>
          </cell>
          <cell r="B318" t="str">
            <v>01</v>
          </cell>
          <cell r="C318" t="str">
            <v>KRISHNA AGENCIES</v>
          </cell>
          <cell r="D318" t="str">
            <v>6-39-A</v>
          </cell>
          <cell r="E318" t="str">
            <v>MARKET ROAD</v>
          </cell>
          <cell r="G318" t="str">
            <v>KARNATAKA</v>
          </cell>
          <cell r="H318" t="str">
            <v>KOLLEGAL</v>
          </cell>
          <cell r="I318" t="str">
            <v>571 440</v>
          </cell>
          <cell r="J318" t="str">
            <v>003</v>
          </cell>
          <cell r="K318" t="str">
            <v>KST:2211219-4</v>
          </cell>
          <cell r="L318" t="str">
            <v>N</v>
          </cell>
          <cell r="M318">
            <v>0</v>
          </cell>
          <cell r="O318" t="str">
            <v>N</v>
          </cell>
          <cell r="Q318" t="str">
            <v>508</v>
          </cell>
          <cell r="R318" t="str">
            <v>02</v>
          </cell>
          <cell r="S318" t="str">
            <v>02</v>
          </cell>
          <cell r="T318" t="str">
            <v>11</v>
          </cell>
          <cell r="U318">
            <v>0</v>
          </cell>
          <cell r="X318" t="str">
            <v>30002</v>
          </cell>
          <cell r="Y318" t="str">
            <v>00508</v>
          </cell>
        </row>
        <row r="319">
          <cell r="A319" t="str">
            <v>11020093</v>
          </cell>
          <cell r="B319" t="str">
            <v>01</v>
          </cell>
          <cell r="C319" t="str">
            <v>VARDHAMAN AGENCIES</v>
          </cell>
          <cell r="D319" t="str">
            <v>CHIKMATH BUILDING</v>
          </cell>
          <cell r="E319" t="str">
            <v>J N ROAD</v>
          </cell>
          <cell r="G319" t="str">
            <v>KARNATAKA</v>
          </cell>
          <cell r="H319" t="str">
            <v>DANDELI</v>
          </cell>
          <cell r="I319" t="str">
            <v>581 325</v>
          </cell>
          <cell r="J319" t="str">
            <v>003</v>
          </cell>
          <cell r="K319" t="str">
            <v>KST:4280730</v>
          </cell>
          <cell r="L319" t="str">
            <v>N</v>
          </cell>
          <cell r="M319">
            <v>0</v>
          </cell>
          <cell r="O319" t="str">
            <v>N</v>
          </cell>
          <cell r="Q319" t="str">
            <v>510</v>
          </cell>
          <cell r="R319" t="str">
            <v>02</v>
          </cell>
          <cell r="S319" t="str">
            <v>02</v>
          </cell>
          <cell r="T319" t="str">
            <v>11</v>
          </cell>
          <cell r="U319">
            <v>0</v>
          </cell>
          <cell r="X319" t="str">
            <v>30002</v>
          </cell>
          <cell r="Y319" t="str">
            <v>00510</v>
          </cell>
        </row>
        <row r="320">
          <cell r="A320" t="str">
            <v>11020094</v>
          </cell>
          <cell r="B320" t="str">
            <v>01</v>
          </cell>
          <cell r="C320" t="str">
            <v>ANNAPURNA TRADERS</v>
          </cell>
          <cell r="D320" t="str">
            <v>F.N.MENSINKAI BUILDING</v>
          </cell>
          <cell r="E320" t="str">
            <v>OPP TO TRAFFIC POLICE STATION</v>
          </cell>
          <cell r="F320" t="str">
            <v>NEW COTTON MARKET</v>
          </cell>
          <cell r="G320" t="str">
            <v>KARNATAKA</v>
          </cell>
          <cell r="H320" t="str">
            <v>HUBLI</v>
          </cell>
          <cell r="I320" t="str">
            <v>580 029</v>
          </cell>
          <cell r="J320" t="str">
            <v>003</v>
          </cell>
          <cell r="K320" t="str">
            <v>KST:4161154-8</v>
          </cell>
          <cell r="L320" t="str">
            <v>N</v>
          </cell>
          <cell r="M320">
            <v>0</v>
          </cell>
          <cell r="N320" t="str">
            <v>CST:4166154-0</v>
          </cell>
          <cell r="O320" t="str">
            <v>N</v>
          </cell>
          <cell r="Q320" t="str">
            <v>511</v>
          </cell>
          <cell r="R320" t="str">
            <v>02</v>
          </cell>
          <cell r="S320" t="str">
            <v>02</v>
          </cell>
          <cell r="T320" t="str">
            <v>11</v>
          </cell>
          <cell r="U320">
            <v>0</v>
          </cell>
          <cell r="X320" t="str">
            <v>30002</v>
          </cell>
          <cell r="Y320" t="str">
            <v>00511</v>
          </cell>
        </row>
        <row r="321">
          <cell r="A321" t="str">
            <v>11020095</v>
          </cell>
          <cell r="B321" t="str">
            <v>01</v>
          </cell>
          <cell r="C321" t="str">
            <v>GREEN AGENCIES</v>
          </cell>
          <cell r="D321" t="str">
            <v>SRIDHAR TOWERS</v>
          </cell>
          <cell r="E321" t="str">
            <v>M G ROAD</v>
          </cell>
          <cell r="G321" t="str">
            <v>KARNATAKA</v>
          </cell>
          <cell r="H321" t="str">
            <v>CHIKMANGALUR</v>
          </cell>
          <cell r="I321" t="str">
            <v>577 101</v>
          </cell>
          <cell r="J321" t="str">
            <v>003</v>
          </cell>
          <cell r="K321" t="str">
            <v>KST:27736740</v>
          </cell>
          <cell r="L321" t="str">
            <v>N</v>
          </cell>
          <cell r="M321">
            <v>0</v>
          </cell>
          <cell r="O321" t="str">
            <v>N</v>
          </cell>
          <cell r="Q321" t="str">
            <v>514</v>
          </cell>
          <cell r="R321" t="str">
            <v>02</v>
          </cell>
          <cell r="S321" t="str">
            <v>02</v>
          </cell>
          <cell r="T321" t="str">
            <v>11</v>
          </cell>
          <cell r="U321">
            <v>0</v>
          </cell>
          <cell r="X321" t="str">
            <v>30002</v>
          </cell>
          <cell r="Y321" t="str">
            <v>00514</v>
          </cell>
        </row>
        <row r="322">
          <cell r="A322" t="str">
            <v>11020096</v>
          </cell>
          <cell r="B322" t="str">
            <v>01</v>
          </cell>
          <cell r="C322" t="str">
            <v>ATLAS DISTRIBUTORS P LTD</v>
          </cell>
          <cell r="D322" t="str">
            <v>341, 7TH MAIN</v>
          </cell>
          <cell r="E322" t="str">
            <v>H A L - II STAGE</v>
          </cell>
          <cell r="G322" t="str">
            <v>KARNATAKA</v>
          </cell>
          <cell r="H322" t="str">
            <v>BANGALORE</v>
          </cell>
          <cell r="I322" t="str">
            <v>560 008</v>
          </cell>
          <cell r="J322" t="str">
            <v>003</v>
          </cell>
          <cell r="K322" t="str">
            <v>KST:00902068</v>
          </cell>
          <cell r="L322" t="str">
            <v>N</v>
          </cell>
          <cell r="M322">
            <v>0</v>
          </cell>
          <cell r="N322" t="str">
            <v>CST:00952060</v>
          </cell>
          <cell r="O322" t="str">
            <v>N</v>
          </cell>
          <cell r="Q322" t="str">
            <v>267</v>
          </cell>
          <cell r="R322" t="str">
            <v>02</v>
          </cell>
          <cell r="S322" t="str">
            <v>02</v>
          </cell>
          <cell r="T322" t="str">
            <v>11</v>
          </cell>
          <cell r="U322">
            <v>0</v>
          </cell>
          <cell r="X322" t="str">
            <v>30001</v>
          </cell>
          <cell r="Y322" t="str">
            <v>00267</v>
          </cell>
        </row>
        <row r="323">
          <cell r="A323" t="str">
            <v>11020097</v>
          </cell>
          <cell r="B323" t="str">
            <v>01</v>
          </cell>
          <cell r="C323" t="str">
            <v>DURGA    ENTERPRISES</v>
          </cell>
          <cell r="D323" t="str">
            <v>Door No:195,  Ward No:XVI</v>
          </cell>
          <cell r="E323" t="str">
            <v>Sindgi Compound</v>
          </cell>
          <cell r="F323" t="str">
            <v>Mubarak Talkies Road</v>
          </cell>
          <cell r="G323" t="str">
            <v>Karnataka</v>
          </cell>
          <cell r="H323" t="str">
            <v>Bellary</v>
          </cell>
          <cell r="J323" t="str">
            <v>003</v>
          </cell>
          <cell r="K323" t="str">
            <v>KST:86536059</v>
          </cell>
          <cell r="L323" t="str">
            <v>N</v>
          </cell>
          <cell r="M323">
            <v>0</v>
          </cell>
          <cell r="N323" t="str">
            <v>CST:86586051</v>
          </cell>
          <cell r="O323" t="str">
            <v>N</v>
          </cell>
          <cell r="Q323" t="str">
            <v>237</v>
          </cell>
          <cell r="R323" t="str">
            <v>02</v>
          </cell>
          <cell r="S323" t="str">
            <v>02</v>
          </cell>
          <cell r="T323" t="str">
            <v>11</v>
          </cell>
          <cell r="U323">
            <v>0</v>
          </cell>
          <cell r="X323" t="str">
            <v>30001</v>
          </cell>
          <cell r="Y323" t="str">
            <v>00237</v>
          </cell>
        </row>
        <row r="324">
          <cell r="A324" t="str">
            <v>11020098</v>
          </cell>
          <cell r="B324" t="str">
            <v>01</v>
          </cell>
          <cell r="C324" t="str">
            <v>Sri Renuka Provision &amp;</v>
          </cell>
          <cell r="D324" t="str">
            <v>General Stores</v>
          </cell>
          <cell r="E324" t="str">
            <v>Door No:105/A/2   Ward No:17</v>
          </cell>
          <cell r="F324" t="str">
            <v>S N Pet,  Main Road</v>
          </cell>
          <cell r="G324" t="str">
            <v>Karnataka</v>
          </cell>
          <cell r="H324" t="str">
            <v>Bellary</v>
          </cell>
          <cell r="I324" t="str">
            <v>583 103</v>
          </cell>
          <cell r="J324" t="str">
            <v>003</v>
          </cell>
          <cell r="K324" t="str">
            <v>KST:86525402</v>
          </cell>
          <cell r="L324" t="str">
            <v>N</v>
          </cell>
          <cell r="M324">
            <v>0</v>
          </cell>
          <cell r="N324" t="str">
            <v>CST:86575405</v>
          </cell>
          <cell r="O324" t="str">
            <v>N</v>
          </cell>
          <cell r="Q324" t="str">
            <v>237</v>
          </cell>
          <cell r="R324" t="str">
            <v>02</v>
          </cell>
          <cell r="S324" t="str">
            <v>02</v>
          </cell>
          <cell r="T324" t="str">
            <v>11</v>
          </cell>
          <cell r="U324">
            <v>0</v>
          </cell>
          <cell r="X324" t="str">
            <v>30001</v>
          </cell>
          <cell r="Y324" t="str">
            <v>00237</v>
          </cell>
        </row>
        <row r="325">
          <cell r="A325" t="str">
            <v>11020099</v>
          </cell>
          <cell r="B325" t="str">
            <v>01</v>
          </cell>
          <cell r="C325" t="str">
            <v>Sri Vijayavinayaka Trader</v>
          </cell>
          <cell r="D325" t="str">
            <v>Shop No:4-1-202</v>
          </cell>
          <cell r="E325" t="str">
            <v>Main Road</v>
          </cell>
          <cell r="G325" t="str">
            <v>Karnataka</v>
          </cell>
          <cell r="H325" t="str">
            <v>Sindhanur</v>
          </cell>
          <cell r="I325" t="str">
            <v>584 128</v>
          </cell>
          <cell r="J325" t="str">
            <v>003</v>
          </cell>
          <cell r="K325" t="str">
            <v>KST:6732108-2</v>
          </cell>
          <cell r="L325" t="str">
            <v>N</v>
          </cell>
          <cell r="M325">
            <v>0</v>
          </cell>
          <cell r="N325" t="str">
            <v>CST:6737108-5</v>
          </cell>
          <cell r="O325" t="str">
            <v>N</v>
          </cell>
          <cell r="Q325" t="str">
            <v>252</v>
          </cell>
          <cell r="R325" t="str">
            <v>02</v>
          </cell>
          <cell r="S325" t="str">
            <v>02</v>
          </cell>
          <cell r="T325" t="str">
            <v>11</v>
          </cell>
          <cell r="U325">
            <v>0</v>
          </cell>
          <cell r="X325" t="str">
            <v>30001</v>
          </cell>
          <cell r="Y325" t="str">
            <v>00252</v>
          </cell>
        </row>
        <row r="326">
          <cell r="A326" t="str">
            <v>11020100</v>
          </cell>
          <cell r="B326" t="str">
            <v>01</v>
          </cell>
          <cell r="C326" t="str">
            <v>RACHANA ENTERPRISES</v>
          </cell>
          <cell r="D326" t="str">
            <v>NO:684   1st CROSS</v>
          </cell>
          <cell r="E326" t="str">
            <v>MAHALAKSHMI LAYOUT</v>
          </cell>
          <cell r="G326" t="str">
            <v>KARNATAKA</v>
          </cell>
          <cell r="H326" t="str">
            <v>CHANNAPATNA</v>
          </cell>
          <cell r="I326" t="str">
            <v>571 501</v>
          </cell>
          <cell r="J326" t="str">
            <v>003</v>
          </cell>
          <cell r="K326" t="str">
            <v>KST:15139300</v>
          </cell>
          <cell r="L326" t="str">
            <v>N</v>
          </cell>
          <cell r="M326">
            <v>0</v>
          </cell>
          <cell r="O326" t="str">
            <v>N</v>
          </cell>
          <cell r="Q326" t="str">
            <v>528</v>
          </cell>
          <cell r="R326" t="str">
            <v>02</v>
          </cell>
          <cell r="S326" t="str">
            <v>02</v>
          </cell>
          <cell r="T326" t="str">
            <v>11</v>
          </cell>
          <cell r="U326">
            <v>0</v>
          </cell>
          <cell r="X326" t="str">
            <v>30001</v>
          </cell>
          <cell r="Y326" t="str">
            <v>00528</v>
          </cell>
        </row>
        <row r="327">
          <cell r="A327" t="str">
            <v>11020101</v>
          </cell>
          <cell r="B327" t="str">
            <v>01</v>
          </cell>
          <cell r="C327" t="str">
            <v>GABRADI TRADING CO</v>
          </cell>
          <cell r="D327" t="str">
            <v>SHOP NO 2 PLOT NO. 3</v>
          </cell>
          <cell r="E327" t="str">
            <v>N V LAYOUT</v>
          </cell>
          <cell r="F327" t="str">
            <v>S B TEMPLE ROAD</v>
          </cell>
          <cell r="G327" t="str">
            <v>KARNATAKA</v>
          </cell>
          <cell r="H327" t="str">
            <v>GULBARGA</v>
          </cell>
          <cell r="I327" t="str">
            <v>585 103</v>
          </cell>
          <cell r="J327" t="str">
            <v>003</v>
          </cell>
          <cell r="K327" t="str">
            <v>66940047</v>
          </cell>
          <cell r="L327" t="str">
            <v>N</v>
          </cell>
          <cell r="M327">
            <v>0</v>
          </cell>
          <cell r="N327" t="str">
            <v>66990040</v>
          </cell>
          <cell r="O327" t="str">
            <v>N</v>
          </cell>
          <cell r="Q327" t="str">
            <v>246</v>
          </cell>
          <cell r="R327" t="str">
            <v>02</v>
          </cell>
          <cell r="S327" t="str">
            <v>02</v>
          </cell>
          <cell r="T327" t="str">
            <v>11</v>
          </cell>
          <cell r="U327">
            <v>0</v>
          </cell>
          <cell r="X327" t="str">
            <v>30002</v>
          </cell>
          <cell r="Y327" t="str">
            <v>00246</v>
          </cell>
        </row>
        <row r="328">
          <cell r="A328" t="str">
            <v>11020102</v>
          </cell>
          <cell r="B328" t="str">
            <v>01</v>
          </cell>
          <cell r="C328" t="str">
            <v>ANURAG FOODS &amp; APPLIANCES</v>
          </cell>
          <cell r="D328" t="str">
            <v>LIMITED</v>
          </cell>
          <cell r="E328" t="str">
            <v>3 INDUSTRIAL SUBURB</v>
          </cell>
          <cell r="F328" t="str">
            <v>MYSORE SOUTH</v>
          </cell>
          <cell r="G328" t="str">
            <v>KARNATAKA</v>
          </cell>
          <cell r="H328" t="str">
            <v>MYSORE</v>
          </cell>
          <cell r="I328" t="str">
            <v>570 008</v>
          </cell>
          <cell r="J328" t="str">
            <v>006</v>
          </cell>
          <cell r="K328" t="str">
            <v>25726055</v>
          </cell>
          <cell r="L328" t="str">
            <v>N</v>
          </cell>
          <cell r="M328">
            <v>0</v>
          </cell>
          <cell r="N328" t="str">
            <v>25776058</v>
          </cell>
          <cell r="O328" t="str">
            <v>N</v>
          </cell>
          <cell r="Q328" t="str">
            <v>292</v>
          </cell>
          <cell r="R328" t="str">
            <v>02</v>
          </cell>
          <cell r="S328" t="str">
            <v>02</v>
          </cell>
          <cell r="T328" t="str">
            <v>11</v>
          </cell>
          <cell r="U328">
            <v>0</v>
          </cell>
          <cell r="X328" t="str">
            <v>30002</v>
          </cell>
          <cell r="Y328" t="str">
            <v>00292</v>
          </cell>
        </row>
        <row r="329">
          <cell r="A329" t="str">
            <v>11020103</v>
          </cell>
          <cell r="B329" t="str">
            <v>01</v>
          </cell>
          <cell r="C329" t="str">
            <v>SREE BALAJI TRADERS</v>
          </cell>
          <cell r="D329" t="str">
            <v>324-2 SRINIVASA COMPLEX</v>
          </cell>
          <cell r="E329" t="str">
            <v>OPP NANDHINI HOTEL</v>
          </cell>
          <cell r="F329" t="str">
            <v>2ND MAIN P J EXTN</v>
          </cell>
          <cell r="G329" t="str">
            <v>KARNATAKA</v>
          </cell>
          <cell r="H329" t="str">
            <v>DAVANGERE</v>
          </cell>
          <cell r="I329" t="str">
            <v>577 004</v>
          </cell>
          <cell r="J329" t="str">
            <v>003</v>
          </cell>
          <cell r="K329" t="str">
            <v>KST 80717937</v>
          </cell>
          <cell r="L329" t="str">
            <v>N</v>
          </cell>
          <cell r="M329">
            <v>0</v>
          </cell>
          <cell r="N329" t="str">
            <v>80767930</v>
          </cell>
          <cell r="O329" t="str">
            <v>N</v>
          </cell>
          <cell r="Q329" t="str">
            <v>276</v>
          </cell>
          <cell r="R329" t="str">
            <v>02</v>
          </cell>
          <cell r="S329" t="str">
            <v>02</v>
          </cell>
          <cell r="T329" t="str">
            <v>11</v>
          </cell>
          <cell r="U329">
            <v>0</v>
          </cell>
          <cell r="X329" t="str">
            <v>30002</v>
          </cell>
          <cell r="Y329" t="str">
            <v>00276</v>
          </cell>
        </row>
        <row r="330">
          <cell r="A330" t="str">
            <v>11020104</v>
          </cell>
          <cell r="B330" t="str">
            <v>01</v>
          </cell>
          <cell r="C330" t="str">
            <v>SREE VEERABHADRESWARA</v>
          </cell>
          <cell r="D330" t="str">
            <v>AGENCIES</v>
          </cell>
          <cell r="E330" t="str">
            <v>GOWLI STREET</v>
          </cell>
          <cell r="F330" t="str">
            <v>DAVANAGERE DIST</v>
          </cell>
          <cell r="G330" t="str">
            <v>KARNATAKA</v>
          </cell>
          <cell r="H330" t="str">
            <v>HARAPANAHALLI</v>
          </cell>
          <cell r="J330" t="str">
            <v>003</v>
          </cell>
          <cell r="K330" t="str">
            <v>KST 81014510 Dt. 25.8.99</v>
          </cell>
          <cell r="L330" t="str">
            <v>N</v>
          </cell>
          <cell r="M330">
            <v>0</v>
          </cell>
          <cell r="O330" t="str">
            <v>N</v>
          </cell>
          <cell r="Q330" t="str">
            <v>906</v>
          </cell>
          <cell r="R330" t="str">
            <v>02</v>
          </cell>
          <cell r="S330" t="str">
            <v>02</v>
          </cell>
          <cell r="T330" t="str">
            <v>11</v>
          </cell>
          <cell r="U330">
            <v>0</v>
          </cell>
          <cell r="X330" t="str">
            <v>30002</v>
          </cell>
          <cell r="Y330" t="str">
            <v>00906</v>
          </cell>
        </row>
        <row r="331">
          <cell r="A331" t="str">
            <v>11020105</v>
          </cell>
          <cell r="B331" t="str">
            <v>01</v>
          </cell>
          <cell r="C331" t="str">
            <v>VIVEK AGENCIES</v>
          </cell>
          <cell r="D331" t="str">
            <v>OLD POST OFFICE ROAD</v>
          </cell>
          <cell r="G331" t="str">
            <v>KARNATAKA</v>
          </cell>
          <cell r="H331" t="str">
            <v>HOSAKOTE</v>
          </cell>
          <cell r="I331" t="str">
            <v>562 114</v>
          </cell>
          <cell r="J331" t="str">
            <v>003</v>
          </cell>
          <cell r="K331" t="str">
            <v>KST 13200460</v>
          </cell>
          <cell r="L331" t="str">
            <v>N</v>
          </cell>
          <cell r="M331">
            <v>0</v>
          </cell>
          <cell r="O331" t="str">
            <v>N</v>
          </cell>
          <cell r="Q331" t="str">
            <v>907</v>
          </cell>
          <cell r="R331" t="str">
            <v>02</v>
          </cell>
          <cell r="S331" t="str">
            <v>02</v>
          </cell>
          <cell r="T331" t="str">
            <v>11</v>
          </cell>
          <cell r="U331">
            <v>0</v>
          </cell>
          <cell r="X331" t="str">
            <v>30002</v>
          </cell>
          <cell r="Y331" t="str">
            <v>00907</v>
          </cell>
        </row>
        <row r="332">
          <cell r="A332" t="str">
            <v>11020106</v>
          </cell>
          <cell r="B332" t="str">
            <v>01</v>
          </cell>
          <cell r="C332" t="str">
            <v>MANJUNATHA ENTERPRISES</v>
          </cell>
          <cell r="D332" t="str">
            <v>No. 16/A 1st CROSS</v>
          </cell>
          <cell r="E332" t="str">
            <v>LORRY STAND GODOWN STREET</v>
          </cell>
          <cell r="F332" t="str">
            <v>YESHWANTHPUR</v>
          </cell>
          <cell r="G332" t="str">
            <v>KARNATAKA</v>
          </cell>
          <cell r="H332" t="str">
            <v>BANGALORE</v>
          </cell>
          <cell r="I332" t="str">
            <v>560 022</v>
          </cell>
          <cell r="J332" t="str">
            <v>003</v>
          </cell>
          <cell r="K332" t="str">
            <v>KGST:71515458</v>
          </cell>
          <cell r="L332" t="str">
            <v>N</v>
          </cell>
          <cell r="M332">
            <v>0</v>
          </cell>
          <cell r="N332" t="str">
            <v>CST:71565450</v>
          </cell>
          <cell r="O332" t="str">
            <v>N</v>
          </cell>
          <cell r="Q332" t="str">
            <v>272</v>
          </cell>
          <cell r="R332" t="str">
            <v>02</v>
          </cell>
          <cell r="S332" t="str">
            <v>02</v>
          </cell>
          <cell r="T332" t="str">
            <v>11</v>
          </cell>
          <cell r="U332">
            <v>0</v>
          </cell>
          <cell r="X332" t="str">
            <v>30001</v>
          </cell>
          <cell r="Y332" t="str">
            <v>00272</v>
          </cell>
        </row>
        <row r="333">
          <cell r="A333" t="str">
            <v>11020107</v>
          </cell>
          <cell r="B333" t="str">
            <v>01</v>
          </cell>
          <cell r="C333" t="str">
            <v>ABIMAN MARKETING</v>
          </cell>
          <cell r="D333" t="str">
            <v>912/22 (4/5)</v>
          </cell>
          <cell r="E333" t="str">
            <v>Ist MAIN ROAD</v>
          </cell>
          <cell r="F333" t="str">
            <v>YESHWANTHPUR</v>
          </cell>
          <cell r="G333" t="str">
            <v>KARNATAKA</v>
          </cell>
          <cell r="H333" t="str">
            <v>BANGALORE</v>
          </cell>
          <cell r="I333" t="str">
            <v>560 022</v>
          </cell>
          <cell r="J333" t="str">
            <v>003</v>
          </cell>
          <cell r="K333" t="str">
            <v>KGST: 71810780</v>
          </cell>
          <cell r="L333" t="str">
            <v>N</v>
          </cell>
          <cell r="M333">
            <v>0</v>
          </cell>
          <cell r="N333" t="str">
            <v>CST: 71860782</v>
          </cell>
          <cell r="O333" t="str">
            <v>N</v>
          </cell>
          <cell r="Q333" t="str">
            <v>312</v>
          </cell>
          <cell r="R333" t="str">
            <v>02</v>
          </cell>
          <cell r="S333" t="str">
            <v>02</v>
          </cell>
          <cell r="T333" t="str">
            <v>11</v>
          </cell>
          <cell r="U333">
            <v>0</v>
          </cell>
          <cell r="X333" t="str">
            <v>30001</v>
          </cell>
          <cell r="Y333" t="str">
            <v>00312</v>
          </cell>
        </row>
        <row r="334">
          <cell r="A334" t="str">
            <v>11020108</v>
          </cell>
          <cell r="B334" t="str">
            <v>01</v>
          </cell>
          <cell r="C334" t="str">
            <v>POORNAPRAGNA ENTERPRISES</v>
          </cell>
          <cell r="D334" t="str">
            <v>NO 19/1 9TH CROSS</v>
          </cell>
          <cell r="E334" t="str">
            <v>8TH MAIN</v>
          </cell>
          <cell r="F334" t="str">
            <v>MALLESWARAM</v>
          </cell>
          <cell r="G334" t="str">
            <v>KARNATAKA</v>
          </cell>
          <cell r="H334" t="str">
            <v>BANGALORE</v>
          </cell>
          <cell r="I334" t="str">
            <v>560 003</v>
          </cell>
          <cell r="J334" t="str">
            <v>003</v>
          </cell>
          <cell r="K334" t="str">
            <v>78210185</v>
          </cell>
          <cell r="L334" t="str">
            <v>N</v>
          </cell>
          <cell r="M334">
            <v>0</v>
          </cell>
          <cell r="O334" t="str">
            <v>N</v>
          </cell>
          <cell r="Q334" t="str">
            <v>264</v>
          </cell>
          <cell r="R334" t="str">
            <v>02</v>
          </cell>
          <cell r="S334" t="str">
            <v>02</v>
          </cell>
          <cell r="T334" t="str">
            <v>11</v>
          </cell>
          <cell r="U334">
            <v>0</v>
          </cell>
          <cell r="X334" t="str">
            <v>30001</v>
          </cell>
          <cell r="Y334" t="str">
            <v>00264</v>
          </cell>
        </row>
        <row r="335">
          <cell r="A335" t="str">
            <v>11020109</v>
          </cell>
          <cell r="B335" t="str">
            <v>01</v>
          </cell>
          <cell r="C335" t="str">
            <v>SRI DEVI ENTERPRISES</v>
          </cell>
          <cell r="D335" t="str">
            <v>GODOWN NO 574</v>
          </cell>
          <cell r="E335" t="str">
            <v>OPP CHAMUNDESWARI TEMPLE</v>
          </cell>
          <cell r="F335" t="str">
            <v>CHAMUNDESWARI EXTENSION</v>
          </cell>
          <cell r="G335" t="str">
            <v>KARNATAKA</v>
          </cell>
          <cell r="H335" t="str">
            <v>RAMANAGARAM</v>
          </cell>
          <cell r="I335" t="str">
            <v>571 511</v>
          </cell>
          <cell r="J335" t="str">
            <v>003</v>
          </cell>
          <cell r="K335" t="str">
            <v>15327905</v>
          </cell>
          <cell r="L335" t="str">
            <v>N</v>
          </cell>
          <cell r="M335">
            <v>0</v>
          </cell>
          <cell r="O335" t="str">
            <v>N</v>
          </cell>
          <cell r="Q335" t="str">
            <v>908</v>
          </cell>
          <cell r="R335" t="str">
            <v>02</v>
          </cell>
          <cell r="S335" t="str">
            <v>02</v>
          </cell>
          <cell r="T335" t="str">
            <v>11</v>
          </cell>
          <cell r="U335">
            <v>0</v>
          </cell>
          <cell r="X335" t="str">
            <v>30002</v>
          </cell>
          <cell r="Y335" t="str">
            <v>00908</v>
          </cell>
        </row>
        <row r="336">
          <cell r="A336" t="str">
            <v>12010000</v>
          </cell>
          <cell r="B336" t="str">
            <v>01</v>
          </cell>
          <cell r="C336" t="str">
            <v>C&amp;F AGENT    (KOCHI)</v>
          </cell>
          <cell r="D336" t="str">
            <v>XXVII/413- A &amp;B</v>
          </cell>
          <cell r="E336" t="str">
            <v>KURISUPALLY ROAD</v>
          </cell>
          <cell r="G336" t="str">
            <v>KERALA</v>
          </cell>
          <cell r="H336" t="str">
            <v>KOCHI</v>
          </cell>
          <cell r="I336" t="str">
            <v>682 015</v>
          </cell>
          <cell r="J336" t="str">
            <v>003</v>
          </cell>
          <cell r="K336" t="str">
            <v>KGST:23040028</v>
          </cell>
          <cell r="L336" t="str">
            <v>N</v>
          </cell>
          <cell r="M336">
            <v>0</v>
          </cell>
          <cell r="N336" t="str">
            <v>CST:23045028</v>
          </cell>
          <cell r="O336" t="str">
            <v>N</v>
          </cell>
          <cell r="Q336" t="str">
            <v>828</v>
          </cell>
          <cell r="R336" t="str">
            <v>01</v>
          </cell>
          <cell r="S336" t="str">
            <v>01</v>
          </cell>
          <cell r="T336" t="str">
            <v>12</v>
          </cell>
          <cell r="U336">
            <v>0</v>
          </cell>
          <cell r="X336" t="str">
            <v>30001</v>
          </cell>
          <cell r="Y336" t="str">
            <v>00828</v>
          </cell>
        </row>
        <row r="337">
          <cell r="A337" t="str">
            <v>12010001</v>
          </cell>
          <cell r="B337" t="str">
            <v>01</v>
          </cell>
          <cell r="C337" t="str">
            <v>C&amp;F AGENT    (KOZHIKODE)</v>
          </cell>
          <cell r="D337" t="str">
            <v>1/360 b, P.K.GODOWN</v>
          </cell>
          <cell r="E337" t="str">
            <v>WESTHILL</v>
          </cell>
          <cell r="G337" t="str">
            <v>KERALA</v>
          </cell>
          <cell r="H337" t="str">
            <v>KOZHIKODE</v>
          </cell>
          <cell r="I337" t="str">
            <v>673 005</v>
          </cell>
          <cell r="J337" t="str">
            <v>003</v>
          </cell>
          <cell r="K337" t="str">
            <v>KGST: 23040028</v>
          </cell>
          <cell r="L337" t="str">
            <v>N</v>
          </cell>
          <cell r="M337">
            <v>0</v>
          </cell>
          <cell r="N337" t="str">
            <v>CST: 2345028</v>
          </cell>
          <cell r="O337" t="str">
            <v>N</v>
          </cell>
          <cell r="Q337" t="str">
            <v>829</v>
          </cell>
          <cell r="R337" t="str">
            <v>01</v>
          </cell>
          <cell r="S337" t="str">
            <v>01</v>
          </cell>
          <cell r="T337" t="str">
            <v>12</v>
          </cell>
          <cell r="U337">
            <v>0</v>
          </cell>
          <cell r="X337" t="str">
            <v>30001</v>
          </cell>
          <cell r="Y337" t="str">
            <v>00829</v>
          </cell>
        </row>
        <row r="338">
          <cell r="A338" t="str">
            <v>12010002</v>
          </cell>
          <cell r="B338" t="str">
            <v>01</v>
          </cell>
          <cell r="C338" t="str">
            <v>B.B.CORPORATION</v>
          </cell>
          <cell r="D338" t="str">
            <v>HAMEED ESTATE,ASHOKAPURAM.</v>
          </cell>
          <cell r="G338" t="str">
            <v>KERALA</v>
          </cell>
          <cell r="H338" t="str">
            <v>ALUVA</v>
          </cell>
          <cell r="I338" t="str">
            <v>683101</v>
          </cell>
          <cell r="J338" t="str">
            <v>003</v>
          </cell>
          <cell r="K338" t="str">
            <v>KGST.24150973 DT.9.4.85</v>
          </cell>
          <cell r="L338" t="str">
            <v>N</v>
          </cell>
          <cell r="M338">
            <v>0</v>
          </cell>
          <cell r="O338" t="str">
            <v>N</v>
          </cell>
          <cell r="Q338" t="str">
            <v>192</v>
          </cell>
          <cell r="R338" t="str">
            <v>01</v>
          </cell>
          <cell r="S338" t="str">
            <v>01</v>
          </cell>
          <cell r="T338" t="str">
            <v>12</v>
          </cell>
          <cell r="X338" t="str">
            <v>30001</v>
          </cell>
          <cell r="Y338" t="str">
            <v>00192</v>
          </cell>
        </row>
        <row r="339">
          <cell r="A339" t="str">
            <v>12010003</v>
          </cell>
          <cell r="B339" t="str">
            <v>01</v>
          </cell>
          <cell r="C339" t="str">
            <v>K LAKSHMANA SHENOY</v>
          </cell>
          <cell r="D339" t="str">
            <v>MAIN ROAD</v>
          </cell>
          <cell r="G339" t="str">
            <v>KERALA</v>
          </cell>
          <cell r="H339" t="str">
            <v>PAYYANUR</v>
          </cell>
          <cell r="I339" t="str">
            <v>670307</v>
          </cell>
          <cell r="J339" t="str">
            <v>003</v>
          </cell>
          <cell r="K339" t="str">
            <v>KGST 35130553/71-72</v>
          </cell>
          <cell r="L339" t="str">
            <v>N</v>
          </cell>
          <cell r="M339">
            <v>0</v>
          </cell>
          <cell r="N339" t="str">
            <v>CST 35135553/1.7.57</v>
          </cell>
          <cell r="O339" t="str">
            <v>N</v>
          </cell>
          <cell r="Q339" t="str">
            <v>193</v>
          </cell>
          <cell r="R339" t="str">
            <v>01</v>
          </cell>
          <cell r="S339" t="str">
            <v>01</v>
          </cell>
          <cell r="T339" t="str">
            <v>12</v>
          </cell>
          <cell r="X339" t="str">
            <v>30001</v>
          </cell>
          <cell r="Y339" t="str">
            <v>00193</v>
          </cell>
        </row>
        <row r="340">
          <cell r="A340" t="str">
            <v>12010004</v>
          </cell>
          <cell r="B340" t="str">
            <v>01</v>
          </cell>
          <cell r="C340" t="str">
            <v>AGENCY ENTERPRISES</v>
          </cell>
          <cell r="D340" t="str">
            <v>NEW BAZAAR</v>
          </cell>
          <cell r="G340" t="str">
            <v>KERALA</v>
          </cell>
          <cell r="H340" t="str">
            <v>ALAPUZHA</v>
          </cell>
          <cell r="I340" t="str">
            <v>688001</v>
          </cell>
          <cell r="J340" t="str">
            <v>003</v>
          </cell>
          <cell r="K340" t="str">
            <v>KGST 13110049</v>
          </cell>
          <cell r="L340" t="str">
            <v>N</v>
          </cell>
          <cell r="M340">
            <v>0</v>
          </cell>
          <cell r="O340" t="str">
            <v>N</v>
          </cell>
          <cell r="Q340" t="str">
            <v>194</v>
          </cell>
          <cell r="R340" t="str">
            <v>01</v>
          </cell>
          <cell r="S340" t="str">
            <v>01</v>
          </cell>
          <cell r="T340" t="str">
            <v>12</v>
          </cell>
          <cell r="X340" t="str">
            <v>30001</v>
          </cell>
          <cell r="Y340" t="str">
            <v>00194</v>
          </cell>
        </row>
        <row r="341">
          <cell r="A341" t="str">
            <v>12010005</v>
          </cell>
          <cell r="B341" t="str">
            <v>01</v>
          </cell>
          <cell r="C341" t="str">
            <v>JAIN &amp; JAISON</v>
          </cell>
          <cell r="D341" t="str">
            <v>MARKET ROAD</v>
          </cell>
          <cell r="G341" t="str">
            <v>KERALA</v>
          </cell>
          <cell r="H341" t="str">
            <v>CHENGANACHERRY</v>
          </cell>
          <cell r="I341" t="str">
            <v>686101</v>
          </cell>
          <cell r="J341" t="str">
            <v>003</v>
          </cell>
          <cell r="K341" t="str">
            <v>21131261</v>
          </cell>
          <cell r="L341" t="str">
            <v>N</v>
          </cell>
          <cell r="M341">
            <v>0</v>
          </cell>
          <cell r="N341" t="str">
            <v>21136261</v>
          </cell>
          <cell r="O341" t="str">
            <v>N</v>
          </cell>
          <cell r="Q341" t="str">
            <v>195</v>
          </cell>
          <cell r="R341" t="str">
            <v>01</v>
          </cell>
          <cell r="S341" t="str">
            <v>01</v>
          </cell>
          <cell r="T341" t="str">
            <v>12</v>
          </cell>
          <cell r="U341">
            <v>0</v>
          </cell>
          <cell r="X341" t="str">
            <v>30001</v>
          </cell>
          <cell r="Y341" t="str">
            <v>00195</v>
          </cell>
        </row>
        <row r="342">
          <cell r="A342" t="str">
            <v>12010006</v>
          </cell>
          <cell r="B342" t="str">
            <v>01</v>
          </cell>
          <cell r="C342" t="str">
            <v>M P REMESAN (MERCHANT)</v>
          </cell>
          <cell r="D342" t="str">
            <v>30/183 MAIN ROAD</v>
          </cell>
          <cell r="G342" t="str">
            <v>KERALA</v>
          </cell>
          <cell r="H342" t="str">
            <v>VADAKARA</v>
          </cell>
          <cell r="I342" t="str">
            <v>673101</v>
          </cell>
          <cell r="J342" t="str">
            <v>003</v>
          </cell>
          <cell r="K342" t="str">
            <v>KGST 33172710/29.4.94</v>
          </cell>
          <cell r="L342" t="str">
            <v>N</v>
          </cell>
          <cell r="M342">
            <v>0</v>
          </cell>
          <cell r="O342" t="str">
            <v>N</v>
          </cell>
          <cell r="Q342" t="str">
            <v>196</v>
          </cell>
          <cell r="R342" t="str">
            <v>01</v>
          </cell>
          <cell r="S342" t="str">
            <v>01</v>
          </cell>
          <cell r="T342" t="str">
            <v>12</v>
          </cell>
          <cell r="X342" t="str">
            <v>30002</v>
          </cell>
          <cell r="Y342" t="str">
            <v>00196</v>
          </cell>
        </row>
        <row r="343">
          <cell r="A343" t="str">
            <v>12010007</v>
          </cell>
          <cell r="B343" t="str">
            <v>01</v>
          </cell>
          <cell r="C343" t="str">
            <v>V K SHENOY &amp; CO GENERAL</v>
          </cell>
          <cell r="D343" t="str">
            <v>MECHANTS</v>
          </cell>
          <cell r="E343" t="str">
            <v>STATION ROAD</v>
          </cell>
          <cell r="G343" t="str">
            <v>KERALA</v>
          </cell>
          <cell r="H343" t="str">
            <v>KANNUR</v>
          </cell>
          <cell r="I343" t="str">
            <v>670001</v>
          </cell>
          <cell r="J343" t="str">
            <v>003</v>
          </cell>
          <cell r="K343" t="str">
            <v>KGST 35150760/15.7.57</v>
          </cell>
          <cell r="L343" t="str">
            <v>N</v>
          </cell>
          <cell r="M343">
            <v>0</v>
          </cell>
          <cell r="N343" t="str">
            <v>CST 35155760/15.7.57</v>
          </cell>
          <cell r="O343" t="str">
            <v>N</v>
          </cell>
          <cell r="Q343" t="str">
            <v>197</v>
          </cell>
          <cell r="R343" t="str">
            <v>01</v>
          </cell>
          <cell r="S343" t="str">
            <v>01</v>
          </cell>
          <cell r="T343" t="str">
            <v>12</v>
          </cell>
          <cell r="X343" t="str">
            <v>30001</v>
          </cell>
          <cell r="Y343" t="str">
            <v>00197</v>
          </cell>
        </row>
        <row r="344">
          <cell r="A344" t="str">
            <v>12010008</v>
          </cell>
          <cell r="B344" t="str">
            <v>01</v>
          </cell>
          <cell r="C344" t="str">
            <v>S ABDUL RAZACK &amp; CO</v>
          </cell>
          <cell r="D344" t="str">
            <v>HOUSING COLONY ROAD</v>
          </cell>
          <cell r="G344" t="str">
            <v>KERALA</v>
          </cell>
          <cell r="H344" t="str">
            <v>PERINTALMANNA</v>
          </cell>
          <cell r="I344" t="str">
            <v>679322</v>
          </cell>
          <cell r="J344" t="str">
            <v>003</v>
          </cell>
          <cell r="K344" t="str">
            <v>KGST 32141358</v>
          </cell>
          <cell r="L344" t="str">
            <v>N</v>
          </cell>
          <cell r="M344">
            <v>0</v>
          </cell>
          <cell r="N344" t="str">
            <v>CST 32146358</v>
          </cell>
          <cell r="O344" t="str">
            <v>N</v>
          </cell>
          <cell r="Q344" t="str">
            <v>198</v>
          </cell>
          <cell r="R344" t="str">
            <v>01</v>
          </cell>
          <cell r="S344" t="str">
            <v>01</v>
          </cell>
          <cell r="T344" t="str">
            <v>12</v>
          </cell>
          <cell r="X344" t="str">
            <v>30001</v>
          </cell>
          <cell r="Y344" t="str">
            <v>00198</v>
          </cell>
        </row>
        <row r="345">
          <cell r="A345" t="str">
            <v>12010009</v>
          </cell>
          <cell r="B345" t="str">
            <v>01</v>
          </cell>
          <cell r="C345" t="str">
            <v>P R COMBINES</v>
          </cell>
          <cell r="D345" t="str">
            <v>19/1879 "NARAYANA"</v>
          </cell>
          <cell r="E345" t="str">
            <v>CHALAPURAM</v>
          </cell>
          <cell r="G345" t="str">
            <v>KERALA</v>
          </cell>
          <cell r="H345" t="str">
            <v>KOZHIKODE</v>
          </cell>
          <cell r="I345" t="str">
            <v>673002</v>
          </cell>
          <cell r="J345" t="str">
            <v>003</v>
          </cell>
          <cell r="K345" t="str">
            <v>KGST 33131576/7.12.84</v>
          </cell>
          <cell r="L345" t="str">
            <v>N</v>
          </cell>
          <cell r="M345">
            <v>0</v>
          </cell>
          <cell r="O345" t="str">
            <v>N</v>
          </cell>
          <cell r="Q345" t="str">
            <v>199</v>
          </cell>
          <cell r="R345" t="str">
            <v>01</v>
          </cell>
          <cell r="S345" t="str">
            <v>01</v>
          </cell>
          <cell r="T345" t="str">
            <v>12</v>
          </cell>
          <cell r="X345" t="str">
            <v>30001</v>
          </cell>
          <cell r="Y345" t="str">
            <v>00199</v>
          </cell>
        </row>
        <row r="346">
          <cell r="A346" t="str">
            <v>12010010</v>
          </cell>
          <cell r="B346" t="str">
            <v>02</v>
          </cell>
          <cell r="C346" t="str">
            <v>THE SECRETARY</v>
          </cell>
          <cell r="D346" t="str">
            <v>LACCADIVE COOP MKT. FEDERATION</v>
          </cell>
          <cell r="E346" t="str">
            <v>BP-III/221 POST OFFICE ROAD</v>
          </cell>
          <cell r="G346" t="str">
            <v>KERALA</v>
          </cell>
          <cell r="H346" t="str">
            <v>PORT BEYPORE CL</v>
          </cell>
          <cell r="I346" t="str">
            <v>673015</v>
          </cell>
          <cell r="J346" t="str">
            <v>003</v>
          </cell>
          <cell r="L346" t="str">
            <v>N</v>
          </cell>
          <cell r="M346">
            <v>0</v>
          </cell>
          <cell r="N346" t="str">
            <v>CST F 4/488/66/24.10.66</v>
          </cell>
          <cell r="O346" t="str">
            <v>N</v>
          </cell>
          <cell r="Q346" t="str">
            <v>200</v>
          </cell>
          <cell r="R346" t="str">
            <v>01</v>
          </cell>
          <cell r="S346" t="str">
            <v>01</v>
          </cell>
          <cell r="T346" t="str">
            <v>12</v>
          </cell>
          <cell r="X346" t="str">
            <v>30001</v>
          </cell>
          <cell r="Y346" t="str">
            <v>00200</v>
          </cell>
        </row>
        <row r="347">
          <cell r="A347" t="str">
            <v>12010011</v>
          </cell>
          <cell r="B347" t="str">
            <v>01</v>
          </cell>
          <cell r="C347" t="str">
            <v>KERALA CIVIL SUPPLIES</v>
          </cell>
          <cell r="D347" t="str">
            <v>COPORATION (CALICUT BRANCH)</v>
          </cell>
          <cell r="E347" t="str">
            <v>MAVELI BHAVAN</v>
          </cell>
          <cell r="F347" t="str">
            <v>GANDHI NAGAR</v>
          </cell>
          <cell r="G347" t="str">
            <v>KERALA</v>
          </cell>
          <cell r="H347" t="str">
            <v>KOCHI</v>
          </cell>
          <cell r="J347" t="str">
            <v>003</v>
          </cell>
          <cell r="K347" t="str">
            <v>KGST 23040117/01.01.87</v>
          </cell>
          <cell r="L347" t="str">
            <v>N</v>
          </cell>
          <cell r="M347">
            <v>0</v>
          </cell>
          <cell r="O347" t="str">
            <v>N</v>
          </cell>
          <cell r="Q347" t="str">
            <v>201</v>
          </cell>
          <cell r="R347" t="str">
            <v>01</v>
          </cell>
          <cell r="S347" t="str">
            <v>01</v>
          </cell>
          <cell r="T347" t="str">
            <v>12</v>
          </cell>
          <cell r="X347" t="str">
            <v>30001</v>
          </cell>
          <cell r="Y347" t="str">
            <v>00201</v>
          </cell>
        </row>
        <row r="348">
          <cell r="A348" t="str">
            <v>12010012</v>
          </cell>
          <cell r="B348" t="str">
            <v>01</v>
          </cell>
          <cell r="C348" t="str">
            <v>DEPUTY COMMANDANT</v>
          </cell>
          <cell r="D348" t="str">
            <v>AR CAMP, MALOORKUNNU</v>
          </cell>
          <cell r="E348" t="str">
            <v>MARIKUNNU  P.O.</v>
          </cell>
          <cell r="G348" t="str">
            <v>KERALA</v>
          </cell>
          <cell r="H348" t="str">
            <v>KOZHIKODE</v>
          </cell>
          <cell r="I348" t="str">
            <v>673012</v>
          </cell>
          <cell r="J348" t="str">
            <v>003</v>
          </cell>
          <cell r="L348" t="str">
            <v>N</v>
          </cell>
          <cell r="M348">
            <v>0</v>
          </cell>
          <cell r="O348" t="str">
            <v>N</v>
          </cell>
          <cell r="Q348" t="str">
            <v>202</v>
          </cell>
          <cell r="R348" t="str">
            <v>01</v>
          </cell>
          <cell r="S348" t="str">
            <v>01</v>
          </cell>
          <cell r="T348" t="str">
            <v>12</v>
          </cell>
          <cell r="X348" t="str">
            <v>30001</v>
          </cell>
          <cell r="Y348" t="str">
            <v>00202</v>
          </cell>
        </row>
        <row r="349">
          <cell r="A349" t="str">
            <v>12010013</v>
          </cell>
          <cell r="B349" t="str">
            <v>01</v>
          </cell>
          <cell r="C349" t="str">
            <v>KERALA STATE CO-OPERATIVE</v>
          </cell>
          <cell r="D349" t="str">
            <v>CONSUMERS FEDERATION LTD.</v>
          </cell>
          <cell r="E349" t="str">
            <v>(KOZHIKODE BRANCH)</v>
          </cell>
          <cell r="F349" t="str">
            <v>CONVENT JUNCTION ERNAKULAM</v>
          </cell>
          <cell r="G349" t="str">
            <v>KERALA</v>
          </cell>
          <cell r="H349" t="str">
            <v>KOCHI</v>
          </cell>
          <cell r="I349" t="str">
            <v>682011</v>
          </cell>
          <cell r="J349" t="str">
            <v>003</v>
          </cell>
          <cell r="K349" t="str">
            <v>KGST 23030138</v>
          </cell>
          <cell r="L349" t="str">
            <v>N</v>
          </cell>
          <cell r="M349">
            <v>0</v>
          </cell>
          <cell r="N349" t="str">
            <v>CST  23035138</v>
          </cell>
          <cell r="O349" t="str">
            <v>N</v>
          </cell>
          <cell r="Q349" t="str">
            <v>203</v>
          </cell>
          <cell r="R349" t="str">
            <v>01</v>
          </cell>
          <cell r="S349" t="str">
            <v>01</v>
          </cell>
          <cell r="T349" t="str">
            <v>12</v>
          </cell>
          <cell r="X349" t="str">
            <v>30002</v>
          </cell>
          <cell r="Y349" t="str">
            <v>00203</v>
          </cell>
        </row>
        <row r="350">
          <cell r="A350" t="str">
            <v>12010014</v>
          </cell>
          <cell r="B350" t="str">
            <v>01</v>
          </cell>
          <cell r="C350" t="str">
            <v>K L JOHAR &amp; CO</v>
          </cell>
          <cell r="D350" t="str">
            <v>P O BOX NO 1023 MARKET ROAD</v>
          </cell>
          <cell r="G350" t="str">
            <v>KERALA</v>
          </cell>
          <cell r="H350" t="str">
            <v>KOCHI</v>
          </cell>
          <cell r="I350" t="str">
            <v>682011</v>
          </cell>
          <cell r="J350" t="str">
            <v>003</v>
          </cell>
          <cell r="K350" t="str">
            <v>KGST  J 11</v>
          </cell>
          <cell r="L350" t="str">
            <v>N</v>
          </cell>
          <cell r="M350">
            <v>0</v>
          </cell>
          <cell r="N350" t="str">
            <v>CST  CRJ 10 DT 25.10.70</v>
          </cell>
          <cell r="O350" t="str">
            <v>N</v>
          </cell>
          <cell r="Q350" t="str">
            <v>204</v>
          </cell>
          <cell r="R350" t="str">
            <v>01</v>
          </cell>
          <cell r="S350" t="str">
            <v>01</v>
          </cell>
          <cell r="T350" t="str">
            <v>12</v>
          </cell>
          <cell r="X350" t="str">
            <v>30002</v>
          </cell>
          <cell r="Y350" t="str">
            <v>00204</v>
          </cell>
        </row>
        <row r="351">
          <cell r="A351" t="str">
            <v>12010015</v>
          </cell>
          <cell r="B351" t="str">
            <v>02</v>
          </cell>
          <cell r="C351" t="str">
            <v>INDIAN NAVAL CANTEEN SERV</v>
          </cell>
          <cell r="D351" t="str">
            <v>NAVAL BASE</v>
          </cell>
          <cell r="G351" t="str">
            <v>KERALA</v>
          </cell>
          <cell r="H351" t="str">
            <v>KOCHI</v>
          </cell>
          <cell r="I351" t="str">
            <v>682004</v>
          </cell>
          <cell r="J351" t="str">
            <v>003</v>
          </cell>
          <cell r="L351" t="str">
            <v>N</v>
          </cell>
          <cell r="M351">
            <v>0</v>
          </cell>
          <cell r="O351" t="str">
            <v>N</v>
          </cell>
          <cell r="Q351" t="str">
            <v>205</v>
          </cell>
          <cell r="R351" t="str">
            <v>01</v>
          </cell>
          <cell r="S351" t="str">
            <v>01</v>
          </cell>
          <cell r="T351" t="str">
            <v>12</v>
          </cell>
          <cell r="X351" t="str">
            <v>30002</v>
          </cell>
          <cell r="Y351" t="str">
            <v>00205</v>
          </cell>
        </row>
        <row r="352">
          <cell r="A352" t="str">
            <v>12010016</v>
          </cell>
          <cell r="B352" t="str">
            <v>01</v>
          </cell>
          <cell r="C352" t="str">
            <v>KERALA STATE CIVIL SUPP</v>
          </cell>
          <cell r="D352" t="str">
            <v>CORPORATION</v>
          </cell>
          <cell r="E352" t="str">
            <v>MAVELI BHAVAN</v>
          </cell>
          <cell r="F352" t="str">
            <v>GANDHI NAGAR</v>
          </cell>
          <cell r="G352" t="str">
            <v>KERALA</v>
          </cell>
          <cell r="H352" t="str">
            <v>KOCHI</v>
          </cell>
          <cell r="J352" t="str">
            <v>003</v>
          </cell>
          <cell r="K352" t="str">
            <v>KGST 23040117 DT.01.01.87</v>
          </cell>
          <cell r="L352" t="str">
            <v>N</v>
          </cell>
          <cell r="M352">
            <v>0</v>
          </cell>
          <cell r="O352" t="str">
            <v>N</v>
          </cell>
          <cell r="Q352" t="str">
            <v>206</v>
          </cell>
          <cell r="R352" t="str">
            <v>01</v>
          </cell>
          <cell r="S352" t="str">
            <v>01</v>
          </cell>
          <cell r="T352" t="str">
            <v>12</v>
          </cell>
          <cell r="X352" t="str">
            <v>30002</v>
          </cell>
          <cell r="Y352" t="str">
            <v>00206</v>
          </cell>
        </row>
        <row r="353">
          <cell r="A353" t="str">
            <v>12010017</v>
          </cell>
          <cell r="B353" t="str">
            <v>02</v>
          </cell>
          <cell r="C353" t="str">
            <v>NATIONAL PHYSICAL &amp; OCEAN</v>
          </cell>
          <cell r="D353" t="str">
            <v>OGRAPHIC</v>
          </cell>
          <cell r="E353" t="str">
            <v>GOVT.OF INDIA MINST. OF DEFENC</v>
          </cell>
          <cell r="F353" t="str">
            <v>B.M.C.- P.O. THRIKKAKRA</v>
          </cell>
          <cell r="G353" t="str">
            <v>KERALA</v>
          </cell>
          <cell r="H353" t="str">
            <v>KOCHI</v>
          </cell>
          <cell r="I353" t="str">
            <v>682021</v>
          </cell>
          <cell r="J353" t="str">
            <v>003</v>
          </cell>
          <cell r="L353" t="str">
            <v>N</v>
          </cell>
          <cell r="M353">
            <v>0</v>
          </cell>
          <cell r="O353" t="str">
            <v>N</v>
          </cell>
          <cell r="Q353" t="str">
            <v>207</v>
          </cell>
          <cell r="R353" t="str">
            <v>01</v>
          </cell>
          <cell r="S353" t="str">
            <v>01</v>
          </cell>
          <cell r="T353" t="str">
            <v>12</v>
          </cell>
          <cell r="X353" t="str">
            <v>30002</v>
          </cell>
          <cell r="Y353" t="str">
            <v>00207</v>
          </cell>
        </row>
        <row r="354">
          <cell r="A354" t="str">
            <v>12010018</v>
          </cell>
          <cell r="B354" t="str">
            <v>02</v>
          </cell>
          <cell r="C354" t="str">
            <v>THE LACCADIVE CO OP MKT.</v>
          </cell>
          <cell r="D354" t="str">
            <v>FEDERATION LTD.</v>
          </cell>
          <cell r="E354" t="str">
            <v>5/51, BAZAR ROAD</v>
          </cell>
          <cell r="F354" t="str">
            <v>MATTANCHERRY</v>
          </cell>
          <cell r="G354" t="str">
            <v>KERALA</v>
          </cell>
          <cell r="H354" t="str">
            <v>KOCHI</v>
          </cell>
          <cell r="I354" t="str">
            <v>682002</v>
          </cell>
          <cell r="J354" t="str">
            <v>003</v>
          </cell>
          <cell r="K354" t="str">
            <v>KGST L.40-33131220</v>
          </cell>
          <cell r="L354" t="str">
            <v>N</v>
          </cell>
          <cell r="M354">
            <v>0</v>
          </cell>
          <cell r="N354" t="str">
            <v>CST F4/488/66 DT.12.11.75</v>
          </cell>
          <cell r="O354" t="str">
            <v>N</v>
          </cell>
          <cell r="Q354" t="str">
            <v>208</v>
          </cell>
          <cell r="R354" t="str">
            <v>01</v>
          </cell>
          <cell r="S354" t="str">
            <v>01</v>
          </cell>
          <cell r="T354" t="str">
            <v>12</v>
          </cell>
          <cell r="X354" t="str">
            <v>30002</v>
          </cell>
          <cell r="Y354" t="str">
            <v>00208</v>
          </cell>
        </row>
        <row r="355">
          <cell r="A355" t="str">
            <v>12010019</v>
          </cell>
          <cell r="B355" t="str">
            <v>01</v>
          </cell>
          <cell r="C355" t="str">
            <v>V.A. AND CO.</v>
          </cell>
          <cell r="D355" t="str">
            <v>2ND FLOOR, AVEE'S BUILDING</v>
          </cell>
          <cell r="E355" t="str">
            <v>TOLL JN. EDAPPALLY</v>
          </cell>
          <cell r="G355" t="str">
            <v>KERALA</v>
          </cell>
          <cell r="H355" t="str">
            <v>KOCHI</v>
          </cell>
          <cell r="I355" t="str">
            <v>682024</v>
          </cell>
          <cell r="J355" t="str">
            <v>003</v>
          </cell>
          <cell r="K355" t="str">
            <v>KGST 23172509</v>
          </cell>
          <cell r="L355" t="str">
            <v>N</v>
          </cell>
          <cell r="M355">
            <v>0</v>
          </cell>
          <cell r="O355" t="str">
            <v>N</v>
          </cell>
          <cell r="Q355" t="str">
            <v>209</v>
          </cell>
          <cell r="R355" t="str">
            <v>01</v>
          </cell>
          <cell r="S355" t="str">
            <v>01</v>
          </cell>
          <cell r="T355" t="str">
            <v>12</v>
          </cell>
          <cell r="X355" t="str">
            <v>30002</v>
          </cell>
          <cell r="Y355" t="str">
            <v>00209</v>
          </cell>
        </row>
        <row r="356">
          <cell r="A356" t="str">
            <v>12010021</v>
          </cell>
          <cell r="B356" t="str">
            <v>01</v>
          </cell>
          <cell r="C356" t="str">
            <v>KOTTAYAM WHOLESALE</v>
          </cell>
          <cell r="D356" t="str">
            <v>K K ROAD</v>
          </cell>
          <cell r="G356" t="str">
            <v>KERALA</v>
          </cell>
          <cell r="H356" t="str">
            <v>KOTTAYAM</v>
          </cell>
          <cell r="I356" t="str">
            <v>686001</v>
          </cell>
          <cell r="J356" t="str">
            <v>003</v>
          </cell>
          <cell r="K356" t="str">
            <v>KGST S 127/A1</v>
          </cell>
          <cell r="L356" t="str">
            <v>N</v>
          </cell>
          <cell r="M356">
            <v>0</v>
          </cell>
          <cell r="N356" t="str">
            <v>CST K 41/25.7.62</v>
          </cell>
          <cell r="O356" t="str">
            <v>N</v>
          </cell>
          <cell r="Q356" t="str">
            <v>211</v>
          </cell>
          <cell r="R356" t="str">
            <v>01</v>
          </cell>
          <cell r="S356" t="str">
            <v>01</v>
          </cell>
          <cell r="T356" t="str">
            <v>12</v>
          </cell>
          <cell r="X356" t="str">
            <v>30001</v>
          </cell>
          <cell r="Y356" t="str">
            <v>00211</v>
          </cell>
        </row>
        <row r="357">
          <cell r="A357" t="str">
            <v>12010022</v>
          </cell>
          <cell r="B357" t="str">
            <v>01</v>
          </cell>
          <cell r="C357" t="str">
            <v>GEO AGENCIES</v>
          </cell>
          <cell r="D357" t="str">
            <v>1/526,PATTAMBI ROAD</v>
          </cell>
          <cell r="G357" t="str">
            <v>KERALA</v>
          </cell>
          <cell r="H357" t="str">
            <v>KUNNAMKULAM</v>
          </cell>
          <cell r="I357" t="str">
            <v>680503</v>
          </cell>
          <cell r="J357" t="str">
            <v>003</v>
          </cell>
          <cell r="K357" t="str">
            <v>KGST 2519-1992</v>
          </cell>
          <cell r="L357" t="str">
            <v>N</v>
          </cell>
          <cell r="M357">
            <v>0</v>
          </cell>
          <cell r="N357" t="str">
            <v>CST 2519-6992</v>
          </cell>
          <cell r="O357" t="str">
            <v>N</v>
          </cell>
          <cell r="Q357" t="str">
            <v>212</v>
          </cell>
          <cell r="R357" t="str">
            <v>01</v>
          </cell>
          <cell r="S357" t="str">
            <v>01</v>
          </cell>
          <cell r="T357" t="str">
            <v>12</v>
          </cell>
          <cell r="U357">
            <v>0</v>
          </cell>
          <cell r="X357" t="str">
            <v>30001</v>
          </cell>
          <cell r="Y357" t="str">
            <v>00212</v>
          </cell>
        </row>
        <row r="358">
          <cell r="A358" t="str">
            <v>12010023</v>
          </cell>
          <cell r="B358" t="str">
            <v>01</v>
          </cell>
          <cell r="C358" t="str">
            <v>ARCHANA TRADING CO.</v>
          </cell>
          <cell r="D358" t="str">
            <v>MYSORE ROAD</v>
          </cell>
          <cell r="G358" t="str">
            <v>KERALA</v>
          </cell>
          <cell r="H358" t="str">
            <v>SULTANS BATTERY</v>
          </cell>
          <cell r="I358" t="str">
            <v>673592</v>
          </cell>
          <cell r="J358" t="str">
            <v>003</v>
          </cell>
          <cell r="K358" t="str">
            <v>KGST 34150411</v>
          </cell>
          <cell r="L358" t="str">
            <v>N</v>
          </cell>
          <cell r="M358">
            <v>0</v>
          </cell>
          <cell r="O358" t="str">
            <v>N</v>
          </cell>
          <cell r="Q358" t="str">
            <v>213</v>
          </cell>
          <cell r="R358" t="str">
            <v>01</v>
          </cell>
          <cell r="S358" t="str">
            <v>01</v>
          </cell>
          <cell r="T358" t="str">
            <v>12</v>
          </cell>
          <cell r="U358">
            <v>0</v>
          </cell>
          <cell r="X358" t="str">
            <v>30002</v>
          </cell>
          <cell r="Y358" t="str">
            <v>00213</v>
          </cell>
        </row>
        <row r="359">
          <cell r="A359" t="str">
            <v>12010024</v>
          </cell>
          <cell r="B359" t="str">
            <v>01</v>
          </cell>
          <cell r="C359" t="str">
            <v>GHANI AGENCIES</v>
          </cell>
          <cell r="D359" t="str">
            <v>31/866, B.O.C.ROAD</v>
          </cell>
          <cell r="G359" t="str">
            <v>KERALA</v>
          </cell>
          <cell r="H359" t="str">
            <v>PALAKKAD</v>
          </cell>
          <cell r="I359" t="str">
            <v>678014</v>
          </cell>
          <cell r="J359" t="str">
            <v>003</v>
          </cell>
          <cell r="K359" t="str">
            <v>KGST 31110834</v>
          </cell>
          <cell r="L359" t="str">
            <v>N</v>
          </cell>
          <cell r="M359">
            <v>0</v>
          </cell>
          <cell r="N359" t="str">
            <v>CST 31115834</v>
          </cell>
          <cell r="O359" t="str">
            <v>N</v>
          </cell>
          <cell r="Q359" t="str">
            <v>214</v>
          </cell>
          <cell r="R359" t="str">
            <v>01</v>
          </cell>
          <cell r="S359" t="str">
            <v>01</v>
          </cell>
          <cell r="T359" t="str">
            <v>12</v>
          </cell>
          <cell r="X359" t="str">
            <v>30001</v>
          </cell>
          <cell r="Y359" t="str">
            <v>00214</v>
          </cell>
        </row>
        <row r="360">
          <cell r="A360" t="str">
            <v>12010025</v>
          </cell>
          <cell r="B360" t="str">
            <v>01</v>
          </cell>
          <cell r="C360" t="str">
            <v>HINDUSTAN ASSOCIATES</v>
          </cell>
          <cell r="D360" t="str">
            <v>V1/169-A,POST OFFICE ROAD</v>
          </cell>
          <cell r="G360" t="str">
            <v>KERALA</v>
          </cell>
          <cell r="H360" t="str">
            <v>SHORANUR</v>
          </cell>
          <cell r="I360" t="str">
            <v>679121</v>
          </cell>
          <cell r="J360" t="str">
            <v>003</v>
          </cell>
          <cell r="K360" t="str">
            <v>25201222</v>
          </cell>
          <cell r="L360" t="str">
            <v>N</v>
          </cell>
          <cell r="M360">
            <v>0</v>
          </cell>
          <cell r="O360" t="str">
            <v>N</v>
          </cell>
          <cell r="Q360" t="str">
            <v>215</v>
          </cell>
          <cell r="R360" t="str">
            <v>01</v>
          </cell>
          <cell r="S360" t="str">
            <v>01</v>
          </cell>
          <cell r="T360" t="str">
            <v>12</v>
          </cell>
          <cell r="U360">
            <v>0</v>
          </cell>
          <cell r="X360" t="str">
            <v>30002</v>
          </cell>
          <cell r="Y360" t="str">
            <v>00215</v>
          </cell>
        </row>
        <row r="361">
          <cell r="A361" t="str">
            <v>12010026</v>
          </cell>
          <cell r="B361" t="str">
            <v>01</v>
          </cell>
          <cell r="C361" t="str">
            <v>SREE VALSAM ENTERPRISES</v>
          </cell>
          <cell r="D361" t="str">
            <v>MAIN ROAD</v>
          </cell>
          <cell r="G361" t="str">
            <v>KERALA</v>
          </cell>
          <cell r="H361" t="str">
            <v>KOLLAM</v>
          </cell>
          <cell r="I361" t="str">
            <v>691001</v>
          </cell>
          <cell r="J361" t="str">
            <v>003</v>
          </cell>
          <cell r="L361" t="str">
            <v>N</v>
          </cell>
          <cell r="M361">
            <v>0</v>
          </cell>
          <cell r="O361" t="str">
            <v>N</v>
          </cell>
          <cell r="Q361" t="str">
            <v>216</v>
          </cell>
          <cell r="R361" t="str">
            <v>01</v>
          </cell>
          <cell r="S361" t="str">
            <v>01</v>
          </cell>
          <cell r="T361" t="str">
            <v>12</v>
          </cell>
          <cell r="X361" t="str">
            <v>30001</v>
          </cell>
          <cell r="Y361" t="str">
            <v>00216</v>
          </cell>
        </row>
        <row r="362">
          <cell r="A362" t="str">
            <v>12010027</v>
          </cell>
          <cell r="B362" t="str">
            <v>01</v>
          </cell>
          <cell r="C362" t="str">
            <v>GOPINATH STORES</v>
          </cell>
          <cell r="D362" t="str">
            <v>20/423 PUTHIYANIRATH</v>
          </cell>
          <cell r="G362" t="str">
            <v>KERALA</v>
          </cell>
          <cell r="H362" t="str">
            <v>THALASSERY</v>
          </cell>
          <cell r="I362" t="str">
            <v>670101</v>
          </cell>
          <cell r="J362" t="str">
            <v>003</v>
          </cell>
          <cell r="K362" t="str">
            <v>KGST 35161343/30.11.85</v>
          </cell>
          <cell r="L362" t="str">
            <v>N</v>
          </cell>
          <cell r="M362">
            <v>0</v>
          </cell>
          <cell r="N362" t="str">
            <v>CST 35166343/30.11.853</v>
          </cell>
          <cell r="O362" t="str">
            <v>N</v>
          </cell>
          <cell r="Q362" t="str">
            <v>217</v>
          </cell>
          <cell r="R362" t="str">
            <v>01</v>
          </cell>
          <cell r="S362" t="str">
            <v>01</v>
          </cell>
          <cell r="T362" t="str">
            <v>12</v>
          </cell>
          <cell r="X362" t="str">
            <v>30001</v>
          </cell>
          <cell r="Y362" t="str">
            <v>00217</v>
          </cell>
        </row>
        <row r="363">
          <cell r="A363" t="str">
            <v>12010028</v>
          </cell>
          <cell r="B363" t="str">
            <v>01</v>
          </cell>
          <cell r="C363" t="str">
            <v>C M GEORGE &amp; CO</v>
          </cell>
          <cell r="D363" t="str">
            <v>XXVI - 510, RICE BAZAAR</v>
          </cell>
          <cell r="G363" t="str">
            <v>KERALA</v>
          </cell>
          <cell r="H363" t="str">
            <v>THRISSOOR</v>
          </cell>
          <cell r="I363" t="str">
            <v>680001</v>
          </cell>
          <cell r="J363" t="str">
            <v>003</v>
          </cell>
          <cell r="K363" t="str">
            <v>KGST  25111225 /30.10.84</v>
          </cell>
          <cell r="L363" t="str">
            <v>N</v>
          </cell>
          <cell r="M363">
            <v>0</v>
          </cell>
          <cell r="N363" t="str">
            <v>CST  25116225/30.10.84</v>
          </cell>
          <cell r="O363" t="str">
            <v>N</v>
          </cell>
          <cell r="Q363" t="str">
            <v>218</v>
          </cell>
          <cell r="R363" t="str">
            <v>01</v>
          </cell>
          <cell r="S363" t="str">
            <v>01</v>
          </cell>
          <cell r="T363" t="str">
            <v>12</v>
          </cell>
          <cell r="X363" t="str">
            <v>30001</v>
          </cell>
          <cell r="Y363" t="str">
            <v>00218</v>
          </cell>
        </row>
        <row r="364">
          <cell r="A364" t="str">
            <v>12010029</v>
          </cell>
          <cell r="B364" t="str">
            <v>01</v>
          </cell>
          <cell r="C364" t="str">
            <v>P.K.PARAMESWARAN PILLAI</v>
          </cell>
          <cell r="D364" t="str">
            <v>MAYYANNA BUILDING</v>
          </cell>
          <cell r="E364" t="str">
            <v>MARAKADA ROAD.SALAI</v>
          </cell>
          <cell r="G364" t="str">
            <v>KERALA</v>
          </cell>
          <cell r="H364" t="str">
            <v>THIRUVANANTHAPU</v>
          </cell>
          <cell r="I364" t="str">
            <v>695036</v>
          </cell>
          <cell r="J364" t="str">
            <v>003</v>
          </cell>
          <cell r="K364" t="str">
            <v>KGST  11010113</v>
          </cell>
          <cell r="L364" t="str">
            <v>N</v>
          </cell>
          <cell r="M364">
            <v>0</v>
          </cell>
          <cell r="N364" t="str">
            <v>CST  11015113</v>
          </cell>
          <cell r="O364" t="str">
            <v>N</v>
          </cell>
          <cell r="Q364" t="str">
            <v>219</v>
          </cell>
          <cell r="R364" t="str">
            <v>01</v>
          </cell>
          <cell r="S364" t="str">
            <v>01</v>
          </cell>
          <cell r="T364" t="str">
            <v>12</v>
          </cell>
          <cell r="X364" t="str">
            <v>30001</v>
          </cell>
          <cell r="Y364" t="str">
            <v>00219</v>
          </cell>
        </row>
        <row r="365">
          <cell r="A365" t="str">
            <v>12010030</v>
          </cell>
          <cell r="B365" t="str">
            <v>01</v>
          </cell>
          <cell r="C365" t="str">
            <v>MUNAZ TRADERS</v>
          </cell>
          <cell r="D365" t="str">
            <v>NEAR POLICE STATION</v>
          </cell>
          <cell r="G365" t="str">
            <v>KERALA</v>
          </cell>
          <cell r="H365" t="str">
            <v>TANUR</v>
          </cell>
          <cell r="I365" t="str">
            <v>676302</v>
          </cell>
          <cell r="J365" t="str">
            <v>003</v>
          </cell>
          <cell r="K365" t="str">
            <v>KGST 32122893</v>
          </cell>
          <cell r="L365" t="str">
            <v>N</v>
          </cell>
          <cell r="M365">
            <v>0</v>
          </cell>
          <cell r="O365" t="str">
            <v>N</v>
          </cell>
          <cell r="Q365" t="str">
            <v>220</v>
          </cell>
          <cell r="R365" t="str">
            <v>01</v>
          </cell>
          <cell r="S365" t="str">
            <v>01</v>
          </cell>
          <cell r="T365" t="str">
            <v>12</v>
          </cell>
          <cell r="X365" t="str">
            <v>30002</v>
          </cell>
          <cell r="Y365" t="str">
            <v>00220</v>
          </cell>
        </row>
        <row r="366">
          <cell r="A366" t="str">
            <v>12010031</v>
          </cell>
          <cell r="B366" t="str">
            <v>01</v>
          </cell>
          <cell r="C366" t="str">
            <v>SINATH &amp; CO</v>
          </cell>
          <cell r="D366" t="str">
            <v>XI-232,MASJID ROAD,</v>
          </cell>
          <cell r="G366" t="str">
            <v>KERALA</v>
          </cell>
          <cell r="H366" t="str">
            <v>KASARAGODE</v>
          </cell>
          <cell r="I366" t="str">
            <v>670121</v>
          </cell>
          <cell r="J366" t="str">
            <v>003</v>
          </cell>
          <cell r="K366" t="str">
            <v>KGST 36111491</v>
          </cell>
          <cell r="L366" t="str">
            <v>N</v>
          </cell>
          <cell r="M366">
            <v>0</v>
          </cell>
          <cell r="N366" t="str">
            <v>CST 36116491</v>
          </cell>
          <cell r="O366" t="str">
            <v>N</v>
          </cell>
          <cell r="Q366" t="str">
            <v>221</v>
          </cell>
          <cell r="R366" t="str">
            <v>01</v>
          </cell>
          <cell r="S366" t="str">
            <v>01</v>
          </cell>
          <cell r="T366" t="str">
            <v>12</v>
          </cell>
          <cell r="X366" t="str">
            <v>30001</v>
          </cell>
          <cell r="Y366" t="str">
            <v>00221</v>
          </cell>
        </row>
        <row r="367">
          <cell r="A367" t="str">
            <v>12010032</v>
          </cell>
          <cell r="B367" t="str">
            <v>01</v>
          </cell>
          <cell r="C367" t="str">
            <v>BALAKRISHNA ENTERPRISE</v>
          </cell>
          <cell r="D367" t="str">
            <v>OPP.SUBHA THEATRE</v>
          </cell>
          <cell r="E367" t="str">
            <v>T.B.JUNCTION</v>
          </cell>
          <cell r="G367" t="str">
            <v>KERALA</v>
          </cell>
          <cell r="H367" t="str">
            <v>NEYYATTINKARA</v>
          </cell>
          <cell r="J367" t="str">
            <v>003</v>
          </cell>
          <cell r="K367" t="str">
            <v>KGST.1114-1510</v>
          </cell>
          <cell r="L367" t="str">
            <v>N</v>
          </cell>
          <cell r="M367">
            <v>0</v>
          </cell>
          <cell r="O367" t="str">
            <v>N</v>
          </cell>
          <cell r="Q367" t="str">
            <v>222</v>
          </cell>
          <cell r="R367" t="str">
            <v>01</v>
          </cell>
          <cell r="S367" t="str">
            <v>01</v>
          </cell>
          <cell r="T367" t="str">
            <v>12</v>
          </cell>
          <cell r="X367" t="str">
            <v>30002</v>
          </cell>
          <cell r="Y367" t="str">
            <v>00222</v>
          </cell>
        </row>
        <row r="368">
          <cell r="A368" t="str">
            <v>12010034</v>
          </cell>
          <cell r="B368" t="str">
            <v>01</v>
          </cell>
          <cell r="C368" t="str">
            <v>ROSA AGENCIES</v>
          </cell>
          <cell r="D368" t="str">
            <v>V111/498-B,NEDUMPARA BUILDINGS</v>
          </cell>
          <cell r="E368" t="str">
            <v>PALAI ROAD</v>
          </cell>
          <cell r="G368" t="str">
            <v>KERALA</v>
          </cell>
          <cell r="H368" t="str">
            <v>THODUPUZHA</v>
          </cell>
          <cell r="I368" t="str">
            <v>685584</v>
          </cell>
          <cell r="J368" t="str">
            <v>003</v>
          </cell>
          <cell r="K368" t="str">
            <v>KGST 22110906/18.12.89</v>
          </cell>
          <cell r="L368" t="str">
            <v>N</v>
          </cell>
          <cell r="M368">
            <v>0</v>
          </cell>
          <cell r="N368" t="str">
            <v>CST 22115906/18.12.89</v>
          </cell>
          <cell r="O368" t="str">
            <v>N</v>
          </cell>
          <cell r="Q368" t="str">
            <v>224</v>
          </cell>
          <cell r="R368" t="str">
            <v>01</v>
          </cell>
          <cell r="S368" t="str">
            <v>01</v>
          </cell>
          <cell r="T368" t="str">
            <v>12</v>
          </cell>
          <cell r="X368" t="str">
            <v>30002</v>
          </cell>
          <cell r="Y368" t="str">
            <v>00224</v>
          </cell>
        </row>
        <row r="369">
          <cell r="A369" t="str">
            <v>12010035</v>
          </cell>
          <cell r="B369" t="str">
            <v>01</v>
          </cell>
          <cell r="C369" t="str">
            <v>PALAMOOTTIL ENTERPRISES</v>
          </cell>
          <cell r="D369" t="str">
            <v>PALAMOOTTIL BUILDINGS</v>
          </cell>
          <cell r="E369" t="str">
            <v>NADACAVU</v>
          </cell>
          <cell r="G369" t="str">
            <v>KERALA</v>
          </cell>
          <cell r="H369" t="str">
            <v>MAVELIKARA</v>
          </cell>
          <cell r="I369" t="str">
            <v>690101</v>
          </cell>
          <cell r="J369" t="str">
            <v>003</v>
          </cell>
          <cell r="K369" t="str">
            <v>KGST 13161847/14.9.88</v>
          </cell>
          <cell r="L369" t="str">
            <v>N</v>
          </cell>
          <cell r="M369">
            <v>0</v>
          </cell>
          <cell r="O369" t="str">
            <v>N</v>
          </cell>
          <cell r="Q369" t="str">
            <v>225</v>
          </cell>
          <cell r="R369" t="str">
            <v>01</v>
          </cell>
          <cell r="S369" t="str">
            <v>01</v>
          </cell>
          <cell r="T369" t="str">
            <v>12</v>
          </cell>
          <cell r="X369" t="str">
            <v>30002</v>
          </cell>
          <cell r="Y369" t="str">
            <v>00225</v>
          </cell>
        </row>
        <row r="370">
          <cell r="A370" t="str">
            <v>12010036</v>
          </cell>
          <cell r="B370" t="str">
            <v>01</v>
          </cell>
          <cell r="C370" t="str">
            <v>PAPPACHAN KALLUKALAM &amp; CO</v>
          </cell>
          <cell r="G370" t="str">
            <v>KERALA</v>
          </cell>
          <cell r="H370" t="str">
            <v>CHENGANACHERRY</v>
          </cell>
          <cell r="I370" t="str">
            <v>686101</v>
          </cell>
          <cell r="J370" t="str">
            <v>003</v>
          </cell>
          <cell r="K370" t="str">
            <v>KGST 21131726</v>
          </cell>
          <cell r="L370" t="str">
            <v>N</v>
          </cell>
          <cell r="M370">
            <v>0</v>
          </cell>
          <cell r="O370" t="str">
            <v>N</v>
          </cell>
          <cell r="Q370" t="str">
            <v>226</v>
          </cell>
          <cell r="R370" t="str">
            <v>01</v>
          </cell>
          <cell r="S370" t="str">
            <v>01</v>
          </cell>
          <cell r="T370" t="str">
            <v>12</v>
          </cell>
          <cell r="X370" t="str">
            <v>30001</v>
          </cell>
          <cell r="Y370" t="str">
            <v>00226</v>
          </cell>
        </row>
        <row r="371">
          <cell r="A371" t="str">
            <v>12010037</v>
          </cell>
          <cell r="B371" t="str">
            <v>01</v>
          </cell>
          <cell r="C371" t="str">
            <v>A-1 DISTRIBUTORS</v>
          </cell>
          <cell r="D371" t="str">
            <v>XVIII/60, ANAMALA ROAD,</v>
          </cell>
          <cell r="G371" t="str">
            <v>KERALA</v>
          </cell>
          <cell r="H371" t="str">
            <v>CHALAKUDY</v>
          </cell>
          <cell r="I371" t="str">
            <v>680307</v>
          </cell>
          <cell r="J371" t="str">
            <v>003</v>
          </cell>
          <cell r="K371" t="str">
            <v>KGST:25153370/22.09.92.</v>
          </cell>
          <cell r="L371" t="str">
            <v>N</v>
          </cell>
          <cell r="M371">
            <v>0</v>
          </cell>
          <cell r="O371" t="str">
            <v>N</v>
          </cell>
          <cell r="Q371" t="str">
            <v>227</v>
          </cell>
          <cell r="R371" t="str">
            <v>01</v>
          </cell>
          <cell r="S371" t="str">
            <v>01</v>
          </cell>
          <cell r="T371" t="str">
            <v>12</v>
          </cell>
          <cell r="X371" t="str">
            <v>30002</v>
          </cell>
          <cell r="Y371" t="str">
            <v>00227</v>
          </cell>
        </row>
        <row r="372">
          <cell r="A372" t="str">
            <v>12010038</v>
          </cell>
          <cell r="B372" t="str">
            <v>01</v>
          </cell>
          <cell r="C372" t="str">
            <v>EASTERN AGENCIES</v>
          </cell>
          <cell r="D372" t="str">
            <v>MERCHANTS &amp; DISTRIBUTORS</v>
          </cell>
          <cell r="G372" t="str">
            <v>KERALA</v>
          </cell>
          <cell r="H372" t="str">
            <v>ADIMALY</v>
          </cell>
          <cell r="I372" t="str">
            <v>685561</v>
          </cell>
          <cell r="J372" t="str">
            <v>003</v>
          </cell>
          <cell r="K372" t="str">
            <v>KGST 22060022</v>
          </cell>
          <cell r="L372" t="str">
            <v>N</v>
          </cell>
          <cell r="M372">
            <v>0</v>
          </cell>
          <cell r="N372" t="str">
            <v>CST 22065022 DT.19.9.83</v>
          </cell>
          <cell r="O372" t="str">
            <v>N</v>
          </cell>
          <cell r="Q372" t="str">
            <v>228</v>
          </cell>
          <cell r="R372" t="str">
            <v>01</v>
          </cell>
          <cell r="S372" t="str">
            <v>01</v>
          </cell>
          <cell r="T372" t="str">
            <v>12</v>
          </cell>
          <cell r="U372">
            <v>0</v>
          </cell>
          <cell r="X372" t="str">
            <v>30002</v>
          </cell>
          <cell r="Y372" t="str">
            <v>00228</v>
          </cell>
        </row>
        <row r="373">
          <cell r="A373" t="str">
            <v>12010039</v>
          </cell>
          <cell r="B373" t="str">
            <v>01</v>
          </cell>
          <cell r="C373" t="str">
            <v>KANNADICKAL AGENCIES</v>
          </cell>
          <cell r="D373" t="str">
            <v>PAZHAVANGADI P.O.</v>
          </cell>
          <cell r="G373" t="str">
            <v>KERALA</v>
          </cell>
          <cell r="H373" t="str">
            <v>RANNI</v>
          </cell>
          <cell r="I373" t="str">
            <v>689673</v>
          </cell>
          <cell r="J373" t="str">
            <v>003</v>
          </cell>
          <cell r="K373" t="str">
            <v>KGEST 14161880</v>
          </cell>
          <cell r="L373" t="str">
            <v>N</v>
          </cell>
          <cell r="M373">
            <v>0</v>
          </cell>
          <cell r="O373" t="str">
            <v>N</v>
          </cell>
          <cell r="Q373" t="str">
            <v>229</v>
          </cell>
          <cell r="R373" t="str">
            <v>01</v>
          </cell>
          <cell r="S373" t="str">
            <v>01</v>
          </cell>
          <cell r="T373" t="str">
            <v>12</v>
          </cell>
          <cell r="X373" t="str">
            <v>30002</v>
          </cell>
          <cell r="Y373" t="str">
            <v>00229</v>
          </cell>
        </row>
        <row r="374">
          <cell r="A374" t="str">
            <v>12010040</v>
          </cell>
          <cell r="B374" t="str">
            <v>01</v>
          </cell>
          <cell r="C374" t="str">
            <v>K K ABDU</v>
          </cell>
          <cell r="D374" t="str">
            <v>P B NO 3</v>
          </cell>
          <cell r="G374" t="str">
            <v>KERALA</v>
          </cell>
          <cell r="H374" t="str">
            <v>KODOUNGALLUR</v>
          </cell>
          <cell r="I374" t="str">
            <v>680664</v>
          </cell>
          <cell r="J374" t="str">
            <v>003</v>
          </cell>
          <cell r="K374" t="str">
            <v>KGST  A/65</v>
          </cell>
          <cell r="L374" t="str">
            <v>N</v>
          </cell>
          <cell r="M374">
            <v>0</v>
          </cell>
          <cell r="N374" t="str">
            <v>CST  A/37 DT 2.9.57</v>
          </cell>
          <cell r="O374" t="str">
            <v>N</v>
          </cell>
          <cell r="Q374" t="str">
            <v>230</v>
          </cell>
          <cell r="R374" t="str">
            <v>01</v>
          </cell>
          <cell r="S374" t="str">
            <v>01</v>
          </cell>
          <cell r="T374" t="str">
            <v>12</v>
          </cell>
          <cell r="X374" t="str">
            <v>30002</v>
          </cell>
          <cell r="Y374" t="str">
            <v>00230</v>
          </cell>
        </row>
        <row r="375">
          <cell r="A375" t="str">
            <v>12010041</v>
          </cell>
          <cell r="B375" t="str">
            <v>01</v>
          </cell>
          <cell r="C375" t="str">
            <v>ROHINI ENTERPRISES</v>
          </cell>
          <cell r="D375" t="str">
            <v>KAVITHA SHOPPING COMPLEX</v>
          </cell>
          <cell r="E375" t="str">
            <v>FORT ROAD,</v>
          </cell>
          <cell r="G375" t="str">
            <v>KERALA</v>
          </cell>
          <cell r="H375" t="str">
            <v>N.PARAVOOR</v>
          </cell>
          <cell r="I375" t="str">
            <v>683513</v>
          </cell>
          <cell r="J375" t="str">
            <v>003</v>
          </cell>
          <cell r="K375" t="str">
            <v>KGST 24171481</v>
          </cell>
          <cell r="L375" t="str">
            <v>N</v>
          </cell>
          <cell r="M375">
            <v>0</v>
          </cell>
          <cell r="O375" t="str">
            <v>N</v>
          </cell>
          <cell r="Q375" t="str">
            <v>231</v>
          </cell>
          <cell r="R375" t="str">
            <v>01</v>
          </cell>
          <cell r="S375" t="str">
            <v>01</v>
          </cell>
          <cell r="T375" t="str">
            <v>12</v>
          </cell>
          <cell r="X375" t="str">
            <v>30002</v>
          </cell>
          <cell r="Y375" t="str">
            <v>00231</v>
          </cell>
        </row>
        <row r="376">
          <cell r="A376" t="str">
            <v>12010042</v>
          </cell>
          <cell r="B376" t="str">
            <v>01</v>
          </cell>
          <cell r="C376" t="str">
            <v>GOPINATH SALES</v>
          </cell>
          <cell r="D376" t="str">
            <v>5/540, GOKUL STREET</v>
          </cell>
          <cell r="G376" t="str">
            <v>KERALA</v>
          </cell>
          <cell r="H376" t="str">
            <v>KUTHUPARAMBA</v>
          </cell>
          <cell r="I376" t="str">
            <v>670643</v>
          </cell>
          <cell r="J376" t="str">
            <v>003</v>
          </cell>
          <cell r="K376" t="str">
            <v>KGST 35182584</v>
          </cell>
          <cell r="L376" t="str">
            <v>N</v>
          </cell>
          <cell r="M376">
            <v>0</v>
          </cell>
          <cell r="N376" t="str">
            <v>CST 35187584</v>
          </cell>
          <cell r="O376" t="str">
            <v>N</v>
          </cell>
          <cell r="Q376" t="str">
            <v>232</v>
          </cell>
          <cell r="R376" t="str">
            <v>01</v>
          </cell>
          <cell r="S376" t="str">
            <v>01</v>
          </cell>
          <cell r="T376" t="str">
            <v>12</v>
          </cell>
          <cell r="X376" t="str">
            <v>30001</v>
          </cell>
          <cell r="Y376" t="str">
            <v>00232</v>
          </cell>
        </row>
        <row r="377">
          <cell r="A377" t="str">
            <v>12010043</v>
          </cell>
          <cell r="B377" t="str">
            <v>01</v>
          </cell>
          <cell r="C377" t="str">
            <v>ARIES DISTRIBUTORS</v>
          </cell>
          <cell r="D377" t="str">
            <v>NEAR HAPPY TOURIST HOME</v>
          </cell>
          <cell r="G377" t="str">
            <v>KERALA</v>
          </cell>
          <cell r="H377" t="str">
            <v>NILESHWAR</v>
          </cell>
          <cell r="I377" t="str">
            <v>671314</v>
          </cell>
          <cell r="J377" t="str">
            <v>003</v>
          </cell>
          <cell r="K377" t="str">
            <v>KGST 36122723</v>
          </cell>
          <cell r="L377" t="str">
            <v>N</v>
          </cell>
          <cell r="M377">
            <v>0</v>
          </cell>
          <cell r="O377" t="str">
            <v>N</v>
          </cell>
          <cell r="Q377" t="str">
            <v>233</v>
          </cell>
          <cell r="R377" t="str">
            <v>01</v>
          </cell>
          <cell r="S377" t="str">
            <v>01</v>
          </cell>
          <cell r="T377" t="str">
            <v>12</v>
          </cell>
          <cell r="X377" t="str">
            <v>30002</v>
          </cell>
          <cell r="Y377" t="str">
            <v>00233</v>
          </cell>
        </row>
        <row r="378">
          <cell r="A378" t="str">
            <v>12010044</v>
          </cell>
          <cell r="B378" t="str">
            <v>01</v>
          </cell>
          <cell r="C378" t="str">
            <v>GOODWILL TRADERS</v>
          </cell>
          <cell r="D378" t="str">
            <v>T XII/560, MAIN ROAD</v>
          </cell>
          <cell r="E378" t="str">
            <v>(KANNUR DISTRICT)</v>
          </cell>
          <cell r="G378" t="str">
            <v>KERALA</v>
          </cell>
          <cell r="H378" t="str">
            <v>TALIPRAMBA</v>
          </cell>
          <cell r="I378" t="str">
            <v>670141</v>
          </cell>
          <cell r="J378" t="str">
            <v>003</v>
          </cell>
          <cell r="K378" t="str">
            <v>KGST 3513-3389DT.17.02.95</v>
          </cell>
          <cell r="L378" t="str">
            <v>N</v>
          </cell>
          <cell r="M378">
            <v>0</v>
          </cell>
          <cell r="O378" t="str">
            <v>N</v>
          </cell>
          <cell r="Q378" t="str">
            <v>234</v>
          </cell>
          <cell r="R378" t="str">
            <v>01</v>
          </cell>
          <cell r="S378" t="str">
            <v>01</v>
          </cell>
          <cell r="T378" t="str">
            <v>12</v>
          </cell>
          <cell r="X378" t="str">
            <v>30002</v>
          </cell>
          <cell r="Y378" t="str">
            <v>00234</v>
          </cell>
        </row>
        <row r="379">
          <cell r="A379" t="str">
            <v>12010045</v>
          </cell>
          <cell r="B379" t="str">
            <v>01</v>
          </cell>
          <cell r="C379" t="str">
            <v>S &amp; S AGENCIES</v>
          </cell>
          <cell r="D379" t="str">
            <v>VADAYAR P.O</v>
          </cell>
          <cell r="E379" t="str">
            <v>VIA - THALAYOLAPARAMBU</v>
          </cell>
          <cell r="G379" t="str">
            <v>KERALA</v>
          </cell>
          <cell r="H379" t="str">
            <v>VAIKOM (KOTT DT</v>
          </cell>
          <cell r="J379" t="str">
            <v>003</v>
          </cell>
          <cell r="K379" t="str">
            <v>KST: 21161358 DT 18/03/93</v>
          </cell>
          <cell r="L379" t="str">
            <v>N</v>
          </cell>
          <cell r="M379">
            <v>0</v>
          </cell>
          <cell r="O379" t="str">
            <v>N</v>
          </cell>
          <cell r="Q379" t="str">
            <v>235</v>
          </cell>
          <cell r="R379" t="str">
            <v>01</v>
          </cell>
          <cell r="S379" t="str">
            <v>01</v>
          </cell>
          <cell r="T379" t="str">
            <v>12</v>
          </cell>
          <cell r="U379">
            <v>0</v>
          </cell>
          <cell r="X379" t="str">
            <v>30001</v>
          </cell>
          <cell r="Y379" t="str">
            <v>00235</v>
          </cell>
        </row>
        <row r="380">
          <cell r="A380" t="str">
            <v>12010046</v>
          </cell>
          <cell r="B380" t="str">
            <v>01</v>
          </cell>
          <cell r="C380" t="str">
            <v>VETTEEL BROTHERS</v>
          </cell>
          <cell r="D380" t="str">
            <v>KANJIKUZHY</v>
          </cell>
          <cell r="G380" t="str">
            <v>KERALA</v>
          </cell>
          <cell r="H380" t="str">
            <v>KOTTAYAM</v>
          </cell>
          <cell r="I380" t="str">
            <v>686 004</v>
          </cell>
          <cell r="J380" t="str">
            <v>003</v>
          </cell>
          <cell r="L380" t="str">
            <v>N</v>
          </cell>
          <cell r="M380">
            <v>0</v>
          </cell>
          <cell r="O380" t="str">
            <v>N</v>
          </cell>
          <cell r="Q380" t="str">
            <v>475</v>
          </cell>
          <cell r="R380" t="str">
            <v>01</v>
          </cell>
          <cell r="S380" t="str">
            <v>01</v>
          </cell>
          <cell r="T380" t="str">
            <v>12</v>
          </cell>
          <cell r="U380">
            <v>0</v>
          </cell>
          <cell r="X380" t="str">
            <v>30001</v>
          </cell>
          <cell r="Y380" t="str">
            <v>00475</v>
          </cell>
        </row>
        <row r="381">
          <cell r="A381" t="str">
            <v>12010047</v>
          </cell>
          <cell r="B381" t="str">
            <v>01</v>
          </cell>
          <cell r="C381" t="str">
            <v>ISWARAYA AGENCIES</v>
          </cell>
          <cell r="D381" t="str">
            <v>DEVI NILAYAM, STATION VIEW</v>
          </cell>
          <cell r="E381" t="str">
            <v>WARD XII HOUSE NO.280</v>
          </cell>
          <cell r="F381" t="str">
            <v>NEAR RAILWAY STATION</v>
          </cell>
          <cell r="G381" t="str">
            <v>KERALA</v>
          </cell>
          <cell r="H381" t="str">
            <v>VARAKALA(TVM DT</v>
          </cell>
          <cell r="J381" t="str">
            <v>003</v>
          </cell>
          <cell r="K381" t="str">
            <v>KGST: 11162334</v>
          </cell>
          <cell r="L381" t="str">
            <v>N</v>
          </cell>
          <cell r="M381">
            <v>0</v>
          </cell>
          <cell r="O381" t="str">
            <v>N</v>
          </cell>
          <cell r="Q381" t="str">
            <v>478</v>
          </cell>
          <cell r="R381" t="str">
            <v>01</v>
          </cell>
          <cell r="S381" t="str">
            <v>01</v>
          </cell>
          <cell r="T381" t="str">
            <v>12</v>
          </cell>
          <cell r="U381">
            <v>0</v>
          </cell>
          <cell r="X381" t="str">
            <v>30001</v>
          </cell>
          <cell r="Y381" t="str">
            <v>00478</v>
          </cell>
        </row>
        <row r="382">
          <cell r="A382" t="str">
            <v>12010048</v>
          </cell>
          <cell r="B382" t="str">
            <v>01</v>
          </cell>
          <cell r="C382" t="str">
            <v>VISHAK AGENCIES</v>
          </cell>
          <cell r="D382" t="str">
            <v>T.C.20/894(1)</v>
          </cell>
          <cell r="E382" t="str">
            <v>KARAMANA</v>
          </cell>
          <cell r="G382" t="str">
            <v>KERALA</v>
          </cell>
          <cell r="H382" t="str">
            <v>THIRUANANTHAPRM</v>
          </cell>
          <cell r="I382" t="str">
            <v>695 002</v>
          </cell>
          <cell r="J382" t="str">
            <v>003</v>
          </cell>
          <cell r="K382" t="str">
            <v>KGST: 11122808</v>
          </cell>
          <cell r="L382" t="str">
            <v>N</v>
          </cell>
          <cell r="M382">
            <v>0</v>
          </cell>
          <cell r="N382" t="str">
            <v>CST: 11127808</v>
          </cell>
          <cell r="O382" t="str">
            <v>N</v>
          </cell>
          <cell r="Q382" t="str">
            <v>479</v>
          </cell>
          <cell r="R382" t="str">
            <v>01</v>
          </cell>
          <cell r="S382" t="str">
            <v>01</v>
          </cell>
          <cell r="T382" t="str">
            <v>12</v>
          </cell>
          <cell r="U382">
            <v>0</v>
          </cell>
          <cell r="X382" t="str">
            <v>30002</v>
          </cell>
          <cell r="Y382" t="str">
            <v>00479</v>
          </cell>
        </row>
        <row r="383">
          <cell r="A383" t="str">
            <v>12010049</v>
          </cell>
          <cell r="B383" t="str">
            <v>01</v>
          </cell>
          <cell r="C383" t="str">
            <v>CHERAYIL AGENCIES</v>
          </cell>
          <cell r="D383" t="str">
            <v>TIRUR ROAD</v>
          </cell>
          <cell r="F383" t="str">
            <v>(MALAPURAM DIST.)</v>
          </cell>
          <cell r="G383" t="str">
            <v>KERALA</v>
          </cell>
          <cell r="H383" t="str">
            <v>KUTTIPPURAM</v>
          </cell>
          <cell r="I383" t="str">
            <v>679 571</v>
          </cell>
          <cell r="J383" t="str">
            <v>003</v>
          </cell>
          <cell r="K383" t="str">
            <v>KGST 3212-3431</v>
          </cell>
          <cell r="L383" t="str">
            <v>N</v>
          </cell>
          <cell r="M383">
            <v>0</v>
          </cell>
          <cell r="O383" t="str">
            <v>N</v>
          </cell>
          <cell r="Q383" t="str">
            <v>481</v>
          </cell>
          <cell r="R383" t="str">
            <v>01</v>
          </cell>
          <cell r="S383" t="str">
            <v>01</v>
          </cell>
          <cell r="T383" t="str">
            <v>12</v>
          </cell>
          <cell r="U383">
            <v>0</v>
          </cell>
          <cell r="X383" t="str">
            <v>30002</v>
          </cell>
          <cell r="Y383" t="str">
            <v>00481</v>
          </cell>
        </row>
        <row r="384">
          <cell r="A384" t="str">
            <v>12010050</v>
          </cell>
          <cell r="B384" t="str">
            <v>01</v>
          </cell>
          <cell r="C384" t="str">
            <v>SREE HARI MARKETING</v>
          </cell>
          <cell r="D384" t="str">
            <v>PARANTHUM KERIL</v>
          </cell>
          <cell r="E384" t="str">
            <v>AROOKUTTY FERRY ROAD</v>
          </cell>
          <cell r="G384" t="str">
            <v>KERALA</v>
          </cell>
          <cell r="H384" t="str">
            <v>AROOR</v>
          </cell>
          <cell r="I384" t="str">
            <v>688 534</v>
          </cell>
          <cell r="J384" t="str">
            <v>003</v>
          </cell>
          <cell r="K384" t="str">
            <v>KGST:23230982</v>
          </cell>
          <cell r="L384" t="str">
            <v>N</v>
          </cell>
          <cell r="M384">
            <v>0</v>
          </cell>
          <cell r="O384" t="str">
            <v>N</v>
          </cell>
          <cell r="Q384" t="str">
            <v>487</v>
          </cell>
          <cell r="R384" t="str">
            <v>01</v>
          </cell>
          <cell r="S384" t="str">
            <v>01</v>
          </cell>
          <cell r="T384" t="str">
            <v>12</v>
          </cell>
          <cell r="U384">
            <v>0</v>
          </cell>
          <cell r="X384" t="str">
            <v>30002</v>
          </cell>
          <cell r="Y384" t="str">
            <v>00487</v>
          </cell>
        </row>
        <row r="385">
          <cell r="A385" t="str">
            <v>12010051</v>
          </cell>
          <cell r="B385" t="str">
            <v>01</v>
          </cell>
          <cell r="C385" t="str">
            <v>VATHUKKAPARAMBIL AGENCIES</v>
          </cell>
          <cell r="D385" t="str">
            <v>PONNARIMANGALAM</v>
          </cell>
          <cell r="E385" t="str">
            <v>Ernakulam Dist.</v>
          </cell>
          <cell r="G385" t="str">
            <v>KERALA</v>
          </cell>
          <cell r="H385" t="str">
            <v>MULAVUKAD P.O</v>
          </cell>
          <cell r="I385" t="str">
            <v>628 504</v>
          </cell>
          <cell r="J385" t="str">
            <v>003</v>
          </cell>
          <cell r="K385" t="str">
            <v>23241116 13.11.97</v>
          </cell>
          <cell r="L385" t="str">
            <v>N</v>
          </cell>
          <cell r="M385">
            <v>0</v>
          </cell>
          <cell r="O385" t="str">
            <v>N</v>
          </cell>
          <cell r="Q385" t="str">
            <v>495</v>
          </cell>
          <cell r="R385" t="str">
            <v>01</v>
          </cell>
          <cell r="S385" t="str">
            <v>01</v>
          </cell>
          <cell r="T385" t="str">
            <v>12</v>
          </cell>
          <cell r="U385">
            <v>0</v>
          </cell>
          <cell r="X385" t="str">
            <v>30002</v>
          </cell>
          <cell r="Y385" t="str">
            <v>00495</v>
          </cell>
        </row>
        <row r="386">
          <cell r="A386" t="str">
            <v>12010052</v>
          </cell>
          <cell r="B386" t="str">
            <v>01</v>
          </cell>
          <cell r="C386" t="str">
            <v>WINSTAR AGENCIES</v>
          </cell>
          <cell r="D386" t="str">
            <v>KOLLAMPARAMBIL BUILDING</v>
          </cell>
          <cell r="E386" t="str">
            <v>ELAPPARA ROAD</v>
          </cell>
          <cell r="G386" t="str">
            <v>KERALA</v>
          </cell>
          <cell r="H386" t="str">
            <v>KATTAPPANA</v>
          </cell>
          <cell r="I386" t="str">
            <v>685 508</v>
          </cell>
          <cell r="J386" t="str">
            <v>003</v>
          </cell>
          <cell r="K386" t="str">
            <v>KGST:22161690</v>
          </cell>
          <cell r="L386" t="str">
            <v>N</v>
          </cell>
          <cell r="M386">
            <v>0</v>
          </cell>
          <cell r="O386" t="str">
            <v>N</v>
          </cell>
          <cell r="Q386" t="str">
            <v>496</v>
          </cell>
          <cell r="R386" t="str">
            <v>01</v>
          </cell>
          <cell r="S386" t="str">
            <v>01</v>
          </cell>
          <cell r="T386" t="str">
            <v>12</v>
          </cell>
          <cell r="U386">
            <v>0</v>
          </cell>
          <cell r="X386" t="str">
            <v>30002</v>
          </cell>
          <cell r="Y386" t="str">
            <v>00496</v>
          </cell>
        </row>
        <row r="387">
          <cell r="A387" t="str">
            <v>12010053</v>
          </cell>
          <cell r="B387" t="str">
            <v>01</v>
          </cell>
          <cell r="C387" t="str">
            <v>NEETHI DISTRIBUTION CENTR</v>
          </cell>
          <cell r="D387" t="str">
            <v>KERALA STATE CO-OP. CONSUMERS</v>
          </cell>
          <cell r="E387" t="str">
            <v>FEDERATION LTD.</v>
          </cell>
          <cell r="F387" t="str">
            <v>PUTHIYAKADAVU, VELLAYIL</v>
          </cell>
          <cell r="G387" t="str">
            <v>KERALA</v>
          </cell>
          <cell r="H387" t="str">
            <v>KOZHIKODE</v>
          </cell>
          <cell r="J387" t="str">
            <v>003</v>
          </cell>
          <cell r="K387" t="str">
            <v>KGST:23030138</v>
          </cell>
          <cell r="L387" t="str">
            <v>N</v>
          </cell>
          <cell r="M387">
            <v>0</v>
          </cell>
          <cell r="N387" t="str">
            <v>CST:23035138</v>
          </cell>
          <cell r="O387" t="str">
            <v>N</v>
          </cell>
          <cell r="Q387" t="str">
            <v>497</v>
          </cell>
          <cell r="R387" t="str">
            <v>01</v>
          </cell>
          <cell r="S387" t="str">
            <v>01</v>
          </cell>
          <cell r="T387" t="str">
            <v>12</v>
          </cell>
          <cell r="U387">
            <v>0</v>
          </cell>
          <cell r="X387" t="str">
            <v>30002</v>
          </cell>
          <cell r="Y387" t="str">
            <v>00497</v>
          </cell>
        </row>
        <row r="388">
          <cell r="A388" t="str">
            <v>12010054</v>
          </cell>
          <cell r="B388" t="str">
            <v>01</v>
          </cell>
          <cell r="C388" t="str">
            <v>NEETHI DIST. CENTRE</v>
          </cell>
          <cell r="D388" t="str">
            <v>KERALA STATE CO-OP. CONSUMERS</v>
          </cell>
          <cell r="E388" t="str">
            <v>FEDERATION LTD.</v>
          </cell>
          <cell r="F388" t="str">
            <v>ROHINI ARCADE[Near State W.Cor</v>
          </cell>
          <cell r="G388" t="str">
            <v>KERALA</v>
          </cell>
          <cell r="H388" t="str">
            <v>KORIKODE,KOLLAM</v>
          </cell>
          <cell r="J388" t="str">
            <v>003</v>
          </cell>
          <cell r="K388" t="str">
            <v>KGST:23030138</v>
          </cell>
          <cell r="L388" t="str">
            <v>N</v>
          </cell>
          <cell r="M388">
            <v>0</v>
          </cell>
          <cell r="N388" t="str">
            <v>CST:23035138</v>
          </cell>
          <cell r="O388" t="str">
            <v>N</v>
          </cell>
          <cell r="Q388" t="str">
            <v>498</v>
          </cell>
          <cell r="R388" t="str">
            <v>01</v>
          </cell>
          <cell r="S388" t="str">
            <v>01</v>
          </cell>
          <cell r="T388" t="str">
            <v>12</v>
          </cell>
          <cell r="U388">
            <v>0</v>
          </cell>
          <cell r="X388" t="str">
            <v>30002</v>
          </cell>
          <cell r="Y388" t="str">
            <v>00498</v>
          </cell>
        </row>
        <row r="389">
          <cell r="A389" t="str">
            <v>12010055</v>
          </cell>
          <cell r="B389" t="str">
            <v>01</v>
          </cell>
          <cell r="C389" t="str">
            <v>NEETHI DISTRI. CENTRE</v>
          </cell>
          <cell r="D389" t="str">
            <v>KERALA STATE CO-OP. CONSUMERS</v>
          </cell>
          <cell r="E389" t="str">
            <v>FEDERATION LTD.</v>
          </cell>
          <cell r="F389" t="str">
            <v>I.R.C.D.P CENTRE, POOTHOLE</v>
          </cell>
          <cell r="G389" t="str">
            <v>KERALA</v>
          </cell>
          <cell r="H389" t="str">
            <v>TRICHUR</v>
          </cell>
          <cell r="J389" t="str">
            <v>003</v>
          </cell>
          <cell r="K389" t="str">
            <v>KGST:23030138</v>
          </cell>
          <cell r="L389" t="str">
            <v>N</v>
          </cell>
          <cell r="M389">
            <v>0</v>
          </cell>
          <cell r="N389" t="str">
            <v>CST:23035138</v>
          </cell>
          <cell r="O389" t="str">
            <v>N</v>
          </cell>
          <cell r="Q389" t="str">
            <v>499</v>
          </cell>
          <cell r="R389" t="str">
            <v>01</v>
          </cell>
          <cell r="S389" t="str">
            <v>01</v>
          </cell>
          <cell r="T389" t="str">
            <v>12</v>
          </cell>
          <cell r="U389">
            <v>0</v>
          </cell>
          <cell r="X389" t="str">
            <v>30002</v>
          </cell>
          <cell r="Y389" t="str">
            <v>00499</v>
          </cell>
        </row>
        <row r="390">
          <cell r="A390" t="str">
            <v>12010056</v>
          </cell>
          <cell r="B390" t="str">
            <v>01</v>
          </cell>
          <cell r="C390" t="str">
            <v>ASHIK AGENCIES</v>
          </cell>
          <cell r="D390" t="str">
            <v>10/256</v>
          </cell>
          <cell r="E390" t="str">
            <v>EAST ROAD</v>
          </cell>
          <cell r="G390" t="str">
            <v>KERALA</v>
          </cell>
          <cell r="H390" t="str">
            <v>KOYILANDY</v>
          </cell>
          <cell r="I390" t="str">
            <v>673 305</v>
          </cell>
          <cell r="J390" t="str">
            <v>003</v>
          </cell>
          <cell r="K390" t="str">
            <v>KGST:33161523</v>
          </cell>
          <cell r="L390" t="str">
            <v>N</v>
          </cell>
          <cell r="M390">
            <v>0</v>
          </cell>
          <cell r="O390" t="str">
            <v>N</v>
          </cell>
          <cell r="Q390" t="str">
            <v>504</v>
          </cell>
          <cell r="R390" t="str">
            <v>01</v>
          </cell>
          <cell r="S390" t="str">
            <v>01</v>
          </cell>
          <cell r="T390" t="str">
            <v>12</v>
          </cell>
          <cell r="U390">
            <v>0</v>
          </cell>
          <cell r="X390" t="str">
            <v>30002</v>
          </cell>
          <cell r="Y390" t="str">
            <v>00504</v>
          </cell>
        </row>
        <row r="391">
          <cell r="A391" t="str">
            <v>12010057</v>
          </cell>
          <cell r="B391" t="str">
            <v>01</v>
          </cell>
          <cell r="C391" t="str">
            <v>BHARAT ENTERPRISES</v>
          </cell>
          <cell r="D391" t="str">
            <v>KANAN BUILDING[Near Bus Stand]</v>
          </cell>
          <cell r="E391" t="str">
            <v>CHITTIZHA</v>
          </cell>
          <cell r="F391" t="str">
            <v>VATTIZHA P.O</v>
          </cell>
          <cell r="G391" t="str">
            <v>KERALA</v>
          </cell>
          <cell r="H391" t="str">
            <v>TRIVANDRUM</v>
          </cell>
          <cell r="I391" t="str">
            <v>695 028</v>
          </cell>
          <cell r="J391" t="str">
            <v>003</v>
          </cell>
          <cell r="K391" t="str">
            <v>KGST:11133296</v>
          </cell>
          <cell r="L391" t="str">
            <v>N</v>
          </cell>
          <cell r="M391">
            <v>0</v>
          </cell>
          <cell r="O391" t="str">
            <v>N</v>
          </cell>
          <cell r="Q391" t="str">
            <v>517</v>
          </cell>
          <cell r="R391" t="str">
            <v>01</v>
          </cell>
          <cell r="S391" t="str">
            <v>01</v>
          </cell>
          <cell r="T391" t="str">
            <v>12</v>
          </cell>
          <cell r="U391">
            <v>0</v>
          </cell>
          <cell r="X391" t="str">
            <v>30002</v>
          </cell>
          <cell r="Y391" t="str">
            <v>00517</v>
          </cell>
        </row>
        <row r="392">
          <cell r="A392" t="str">
            <v>12010058</v>
          </cell>
          <cell r="B392" t="str">
            <v>01</v>
          </cell>
          <cell r="C392" t="str">
            <v>BHARATH AGENCIES</v>
          </cell>
          <cell r="D392" t="str">
            <v>21/3833</v>
          </cell>
          <cell r="E392" t="str">
            <v>VATTAKINAR</v>
          </cell>
          <cell r="F392" t="str">
            <v>MEENCHANDA</v>
          </cell>
          <cell r="G392" t="str">
            <v>KERALA</v>
          </cell>
          <cell r="H392" t="str">
            <v>KOZHIKODE</v>
          </cell>
          <cell r="J392" t="str">
            <v>003</v>
          </cell>
          <cell r="K392" t="str">
            <v>KGST:33133842-98</v>
          </cell>
          <cell r="L392" t="str">
            <v>N</v>
          </cell>
          <cell r="M392">
            <v>0</v>
          </cell>
          <cell r="O392" t="str">
            <v>N</v>
          </cell>
          <cell r="Q392" t="str">
            <v>522</v>
          </cell>
          <cell r="R392" t="str">
            <v>01</v>
          </cell>
          <cell r="S392" t="str">
            <v>01</v>
          </cell>
          <cell r="T392" t="str">
            <v>12</v>
          </cell>
          <cell r="U392">
            <v>30000</v>
          </cell>
          <cell r="X392" t="str">
            <v>30002</v>
          </cell>
          <cell r="Y392" t="str">
            <v>00522</v>
          </cell>
        </row>
        <row r="393">
          <cell r="A393" t="str">
            <v>12010059</v>
          </cell>
          <cell r="B393" t="str">
            <v>01</v>
          </cell>
          <cell r="C393" t="str">
            <v>D C JOHAR &amp; SONS [P] LTD</v>
          </cell>
          <cell r="D393" t="str">
            <v>XIV/1476-A,</v>
          </cell>
          <cell r="E393" t="str">
            <v>ASHOKA COMMECIAL COMPLEX</v>
          </cell>
          <cell r="F393" t="str">
            <v>CHAKKANATTU JUNC,KARUVELIPPADY</v>
          </cell>
          <cell r="G393" t="str">
            <v>KERALA</v>
          </cell>
          <cell r="H393" t="str">
            <v>COCHIN</v>
          </cell>
          <cell r="I393" t="str">
            <v>682 005</v>
          </cell>
          <cell r="J393" t="str">
            <v>003</v>
          </cell>
          <cell r="K393" t="str">
            <v>KGST:23040106</v>
          </cell>
          <cell r="L393" t="str">
            <v>N</v>
          </cell>
          <cell r="M393">
            <v>0</v>
          </cell>
          <cell r="N393" t="str">
            <v>CST:23045106</v>
          </cell>
          <cell r="O393" t="str">
            <v>N</v>
          </cell>
          <cell r="Q393" t="str">
            <v>524</v>
          </cell>
          <cell r="R393" t="str">
            <v>01</v>
          </cell>
          <cell r="S393" t="str">
            <v>01</v>
          </cell>
          <cell r="T393" t="str">
            <v>12</v>
          </cell>
          <cell r="U393">
            <v>0</v>
          </cell>
          <cell r="X393" t="str">
            <v>30002</v>
          </cell>
          <cell r="Y393" t="str">
            <v>00524</v>
          </cell>
        </row>
        <row r="394">
          <cell r="A394" t="str">
            <v>12010060</v>
          </cell>
          <cell r="B394" t="str">
            <v>01</v>
          </cell>
          <cell r="C394" t="str">
            <v>THOMSON ENTERPRISES</v>
          </cell>
          <cell r="D394" t="str">
            <v>NEW BAZAR</v>
          </cell>
          <cell r="G394" t="str">
            <v>KERALA</v>
          </cell>
          <cell r="H394" t="str">
            <v>ALAPPUZHA</v>
          </cell>
          <cell r="I394" t="str">
            <v>688 001</v>
          </cell>
          <cell r="J394" t="str">
            <v>003</v>
          </cell>
          <cell r="K394" t="str">
            <v>KGST:13111650</v>
          </cell>
          <cell r="L394" t="str">
            <v>N</v>
          </cell>
          <cell r="M394">
            <v>0</v>
          </cell>
          <cell r="O394" t="str">
            <v>N</v>
          </cell>
          <cell r="Q394" t="str">
            <v>194</v>
          </cell>
          <cell r="R394" t="str">
            <v>01</v>
          </cell>
          <cell r="S394" t="str">
            <v>01</v>
          </cell>
          <cell r="T394" t="str">
            <v>12</v>
          </cell>
          <cell r="U394">
            <v>20000</v>
          </cell>
          <cell r="X394" t="str">
            <v>30002</v>
          </cell>
          <cell r="Y394" t="str">
            <v>00194</v>
          </cell>
        </row>
        <row r="395">
          <cell r="A395" t="str">
            <v>12010061</v>
          </cell>
          <cell r="B395" t="str">
            <v>01</v>
          </cell>
          <cell r="C395" t="str">
            <v>BHARAT AGENCIES</v>
          </cell>
          <cell r="D395" t="str">
            <v>21/3833</v>
          </cell>
          <cell r="E395" t="str">
            <v>VATTAKINAR P.O. MEENCHANDA</v>
          </cell>
          <cell r="F395" t="str">
            <v>GOVT ARTS. COLLEGE</v>
          </cell>
          <cell r="G395" t="str">
            <v>KERALA</v>
          </cell>
          <cell r="H395" t="str">
            <v>KOZHIKODE</v>
          </cell>
          <cell r="I395" t="str">
            <v>673 018</v>
          </cell>
          <cell r="J395" t="str">
            <v>003</v>
          </cell>
          <cell r="K395" t="str">
            <v>KGST: 33133842-98</v>
          </cell>
          <cell r="L395" t="str">
            <v>N</v>
          </cell>
          <cell r="M395">
            <v>0</v>
          </cell>
          <cell r="O395" t="str">
            <v>N</v>
          </cell>
          <cell r="Q395" t="str">
            <v>199</v>
          </cell>
          <cell r="R395" t="str">
            <v>01</v>
          </cell>
          <cell r="S395" t="str">
            <v>01</v>
          </cell>
          <cell r="T395" t="str">
            <v>12</v>
          </cell>
          <cell r="U395">
            <v>0</v>
          </cell>
          <cell r="X395" t="str">
            <v>30002</v>
          </cell>
          <cell r="Y395" t="str">
            <v>00199</v>
          </cell>
        </row>
        <row r="396">
          <cell r="A396" t="str">
            <v>12010062</v>
          </cell>
          <cell r="B396" t="str">
            <v>06</v>
          </cell>
          <cell r="C396" t="str">
            <v>BASE VICTUALLING OFFICER</v>
          </cell>
          <cell r="D396" t="str">
            <v>BASE VICTUALLING YARD</v>
          </cell>
          <cell r="E396" t="str">
            <v>NAVAL BASE</v>
          </cell>
          <cell r="G396" t="str">
            <v>KERALA</v>
          </cell>
          <cell r="H396" t="str">
            <v>KOCHI-4</v>
          </cell>
          <cell r="J396" t="str">
            <v>002</v>
          </cell>
          <cell r="L396" t="str">
            <v>N</v>
          </cell>
          <cell r="M396">
            <v>0</v>
          </cell>
          <cell r="O396" t="str">
            <v>N</v>
          </cell>
          <cell r="Q396" t="str">
            <v>203</v>
          </cell>
          <cell r="R396" t="str">
            <v>01</v>
          </cell>
          <cell r="S396" t="str">
            <v>01</v>
          </cell>
          <cell r="T396" t="str">
            <v>12</v>
          </cell>
          <cell r="U396">
            <v>0</v>
          </cell>
          <cell r="X396" t="str">
            <v>30002</v>
          </cell>
          <cell r="Y396" t="str">
            <v>00203</v>
          </cell>
        </row>
        <row r="397">
          <cell r="A397" t="str">
            <v>12010063</v>
          </cell>
          <cell r="B397" t="str">
            <v>01</v>
          </cell>
          <cell r="C397" t="str">
            <v>OLIAPURAM AGENCIES</v>
          </cell>
          <cell r="D397" t="str">
            <v>MALAYIN KEEZH</v>
          </cell>
          <cell r="G397" t="str">
            <v>KERALA</v>
          </cell>
          <cell r="H397" t="str">
            <v>KOTHAMANGALAM</v>
          </cell>
          <cell r="I397" t="str">
            <v>686 691</v>
          </cell>
          <cell r="J397" t="str">
            <v>003</v>
          </cell>
          <cell r="K397" t="str">
            <v>KGST:23181067</v>
          </cell>
          <cell r="L397" t="str">
            <v>N</v>
          </cell>
          <cell r="M397">
            <v>0</v>
          </cell>
          <cell r="O397" t="str">
            <v>N</v>
          </cell>
          <cell r="Q397" t="str">
            <v>192</v>
          </cell>
          <cell r="R397" t="str">
            <v>01</v>
          </cell>
          <cell r="S397" t="str">
            <v>01</v>
          </cell>
          <cell r="T397" t="str">
            <v>12</v>
          </cell>
          <cell r="U397">
            <v>0</v>
          </cell>
          <cell r="X397" t="str">
            <v>30002</v>
          </cell>
          <cell r="Y397" t="str">
            <v>00192</v>
          </cell>
        </row>
        <row r="398">
          <cell r="A398" t="str">
            <v>12010064</v>
          </cell>
          <cell r="B398" t="str">
            <v>01</v>
          </cell>
          <cell r="C398" t="str">
            <v>SREEKANTESWAR AGENCY</v>
          </cell>
          <cell r="D398" t="str">
            <v>T C 28/1226 MONI BHAVAN</v>
          </cell>
          <cell r="E398" t="str">
            <v>PANDARATHOPE</v>
          </cell>
          <cell r="F398" t="str">
            <v>SREEKANTESWARAM</v>
          </cell>
          <cell r="G398" t="str">
            <v>KERALA</v>
          </cell>
          <cell r="H398" t="str">
            <v>TRIVANDRUM</v>
          </cell>
          <cell r="I398" t="str">
            <v>695 023</v>
          </cell>
          <cell r="J398" t="str">
            <v>003</v>
          </cell>
          <cell r="K398" t="str">
            <v>11132029</v>
          </cell>
          <cell r="L398" t="str">
            <v>N</v>
          </cell>
          <cell r="M398">
            <v>0</v>
          </cell>
          <cell r="O398" t="str">
            <v>N</v>
          </cell>
          <cell r="Q398" t="str">
            <v>517</v>
          </cell>
          <cell r="R398" t="str">
            <v>01</v>
          </cell>
          <cell r="S398" t="str">
            <v>01</v>
          </cell>
          <cell r="T398" t="str">
            <v>12</v>
          </cell>
          <cell r="U398">
            <v>0</v>
          </cell>
          <cell r="X398" t="str">
            <v>30002</v>
          </cell>
          <cell r="Y398" t="str">
            <v>00517</v>
          </cell>
        </row>
        <row r="399">
          <cell r="A399" t="str">
            <v>12010065</v>
          </cell>
          <cell r="B399" t="str">
            <v>01</v>
          </cell>
          <cell r="C399" t="str">
            <v>A A AGENCIES</v>
          </cell>
          <cell r="D399" t="str">
            <v>DEVI NILAYAM</v>
          </cell>
          <cell r="E399" t="str">
            <v>STATION VIEW</v>
          </cell>
          <cell r="F399" t="str">
            <v>TRIVANDRUM DIST</v>
          </cell>
          <cell r="G399" t="str">
            <v>KERALA</v>
          </cell>
          <cell r="H399" t="str">
            <v>VARKALA</v>
          </cell>
          <cell r="I399" t="str">
            <v>695 141</v>
          </cell>
          <cell r="J399" t="str">
            <v>003</v>
          </cell>
          <cell r="K399" t="str">
            <v>11162574</v>
          </cell>
          <cell r="L399" t="str">
            <v>N</v>
          </cell>
          <cell r="M399">
            <v>0</v>
          </cell>
          <cell r="O399" t="str">
            <v>N</v>
          </cell>
          <cell r="Q399" t="str">
            <v>478</v>
          </cell>
          <cell r="R399" t="str">
            <v>01</v>
          </cell>
          <cell r="S399" t="str">
            <v>01</v>
          </cell>
          <cell r="T399" t="str">
            <v>12</v>
          </cell>
          <cell r="U399">
            <v>0</v>
          </cell>
          <cell r="X399" t="str">
            <v>30002</v>
          </cell>
          <cell r="Y399" t="str">
            <v>00478</v>
          </cell>
        </row>
        <row r="400">
          <cell r="A400" t="str">
            <v>12010066</v>
          </cell>
          <cell r="B400" t="str">
            <v>07</v>
          </cell>
          <cell r="C400" t="str">
            <v>SOUTHERN RAILWAY-KERALA</v>
          </cell>
          <cell r="D400" t="str">
            <v>RAILWAY STATION</v>
          </cell>
          <cell r="G400" t="str">
            <v>KERALA</v>
          </cell>
          <cell r="H400" t="str">
            <v>ERNAKULAM</v>
          </cell>
          <cell r="J400" t="str">
            <v>003</v>
          </cell>
          <cell r="L400" t="str">
            <v>N</v>
          </cell>
          <cell r="M400">
            <v>0</v>
          </cell>
          <cell r="O400" t="str">
            <v>N</v>
          </cell>
          <cell r="Q400" t="str">
            <v>203</v>
          </cell>
          <cell r="R400" t="str">
            <v>01</v>
          </cell>
          <cell r="S400" t="str">
            <v>01</v>
          </cell>
          <cell r="T400" t="str">
            <v>12</v>
          </cell>
          <cell r="U400">
            <v>0</v>
          </cell>
          <cell r="X400" t="str">
            <v>30002</v>
          </cell>
          <cell r="Y400" t="str">
            <v>00203</v>
          </cell>
        </row>
        <row r="401">
          <cell r="A401" t="str">
            <v>23010000</v>
          </cell>
          <cell r="B401" t="str">
            <v>01</v>
          </cell>
          <cell r="C401" t="str">
            <v>BRITANNIA INDUSTRIES LTD.</v>
          </cell>
          <cell r="D401" t="str">
            <v>M.T.H. ROAD</v>
          </cell>
          <cell r="E401" t="str">
            <v>PADI</v>
          </cell>
          <cell r="G401" t="str">
            <v>TAMILNADU</v>
          </cell>
          <cell r="H401" t="str">
            <v>CHENNAI</v>
          </cell>
          <cell r="I401" t="str">
            <v>600 050</v>
          </cell>
          <cell r="J401" t="str">
            <v>003</v>
          </cell>
          <cell r="K401" t="str">
            <v>TNGST: 1320020/067</v>
          </cell>
          <cell r="L401" t="str">
            <v>N</v>
          </cell>
          <cell r="M401">
            <v>0</v>
          </cell>
          <cell r="N401" t="str">
            <v>CST: 2681/66-67</v>
          </cell>
          <cell r="O401" t="str">
            <v>N</v>
          </cell>
          <cell r="Q401" t="str">
            <v>002</v>
          </cell>
          <cell r="R401" t="str">
            <v>01</v>
          </cell>
          <cell r="S401" t="str">
            <v>01</v>
          </cell>
          <cell r="T401" t="str">
            <v>23</v>
          </cell>
          <cell r="U401">
            <v>0</v>
          </cell>
          <cell r="X401" t="str">
            <v>30001</v>
          </cell>
          <cell r="Y401" t="str">
            <v>00002</v>
          </cell>
        </row>
        <row r="402">
          <cell r="A402" t="str">
            <v>23010001</v>
          </cell>
          <cell r="B402" t="str">
            <v>01</v>
          </cell>
          <cell r="C402" t="str">
            <v>C&amp;F AGENT    (AMBATTUR)</v>
          </cell>
          <cell r="D402" t="str">
            <v>68-D, SIDCO INDUSTRIAL ESTATE</v>
          </cell>
          <cell r="E402" t="str">
            <v>AMBATTUR</v>
          </cell>
          <cell r="G402" t="str">
            <v>TAMILNADU</v>
          </cell>
          <cell r="H402" t="str">
            <v>CHENNAI</v>
          </cell>
          <cell r="I402" t="str">
            <v>600 098</v>
          </cell>
          <cell r="J402" t="str">
            <v>003</v>
          </cell>
          <cell r="K402" t="str">
            <v>TNGST: 1320020/067</v>
          </cell>
          <cell r="L402" t="str">
            <v>N</v>
          </cell>
          <cell r="M402">
            <v>0</v>
          </cell>
          <cell r="N402" t="str">
            <v>CST: 2681/66-67</v>
          </cell>
          <cell r="O402" t="str">
            <v>N</v>
          </cell>
          <cell r="Q402" t="str">
            <v>809</v>
          </cell>
          <cell r="R402" t="str">
            <v>01</v>
          </cell>
          <cell r="S402" t="str">
            <v>01</v>
          </cell>
          <cell r="T402" t="str">
            <v>23</v>
          </cell>
          <cell r="U402">
            <v>0</v>
          </cell>
          <cell r="X402" t="str">
            <v>30001</v>
          </cell>
          <cell r="Y402" t="str">
            <v>00809</v>
          </cell>
        </row>
        <row r="403">
          <cell r="A403" t="str">
            <v>23010002</v>
          </cell>
          <cell r="B403" t="str">
            <v>01</v>
          </cell>
          <cell r="C403" t="str">
            <v>SUN LINE AGENCIES</v>
          </cell>
          <cell r="D403" t="str">
            <v>64,MINT STREET</v>
          </cell>
          <cell r="H403" t="str">
            <v>CHENNAI</v>
          </cell>
          <cell r="I403" t="str">
            <v>600001</v>
          </cell>
          <cell r="J403" t="str">
            <v>003</v>
          </cell>
          <cell r="K403" t="str">
            <v>TNGST 1160331/059</v>
          </cell>
          <cell r="L403" t="str">
            <v>N</v>
          </cell>
          <cell r="M403">
            <v>0</v>
          </cell>
          <cell r="O403" t="str">
            <v>N</v>
          </cell>
          <cell r="Q403" t="str">
            <v>426</v>
          </cell>
          <cell r="R403" t="str">
            <v>01</v>
          </cell>
          <cell r="S403" t="str">
            <v>01</v>
          </cell>
          <cell r="T403" t="str">
            <v>23</v>
          </cell>
          <cell r="X403" t="str">
            <v>30002</v>
          </cell>
          <cell r="Y403" t="str">
            <v>00426</v>
          </cell>
        </row>
        <row r="404">
          <cell r="A404" t="str">
            <v>23010003</v>
          </cell>
          <cell r="B404" t="str">
            <v>02</v>
          </cell>
          <cell r="C404" t="str">
            <v>THE CHIEF COMMERCIAL SUPT</v>
          </cell>
          <cell r="D404" t="str">
            <v>CATERING DEPT</v>
          </cell>
          <cell r="E404" t="str">
            <v>SOUTHERN RAILWAY</v>
          </cell>
          <cell r="F404" t="str">
            <v>PARK TOWN</v>
          </cell>
          <cell r="H404" t="str">
            <v>CHENNAI</v>
          </cell>
          <cell r="I404" t="str">
            <v>600003</v>
          </cell>
          <cell r="J404" t="str">
            <v>003</v>
          </cell>
          <cell r="L404" t="str">
            <v>N</v>
          </cell>
          <cell r="M404">
            <v>0</v>
          </cell>
          <cell r="O404" t="str">
            <v>N</v>
          </cell>
          <cell r="Q404" t="str">
            <v>427</v>
          </cell>
          <cell r="R404" t="str">
            <v>01</v>
          </cell>
          <cell r="S404" t="str">
            <v>01</v>
          </cell>
          <cell r="T404" t="str">
            <v>23</v>
          </cell>
          <cell r="X404" t="str">
            <v>30002</v>
          </cell>
          <cell r="Y404" t="str">
            <v>00427</v>
          </cell>
        </row>
        <row r="405">
          <cell r="A405" t="str">
            <v>23010004</v>
          </cell>
          <cell r="B405" t="str">
            <v>01</v>
          </cell>
          <cell r="C405" t="str">
            <v>THE PARKTOWN CO-OP WHOLE-</v>
          </cell>
          <cell r="D405" t="str">
            <v>SALE STOTES LTD</v>
          </cell>
          <cell r="E405" t="str">
            <v>162,DAVIDSON STREET</v>
          </cell>
          <cell r="G405" t="str">
            <v>TAMILNADU</v>
          </cell>
          <cell r="H405" t="str">
            <v>CHENNAI</v>
          </cell>
          <cell r="I405" t="str">
            <v>600001</v>
          </cell>
          <cell r="J405" t="str">
            <v>003</v>
          </cell>
          <cell r="L405" t="str">
            <v>N</v>
          </cell>
          <cell r="M405">
            <v>0</v>
          </cell>
          <cell r="O405" t="str">
            <v>N</v>
          </cell>
          <cell r="Q405" t="str">
            <v>428</v>
          </cell>
          <cell r="R405" t="str">
            <v>01</v>
          </cell>
          <cell r="S405" t="str">
            <v>01</v>
          </cell>
          <cell r="T405" t="str">
            <v>23</v>
          </cell>
          <cell r="X405" t="str">
            <v>30002</v>
          </cell>
          <cell r="Y405" t="str">
            <v>00428</v>
          </cell>
        </row>
        <row r="406">
          <cell r="A406" t="str">
            <v>23010005</v>
          </cell>
          <cell r="B406" t="str">
            <v>01</v>
          </cell>
          <cell r="C406" t="str">
            <v>THE CHINGLEPUT DISTRICT</v>
          </cell>
          <cell r="D406" t="str">
            <v>CO OP.</v>
          </cell>
          <cell r="E406" t="str">
            <v>150,BROADWAY</v>
          </cell>
          <cell r="G406" t="str">
            <v>TAMILNADU</v>
          </cell>
          <cell r="H406" t="str">
            <v>CHENNAI</v>
          </cell>
          <cell r="I406" t="str">
            <v>600001</v>
          </cell>
          <cell r="J406" t="str">
            <v>003</v>
          </cell>
          <cell r="K406" t="str">
            <v>TNGST 004221</v>
          </cell>
          <cell r="L406" t="str">
            <v>N</v>
          </cell>
          <cell r="M406">
            <v>0</v>
          </cell>
          <cell r="O406" t="str">
            <v>Y</v>
          </cell>
          <cell r="Q406" t="str">
            <v>429</v>
          </cell>
          <cell r="R406" t="str">
            <v>01</v>
          </cell>
          <cell r="S406" t="str">
            <v>01</v>
          </cell>
          <cell r="T406" t="str">
            <v>23</v>
          </cell>
          <cell r="U406">
            <v>0</v>
          </cell>
          <cell r="X406" t="str">
            <v>30002</v>
          </cell>
          <cell r="Y406" t="str">
            <v>00429</v>
          </cell>
        </row>
        <row r="407">
          <cell r="A407" t="str">
            <v>23010006</v>
          </cell>
          <cell r="B407" t="str">
            <v>01</v>
          </cell>
          <cell r="C407" t="str">
            <v>RAMANATHAN AGENCIES</v>
          </cell>
          <cell r="D407" t="str">
            <v>No. 29 3rd Street</v>
          </cell>
          <cell r="E407" t="str">
            <v>East Abiramapuram</v>
          </cell>
          <cell r="H407" t="str">
            <v>CHENNAI</v>
          </cell>
          <cell r="I407" t="str">
            <v>600004</v>
          </cell>
          <cell r="J407" t="str">
            <v>003</v>
          </cell>
          <cell r="K407" t="str">
            <v>TNGST  0800119/041</v>
          </cell>
          <cell r="L407" t="str">
            <v>N</v>
          </cell>
          <cell r="M407">
            <v>0</v>
          </cell>
          <cell r="O407" t="str">
            <v>N</v>
          </cell>
          <cell r="Q407" t="str">
            <v>430</v>
          </cell>
          <cell r="R407" t="str">
            <v>01</v>
          </cell>
          <cell r="S407" t="str">
            <v>01</v>
          </cell>
          <cell r="T407" t="str">
            <v>23</v>
          </cell>
          <cell r="U407">
            <v>0</v>
          </cell>
          <cell r="X407" t="str">
            <v>30002</v>
          </cell>
          <cell r="Y407" t="str">
            <v>00430</v>
          </cell>
        </row>
        <row r="408">
          <cell r="A408" t="str">
            <v>23010007</v>
          </cell>
          <cell r="B408" t="str">
            <v>01</v>
          </cell>
          <cell r="C408" t="str">
            <v>SPENCER &amp;CO</v>
          </cell>
          <cell r="D408" t="str">
            <v>769 ANNA SALAI</v>
          </cell>
          <cell r="H408" t="str">
            <v>CHENNAI</v>
          </cell>
          <cell r="I408" t="str">
            <v>600002</v>
          </cell>
          <cell r="J408" t="str">
            <v>003</v>
          </cell>
          <cell r="L408" t="str">
            <v>N</v>
          </cell>
          <cell r="M408">
            <v>0</v>
          </cell>
          <cell r="O408" t="str">
            <v>N</v>
          </cell>
          <cell r="Q408" t="str">
            <v>431</v>
          </cell>
          <cell r="R408" t="str">
            <v>01</v>
          </cell>
          <cell r="S408" t="str">
            <v>01</v>
          </cell>
          <cell r="T408" t="str">
            <v>23</v>
          </cell>
          <cell r="X408" t="str">
            <v>30002</v>
          </cell>
          <cell r="Y408" t="str">
            <v>00431</v>
          </cell>
        </row>
        <row r="409">
          <cell r="A409" t="str">
            <v>23010008</v>
          </cell>
          <cell r="B409" t="str">
            <v>01</v>
          </cell>
          <cell r="C409" t="str">
            <v>LUNKED &amp; CO</v>
          </cell>
          <cell r="D409" t="str">
            <v>100 PERAMBUR BARRACKS ROAD</v>
          </cell>
          <cell r="E409" t="str">
            <v>PURASWAKAM</v>
          </cell>
          <cell r="H409" t="str">
            <v>CHENNAI</v>
          </cell>
          <cell r="I409" t="str">
            <v>600007</v>
          </cell>
          <cell r="J409" t="str">
            <v>003</v>
          </cell>
          <cell r="K409" t="str">
            <v>TNGST  092345/86-87</v>
          </cell>
          <cell r="L409" t="str">
            <v>N</v>
          </cell>
          <cell r="M409">
            <v>0</v>
          </cell>
          <cell r="O409" t="str">
            <v>N</v>
          </cell>
          <cell r="Q409" t="str">
            <v>432</v>
          </cell>
          <cell r="R409" t="str">
            <v>01</v>
          </cell>
          <cell r="S409" t="str">
            <v>01</v>
          </cell>
          <cell r="T409" t="str">
            <v>23</v>
          </cell>
          <cell r="X409" t="str">
            <v>30002</v>
          </cell>
          <cell r="Y409" t="str">
            <v>00432</v>
          </cell>
        </row>
        <row r="410">
          <cell r="A410" t="str">
            <v>23010009</v>
          </cell>
          <cell r="B410" t="str">
            <v>01</v>
          </cell>
          <cell r="C410" t="str">
            <v>SWARNAM AGENCIES</v>
          </cell>
          <cell r="D410" t="str">
            <v>NO: 9</v>
          </cell>
          <cell r="E410" t="str">
            <v>80TH STREET</v>
          </cell>
          <cell r="F410" t="str">
            <v>ASHOK NAGAR</v>
          </cell>
          <cell r="G410" t="str">
            <v>TAMIL NADU</v>
          </cell>
          <cell r="H410" t="str">
            <v>CHENNAI</v>
          </cell>
          <cell r="I410" t="str">
            <v>600 083</v>
          </cell>
          <cell r="J410" t="str">
            <v>003</v>
          </cell>
          <cell r="K410" t="str">
            <v>TNGST 1421744/072</v>
          </cell>
          <cell r="L410" t="str">
            <v>N</v>
          </cell>
          <cell r="M410">
            <v>0</v>
          </cell>
          <cell r="O410" t="str">
            <v>N</v>
          </cell>
          <cell r="Q410" t="str">
            <v>433</v>
          </cell>
          <cell r="R410" t="str">
            <v>01</v>
          </cell>
          <cell r="S410" t="str">
            <v>01</v>
          </cell>
          <cell r="T410" t="str">
            <v>23</v>
          </cell>
          <cell r="U410">
            <v>0</v>
          </cell>
          <cell r="X410" t="str">
            <v>30002</v>
          </cell>
          <cell r="Y410" t="str">
            <v>00433</v>
          </cell>
        </row>
        <row r="411">
          <cell r="A411" t="str">
            <v>23010010</v>
          </cell>
          <cell r="B411" t="str">
            <v>01</v>
          </cell>
          <cell r="C411" t="str">
            <v>REGIONAL DISTRIBUTION CTR</v>
          </cell>
          <cell r="D411" t="str">
            <v>T.N.CONS. COOP FED. LTD</v>
          </cell>
          <cell r="E411" t="str">
            <v>26 ARCOT ROAD</v>
          </cell>
          <cell r="F411" t="str">
            <v>SALIGRAMAM</v>
          </cell>
          <cell r="H411" t="str">
            <v>CHENNAI</v>
          </cell>
          <cell r="I411" t="str">
            <v>600093</v>
          </cell>
          <cell r="J411" t="str">
            <v>003</v>
          </cell>
          <cell r="K411" t="str">
            <v>TNGST   1740</v>
          </cell>
          <cell r="L411" t="str">
            <v>N</v>
          </cell>
          <cell r="M411">
            <v>0</v>
          </cell>
          <cell r="O411" t="str">
            <v>N</v>
          </cell>
          <cell r="Q411" t="str">
            <v>434</v>
          </cell>
          <cell r="R411" t="str">
            <v>01</v>
          </cell>
          <cell r="S411" t="str">
            <v>01</v>
          </cell>
          <cell r="T411" t="str">
            <v>23</v>
          </cell>
          <cell r="U411">
            <v>0</v>
          </cell>
          <cell r="X411" t="str">
            <v>30002</v>
          </cell>
          <cell r="Y411" t="str">
            <v>00434</v>
          </cell>
        </row>
        <row r="412">
          <cell r="A412" t="str">
            <v>23010011</v>
          </cell>
          <cell r="B412" t="str">
            <v>01</v>
          </cell>
          <cell r="C412" t="str">
            <v>CHANDRASEKARA TRADERS</v>
          </cell>
          <cell r="D412" t="str">
            <v>NO 12,</v>
          </cell>
          <cell r="E412" t="str">
            <v>ELUMALAI STREET</v>
          </cell>
          <cell r="F412" t="str">
            <v>TAMBARAM WEST</v>
          </cell>
          <cell r="G412" t="str">
            <v>TAMIL NADU</v>
          </cell>
          <cell r="H412" t="str">
            <v>CHENNAI</v>
          </cell>
          <cell r="I412" t="str">
            <v>600 045</v>
          </cell>
          <cell r="J412" t="str">
            <v>003</v>
          </cell>
          <cell r="K412" t="str">
            <v>TNGST  0881454/045</v>
          </cell>
          <cell r="L412" t="str">
            <v>N</v>
          </cell>
          <cell r="M412">
            <v>0</v>
          </cell>
          <cell r="O412" t="str">
            <v>N</v>
          </cell>
          <cell r="Q412" t="str">
            <v>435</v>
          </cell>
          <cell r="R412" t="str">
            <v>01</v>
          </cell>
          <cell r="S412" t="str">
            <v>01</v>
          </cell>
          <cell r="T412" t="str">
            <v>23</v>
          </cell>
          <cell r="U412">
            <v>0</v>
          </cell>
          <cell r="X412" t="str">
            <v>30002</v>
          </cell>
          <cell r="Y412" t="str">
            <v>00435</v>
          </cell>
        </row>
        <row r="413">
          <cell r="A413" t="str">
            <v>23010012</v>
          </cell>
          <cell r="B413" t="str">
            <v>01</v>
          </cell>
          <cell r="C413" t="str">
            <v>SRI ANNAMALAYAR AGENCIES</v>
          </cell>
          <cell r="D413" t="str">
            <v>105 SOUTH MADA STREET</v>
          </cell>
          <cell r="E413" t="str">
            <v>VILLIVAKKAM</v>
          </cell>
          <cell r="H413" t="str">
            <v>CHENNAI</v>
          </cell>
          <cell r="I413" t="str">
            <v>600049</v>
          </cell>
          <cell r="J413" t="str">
            <v>003</v>
          </cell>
          <cell r="K413" t="str">
            <v>TNGST 1360125</v>
          </cell>
          <cell r="L413" t="str">
            <v>N</v>
          </cell>
          <cell r="M413">
            <v>0</v>
          </cell>
          <cell r="O413" t="str">
            <v>N</v>
          </cell>
          <cell r="Q413" t="str">
            <v>436</v>
          </cell>
          <cell r="R413" t="str">
            <v>01</v>
          </cell>
          <cell r="S413" t="str">
            <v>01</v>
          </cell>
          <cell r="T413" t="str">
            <v>23</v>
          </cell>
          <cell r="X413" t="str">
            <v>30002</v>
          </cell>
          <cell r="Y413" t="str">
            <v>00436</v>
          </cell>
        </row>
        <row r="414">
          <cell r="A414" t="str">
            <v>23010013</v>
          </cell>
          <cell r="B414" t="str">
            <v>01</v>
          </cell>
          <cell r="C414" t="str">
            <v>KENDRIYA BHANDAR</v>
          </cell>
          <cell r="D414" t="str">
            <v>CENTRAL GOVT. EMP. CON. CO-OP</v>
          </cell>
          <cell r="E414" t="str">
            <v>15TH MAIN ROAD</v>
          </cell>
          <cell r="F414" t="str">
            <v>ANNANAGAR WEST</v>
          </cell>
          <cell r="H414" t="str">
            <v>CHENNAI</v>
          </cell>
          <cell r="I414" t="str">
            <v>600040</v>
          </cell>
          <cell r="J414" t="str">
            <v>003</v>
          </cell>
          <cell r="K414" t="str">
            <v>TNGST  172612/86-87</v>
          </cell>
          <cell r="L414" t="str">
            <v>N</v>
          </cell>
          <cell r="M414">
            <v>0</v>
          </cell>
          <cell r="N414" t="str">
            <v>CST  53766/18.3.87</v>
          </cell>
          <cell r="O414" t="str">
            <v>N</v>
          </cell>
          <cell r="Q414" t="str">
            <v>437</v>
          </cell>
          <cell r="R414" t="str">
            <v>01</v>
          </cell>
          <cell r="S414" t="str">
            <v>01</v>
          </cell>
          <cell r="T414" t="str">
            <v>23</v>
          </cell>
          <cell r="X414" t="str">
            <v>30002</v>
          </cell>
          <cell r="Y414" t="str">
            <v>00437</v>
          </cell>
        </row>
        <row r="415">
          <cell r="A415" t="str">
            <v>23010014</v>
          </cell>
          <cell r="B415" t="str">
            <v>01</v>
          </cell>
          <cell r="C415" t="str">
            <v>OFFICE OF THE PRINCIPAL</v>
          </cell>
          <cell r="D415" t="str">
            <v>RECRUIT TRAINING CENTRE -2</v>
          </cell>
          <cell r="E415" t="str">
            <v>C R P AVADI</v>
          </cell>
          <cell r="F415" t="str">
            <v>AVADI</v>
          </cell>
          <cell r="H415" t="str">
            <v>CHENNAI</v>
          </cell>
          <cell r="I415" t="str">
            <v>600065</v>
          </cell>
          <cell r="J415" t="str">
            <v>003</v>
          </cell>
          <cell r="L415" t="str">
            <v>N</v>
          </cell>
          <cell r="M415">
            <v>0</v>
          </cell>
          <cell r="O415" t="str">
            <v>N</v>
          </cell>
          <cell r="Q415" t="str">
            <v>438</v>
          </cell>
          <cell r="R415" t="str">
            <v>01</v>
          </cell>
          <cell r="S415" t="str">
            <v>01</v>
          </cell>
          <cell r="T415" t="str">
            <v>23</v>
          </cell>
          <cell r="U415">
            <v>0</v>
          </cell>
          <cell r="X415" t="str">
            <v>30002</v>
          </cell>
          <cell r="Y415" t="str">
            <v>00438</v>
          </cell>
        </row>
        <row r="416">
          <cell r="A416" t="str">
            <v>23010015</v>
          </cell>
          <cell r="B416" t="str">
            <v>01</v>
          </cell>
          <cell r="C416" t="str">
            <v>THE PRINCIPAL</v>
          </cell>
          <cell r="D416" t="str">
            <v>GROUP CENTRE</v>
          </cell>
          <cell r="E416" t="str">
            <v>CRPF-AVADI</v>
          </cell>
          <cell r="G416" t="str">
            <v>TAMILNADU</v>
          </cell>
          <cell r="H416" t="str">
            <v>CHENNAI</v>
          </cell>
          <cell r="I416" t="str">
            <v>600065</v>
          </cell>
          <cell r="J416" t="str">
            <v>003</v>
          </cell>
          <cell r="L416" t="str">
            <v>N</v>
          </cell>
          <cell r="M416">
            <v>0</v>
          </cell>
          <cell r="O416" t="str">
            <v>N</v>
          </cell>
          <cell r="Q416" t="str">
            <v>439</v>
          </cell>
          <cell r="R416" t="str">
            <v>01</v>
          </cell>
          <cell r="S416" t="str">
            <v>01</v>
          </cell>
          <cell r="T416" t="str">
            <v>23</v>
          </cell>
          <cell r="X416" t="str">
            <v>30002</v>
          </cell>
          <cell r="Y416" t="str">
            <v>00439</v>
          </cell>
        </row>
        <row r="417">
          <cell r="A417" t="str">
            <v>23010016</v>
          </cell>
          <cell r="B417" t="str">
            <v>01</v>
          </cell>
          <cell r="C417" t="str">
            <v>ARIHANT AGENCIES</v>
          </cell>
          <cell r="D417" t="str">
            <v>39/2 KUPPU MUTHU STREET</v>
          </cell>
          <cell r="E417" t="str">
            <v>TRIPLICANE</v>
          </cell>
          <cell r="H417" t="str">
            <v>CHENNAI</v>
          </cell>
          <cell r="I417" t="str">
            <v>600005</v>
          </cell>
          <cell r="J417" t="str">
            <v>003</v>
          </cell>
          <cell r="K417" t="str">
            <v>TNGST 0780222/040</v>
          </cell>
          <cell r="L417" t="str">
            <v>N</v>
          </cell>
          <cell r="M417">
            <v>0</v>
          </cell>
          <cell r="O417" t="str">
            <v>N</v>
          </cell>
          <cell r="Q417" t="str">
            <v>440</v>
          </cell>
          <cell r="R417" t="str">
            <v>01</v>
          </cell>
          <cell r="S417" t="str">
            <v>01</v>
          </cell>
          <cell r="T417" t="str">
            <v>23</v>
          </cell>
          <cell r="X417" t="str">
            <v>30002</v>
          </cell>
          <cell r="Y417" t="str">
            <v>00440</v>
          </cell>
        </row>
        <row r="418">
          <cell r="A418" t="str">
            <v>23010017</v>
          </cell>
          <cell r="B418" t="str">
            <v>01</v>
          </cell>
          <cell r="C418" t="str">
            <v>THE TRIPLICANE URBAN COOP</v>
          </cell>
          <cell r="D418" t="str">
            <v>SOCIETY LIMITED</v>
          </cell>
          <cell r="E418" t="str">
            <v>KAMADENU SUPER MARKET</v>
          </cell>
          <cell r="F418" t="str">
            <v>ANNA SALAI     TEYNAMPET</v>
          </cell>
          <cell r="G418" t="str">
            <v>TAMILNADU</v>
          </cell>
          <cell r="H418" t="str">
            <v>CHENNAI</v>
          </cell>
          <cell r="I418" t="str">
            <v>600018</v>
          </cell>
          <cell r="J418" t="str">
            <v>003</v>
          </cell>
          <cell r="K418" t="str">
            <v>TNGST 125301</v>
          </cell>
          <cell r="L418" t="str">
            <v>N</v>
          </cell>
          <cell r="M418">
            <v>0</v>
          </cell>
          <cell r="N418" t="str">
            <v>CST 41511</v>
          </cell>
          <cell r="O418" t="str">
            <v>N</v>
          </cell>
          <cell r="Q418" t="str">
            <v>441</v>
          </cell>
          <cell r="R418" t="str">
            <v>01</v>
          </cell>
          <cell r="S418" t="str">
            <v>01</v>
          </cell>
          <cell r="T418" t="str">
            <v>23</v>
          </cell>
          <cell r="X418" t="str">
            <v>30002</v>
          </cell>
          <cell r="Y418" t="str">
            <v>00441</v>
          </cell>
        </row>
        <row r="419">
          <cell r="A419" t="str">
            <v>23010018</v>
          </cell>
          <cell r="B419" t="str">
            <v>01</v>
          </cell>
          <cell r="C419" t="str">
            <v>T.N.CIVIL SUPP.CORP. LTD</v>
          </cell>
          <cell r="D419" t="str">
            <v>7,CONRAN SMITH ROAD</v>
          </cell>
          <cell r="E419" t="str">
            <v>GOPALAPURAM</v>
          </cell>
          <cell r="G419" t="str">
            <v>TAMILNADU</v>
          </cell>
          <cell r="H419" t="str">
            <v>CHENNAI</v>
          </cell>
          <cell r="I419" t="str">
            <v>600086</v>
          </cell>
          <cell r="J419" t="str">
            <v>003</v>
          </cell>
          <cell r="L419" t="str">
            <v>N</v>
          </cell>
          <cell r="M419">
            <v>0</v>
          </cell>
          <cell r="O419" t="str">
            <v>N</v>
          </cell>
          <cell r="Q419" t="str">
            <v>442</v>
          </cell>
          <cell r="R419" t="str">
            <v>01</v>
          </cell>
          <cell r="S419" t="str">
            <v>01</v>
          </cell>
          <cell r="T419" t="str">
            <v>23</v>
          </cell>
          <cell r="X419" t="str">
            <v>30002</v>
          </cell>
          <cell r="Y419" t="str">
            <v>00442</v>
          </cell>
        </row>
        <row r="420">
          <cell r="A420" t="str">
            <v>23010019</v>
          </cell>
          <cell r="B420" t="str">
            <v>01</v>
          </cell>
          <cell r="C420" t="str">
            <v>THE COMMANDANT</v>
          </cell>
          <cell r="D420" t="str">
            <v>54TH BN.CRPF</v>
          </cell>
          <cell r="E420" t="str">
            <v>AVADI</v>
          </cell>
          <cell r="G420" t="str">
            <v>TAMILNADU</v>
          </cell>
          <cell r="H420" t="str">
            <v>CHENNAI</v>
          </cell>
          <cell r="I420" t="str">
            <v>600065</v>
          </cell>
          <cell r="J420" t="str">
            <v>003</v>
          </cell>
          <cell r="L420" t="str">
            <v>N</v>
          </cell>
          <cell r="M420">
            <v>0</v>
          </cell>
          <cell r="O420" t="str">
            <v>N</v>
          </cell>
          <cell r="Q420" t="str">
            <v>443</v>
          </cell>
          <cell r="R420" t="str">
            <v>01</v>
          </cell>
          <cell r="S420" t="str">
            <v>01</v>
          </cell>
          <cell r="T420" t="str">
            <v>23</v>
          </cell>
          <cell r="X420" t="str">
            <v>30001</v>
          </cell>
          <cell r="Y420" t="str">
            <v>00443</v>
          </cell>
        </row>
        <row r="421">
          <cell r="A421" t="str">
            <v>23010020</v>
          </cell>
          <cell r="B421" t="str">
            <v>01</v>
          </cell>
          <cell r="C421" t="str">
            <v>ANNAMALAI ENTERPRIES</v>
          </cell>
          <cell r="D421" t="str">
            <v>PLOT NO.147</v>
          </cell>
          <cell r="E421" t="str">
            <v>ALWARTHIRUNAGAR ANX</v>
          </cell>
          <cell r="G421" t="str">
            <v>TAMILNADU</v>
          </cell>
          <cell r="H421" t="str">
            <v>CHENNAI</v>
          </cell>
          <cell r="I421" t="str">
            <v>600087</v>
          </cell>
          <cell r="J421" t="str">
            <v>003</v>
          </cell>
          <cell r="K421" t="str">
            <v>TNGST 1360332</v>
          </cell>
          <cell r="L421" t="str">
            <v>N</v>
          </cell>
          <cell r="M421">
            <v>0</v>
          </cell>
          <cell r="O421" t="str">
            <v>N</v>
          </cell>
          <cell r="Q421" t="str">
            <v>444</v>
          </cell>
          <cell r="R421" t="str">
            <v>01</v>
          </cell>
          <cell r="S421" t="str">
            <v>01</v>
          </cell>
          <cell r="T421" t="str">
            <v>23</v>
          </cell>
          <cell r="U421">
            <v>0</v>
          </cell>
          <cell r="X421" t="str">
            <v>30002</v>
          </cell>
          <cell r="Y421" t="str">
            <v>00444</v>
          </cell>
        </row>
        <row r="422">
          <cell r="A422" t="str">
            <v>23010021</v>
          </cell>
          <cell r="B422" t="str">
            <v>01</v>
          </cell>
          <cell r="C422" t="str">
            <v>GAJANANA ENTERPRISES</v>
          </cell>
          <cell r="D422" t="str">
            <v>NO.6, 4TH MAIN ROAD</v>
          </cell>
          <cell r="E422" t="str">
            <v>KAMARAJ NAGAR.  THIRUVANMIYUR</v>
          </cell>
          <cell r="G422" t="str">
            <v>TAMILNADU</v>
          </cell>
          <cell r="H422" t="str">
            <v>CHENNAI</v>
          </cell>
          <cell r="I422" t="str">
            <v>600041</v>
          </cell>
          <cell r="J422" t="str">
            <v>003</v>
          </cell>
          <cell r="K422" t="str">
            <v>TNGST 0920704/047/95-96</v>
          </cell>
          <cell r="L422" t="str">
            <v>N</v>
          </cell>
          <cell r="M422">
            <v>0</v>
          </cell>
          <cell r="O422" t="str">
            <v>N</v>
          </cell>
          <cell r="Q422" t="str">
            <v>445</v>
          </cell>
          <cell r="R422" t="str">
            <v>01</v>
          </cell>
          <cell r="S422" t="str">
            <v>01</v>
          </cell>
          <cell r="T422" t="str">
            <v>23</v>
          </cell>
          <cell r="X422" t="str">
            <v>30002</v>
          </cell>
          <cell r="Y422" t="str">
            <v>00445</v>
          </cell>
        </row>
        <row r="423">
          <cell r="A423" t="str">
            <v>23010022</v>
          </cell>
          <cell r="B423" t="str">
            <v>01</v>
          </cell>
          <cell r="C423" t="str">
            <v>AMARA BHARATHI AGENCIES</v>
          </cell>
          <cell r="D423" t="str">
            <v>NO,9 5TH STREET RAMNAGAR</v>
          </cell>
          <cell r="E423" t="str">
            <v>NEAR GURUVAYOORAPPAN TEMPLE</v>
          </cell>
          <cell r="F423" t="str">
            <v>NANGANALLUR</v>
          </cell>
          <cell r="G423" t="str">
            <v>TAMILNADU</v>
          </cell>
          <cell r="H423" t="str">
            <v>CHENNAI</v>
          </cell>
          <cell r="I423" t="str">
            <v>600061</v>
          </cell>
          <cell r="J423" t="str">
            <v>003</v>
          </cell>
          <cell r="K423" t="str">
            <v>TNGST 0920229/047</v>
          </cell>
          <cell r="L423" t="str">
            <v>N</v>
          </cell>
          <cell r="M423">
            <v>0</v>
          </cell>
          <cell r="O423" t="str">
            <v>N</v>
          </cell>
          <cell r="Q423" t="str">
            <v>446</v>
          </cell>
          <cell r="R423" t="str">
            <v>01</v>
          </cell>
          <cell r="S423" t="str">
            <v>01</v>
          </cell>
          <cell r="T423" t="str">
            <v>23</v>
          </cell>
          <cell r="X423" t="str">
            <v>30002</v>
          </cell>
          <cell r="Y423" t="str">
            <v>00446</v>
          </cell>
        </row>
        <row r="424">
          <cell r="A424" t="str">
            <v>23010023</v>
          </cell>
          <cell r="B424" t="str">
            <v>01</v>
          </cell>
          <cell r="C424" t="str">
            <v>ROHITH AGENCIES</v>
          </cell>
          <cell r="D424" t="str">
            <v>21, ELUTHUKARAN STREET</v>
          </cell>
          <cell r="E424" t="str">
            <v>KALADIPET</v>
          </cell>
          <cell r="G424" t="str">
            <v>TAMILNADU</v>
          </cell>
          <cell r="H424" t="str">
            <v>CHENNAI</v>
          </cell>
          <cell r="I424" t="str">
            <v>600019</v>
          </cell>
          <cell r="J424" t="str">
            <v>003</v>
          </cell>
          <cell r="K424" t="str">
            <v>TNGST 1100521/056</v>
          </cell>
          <cell r="L424" t="str">
            <v>N</v>
          </cell>
          <cell r="M424">
            <v>0</v>
          </cell>
          <cell r="O424" t="str">
            <v>N</v>
          </cell>
          <cell r="Q424" t="str">
            <v>447</v>
          </cell>
          <cell r="R424" t="str">
            <v>01</v>
          </cell>
          <cell r="S424" t="str">
            <v>01</v>
          </cell>
          <cell r="T424" t="str">
            <v>23</v>
          </cell>
          <cell r="X424" t="str">
            <v>30002</v>
          </cell>
          <cell r="Y424" t="str">
            <v>00447</v>
          </cell>
        </row>
        <row r="425">
          <cell r="A425" t="str">
            <v>23010024</v>
          </cell>
          <cell r="B425" t="str">
            <v>01</v>
          </cell>
          <cell r="C425" t="str">
            <v>ANUVRAT AGENCIES</v>
          </cell>
          <cell r="D425" t="str">
            <v>6, GOPAL REDDY COLONY</v>
          </cell>
          <cell r="E425" t="str">
            <v>EAST MAIN ROAD   AGARAM</v>
          </cell>
          <cell r="G425" t="str">
            <v>TAMILNADU</v>
          </cell>
          <cell r="H425" t="str">
            <v>CHENNAI</v>
          </cell>
          <cell r="I425" t="str">
            <v>600082</v>
          </cell>
          <cell r="J425" t="str">
            <v>003</v>
          </cell>
          <cell r="K425" t="str">
            <v>TNGST 093028 1-04-05</v>
          </cell>
          <cell r="L425" t="str">
            <v>N</v>
          </cell>
          <cell r="M425">
            <v>0</v>
          </cell>
          <cell r="O425" t="str">
            <v>N</v>
          </cell>
          <cell r="Q425" t="str">
            <v>448</v>
          </cell>
          <cell r="R425" t="str">
            <v>01</v>
          </cell>
          <cell r="S425" t="str">
            <v>01</v>
          </cell>
          <cell r="T425" t="str">
            <v>23</v>
          </cell>
          <cell r="U425">
            <v>0</v>
          </cell>
          <cell r="X425" t="str">
            <v>30002</v>
          </cell>
          <cell r="Y425" t="str">
            <v>00448</v>
          </cell>
        </row>
        <row r="426">
          <cell r="A426" t="str">
            <v>23010025</v>
          </cell>
          <cell r="B426" t="str">
            <v>01</v>
          </cell>
          <cell r="C426" t="str">
            <v>BHARANI ENTERPRISES</v>
          </cell>
          <cell r="D426" t="str">
            <v>21,7TH CROSS STREET</v>
          </cell>
          <cell r="E426" t="str">
            <v>SAURASHTRA NAGAR</v>
          </cell>
          <cell r="G426" t="str">
            <v>TAMIL NADU</v>
          </cell>
          <cell r="H426" t="str">
            <v>CHENNAI</v>
          </cell>
          <cell r="I426" t="str">
            <v>600094</v>
          </cell>
          <cell r="J426" t="str">
            <v>003</v>
          </cell>
          <cell r="K426" t="str">
            <v>TNGST 1481256</v>
          </cell>
          <cell r="L426" t="str">
            <v>N</v>
          </cell>
          <cell r="M426">
            <v>0</v>
          </cell>
          <cell r="N426" t="str">
            <v>CST   689947</v>
          </cell>
          <cell r="O426" t="str">
            <v>N</v>
          </cell>
          <cell r="Q426" t="str">
            <v>449</v>
          </cell>
          <cell r="R426" t="str">
            <v>01</v>
          </cell>
          <cell r="S426" t="str">
            <v>01</v>
          </cell>
          <cell r="T426" t="str">
            <v>23</v>
          </cell>
          <cell r="X426" t="str">
            <v>30002</v>
          </cell>
          <cell r="Y426" t="str">
            <v>00449</v>
          </cell>
        </row>
        <row r="427">
          <cell r="A427" t="str">
            <v>23010026</v>
          </cell>
          <cell r="B427" t="str">
            <v>01</v>
          </cell>
          <cell r="C427" t="str">
            <v>ASHTALAKSHMI AGENCY</v>
          </cell>
          <cell r="D427" t="str">
            <v>PLOT NO:4, "A" STREET</v>
          </cell>
          <cell r="E427" t="str">
            <v>VAISHNAV NAGAR,</v>
          </cell>
          <cell r="F427" t="str">
            <v>AVADI</v>
          </cell>
          <cell r="G427" t="str">
            <v>TAMILNADU</v>
          </cell>
          <cell r="H427" t="str">
            <v>CHENNAI</v>
          </cell>
          <cell r="I427" t="str">
            <v>600109</v>
          </cell>
          <cell r="J427" t="str">
            <v>003</v>
          </cell>
          <cell r="K427" t="str">
            <v>TNGST:1300991/98-99</v>
          </cell>
          <cell r="L427" t="str">
            <v>N</v>
          </cell>
          <cell r="M427">
            <v>0</v>
          </cell>
          <cell r="N427" t="str">
            <v>CST</v>
          </cell>
          <cell r="O427" t="str">
            <v>N</v>
          </cell>
          <cell r="Q427" t="str">
            <v>450</v>
          </cell>
          <cell r="R427" t="str">
            <v>01</v>
          </cell>
          <cell r="S427" t="str">
            <v>01</v>
          </cell>
          <cell r="T427" t="str">
            <v>23</v>
          </cell>
          <cell r="U427">
            <v>0</v>
          </cell>
          <cell r="X427" t="str">
            <v>30002</v>
          </cell>
          <cell r="Y427" t="str">
            <v>00450</v>
          </cell>
        </row>
        <row r="428">
          <cell r="A428" t="str">
            <v>23010027</v>
          </cell>
          <cell r="B428" t="str">
            <v>01</v>
          </cell>
          <cell r="C428" t="str">
            <v>PRATAP AGENCIES</v>
          </cell>
          <cell r="D428" t="str">
            <v>3 NEELAKANTAM STREET</v>
          </cell>
          <cell r="E428" t="str">
            <v>NUNGAMBAKKAM</v>
          </cell>
          <cell r="G428" t="str">
            <v>TAMILNADU</v>
          </cell>
          <cell r="H428" t="str">
            <v>CHENNAI</v>
          </cell>
          <cell r="I428" t="str">
            <v>600 034</v>
          </cell>
          <cell r="J428" t="str">
            <v>003</v>
          </cell>
          <cell r="K428" t="str">
            <v>GST:TN-0680321/97-98</v>
          </cell>
          <cell r="L428" t="str">
            <v>N</v>
          </cell>
          <cell r="M428">
            <v>0</v>
          </cell>
          <cell r="O428" t="str">
            <v>N</v>
          </cell>
          <cell r="Q428" t="str">
            <v>476</v>
          </cell>
          <cell r="R428" t="str">
            <v>01</v>
          </cell>
          <cell r="S428" t="str">
            <v>01</v>
          </cell>
          <cell r="T428" t="str">
            <v>23</v>
          </cell>
          <cell r="U428">
            <v>0</v>
          </cell>
          <cell r="X428" t="str">
            <v>30001</v>
          </cell>
          <cell r="Y428" t="str">
            <v>00476</v>
          </cell>
        </row>
        <row r="429">
          <cell r="A429" t="str">
            <v>23010028</v>
          </cell>
          <cell r="B429" t="str">
            <v>01</v>
          </cell>
          <cell r="C429" t="str">
            <v>SRI LAKSHMI ENTERPRISES</v>
          </cell>
          <cell r="D429" t="str">
            <v>NO:12</v>
          </cell>
          <cell r="E429" t="str">
            <v>"I BETHEL" N G O  NAGAR</v>
          </cell>
          <cell r="F429" t="str">
            <v>[Near Vetry Hospital]</v>
          </cell>
          <cell r="G429" t="str">
            <v>TAMIL NADU</v>
          </cell>
          <cell r="H429" t="str">
            <v>PONNERY</v>
          </cell>
          <cell r="I429" t="str">
            <v>601 204</v>
          </cell>
          <cell r="J429" t="str">
            <v>003</v>
          </cell>
          <cell r="K429" t="str">
            <v>GST:1701123/98-99</v>
          </cell>
          <cell r="L429" t="str">
            <v>N</v>
          </cell>
          <cell r="M429">
            <v>0</v>
          </cell>
          <cell r="N429" t="str">
            <v>CST:694578/98-99</v>
          </cell>
          <cell r="O429" t="str">
            <v>N</v>
          </cell>
          <cell r="Q429" t="str">
            <v>509</v>
          </cell>
          <cell r="R429" t="str">
            <v>01</v>
          </cell>
          <cell r="S429" t="str">
            <v>01</v>
          </cell>
          <cell r="T429" t="str">
            <v>23</v>
          </cell>
          <cell r="U429">
            <v>0</v>
          </cell>
          <cell r="X429" t="str">
            <v>30002</v>
          </cell>
          <cell r="Y429" t="str">
            <v>00509</v>
          </cell>
        </row>
        <row r="430">
          <cell r="A430" t="str">
            <v>23010029</v>
          </cell>
          <cell r="B430" t="str">
            <v>01</v>
          </cell>
          <cell r="C430" t="str">
            <v>The Kancheepuram Dist. Co</v>
          </cell>
          <cell r="D430" t="str">
            <v>-op. Wholesale Stores Limited</v>
          </cell>
          <cell r="E430" t="str">
            <v>P.B No:164</v>
          </cell>
          <cell r="F430" t="str">
            <v>93  Prakasam Salai</v>
          </cell>
          <cell r="G430" t="str">
            <v>Tamilnadu</v>
          </cell>
          <cell r="H430" t="str">
            <v>Chennai</v>
          </cell>
          <cell r="I430" t="str">
            <v>600 108</v>
          </cell>
          <cell r="J430" t="str">
            <v>003</v>
          </cell>
          <cell r="K430" t="str">
            <v>TNGST:001401/97/P</v>
          </cell>
          <cell r="L430" t="str">
            <v>N</v>
          </cell>
          <cell r="M430">
            <v>0</v>
          </cell>
          <cell r="O430" t="str">
            <v>N</v>
          </cell>
          <cell r="Q430" t="str">
            <v>523</v>
          </cell>
          <cell r="R430" t="str">
            <v>01</v>
          </cell>
          <cell r="S430" t="str">
            <v>01</v>
          </cell>
          <cell r="T430" t="str">
            <v>23</v>
          </cell>
          <cell r="U430">
            <v>0</v>
          </cell>
          <cell r="X430" t="str">
            <v>30001</v>
          </cell>
          <cell r="Y430" t="str">
            <v>00523</v>
          </cell>
        </row>
        <row r="431">
          <cell r="A431" t="str">
            <v>23010030</v>
          </cell>
          <cell r="B431" t="str">
            <v>01</v>
          </cell>
          <cell r="C431" t="str">
            <v>CHANDRASEKARA DISTRIBUTOR</v>
          </cell>
          <cell r="D431" t="str">
            <v>NO. 19 4th ST. MUNNAVAR AVENUE</v>
          </cell>
          <cell r="E431" t="str">
            <v>NEAR TESARA's SCHOOL</v>
          </cell>
          <cell r="F431" t="str">
            <v>ESA PALLAVARAM</v>
          </cell>
          <cell r="G431" t="str">
            <v>TAMILNADU</v>
          </cell>
          <cell r="H431" t="str">
            <v>CHENNAI</v>
          </cell>
          <cell r="I431" t="str">
            <v>600 043</v>
          </cell>
          <cell r="J431" t="str">
            <v>003</v>
          </cell>
          <cell r="K431" t="str">
            <v>TNGST:0881456/86-87</v>
          </cell>
          <cell r="L431" t="str">
            <v>N</v>
          </cell>
          <cell r="M431">
            <v>0</v>
          </cell>
          <cell r="O431" t="str">
            <v>N</v>
          </cell>
          <cell r="Q431" t="str">
            <v>529</v>
          </cell>
          <cell r="R431" t="str">
            <v>01</v>
          </cell>
          <cell r="S431" t="str">
            <v>01</v>
          </cell>
          <cell r="T431" t="str">
            <v>23</v>
          </cell>
          <cell r="U431">
            <v>0</v>
          </cell>
          <cell r="X431" t="str">
            <v>30001</v>
          </cell>
          <cell r="Y431" t="str">
            <v>00529</v>
          </cell>
        </row>
        <row r="432">
          <cell r="A432" t="str">
            <v>23010031</v>
          </cell>
          <cell r="B432" t="str">
            <v>01</v>
          </cell>
          <cell r="C432" t="str">
            <v>BRITANNIA CANTEEN</v>
          </cell>
          <cell r="D432" t="str">
            <v>C/o BRITANNIA INDUTRIES LTD.,</v>
          </cell>
          <cell r="E432" t="str">
            <v>MTH ROAD</v>
          </cell>
          <cell r="F432" t="str">
            <v>PADI</v>
          </cell>
          <cell r="G432" t="str">
            <v>TAMIL NADU</v>
          </cell>
          <cell r="H432" t="str">
            <v>CHENNAI</v>
          </cell>
          <cell r="I432" t="str">
            <v>600 050</v>
          </cell>
          <cell r="J432" t="str">
            <v>003</v>
          </cell>
          <cell r="K432" t="str">
            <v>TNGST:1320020/067</v>
          </cell>
          <cell r="L432" t="str">
            <v>N</v>
          </cell>
          <cell r="M432">
            <v>0</v>
          </cell>
          <cell r="O432" t="str">
            <v>N</v>
          </cell>
          <cell r="Q432" t="str">
            <v>523</v>
          </cell>
          <cell r="R432" t="str">
            <v>01</v>
          </cell>
          <cell r="S432" t="str">
            <v>01</v>
          </cell>
          <cell r="T432" t="str">
            <v>23</v>
          </cell>
          <cell r="U432">
            <v>0</v>
          </cell>
          <cell r="X432" t="str">
            <v>30001</v>
          </cell>
          <cell r="Y432" t="str">
            <v>00523</v>
          </cell>
        </row>
        <row r="433">
          <cell r="A433" t="str">
            <v>23010032</v>
          </cell>
          <cell r="B433" t="str">
            <v>01</v>
          </cell>
          <cell r="C433" t="str">
            <v>SWAMY SYNDICATE</v>
          </cell>
          <cell r="D433" t="str">
            <v>12 OLD BANK OF BARODA ST.,</v>
          </cell>
          <cell r="E433" t="str">
            <v>SECRETARIAT COLONY</v>
          </cell>
          <cell r="F433" t="str">
            <v>AMBATTUR</v>
          </cell>
          <cell r="G433" t="str">
            <v>TAMILNADU</v>
          </cell>
          <cell r="H433" t="str">
            <v>CHENNAI</v>
          </cell>
          <cell r="I433" t="str">
            <v>600 058</v>
          </cell>
          <cell r="J433" t="str">
            <v>003</v>
          </cell>
          <cell r="K433" t="str">
            <v>TNGST: 1361921-069</v>
          </cell>
          <cell r="L433" t="str">
            <v>N</v>
          </cell>
          <cell r="M433">
            <v>0</v>
          </cell>
          <cell r="O433" t="str">
            <v>N</v>
          </cell>
          <cell r="Q433" t="str">
            <v>523</v>
          </cell>
          <cell r="R433" t="str">
            <v>01</v>
          </cell>
          <cell r="S433" t="str">
            <v>01</v>
          </cell>
          <cell r="T433" t="str">
            <v>23</v>
          </cell>
          <cell r="U433">
            <v>0</v>
          </cell>
          <cell r="X433" t="str">
            <v>30001</v>
          </cell>
          <cell r="Y433" t="str">
            <v>00523</v>
          </cell>
        </row>
        <row r="434">
          <cell r="A434" t="str">
            <v>23010033</v>
          </cell>
          <cell r="B434" t="str">
            <v>01</v>
          </cell>
          <cell r="C434" t="str">
            <v>KALYANI AGENCIES</v>
          </cell>
          <cell r="D434" t="str">
            <v>NO. 25-A BARODA ST</v>
          </cell>
          <cell r="E434" t="str">
            <v>WEST MAMBALAM</v>
          </cell>
          <cell r="G434" t="str">
            <v>TAMILNADU</v>
          </cell>
          <cell r="H434" t="str">
            <v>CHENNAI</v>
          </cell>
          <cell r="I434" t="str">
            <v>600 033</v>
          </cell>
          <cell r="J434" t="str">
            <v>003</v>
          </cell>
          <cell r="K434" t="str">
            <v>1421907/99-2000 072</v>
          </cell>
          <cell r="L434" t="str">
            <v>N</v>
          </cell>
          <cell r="M434">
            <v>0</v>
          </cell>
          <cell r="O434" t="str">
            <v>N</v>
          </cell>
          <cell r="Q434" t="str">
            <v>445</v>
          </cell>
          <cell r="R434" t="str">
            <v>01</v>
          </cell>
          <cell r="S434" t="str">
            <v>01</v>
          </cell>
          <cell r="T434" t="str">
            <v>23</v>
          </cell>
          <cell r="U434">
            <v>0</v>
          </cell>
          <cell r="X434" t="str">
            <v>30001</v>
          </cell>
          <cell r="Y434" t="str">
            <v>00445</v>
          </cell>
        </row>
        <row r="435">
          <cell r="A435" t="str">
            <v>23010034</v>
          </cell>
          <cell r="B435" t="str">
            <v>05</v>
          </cell>
          <cell r="C435" t="str">
            <v>SRI GAYATRI FOODS</v>
          </cell>
          <cell r="D435" t="str">
            <v>FIRST FLOOR NO 22</v>
          </cell>
          <cell r="E435" t="str">
            <v>18TH AVENUE</v>
          </cell>
          <cell r="F435" t="str">
            <v>ASHOK NAGAR</v>
          </cell>
          <cell r="G435" t="str">
            <v>TAMIL NADU</v>
          </cell>
          <cell r="H435" t="str">
            <v>CHENNAI</v>
          </cell>
          <cell r="I435" t="str">
            <v>600 083</v>
          </cell>
          <cell r="J435" t="str">
            <v>005</v>
          </cell>
          <cell r="K435" t="str">
            <v>TNGST:1420667</v>
          </cell>
          <cell r="L435" t="str">
            <v>N</v>
          </cell>
          <cell r="M435">
            <v>0</v>
          </cell>
          <cell r="N435" t="str">
            <v>CST:631192/30.07.92</v>
          </cell>
          <cell r="O435" t="str">
            <v>N</v>
          </cell>
          <cell r="Q435" t="str">
            <v>433</v>
          </cell>
          <cell r="R435" t="str">
            <v>01</v>
          </cell>
          <cell r="S435" t="str">
            <v>01</v>
          </cell>
          <cell r="T435" t="str">
            <v>23</v>
          </cell>
          <cell r="U435">
            <v>0</v>
          </cell>
          <cell r="X435" t="str">
            <v>30001</v>
          </cell>
          <cell r="Y435" t="str">
            <v>00433</v>
          </cell>
        </row>
        <row r="436">
          <cell r="A436" t="str">
            <v>23020002</v>
          </cell>
          <cell r="B436" t="str">
            <v>01</v>
          </cell>
          <cell r="C436" t="str">
            <v>SRI LAKSHMI STORES</v>
          </cell>
          <cell r="D436" t="str">
            <v>NO 57,GANDHI ROAD</v>
          </cell>
          <cell r="G436" t="str">
            <v>TAMILNADU</v>
          </cell>
          <cell r="H436" t="str">
            <v>KANCHIPURAM</v>
          </cell>
          <cell r="I436" t="str">
            <v>631501</v>
          </cell>
          <cell r="J436" t="str">
            <v>003</v>
          </cell>
          <cell r="K436" t="str">
            <v>TNGST  1620014/082</v>
          </cell>
          <cell r="L436" t="str">
            <v>N</v>
          </cell>
          <cell r="M436">
            <v>0</v>
          </cell>
          <cell r="N436" t="str">
            <v>CST 408 DT 13-7-57</v>
          </cell>
          <cell r="O436" t="str">
            <v>N</v>
          </cell>
          <cell r="Q436" t="str">
            <v>451</v>
          </cell>
          <cell r="R436" t="str">
            <v>02</v>
          </cell>
          <cell r="S436" t="str">
            <v>02</v>
          </cell>
          <cell r="T436" t="str">
            <v>23</v>
          </cell>
          <cell r="X436" t="str">
            <v>30001</v>
          </cell>
          <cell r="Y436" t="str">
            <v>00451</v>
          </cell>
        </row>
        <row r="437">
          <cell r="A437" t="str">
            <v>23020003</v>
          </cell>
          <cell r="B437" t="str">
            <v>01</v>
          </cell>
          <cell r="C437" t="str">
            <v>S A S ENTERPRISES</v>
          </cell>
          <cell r="D437" t="str">
            <v>73,G S T ROAD</v>
          </cell>
          <cell r="G437" t="str">
            <v>TAMILNADU</v>
          </cell>
          <cell r="H437" t="str">
            <v>MADURANTAKAM</v>
          </cell>
          <cell r="I437" t="str">
            <v>603306</v>
          </cell>
          <cell r="J437" t="str">
            <v>003</v>
          </cell>
          <cell r="K437" t="str">
            <v>TNGST 1680255/085</v>
          </cell>
          <cell r="L437" t="str">
            <v>N</v>
          </cell>
          <cell r="M437">
            <v>0</v>
          </cell>
          <cell r="N437" t="str">
            <v>CST  54302</v>
          </cell>
          <cell r="O437" t="str">
            <v>N</v>
          </cell>
          <cell r="Q437" t="str">
            <v>452</v>
          </cell>
          <cell r="R437" t="str">
            <v>02</v>
          </cell>
          <cell r="S437" t="str">
            <v>02</v>
          </cell>
          <cell r="T437" t="str">
            <v>23</v>
          </cell>
          <cell r="U437">
            <v>0</v>
          </cell>
          <cell r="X437" t="str">
            <v>30002</v>
          </cell>
          <cell r="Y437" t="str">
            <v>00452</v>
          </cell>
        </row>
        <row r="438">
          <cell r="A438" t="str">
            <v>23020004</v>
          </cell>
          <cell r="B438" t="str">
            <v>01</v>
          </cell>
          <cell r="C438" t="str">
            <v>RAJAM ENTERPRISES</v>
          </cell>
          <cell r="D438" t="str">
            <v>197 KAMARAJ STREET</v>
          </cell>
          <cell r="G438" t="str">
            <v>TAMILNADU</v>
          </cell>
          <cell r="H438" t="str">
            <v>VILLUPURAM</v>
          </cell>
          <cell r="I438" t="str">
            <v>605602</v>
          </cell>
          <cell r="J438" t="str">
            <v>003</v>
          </cell>
          <cell r="K438" t="str">
            <v>TNGST  4680375</v>
          </cell>
          <cell r="L438" t="str">
            <v>N</v>
          </cell>
          <cell r="M438">
            <v>0</v>
          </cell>
          <cell r="O438" t="str">
            <v>N</v>
          </cell>
          <cell r="Q438" t="str">
            <v>453</v>
          </cell>
          <cell r="R438" t="str">
            <v>02</v>
          </cell>
          <cell r="S438" t="str">
            <v>02</v>
          </cell>
          <cell r="T438" t="str">
            <v>23</v>
          </cell>
          <cell r="X438" t="str">
            <v>30001</v>
          </cell>
          <cell r="Y438" t="str">
            <v>00453</v>
          </cell>
        </row>
        <row r="439">
          <cell r="A439" t="str">
            <v>23020005</v>
          </cell>
          <cell r="B439" t="str">
            <v>01</v>
          </cell>
          <cell r="C439" t="str">
            <v>K NARASIMHALU CHETTIAR  C</v>
          </cell>
          <cell r="D439" t="str">
            <v>596 GANDHI ROAD</v>
          </cell>
          <cell r="G439" t="str">
            <v>TAMILNADU</v>
          </cell>
          <cell r="H439" t="str">
            <v>PANRUTI</v>
          </cell>
          <cell r="J439" t="str">
            <v>003</v>
          </cell>
          <cell r="K439" t="str">
            <v>TNGST 4480332/231</v>
          </cell>
          <cell r="L439" t="str">
            <v>N</v>
          </cell>
          <cell r="M439">
            <v>0</v>
          </cell>
          <cell r="O439" t="str">
            <v>N</v>
          </cell>
          <cell r="Q439" t="str">
            <v>454</v>
          </cell>
          <cell r="R439" t="str">
            <v>02</v>
          </cell>
          <cell r="S439" t="str">
            <v>02</v>
          </cell>
          <cell r="T439" t="str">
            <v>23</v>
          </cell>
          <cell r="X439" t="str">
            <v>30002</v>
          </cell>
          <cell r="Y439" t="str">
            <v>00454</v>
          </cell>
        </row>
        <row r="440">
          <cell r="A440" t="str">
            <v>23020006</v>
          </cell>
          <cell r="B440" t="str">
            <v>01</v>
          </cell>
          <cell r="C440" t="str">
            <v>KUMAR ENTERPRISES</v>
          </cell>
          <cell r="D440" t="str">
            <v>84,PUDUPALAYAM MAIN ROAD</v>
          </cell>
          <cell r="G440" t="str">
            <v>TAMILNADU</v>
          </cell>
          <cell r="H440" t="str">
            <v>CUDDALORE</v>
          </cell>
          <cell r="I440" t="str">
            <v>607001</v>
          </cell>
          <cell r="J440" t="str">
            <v>003</v>
          </cell>
          <cell r="K440" t="str">
            <v>TNGST 4380434/226</v>
          </cell>
          <cell r="L440" t="str">
            <v>N</v>
          </cell>
          <cell r="M440">
            <v>0</v>
          </cell>
          <cell r="O440" t="str">
            <v>N</v>
          </cell>
          <cell r="Q440" t="str">
            <v>455</v>
          </cell>
          <cell r="R440" t="str">
            <v>02</v>
          </cell>
          <cell r="S440" t="str">
            <v>02</v>
          </cell>
          <cell r="T440" t="str">
            <v>23</v>
          </cell>
          <cell r="X440" t="str">
            <v>30001</v>
          </cell>
          <cell r="Y440" t="str">
            <v>00455</v>
          </cell>
        </row>
        <row r="441">
          <cell r="A441" t="str">
            <v>23020007</v>
          </cell>
          <cell r="B441" t="str">
            <v>01</v>
          </cell>
          <cell r="C441" t="str">
            <v>V DORASWAMY CHETTY SONS</v>
          </cell>
          <cell r="D441" t="str">
            <v>NO.42, MAIN BAZAAR</v>
          </cell>
          <cell r="G441" t="str">
            <v>TAMILNADU</v>
          </cell>
          <cell r="H441" t="str">
            <v>VELLORE</v>
          </cell>
          <cell r="I441" t="str">
            <v>632004</v>
          </cell>
          <cell r="J441" t="str">
            <v>003</v>
          </cell>
          <cell r="K441" t="str">
            <v>TNGST  4320051/223</v>
          </cell>
          <cell r="L441" t="str">
            <v>N</v>
          </cell>
          <cell r="M441">
            <v>0</v>
          </cell>
          <cell r="N441" t="str">
            <v>CST 350069/81</v>
          </cell>
          <cell r="O441" t="str">
            <v>N</v>
          </cell>
          <cell r="Q441" t="str">
            <v>456</v>
          </cell>
          <cell r="R441" t="str">
            <v>02</v>
          </cell>
          <cell r="S441" t="str">
            <v>02</v>
          </cell>
          <cell r="T441" t="str">
            <v>23</v>
          </cell>
          <cell r="X441" t="str">
            <v>30001</v>
          </cell>
          <cell r="Y441" t="str">
            <v>00456</v>
          </cell>
        </row>
        <row r="442">
          <cell r="A442" t="str">
            <v>23020008</v>
          </cell>
          <cell r="B442" t="str">
            <v>01</v>
          </cell>
          <cell r="C442" t="str">
            <v>NORTH ARCOT DIST.CONS.</v>
          </cell>
          <cell r="D442" t="str">
            <v>COOP WHOLE SALE STORES LTD</v>
          </cell>
          <cell r="E442" t="str">
            <v>.14, OFFICERS LINE</v>
          </cell>
          <cell r="G442" t="str">
            <v>TAMILNADU</v>
          </cell>
          <cell r="H442" t="str">
            <v>VELLORE</v>
          </cell>
          <cell r="I442" t="str">
            <v>632001</v>
          </cell>
          <cell r="J442" t="str">
            <v>003</v>
          </cell>
          <cell r="K442" t="str">
            <v>TNGST 4220050/95/218</v>
          </cell>
          <cell r="L442" t="str">
            <v>N</v>
          </cell>
          <cell r="M442">
            <v>0</v>
          </cell>
          <cell r="N442" t="str">
            <v>CST.NO.723/21.08.57</v>
          </cell>
          <cell r="O442" t="str">
            <v>N</v>
          </cell>
          <cell r="Q442" t="str">
            <v>457</v>
          </cell>
          <cell r="R442" t="str">
            <v>02</v>
          </cell>
          <cell r="S442" t="str">
            <v>02</v>
          </cell>
          <cell r="T442" t="str">
            <v>23</v>
          </cell>
          <cell r="X442" t="str">
            <v>30001</v>
          </cell>
          <cell r="Y442" t="str">
            <v>00457</v>
          </cell>
        </row>
        <row r="443">
          <cell r="A443" t="str">
            <v>23020009</v>
          </cell>
          <cell r="B443" t="str">
            <v>01</v>
          </cell>
          <cell r="C443" t="str">
            <v>SRI LAKSHMI AGENCIES</v>
          </cell>
          <cell r="D443" t="str">
            <v>10-K ASALIAMMAN KOIL STREET</v>
          </cell>
          <cell r="G443" t="str">
            <v>TAMILNADU</v>
          </cell>
          <cell r="H443" t="str">
            <v>TIRUVANNAMALAI</v>
          </cell>
          <cell r="I443" t="str">
            <v>606601</v>
          </cell>
          <cell r="J443" t="str">
            <v>003</v>
          </cell>
          <cell r="K443" t="str">
            <v>TNGST  620265</v>
          </cell>
          <cell r="L443" t="str">
            <v>N</v>
          </cell>
          <cell r="M443">
            <v>0</v>
          </cell>
          <cell r="O443" t="str">
            <v>Y</v>
          </cell>
          <cell r="Q443" t="str">
            <v>458</v>
          </cell>
          <cell r="R443" t="str">
            <v>02</v>
          </cell>
          <cell r="S443" t="str">
            <v>02</v>
          </cell>
          <cell r="T443" t="str">
            <v>23</v>
          </cell>
          <cell r="U443">
            <v>0</v>
          </cell>
          <cell r="X443" t="str">
            <v>30002</v>
          </cell>
          <cell r="Y443" t="str">
            <v>00458</v>
          </cell>
        </row>
        <row r="444">
          <cell r="A444" t="str">
            <v>23020010</v>
          </cell>
          <cell r="B444" t="str">
            <v>01</v>
          </cell>
          <cell r="C444" t="str">
            <v>VALARMATHY AGENCIES</v>
          </cell>
          <cell r="D444" t="str">
            <v>18-A,CHETTY STREET</v>
          </cell>
          <cell r="G444" t="str">
            <v>TAMILNADU</v>
          </cell>
          <cell r="H444" t="str">
            <v>TIRUPATTUR(N A)</v>
          </cell>
          <cell r="I444" t="str">
            <v>635601</v>
          </cell>
          <cell r="J444" t="str">
            <v>003</v>
          </cell>
          <cell r="K444" t="str">
            <v>TNGST 4620855</v>
          </cell>
          <cell r="L444" t="str">
            <v>N</v>
          </cell>
          <cell r="M444">
            <v>0</v>
          </cell>
          <cell r="O444" t="str">
            <v>Y</v>
          </cell>
          <cell r="Q444" t="str">
            <v>459</v>
          </cell>
          <cell r="R444" t="str">
            <v>02</v>
          </cell>
          <cell r="S444" t="str">
            <v>02</v>
          </cell>
          <cell r="T444" t="str">
            <v>23</v>
          </cell>
          <cell r="U444">
            <v>0</v>
          </cell>
          <cell r="X444" t="str">
            <v>30002</v>
          </cell>
          <cell r="Y444" t="str">
            <v>00459</v>
          </cell>
        </row>
        <row r="445">
          <cell r="A445" t="str">
            <v>23020011</v>
          </cell>
          <cell r="B445" t="str">
            <v>01</v>
          </cell>
          <cell r="C445" t="str">
            <v>R LAKSHMIPATHI</v>
          </cell>
          <cell r="D445" t="str">
            <v>75 BIG CHETTY STREET</v>
          </cell>
          <cell r="G445" t="str">
            <v>TAMILNADU</v>
          </cell>
          <cell r="H445" t="str">
            <v>CHINGLPUT</v>
          </cell>
          <cell r="I445" t="str">
            <v>603001</v>
          </cell>
          <cell r="J445" t="str">
            <v>003</v>
          </cell>
          <cell r="K445" t="str">
            <v>TNGST  66988</v>
          </cell>
          <cell r="L445" t="str">
            <v>N</v>
          </cell>
          <cell r="M445">
            <v>0</v>
          </cell>
          <cell r="O445" t="str">
            <v>N</v>
          </cell>
          <cell r="Q445" t="str">
            <v>460</v>
          </cell>
          <cell r="R445" t="str">
            <v>02</v>
          </cell>
          <cell r="S445" t="str">
            <v>02</v>
          </cell>
          <cell r="T445" t="str">
            <v>23</v>
          </cell>
          <cell r="X445" t="str">
            <v>30002</v>
          </cell>
          <cell r="Y445" t="str">
            <v>00460</v>
          </cell>
        </row>
        <row r="446">
          <cell r="A446" t="str">
            <v>23020012</v>
          </cell>
          <cell r="B446" t="str">
            <v>01</v>
          </cell>
          <cell r="C446" t="str">
            <v>VIJAYALAKSHMI AGENCIES</v>
          </cell>
          <cell r="D446" t="str">
            <v>23-E KALAVAI ROAD</v>
          </cell>
          <cell r="G446" t="str">
            <v>TAMILNADU</v>
          </cell>
          <cell r="H446" t="str">
            <v>ARCOT</v>
          </cell>
          <cell r="I446" t="str">
            <v>632503</v>
          </cell>
          <cell r="J446" t="str">
            <v>003</v>
          </cell>
          <cell r="K446" t="str">
            <v>TNGST  4580669/236</v>
          </cell>
          <cell r="L446" t="str">
            <v>N</v>
          </cell>
          <cell r="M446">
            <v>0</v>
          </cell>
          <cell r="O446" t="str">
            <v>N</v>
          </cell>
          <cell r="Q446" t="str">
            <v>461</v>
          </cell>
          <cell r="R446" t="str">
            <v>02</v>
          </cell>
          <cell r="S446" t="str">
            <v>02</v>
          </cell>
          <cell r="T446" t="str">
            <v>23</v>
          </cell>
          <cell r="X446" t="str">
            <v>30002</v>
          </cell>
          <cell r="Y446" t="str">
            <v>00461</v>
          </cell>
        </row>
        <row r="447">
          <cell r="A447" t="str">
            <v>23020013</v>
          </cell>
          <cell r="B447" t="str">
            <v>01</v>
          </cell>
          <cell r="C447" t="str">
            <v>K.S.AGENCIES,</v>
          </cell>
          <cell r="D447" t="str">
            <v>28-B, PAZHANKOTTAI STREET</v>
          </cell>
          <cell r="G447" t="str">
            <v>TAMILNADU</v>
          </cell>
          <cell r="H447" t="str">
            <v>POONAMALEE</v>
          </cell>
          <cell r="I447" t="str">
            <v>600056</v>
          </cell>
          <cell r="J447" t="str">
            <v>003</v>
          </cell>
          <cell r="K447" t="str">
            <v>TNGST 1660447/084</v>
          </cell>
          <cell r="L447" t="str">
            <v>N</v>
          </cell>
          <cell r="M447">
            <v>0</v>
          </cell>
          <cell r="O447" t="str">
            <v>N</v>
          </cell>
          <cell r="Q447" t="str">
            <v>462</v>
          </cell>
          <cell r="R447" t="str">
            <v>02</v>
          </cell>
          <cell r="S447" t="str">
            <v>02</v>
          </cell>
          <cell r="T447" t="str">
            <v>23</v>
          </cell>
          <cell r="X447" t="str">
            <v>30002</v>
          </cell>
          <cell r="Y447" t="str">
            <v>00462</v>
          </cell>
        </row>
        <row r="448">
          <cell r="A448" t="str">
            <v>23020014</v>
          </cell>
          <cell r="B448" t="str">
            <v>01</v>
          </cell>
          <cell r="C448" t="str">
            <v>SRI VASAVAI AGENCIES</v>
          </cell>
          <cell r="D448" t="str">
            <v>80-A BAZAAR STREET</v>
          </cell>
          <cell r="G448" t="str">
            <v>TAMILNADU</v>
          </cell>
          <cell r="H448" t="str">
            <v>KALLAKURICHI</v>
          </cell>
          <cell r="I448" t="str">
            <v>606202</v>
          </cell>
          <cell r="J448" t="str">
            <v>003</v>
          </cell>
          <cell r="K448" t="str">
            <v>TNGST 4780746/246</v>
          </cell>
          <cell r="L448" t="str">
            <v>N</v>
          </cell>
          <cell r="M448">
            <v>0</v>
          </cell>
          <cell r="N448" t="str">
            <v>CST 396965-7.6.90</v>
          </cell>
          <cell r="O448" t="str">
            <v>Y</v>
          </cell>
          <cell r="Q448" t="str">
            <v>463</v>
          </cell>
          <cell r="R448" t="str">
            <v>02</v>
          </cell>
          <cell r="S448" t="str">
            <v>02</v>
          </cell>
          <cell r="T448" t="str">
            <v>23</v>
          </cell>
          <cell r="U448">
            <v>0</v>
          </cell>
          <cell r="X448" t="str">
            <v>30002</v>
          </cell>
          <cell r="Y448" t="str">
            <v>00463</v>
          </cell>
        </row>
        <row r="449">
          <cell r="A449" t="str">
            <v>23020015</v>
          </cell>
          <cell r="B449" t="str">
            <v>01</v>
          </cell>
          <cell r="C449" t="str">
            <v>ANU ASSOCIATES</v>
          </cell>
          <cell r="D449" t="str">
            <v>13-A KASI CHETTY STREET</v>
          </cell>
          <cell r="G449" t="str">
            <v>TAMILNADU</v>
          </cell>
          <cell r="H449" t="str">
            <v>AMBUR</v>
          </cell>
          <cell r="I449" t="str">
            <v>635802</v>
          </cell>
          <cell r="J449" t="str">
            <v>003</v>
          </cell>
          <cell r="K449" t="str">
            <v>TNGST4260995 IAC-220</v>
          </cell>
          <cell r="L449" t="str">
            <v>N</v>
          </cell>
          <cell r="M449">
            <v>0</v>
          </cell>
          <cell r="O449" t="str">
            <v>Y</v>
          </cell>
          <cell r="Q449" t="str">
            <v>464</v>
          </cell>
          <cell r="R449" t="str">
            <v>02</v>
          </cell>
          <cell r="S449" t="str">
            <v>02</v>
          </cell>
          <cell r="T449" t="str">
            <v>23</v>
          </cell>
          <cell r="U449">
            <v>0</v>
          </cell>
          <cell r="X449" t="str">
            <v>30002</v>
          </cell>
          <cell r="Y449" t="str">
            <v>00464</v>
          </cell>
        </row>
        <row r="450">
          <cell r="A450" t="str">
            <v>23020016</v>
          </cell>
          <cell r="B450" t="str">
            <v>01</v>
          </cell>
          <cell r="C450" t="str">
            <v>RAMYA AGENCIES</v>
          </cell>
          <cell r="D450" t="str">
            <v>38,J.N.ROAD</v>
          </cell>
          <cell r="G450" t="str">
            <v>TAMILNADU</v>
          </cell>
          <cell r="H450" t="str">
            <v>TIRUVELLORE</v>
          </cell>
          <cell r="I450" t="str">
            <v>602001</v>
          </cell>
          <cell r="J450" t="str">
            <v>003</v>
          </cell>
          <cell r="K450" t="str">
            <v>TNGST 195778/89-90</v>
          </cell>
          <cell r="L450" t="str">
            <v>N</v>
          </cell>
          <cell r="M450">
            <v>0</v>
          </cell>
          <cell r="O450" t="str">
            <v>N</v>
          </cell>
          <cell r="Q450" t="str">
            <v>465</v>
          </cell>
          <cell r="R450" t="str">
            <v>02</v>
          </cell>
          <cell r="S450" t="str">
            <v>02</v>
          </cell>
          <cell r="T450" t="str">
            <v>23</v>
          </cell>
          <cell r="X450" t="str">
            <v>30002</v>
          </cell>
          <cell r="Y450" t="str">
            <v>00465</v>
          </cell>
        </row>
        <row r="451">
          <cell r="A451" t="str">
            <v>23020017</v>
          </cell>
          <cell r="B451" t="str">
            <v>01</v>
          </cell>
          <cell r="C451" t="str">
            <v>R.GURUNATHAN CHETTIAR</v>
          </cell>
          <cell r="D451" t="str">
            <v>52-A, PALLIVASAL STREET</v>
          </cell>
          <cell r="G451" t="str">
            <v>TAMILNADU</v>
          </cell>
          <cell r="H451" t="str">
            <v>TIRUKOILUR</v>
          </cell>
          <cell r="I451" t="str">
            <v>605757</v>
          </cell>
          <cell r="J451" t="str">
            <v>003</v>
          </cell>
          <cell r="K451" t="str">
            <v>TNGST 4760129/245</v>
          </cell>
          <cell r="L451" t="str">
            <v>N</v>
          </cell>
          <cell r="M451">
            <v>0</v>
          </cell>
          <cell r="O451" t="str">
            <v>Y</v>
          </cell>
          <cell r="Q451" t="str">
            <v>466</v>
          </cell>
          <cell r="R451" t="str">
            <v>02</v>
          </cell>
          <cell r="S451" t="str">
            <v>02</v>
          </cell>
          <cell r="T451" t="str">
            <v>23</v>
          </cell>
          <cell r="U451">
            <v>0</v>
          </cell>
          <cell r="X451" t="str">
            <v>30002</v>
          </cell>
          <cell r="Y451" t="str">
            <v>00466</v>
          </cell>
        </row>
        <row r="452">
          <cell r="A452" t="str">
            <v>23020018</v>
          </cell>
          <cell r="B452" t="str">
            <v>01</v>
          </cell>
          <cell r="C452" t="str">
            <v>SAMUNDEESWARI AHENCIES</v>
          </cell>
          <cell r="D452" t="str">
            <v>No.31, West Oppanakara St.,</v>
          </cell>
          <cell r="E452" t="str">
            <v>Suvalpet</v>
          </cell>
          <cell r="G452" t="str">
            <v>TAMILNADU</v>
          </cell>
          <cell r="H452" t="str">
            <v>ARAKKOONAM</v>
          </cell>
          <cell r="I452" t="str">
            <v>631001</v>
          </cell>
          <cell r="J452" t="str">
            <v>003</v>
          </cell>
          <cell r="K452" t="str">
            <v>TNGST 4300744</v>
          </cell>
          <cell r="L452" t="str">
            <v>N</v>
          </cell>
          <cell r="M452">
            <v>0</v>
          </cell>
          <cell r="O452" t="str">
            <v>N</v>
          </cell>
          <cell r="Q452" t="str">
            <v>467</v>
          </cell>
          <cell r="R452" t="str">
            <v>02</v>
          </cell>
          <cell r="S452" t="str">
            <v>02</v>
          </cell>
          <cell r="T452" t="str">
            <v>23</v>
          </cell>
          <cell r="U452">
            <v>0</v>
          </cell>
          <cell r="X452" t="str">
            <v>30002</v>
          </cell>
          <cell r="Y452" t="str">
            <v>00467</v>
          </cell>
        </row>
        <row r="453">
          <cell r="A453" t="str">
            <v>23020019</v>
          </cell>
          <cell r="B453" t="str">
            <v>01</v>
          </cell>
          <cell r="C453" t="str">
            <v>GOKULAKRISHNA ENTERPRISES</v>
          </cell>
          <cell r="D453" t="str">
            <v>47,THAYUMAN CHETTY STREET</v>
          </cell>
          <cell r="G453" t="str">
            <v>TAMILNADU</v>
          </cell>
          <cell r="H453" t="str">
            <v>PONNERI</v>
          </cell>
          <cell r="I453" t="str">
            <v>601204</v>
          </cell>
          <cell r="J453" t="str">
            <v>003</v>
          </cell>
          <cell r="K453" t="str">
            <v>TNGST 193049</v>
          </cell>
          <cell r="L453" t="str">
            <v>N</v>
          </cell>
          <cell r="M453">
            <v>0</v>
          </cell>
          <cell r="N453" t="str">
            <v>CST 55233</v>
          </cell>
          <cell r="O453" t="str">
            <v>N</v>
          </cell>
          <cell r="Q453" t="str">
            <v>468</v>
          </cell>
          <cell r="R453" t="str">
            <v>02</v>
          </cell>
          <cell r="S453" t="str">
            <v>02</v>
          </cell>
          <cell r="T453" t="str">
            <v>23</v>
          </cell>
          <cell r="X453" t="str">
            <v>30002</v>
          </cell>
          <cell r="Y453" t="str">
            <v>00468</v>
          </cell>
        </row>
        <row r="454">
          <cell r="A454" t="str">
            <v>23020020</v>
          </cell>
          <cell r="B454" t="str">
            <v>01</v>
          </cell>
          <cell r="C454" t="str">
            <v>SRI BHUVANESHWARI AGENCY</v>
          </cell>
          <cell r="D454" t="str">
            <v>32, BANGLOW STREET</v>
          </cell>
          <cell r="G454" t="str">
            <v>TAMILNADU</v>
          </cell>
          <cell r="H454" t="str">
            <v>CHEYYAR</v>
          </cell>
          <cell r="I454" t="str">
            <v>604407</v>
          </cell>
          <cell r="J454" t="str">
            <v>003</v>
          </cell>
          <cell r="K454" t="str">
            <v>TNGST 634384</v>
          </cell>
          <cell r="L454" t="str">
            <v>N</v>
          </cell>
          <cell r="M454">
            <v>0</v>
          </cell>
          <cell r="N454" t="str">
            <v>CST 377220</v>
          </cell>
          <cell r="O454" t="str">
            <v>N</v>
          </cell>
          <cell r="Q454" t="str">
            <v>469</v>
          </cell>
          <cell r="R454" t="str">
            <v>02</v>
          </cell>
          <cell r="S454" t="str">
            <v>02</v>
          </cell>
          <cell r="T454" t="str">
            <v>23</v>
          </cell>
          <cell r="X454" t="str">
            <v>30002</v>
          </cell>
          <cell r="Y454" t="str">
            <v>00469</v>
          </cell>
        </row>
        <row r="455">
          <cell r="A455" t="str">
            <v>23020021</v>
          </cell>
          <cell r="B455" t="str">
            <v>01</v>
          </cell>
          <cell r="C455" t="str">
            <v>J.KALAPPA NAIDU &amp; SON</v>
          </cell>
          <cell r="D455" t="str">
            <v>19, KAALASKARA STREET</v>
          </cell>
          <cell r="G455" t="str">
            <v>TAMILNADU</v>
          </cell>
          <cell r="H455" t="str">
            <v>ARNI</v>
          </cell>
          <cell r="I455" t="str">
            <v>632301</v>
          </cell>
          <cell r="J455" t="str">
            <v>003</v>
          </cell>
          <cell r="K455" t="str">
            <v>TNGST  4561414 -05-03-03</v>
          </cell>
          <cell r="L455" t="str">
            <v>N</v>
          </cell>
          <cell r="M455">
            <v>0</v>
          </cell>
          <cell r="N455" t="str">
            <v>CST 569335</v>
          </cell>
          <cell r="O455" t="str">
            <v>N</v>
          </cell>
          <cell r="Q455" t="str">
            <v>470</v>
          </cell>
          <cell r="R455" t="str">
            <v>02</v>
          </cell>
          <cell r="S455" t="str">
            <v>02</v>
          </cell>
          <cell r="T455" t="str">
            <v>23</v>
          </cell>
          <cell r="X455" t="str">
            <v>30001</v>
          </cell>
          <cell r="Y455" t="str">
            <v>00470</v>
          </cell>
        </row>
        <row r="456">
          <cell r="A456" t="str">
            <v>23020022</v>
          </cell>
          <cell r="B456" t="str">
            <v>01</v>
          </cell>
          <cell r="C456" t="str">
            <v>BARATHI AGENCIES</v>
          </cell>
          <cell r="D456" t="str">
            <v>21-A/6, MELPATTI ROAD</v>
          </cell>
          <cell r="E456" t="str">
            <v>SANTHAPET</v>
          </cell>
          <cell r="G456" t="str">
            <v>TAMILNADU</v>
          </cell>
          <cell r="H456" t="str">
            <v>GUDIYATTAM</v>
          </cell>
          <cell r="I456" t="str">
            <v>632602</v>
          </cell>
          <cell r="J456" t="str">
            <v>003</v>
          </cell>
          <cell r="K456" t="str">
            <v>TNGST NO 4340125 / 224</v>
          </cell>
          <cell r="L456" t="str">
            <v>N</v>
          </cell>
          <cell r="M456">
            <v>0</v>
          </cell>
          <cell r="O456" t="str">
            <v>Y</v>
          </cell>
          <cell r="Q456" t="str">
            <v>471</v>
          </cell>
          <cell r="R456" t="str">
            <v>02</v>
          </cell>
          <cell r="S456" t="str">
            <v>02</v>
          </cell>
          <cell r="T456" t="str">
            <v>23</v>
          </cell>
          <cell r="U456">
            <v>0</v>
          </cell>
          <cell r="X456" t="str">
            <v>30002</v>
          </cell>
          <cell r="Y456" t="str">
            <v>00471</v>
          </cell>
        </row>
        <row r="457">
          <cell r="A457" t="str">
            <v>23020023</v>
          </cell>
          <cell r="B457" t="str">
            <v>01</v>
          </cell>
          <cell r="C457" t="str">
            <v>SRI VASAVI AGENCIES</v>
          </cell>
          <cell r="D457" t="str">
            <v>34, SEPPERUMAL STREET</v>
          </cell>
          <cell r="G457" t="str">
            <v>TAMILNADU</v>
          </cell>
          <cell r="H457" t="str">
            <v>GINGEE</v>
          </cell>
          <cell r="I457" t="str">
            <v>604202</v>
          </cell>
          <cell r="J457" t="str">
            <v>003</v>
          </cell>
          <cell r="K457" t="str">
            <v>TNGST 611686 - 5/04/06</v>
          </cell>
          <cell r="L457" t="str">
            <v>N</v>
          </cell>
          <cell r="M457">
            <v>0</v>
          </cell>
          <cell r="O457" t="str">
            <v>N</v>
          </cell>
          <cell r="Q457" t="str">
            <v>472</v>
          </cell>
          <cell r="R457" t="str">
            <v>02</v>
          </cell>
          <cell r="S457" t="str">
            <v>02</v>
          </cell>
          <cell r="T457" t="str">
            <v>23</v>
          </cell>
          <cell r="X457" t="str">
            <v>30002</v>
          </cell>
          <cell r="Y457" t="str">
            <v>00472</v>
          </cell>
        </row>
        <row r="458">
          <cell r="A458" t="str">
            <v>23020024</v>
          </cell>
          <cell r="B458" t="str">
            <v>01</v>
          </cell>
          <cell r="C458" t="str">
            <v>A.P.G. &amp; SONS</v>
          </cell>
          <cell r="D458" t="str">
            <v>236, MOHAMAD ALI BAZAAR</v>
          </cell>
          <cell r="G458" t="str">
            <v>TAMILNADU</v>
          </cell>
          <cell r="H458" t="str">
            <v>VANIYAMBADI</v>
          </cell>
          <cell r="I458" t="str">
            <v>635751</v>
          </cell>
          <cell r="J458" t="str">
            <v>003</v>
          </cell>
          <cell r="K458" t="str">
            <v>TNGST 4641122-239</v>
          </cell>
          <cell r="L458" t="str">
            <v>N</v>
          </cell>
          <cell r="M458">
            <v>0</v>
          </cell>
          <cell r="N458" t="str">
            <v>CST 365684/02.03.94</v>
          </cell>
          <cell r="O458" t="str">
            <v>Y</v>
          </cell>
          <cell r="Q458" t="str">
            <v>473</v>
          </cell>
          <cell r="R458" t="str">
            <v>02</v>
          </cell>
          <cell r="S458" t="str">
            <v>02</v>
          </cell>
          <cell r="T458" t="str">
            <v>23</v>
          </cell>
          <cell r="U458">
            <v>0</v>
          </cell>
          <cell r="X458" t="str">
            <v>30002</v>
          </cell>
          <cell r="Y458" t="str">
            <v>00473</v>
          </cell>
        </row>
        <row r="459">
          <cell r="A459" t="str">
            <v>23020025</v>
          </cell>
          <cell r="B459" t="str">
            <v>01</v>
          </cell>
          <cell r="C459" t="str">
            <v>S.A.S.TRADERS</v>
          </cell>
          <cell r="D459" t="str">
            <v>NO.60/10,KDR COMPLEX</v>
          </cell>
          <cell r="E459" t="str">
            <v>MARIAMMAN KOIL STREET</v>
          </cell>
          <cell r="G459" t="str">
            <v>TAMILNADU</v>
          </cell>
          <cell r="H459" t="str">
            <v>TINDIVANAM</v>
          </cell>
          <cell r="J459" t="str">
            <v>003</v>
          </cell>
          <cell r="K459" t="str">
            <v>TNGST 1680255/085/95-96</v>
          </cell>
          <cell r="L459" t="str">
            <v>N</v>
          </cell>
          <cell r="M459">
            <v>0</v>
          </cell>
          <cell r="O459" t="str">
            <v>N</v>
          </cell>
          <cell r="Q459" t="str">
            <v>474</v>
          </cell>
          <cell r="R459" t="str">
            <v>02</v>
          </cell>
          <cell r="S459" t="str">
            <v>02</v>
          </cell>
          <cell r="T459" t="str">
            <v>23</v>
          </cell>
          <cell r="X459" t="str">
            <v>30002</v>
          </cell>
          <cell r="Y459" t="str">
            <v>00474</v>
          </cell>
        </row>
        <row r="460">
          <cell r="A460" t="str">
            <v>23020026</v>
          </cell>
          <cell r="B460" t="str">
            <v>01</v>
          </cell>
          <cell r="C460" t="str">
            <v>STREAMLINE PRODUCT -</v>
          </cell>
          <cell r="D460" t="str">
            <v>PROMOTERS- (BRANCH)</v>
          </cell>
          <cell r="E460" t="str">
            <v>G.N.T.ROAD</v>
          </cell>
          <cell r="F460" t="str">
            <v>NEAR AMBIKA PLASTICS</v>
          </cell>
          <cell r="G460" t="str">
            <v>TAMILNADU</v>
          </cell>
          <cell r="H460" t="str">
            <v>GUMMDIPOONDI</v>
          </cell>
          <cell r="J460" t="str">
            <v>003</v>
          </cell>
          <cell r="K460" t="str">
            <v>TNGST:1480852 -075</v>
          </cell>
          <cell r="L460" t="str">
            <v>N</v>
          </cell>
          <cell r="M460">
            <v>0</v>
          </cell>
          <cell r="N460" t="str">
            <v>CST:586874DT.16.8.94</v>
          </cell>
          <cell r="O460" t="str">
            <v>N</v>
          </cell>
          <cell r="Q460" t="str">
            <v>477</v>
          </cell>
          <cell r="R460" t="str">
            <v>02</v>
          </cell>
          <cell r="S460" t="str">
            <v>02</v>
          </cell>
          <cell r="T460" t="str">
            <v>23</v>
          </cell>
          <cell r="U460">
            <v>0</v>
          </cell>
          <cell r="X460" t="str">
            <v>30001</v>
          </cell>
          <cell r="Y460" t="str">
            <v>00477</v>
          </cell>
        </row>
        <row r="461">
          <cell r="A461" t="str">
            <v>23020027</v>
          </cell>
          <cell r="B461" t="str">
            <v>01</v>
          </cell>
          <cell r="C461" t="str">
            <v>MOHAN ENTERPRISES</v>
          </cell>
          <cell r="D461" t="str">
            <v>NO 39 V M</v>
          </cell>
          <cell r="E461" t="str">
            <v>2ND STREET</v>
          </cell>
          <cell r="G461" t="str">
            <v>TAMILNADU</v>
          </cell>
          <cell r="H461" t="str">
            <v>GUMMIDIPOONDI</v>
          </cell>
          <cell r="I461" t="str">
            <v>601 201</v>
          </cell>
          <cell r="J461" t="str">
            <v>003</v>
          </cell>
          <cell r="K461" t="str">
            <v>APPLIED</v>
          </cell>
          <cell r="L461" t="str">
            <v>N</v>
          </cell>
          <cell r="M461">
            <v>0</v>
          </cell>
          <cell r="O461" t="str">
            <v>N</v>
          </cell>
          <cell r="Q461" t="str">
            <v>477</v>
          </cell>
          <cell r="R461" t="str">
            <v>02</v>
          </cell>
          <cell r="S461" t="str">
            <v>02</v>
          </cell>
          <cell r="T461" t="str">
            <v>23</v>
          </cell>
          <cell r="U461">
            <v>5000</v>
          </cell>
          <cell r="X461" t="str">
            <v>30002</v>
          </cell>
          <cell r="Y461" t="str">
            <v>00477</v>
          </cell>
        </row>
        <row r="462">
          <cell r="A462" t="str">
            <v>23030000</v>
          </cell>
          <cell r="B462" t="str">
            <v>01</v>
          </cell>
          <cell r="C462" t="str">
            <v>C&amp;F AGENT    (MADUR)</v>
          </cell>
          <cell r="D462" t="str">
            <v>57-1, T.P.K.ROAD</v>
          </cell>
          <cell r="E462" t="str">
            <v>PYKARA</v>
          </cell>
          <cell r="G462" t="str">
            <v>TAMILNADU</v>
          </cell>
          <cell r="H462" t="str">
            <v>MADURAI</v>
          </cell>
          <cell r="I462" t="str">
            <v>636 016</v>
          </cell>
          <cell r="J462" t="str">
            <v>003</v>
          </cell>
          <cell r="K462" t="str">
            <v>TNGST:1320020/067</v>
          </cell>
          <cell r="L462" t="str">
            <v>N</v>
          </cell>
          <cell r="M462">
            <v>0</v>
          </cell>
          <cell r="N462" t="str">
            <v>CST: 2681/66-67</v>
          </cell>
          <cell r="O462" t="str">
            <v>N</v>
          </cell>
          <cell r="Q462" t="str">
            <v>830</v>
          </cell>
          <cell r="R462" t="str">
            <v>03</v>
          </cell>
          <cell r="S462" t="str">
            <v>03</v>
          </cell>
          <cell r="T462" t="str">
            <v>23</v>
          </cell>
          <cell r="U462">
            <v>0</v>
          </cell>
          <cell r="X462" t="str">
            <v>30001</v>
          </cell>
          <cell r="Y462" t="str">
            <v>00830</v>
          </cell>
        </row>
        <row r="463">
          <cell r="A463" t="str">
            <v>23030001</v>
          </cell>
          <cell r="B463" t="str">
            <v>01</v>
          </cell>
          <cell r="C463" t="str">
            <v>C&amp;F AGENT    (SALEM)</v>
          </cell>
          <cell r="D463" t="str">
            <v>PREMIER ROLLER MILLS COMPOUND</v>
          </cell>
          <cell r="E463" t="str">
            <v>102,ALGAPURAM MAIN ROAD</v>
          </cell>
          <cell r="F463" t="str">
            <v>NEAR FIVE ROAD</v>
          </cell>
          <cell r="G463" t="str">
            <v>TAMILNADU</v>
          </cell>
          <cell r="H463" t="str">
            <v>SALEM</v>
          </cell>
          <cell r="I463" t="str">
            <v>636 016</v>
          </cell>
          <cell r="J463" t="str">
            <v>003</v>
          </cell>
          <cell r="K463" t="str">
            <v>TNGST: 1320020/067</v>
          </cell>
          <cell r="L463" t="str">
            <v>N</v>
          </cell>
          <cell r="M463">
            <v>0</v>
          </cell>
          <cell r="N463" t="str">
            <v>CST:2681/66-67</v>
          </cell>
          <cell r="O463" t="str">
            <v>N</v>
          </cell>
          <cell r="Q463" t="str">
            <v>841</v>
          </cell>
          <cell r="R463" t="str">
            <v>03</v>
          </cell>
          <cell r="S463" t="str">
            <v>03</v>
          </cell>
          <cell r="T463" t="str">
            <v>23</v>
          </cell>
          <cell r="U463">
            <v>0</v>
          </cell>
          <cell r="X463" t="str">
            <v>30001</v>
          </cell>
          <cell r="Y463" t="str">
            <v>00841</v>
          </cell>
        </row>
        <row r="464">
          <cell r="A464" t="str">
            <v>23030002</v>
          </cell>
          <cell r="B464" t="str">
            <v>01</v>
          </cell>
          <cell r="C464" t="str">
            <v>M M BOOK CENTRE</v>
          </cell>
          <cell r="D464" t="str">
            <v>15,WEST CAR  STREET</v>
          </cell>
          <cell r="G464" t="str">
            <v>TAMILNADU</v>
          </cell>
          <cell r="H464" t="str">
            <v>SIRKALI</v>
          </cell>
          <cell r="I464" t="str">
            <v>609110</v>
          </cell>
          <cell r="J464" t="str">
            <v>003</v>
          </cell>
          <cell r="K464" t="str">
            <v>TNGST 4000146/207</v>
          </cell>
          <cell r="L464" t="str">
            <v>N</v>
          </cell>
          <cell r="M464">
            <v>0</v>
          </cell>
          <cell r="O464" t="str">
            <v>N</v>
          </cell>
          <cell r="Q464" t="str">
            <v>314</v>
          </cell>
          <cell r="R464" t="str">
            <v>03</v>
          </cell>
          <cell r="S464" t="str">
            <v>03</v>
          </cell>
          <cell r="T464" t="str">
            <v>23</v>
          </cell>
          <cell r="U464">
            <v>0</v>
          </cell>
          <cell r="X464" t="str">
            <v>30002</v>
          </cell>
          <cell r="Y464" t="str">
            <v>00314</v>
          </cell>
        </row>
        <row r="465">
          <cell r="A465" t="str">
            <v>23030003</v>
          </cell>
          <cell r="B465" t="str">
            <v>01</v>
          </cell>
          <cell r="C465" t="str">
            <v>S S P KRISHNAMOORTHY CHET</v>
          </cell>
          <cell r="D465" t="str">
            <v>11 WEST CAR STREET</v>
          </cell>
          <cell r="G465" t="str">
            <v>TAMILNADU</v>
          </cell>
          <cell r="H465" t="str">
            <v>CHIDAMBARAM</v>
          </cell>
          <cell r="I465" t="str">
            <v>608001</v>
          </cell>
          <cell r="J465" t="str">
            <v>003</v>
          </cell>
          <cell r="K465" t="str">
            <v>TNGST  4440026</v>
          </cell>
          <cell r="L465" t="str">
            <v>N</v>
          </cell>
          <cell r="M465">
            <v>0</v>
          </cell>
          <cell r="N465" t="str">
            <v>CST 383517/01.07.57</v>
          </cell>
          <cell r="O465" t="str">
            <v>N</v>
          </cell>
          <cell r="Q465" t="str">
            <v>315</v>
          </cell>
          <cell r="R465" t="str">
            <v>03</v>
          </cell>
          <cell r="S465" t="str">
            <v>03</v>
          </cell>
          <cell r="T465" t="str">
            <v>23</v>
          </cell>
          <cell r="X465" t="str">
            <v>30002</v>
          </cell>
          <cell r="Y465" t="str">
            <v>00315</v>
          </cell>
        </row>
        <row r="466">
          <cell r="A466" t="str">
            <v>23030004</v>
          </cell>
          <cell r="B466" t="str">
            <v>01</v>
          </cell>
          <cell r="C466" t="str">
            <v>RAJESWARI AGENCIES</v>
          </cell>
          <cell r="D466" t="str">
            <v>UNITE NO.3, DR RADHAKRISHNAN S</v>
          </cell>
          <cell r="E466" t="str">
            <v>BLOCK NO.8</v>
          </cell>
          <cell r="G466" t="str">
            <v>TAMILNADU</v>
          </cell>
          <cell r="H466" t="str">
            <v>NEYVELI</v>
          </cell>
          <cell r="I466" t="str">
            <v>607803</v>
          </cell>
          <cell r="J466" t="str">
            <v>003</v>
          </cell>
          <cell r="K466" t="str">
            <v>TNGST 4400581</v>
          </cell>
          <cell r="L466" t="str">
            <v>N</v>
          </cell>
          <cell r="M466">
            <v>0</v>
          </cell>
          <cell r="N466" t="str">
            <v>CST 382278</v>
          </cell>
          <cell r="O466" t="str">
            <v>N</v>
          </cell>
          <cell r="Q466" t="str">
            <v>316</v>
          </cell>
          <cell r="R466" t="str">
            <v>03</v>
          </cell>
          <cell r="S466" t="str">
            <v>03</v>
          </cell>
          <cell r="T466" t="str">
            <v>23</v>
          </cell>
          <cell r="X466" t="str">
            <v>30002</v>
          </cell>
          <cell r="Y466" t="str">
            <v>00316</v>
          </cell>
        </row>
        <row r="467">
          <cell r="A467" t="str">
            <v>23030006</v>
          </cell>
          <cell r="B467" t="str">
            <v>01</v>
          </cell>
          <cell r="C467" t="str">
            <v>SRI VENKATESWARA &amp; CO</v>
          </cell>
          <cell r="D467" t="str">
            <v>51 AMMAN SANNATHI</v>
          </cell>
          <cell r="G467" t="str">
            <v>TAMILNADU</v>
          </cell>
          <cell r="H467" t="str">
            <v>KARAIKUDI</v>
          </cell>
          <cell r="I467" t="str">
            <v>623001</v>
          </cell>
          <cell r="J467" t="str">
            <v>003</v>
          </cell>
          <cell r="K467" t="str">
            <v>TNGST  5480258/281</v>
          </cell>
          <cell r="L467" t="str">
            <v>N</v>
          </cell>
          <cell r="M467">
            <v>0</v>
          </cell>
          <cell r="O467" t="str">
            <v>N</v>
          </cell>
          <cell r="Q467" t="str">
            <v>318</v>
          </cell>
          <cell r="R467" t="str">
            <v>03</v>
          </cell>
          <cell r="S467" t="str">
            <v>03</v>
          </cell>
          <cell r="T467" t="str">
            <v>23</v>
          </cell>
          <cell r="X467" t="str">
            <v>30002</v>
          </cell>
          <cell r="Y467" t="str">
            <v>00318</v>
          </cell>
        </row>
        <row r="468">
          <cell r="A468" t="str">
            <v>23030007</v>
          </cell>
          <cell r="B468" t="str">
            <v>01</v>
          </cell>
          <cell r="C468" t="str">
            <v>DRUG STORES</v>
          </cell>
          <cell r="D468" t="str">
            <v>41,MARKET STREET</v>
          </cell>
          <cell r="G468" t="str">
            <v>TAMILNADU</v>
          </cell>
          <cell r="H468" t="str">
            <v>ARIYALUR</v>
          </cell>
          <cell r="I468" t="str">
            <v>621704</v>
          </cell>
          <cell r="J468" t="str">
            <v>003</v>
          </cell>
          <cell r="K468" t="str">
            <v>TNGST 3600211</v>
          </cell>
          <cell r="L468" t="str">
            <v>N</v>
          </cell>
          <cell r="M468">
            <v>0</v>
          </cell>
          <cell r="N468" t="str">
            <v>CST 5555/27-5-59</v>
          </cell>
          <cell r="O468" t="str">
            <v>N</v>
          </cell>
          <cell r="Q468" t="str">
            <v>319</v>
          </cell>
          <cell r="R468" t="str">
            <v>03</v>
          </cell>
          <cell r="S468" t="str">
            <v>03</v>
          </cell>
          <cell r="T468" t="str">
            <v>23</v>
          </cell>
          <cell r="X468" t="str">
            <v>30002</v>
          </cell>
          <cell r="Y468" t="str">
            <v>00319</v>
          </cell>
        </row>
        <row r="469">
          <cell r="A469" t="str">
            <v>23030008</v>
          </cell>
          <cell r="B469" t="str">
            <v>01</v>
          </cell>
          <cell r="C469" t="str">
            <v>SRI RAJESHWARI AGENCY</v>
          </cell>
          <cell r="D469" t="str">
            <v>28A/3, POLLACHI ROAD</v>
          </cell>
          <cell r="G469" t="str">
            <v>TAMIL NADU</v>
          </cell>
          <cell r="H469" t="str">
            <v>UDAMALPET</v>
          </cell>
          <cell r="I469" t="str">
            <v>642126</v>
          </cell>
          <cell r="J469" t="str">
            <v>003</v>
          </cell>
          <cell r="K469" t="str">
            <v>TNGST 2341386/1/2/2</v>
          </cell>
          <cell r="L469" t="str">
            <v>N</v>
          </cell>
          <cell r="M469">
            <v>0</v>
          </cell>
          <cell r="O469" t="str">
            <v>N</v>
          </cell>
          <cell r="Q469" t="str">
            <v>320</v>
          </cell>
          <cell r="R469" t="str">
            <v>03</v>
          </cell>
          <cell r="S469" t="str">
            <v>03</v>
          </cell>
          <cell r="T469" t="str">
            <v>23</v>
          </cell>
          <cell r="X469" t="str">
            <v>30002</v>
          </cell>
          <cell r="Y469" t="str">
            <v>00320</v>
          </cell>
        </row>
        <row r="470">
          <cell r="A470" t="str">
            <v>23030009</v>
          </cell>
          <cell r="B470" t="str">
            <v>01</v>
          </cell>
          <cell r="C470" t="str">
            <v>A.T.S.TRADERS</v>
          </cell>
          <cell r="D470" t="str">
            <v>74-B,NO 2.ROAD</v>
          </cell>
          <cell r="E470" t="str">
            <v>RAILADI</v>
          </cell>
          <cell r="G470" t="str">
            <v>TAMILNADU</v>
          </cell>
          <cell r="H470" t="str">
            <v>MAILADUTHURAI</v>
          </cell>
          <cell r="I470" t="str">
            <v>609003</v>
          </cell>
          <cell r="J470" t="str">
            <v>003</v>
          </cell>
          <cell r="K470" t="str">
            <v>TNGST 4040477/209</v>
          </cell>
          <cell r="L470" t="str">
            <v>N</v>
          </cell>
          <cell r="M470">
            <v>0</v>
          </cell>
          <cell r="N470" t="str">
            <v>CST 221411</v>
          </cell>
          <cell r="O470" t="str">
            <v>N</v>
          </cell>
          <cell r="Q470" t="str">
            <v>321</v>
          </cell>
          <cell r="R470" t="str">
            <v>03</v>
          </cell>
          <cell r="S470" t="str">
            <v>03</v>
          </cell>
          <cell r="T470" t="str">
            <v>23</v>
          </cell>
          <cell r="X470" t="str">
            <v>30002</v>
          </cell>
          <cell r="Y470" t="str">
            <v>00321</v>
          </cell>
        </row>
        <row r="471">
          <cell r="A471" t="str">
            <v>23030010</v>
          </cell>
          <cell r="B471" t="str">
            <v>01</v>
          </cell>
          <cell r="C471" t="str">
            <v>NATARAJ STORES</v>
          </cell>
          <cell r="D471" t="str">
            <v>10/4-11 WEST CAR STREET</v>
          </cell>
          <cell r="G471" t="str">
            <v>TAMILNADU</v>
          </cell>
          <cell r="H471" t="str">
            <v>NAGERCOIL</v>
          </cell>
          <cell r="I471" t="str">
            <v>629001</v>
          </cell>
          <cell r="J471" t="str">
            <v>003</v>
          </cell>
          <cell r="K471" t="str">
            <v>TNGST 5540009/284</v>
          </cell>
          <cell r="L471" t="str">
            <v>N</v>
          </cell>
          <cell r="M471">
            <v>0</v>
          </cell>
          <cell r="N471" t="str">
            <v>CST 450005 DT/28-6-57</v>
          </cell>
          <cell r="O471" t="str">
            <v>N</v>
          </cell>
          <cell r="Q471" t="str">
            <v>322</v>
          </cell>
          <cell r="R471" t="str">
            <v>03</v>
          </cell>
          <cell r="S471" t="str">
            <v>03</v>
          </cell>
          <cell r="T471" t="str">
            <v>23</v>
          </cell>
          <cell r="X471" t="str">
            <v>30001</v>
          </cell>
          <cell r="Y471" t="str">
            <v>00322</v>
          </cell>
        </row>
        <row r="472">
          <cell r="A472" t="str">
            <v>23030011</v>
          </cell>
          <cell r="B472" t="str">
            <v>01</v>
          </cell>
          <cell r="C472" t="str">
            <v>M GURUSWAMY CHETTIAR SON</v>
          </cell>
          <cell r="D472" t="str">
            <v>3432 SOUTH MAIN STREET</v>
          </cell>
          <cell r="G472" t="str">
            <v>TAMILNADU</v>
          </cell>
          <cell r="H472" t="str">
            <v>PUDUKOTTAI</v>
          </cell>
          <cell r="I472" t="str">
            <v>622001</v>
          </cell>
          <cell r="J472" t="str">
            <v>003</v>
          </cell>
          <cell r="K472" t="str">
            <v>TNGST  4100026/212</v>
          </cell>
          <cell r="L472" t="str">
            <v>N</v>
          </cell>
          <cell r="M472">
            <v>0</v>
          </cell>
          <cell r="O472" t="str">
            <v>N</v>
          </cell>
          <cell r="Q472" t="str">
            <v>323</v>
          </cell>
          <cell r="R472" t="str">
            <v>03</v>
          </cell>
          <cell r="S472" t="str">
            <v>03</v>
          </cell>
          <cell r="T472" t="str">
            <v>23</v>
          </cell>
          <cell r="X472" t="str">
            <v>30002</v>
          </cell>
          <cell r="Y472" t="str">
            <v>00323</v>
          </cell>
        </row>
        <row r="473">
          <cell r="A473" t="str">
            <v>23030012</v>
          </cell>
          <cell r="B473" t="str">
            <v>01</v>
          </cell>
          <cell r="C473" t="str">
            <v>SIVAM &amp; CO</v>
          </cell>
          <cell r="D473" t="str">
            <v>327 ARIVU NAGAR</v>
          </cell>
          <cell r="E473" t="str">
            <v>LECHATHOPE</v>
          </cell>
          <cell r="F473" t="str">
            <v>NANIAGULAM</v>
          </cell>
          <cell r="G473" t="str">
            <v>TAMILNADU</v>
          </cell>
          <cell r="H473" t="str">
            <v>PATTUKOTTAI</v>
          </cell>
          <cell r="I473" t="str">
            <v>614 602</v>
          </cell>
          <cell r="J473" t="str">
            <v>003</v>
          </cell>
          <cell r="K473" t="str">
            <v>TNGST 3920005/203</v>
          </cell>
          <cell r="L473" t="str">
            <v>N</v>
          </cell>
          <cell r="M473">
            <v>0</v>
          </cell>
          <cell r="N473" t="str">
            <v>CST 3001/1-7-57</v>
          </cell>
          <cell r="O473" t="str">
            <v>N</v>
          </cell>
          <cell r="Q473" t="str">
            <v>326</v>
          </cell>
          <cell r="R473" t="str">
            <v>03</v>
          </cell>
          <cell r="S473" t="str">
            <v>03</v>
          </cell>
          <cell r="T473" t="str">
            <v>23</v>
          </cell>
          <cell r="U473">
            <v>0</v>
          </cell>
          <cell r="X473" t="str">
            <v>30002</v>
          </cell>
          <cell r="Y473" t="str">
            <v>00326</v>
          </cell>
        </row>
        <row r="474">
          <cell r="A474" t="str">
            <v>23030013</v>
          </cell>
          <cell r="B474" t="str">
            <v>01</v>
          </cell>
          <cell r="C474" t="str">
            <v>V N BALAKRISHNA CHETTIAR</v>
          </cell>
          <cell r="D474" t="str">
            <v>P BOX NO 4</v>
          </cell>
          <cell r="G474" t="str">
            <v>TAMILNADU</v>
          </cell>
          <cell r="H474" t="str">
            <v>RAMNAD</v>
          </cell>
          <cell r="I474" t="str">
            <v>623501</v>
          </cell>
          <cell r="J474" t="str">
            <v>003</v>
          </cell>
          <cell r="K474" t="str">
            <v>TNGST 5440067/279</v>
          </cell>
          <cell r="L474" t="str">
            <v>N</v>
          </cell>
          <cell r="M474">
            <v>0</v>
          </cell>
          <cell r="N474" t="str">
            <v>CST 495005</v>
          </cell>
          <cell r="O474" t="str">
            <v>N</v>
          </cell>
          <cell r="Q474" t="str">
            <v>327</v>
          </cell>
          <cell r="R474" t="str">
            <v>03</v>
          </cell>
          <cell r="S474" t="str">
            <v>03</v>
          </cell>
          <cell r="T474" t="str">
            <v>23</v>
          </cell>
          <cell r="X474" t="str">
            <v>30002</v>
          </cell>
          <cell r="Y474" t="str">
            <v>00327</v>
          </cell>
        </row>
        <row r="475">
          <cell r="A475" t="str">
            <v>23030014</v>
          </cell>
          <cell r="B475" t="str">
            <v>01</v>
          </cell>
          <cell r="C475" t="str">
            <v>P A DHANDAYUTHAM CHETTIAR</v>
          </cell>
          <cell r="D475" t="str">
            <v>55/56 BIG BAZAAR STREET</v>
          </cell>
          <cell r="G475" t="str">
            <v>TAMILNADU</v>
          </cell>
          <cell r="H475" t="str">
            <v>DHARAPURAM</v>
          </cell>
          <cell r="I475" t="str">
            <v>638656</v>
          </cell>
          <cell r="J475" t="str">
            <v>003</v>
          </cell>
          <cell r="K475" t="str">
            <v>TNGST 717718</v>
          </cell>
          <cell r="L475" t="str">
            <v>N</v>
          </cell>
          <cell r="M475">
            <v>0</v>
          </cell>
          <cell r="O475" t="str">
            <v>N</v>
          </cell>
          <cell r="Q475" t="str">
            <v>328</v>
          </cell>
          <cell r="R475" t="str">
            <v>03</v>
          </cell>
          <cell r="S475" t="str">
            <v>03</v>
          </cell>
          <cell r="T475" t="str">
            <v>23</v>
          </cell>
          <cell r="X475" t="str">
            <v>30002</v>
          </cell>
          <cell r="Y475" t="str">
            <v>00328</v>
          </cell>
        </row>
        <row r="476">
          <cell r="A476" t="str">
            <v>23030015</v>
          </cell>
          <cell r="B476" t="str">
            <v>01</v>
          </cell>
          <cell r="C476" t="str">
            <v>SIVAM &amp; CO</v>
          </cell>
          <cell r="D476" t="str">
            <v>NO 7A ELLIYAMAN WEST STREET</v>
          </cell>
          <cell r="G476" t="str">
            <v>TAMILNADU</v>
          </cell>
          <cell r="H476" t="str">
            <v>THIRUVARUR</v>
          </cell>
          <cell r="I476" t="str">
            <v>610108</v>
          </cell>
          <cell r="J476" t="str">
            <v>003</v>
          </cell>
          <cell r="K476" t="str">
            <v>TNGST 3920005/203</v>
          </cell>
          <cell r="L476" t="str">
            <v>N</v>
          </cell>
          <cell r="M476">
            <v>0</v>
          </cell>
          <cell r="N476" t="str">
            <v>CST 3001/1-7-57</v>
          </cell>
          <cell r="O476" t="str">
            <v>N</v>
          </cell>
          <cell r="Q476" t="str">
            <v>329</v>
          </cell>
          <cell r="R476" t="str">
            <v>03</v>
          </cell>
          <cell r="S476" t="str">
            <v>03</v>
          </cell>
          <cell r="T476" t="str">
            <v>23</v>
          </cell>
          <cell r="X476" t="str">
            <v>30002</v>
          </cell>
          <cell r="Y476" t="str">
            <v>00329</v>
          </cell>
        </row>
        <row r="477">
          <cell r="A477" t="str">
            <v>23030016</v>
          </cell>
          <cell r="B477" t="str">
            <v>01</v>
          </cell>
          <cell r="C477" t="str">
            <v>NATARAJ STORES</v>
          </cell>
          <cell r="D477" t="str">
            <v>113 PERUMAL EAST CAR STREET</v>
          </cell>
          <cell r="E477" t="str">
            <v>P BOX NO 26</v>
          </cell>
          <cell r="G477" t="str">
            <v>TAMILNADU</v>
          </cell>
          <cell r="H477" t="str">
            <v>TIRUNELVELI</v>
          </cell>
          <cell r="I477" t="str">
            <v>627001</v>
          </cell>
          <cell r="J477" t="str">
            <v>003</v>
          </cell>
          <cell r="K477" t="str">
            <v>TNGST 5540009/284</v>
          </cell>
          <cell r="L477" t="str">
            <v>N</v>
          </cell>
          <cell r="M477">
            <v>0</v>
          </cell>
          <cell r="N477" t="str">
            <v>CST 450005/DT.28-6-57</v>
          </cell>
          <cell r="O477" t="str">
            <v>N</v>
          </cell>
          <cell r="Q477" t="str">
            <v>330</v>
          </cell>
          <cell r="R477" t="str">
            <v>03</v>
          </cell>
          <cell r="S477" t="str">
            <v>03</v>
          </cell>
          <cell r="T477" t="str">
            <v>23</v>
          </cell>
          <cell r="X477" t="str">
            <v>30001</v>
          </cell>
          <cell r="Y477" t="str">
            <v>00330</v>
          </cell>
        </row>
        <row r="478">
          <cell r="A478" t="str">
            <v>23030017</v>
          </cell>
          <cell r="B478" t="str">
            <v>01</v>
          </cell>
          <cell r="C478" t="str">
            <v>NELLAI SUPER MARKET</v>
          </cell>
          <cell r="D478" t="str">
            <v>(UNIT OF TIRUNELVELI CON, COOP</v>
          </cell>
          <cell r="E478" t="str">
            <v>STORES LTD)</v>
          </cell>
          <cell r="G478" t="str">
            <v>TAMILNADU</v>
          </cell>
          <cell r="H478" t="str">
            <v>TIRUNELVELI</v>
          </cell>
          <cell r="I478" t="str">
            <v>627001</v>
          </cell>
          <cell r="J478" t="str">
            <v>003</v>
          </cell>
          <cell r="K478" t="str">
            <v>TNGST 5540104</v>
          </cell>
          <cell r="L478" t="str">
            <v>N</v>
          </cell>
          <cell r="M478">
            <v>0</v>
          </cell>
          <cell r="N478" t="str">
            <v>CST  450192</v>
          </cell>
          <cell r="O478" t="str">
            <v>N</v>
          </cell>
          <cell r="Q478" t="str">
            <v>331</v>
          </cell>
          <cell r="R478" t="str">
            <v>03</v>
          </cell>
          <cell r="S478" t="str">
            <v>03</v>
          </cell>
          <cell r="T478" t="str">
            <v>23</v>
          </cell>
          <cell r="X478" t="str">
            <v>30002</v>
          </cell>
          <cell r="Y478" t="str">
            <v>00331</v>
          </cell>
        </row>
        <row r="479">
          <cell r="A479" t="str">
            <v>23030018</v>
          </cell>
          <cell r="B479" t="str">
            <v>01</v>
          </cell>
          <cell r="C479" t="str">
            <v>NATARAJ STORES</v>
          </cell>
          <cell r="D479" t="str">
            <v>135 GREAT COTTON ROAD</v>
          </cell>
          <cell r="G479" t="str">
            <v>TAMILNADU</v>
          </cell>
          <cell r="H479" t="str">
            <v>TUTICORIN</v>
          </cell>
          <cell r="I479" t="str">
            <v>628001</v>
          </cell>
          <cell r="J479" t="str">
            <v>003</v>
          </cell>
          <cell r="K479" t="str">
            <v>TNGST 5540009/284</v>
          </cell>
          <cell r="L479" t="str">
            <v>N</v>
          </cell>
          <cell r="M479">
            <v>0</v>
          </cell>
          <cell r="N479" t="str">
            <v>CST 450005/DT. 28-6-57</v>
          </cell>
          <cell r="O479" t="str">
            <v>N</v>
          </cell>
          <cell r="Q479" t="str">
            <v>332</v>
          </cell>
          <cell r="R479" t="str">
            <v>03</v>
          </cell>
          <cell r="S479" t="str">
            <v>03</v>
          </cell>
          <cell r="T479" t="str">
            <v>23</v>
          </cell>
          <cell r="X479" t="str">
            <v>30001</v>
          </cell>
          <cell r="Y479" t="str">
            <v>00332</v>
          </cell>
        </row>
        <row r="480">
          <cell r="A480" t="str">
            <v>23030019</v>
          </cell>
          <cell r="B480" t="str">
            <v>01</v>
          </cell>
          <cell r="C480" t="str">
            <v>SRI KAMATCHI TRADERS</v>
          </cell>
          <cell r="D480" t="str">
            <v>5/152-B KOLLEN PATTARAI STREET</v>
          </cell>
          <cell r="G480" t="str">
            <v>TAMILNADU</v>
          </cell>
          <cell r="H480" t="str">
            <v>PARAMAKUDI</v>
          </cell>
          <cell r="I480" t="str">
            <v>623707</v>
          </cell>
          <cell r="J480" t="str">
            <v>003</v>
          </cell>
          <cell r="K480" t="str">
            <v>TNGST 5420853/278</v>
          </cell>
          <cell r="L480" t="str">
            <v>N</v>
          </cell>
          <cell r="M480">
            <v>0</v>
          </cell>
          <cell r="O480" t="str">
            <v>Y</v>
          </cell>
          <cell r="Q480" t="str">
            <v>333</v>
          </cell>
          <cell r="R480" t="str">
            <v>03</v>
          </cell>
          <cell r="S480" t="str">
            <v>03</v>
          </cell>
          <cell r="T480" t="str">
            <v>23</v>
          </cell>
          <cell r="U480">
            <v>0</v>
          </cell>
          <cell r="X480" t="str">
            <v>30002</v>
          </cell>
          <cell r="Y480" t="str">
            <v>00333</v>
          </cell>
        </row>
        <row r="481">
          <cell r="A481" t="str">
            <v>23030020</v>
          </cell>
          <cell r="B481" t="str">
            <v>01</v>
          </cell>
          <cell r="C481" t="str">
            <v>KALIS AGENCY</v>
          </cell>
          <cell r="D481" t="str">
            <v>43, RAMAMURTHY ROAD</v>
          </cell>
          <cell r="G481" t="str">
            <v>TAMILNADU</v>
          </cell>
          <cell r="H481" t="str">
            <v>VIRUDHU NAGAR</v>
          </cell>
          <cell r="I481" t="str">
            <v>626001</v>
          </cell>
          <cell r="J481" t="str">
            <v>003</v>
          </cell>
          <cell r="K481" t="str">
            <v>TNGST 5720045/293</v>
          </cell>
          <cell r="L481" t="str">
            <v>N</v>
          </cell>
          <cell r="M481">
            <v>0</v>
          </cell>
          <cell r="N481" t="str">
            <v>CST 485504/2.6.67/7-02-01</v>
          </cell>
          <cell r="O481" t="str">
            <v>N</v>
          </cell>
          <cell r="Q481" t="str">
            <v>334</v>
          </cell>
          <cell r="R481" t="str">
            <v>03</v>
          </cell>
          <cell r="S481" t="str">
            <v>03</v>
          </cell>
          <cell r="T481" t="str">
            <v>23</v>
          </cell>
          <cell r="X481" t="str">
            <v>30002</v>
          </cell>
          <cell r="Y481" t="str">
            <v>00334</v>
          </cell>
        </row>
        <row r="482">
          <cell r="A482" t="str">
            <v>23030021</v>
          </cell>
          <cell r="B482" t="str">
            <v>01</v>
          </cell>
          <cell r="C482" t="str">
            <v>SIVAM &amp; COMPANY</v>
          </cell>
          <cell r="D482" t="str">
            <v>72,PERUMAL NORTH STREET</v>
          </cell>
          <cell r="G482" t="str">
            <v>TAMILNADU</v>
          </cell>
          <cell r="H482" t="str">
            <v>NAGAPATNAM</v>
          </cell>
          <cell r="I482" t="str">
            <v>611001</v>
          </cell>
          <cell r="J482" t="str">
            <v>003</v>
          </cell>
          <cell r="K482" t="str">
            <v>TNGST 3920005/203</v>
          </cell>
          <cell r="L482" t="str">
            <v>N</v>
          </cell>
          <cell r="M482">
            <v>0</v>
          </cell>
          <cell r="N482" t="str">
            <v>CST 223501</v>
          </cell>
          <cell r="O482" t="str">
            <v>N</v>
          </cell>
          <cell r="Q482" t="str">
            <v>335</v>
          </cell>
          <cell r="R482" t="str">
            <v>03</v>
          </cell>
          <cell r="S482" t="str">
            <v>03</v>
          </cell>
          <cell r="T482" t="str">
            <v>23</v>
          </cell>
          <cell r="X482" t="str">
            <v>30002</v>
          </cell>
          <cell r="Y482" t="str">
            <v>00335</v>
          </cell>
        </row>
        <row r="483">
          <cell r="A483" t="str">
            <v>23030022</v>
          </cell>
          <cell r="B483" t="str">
            <v>01</v>
          </cell>
          <cell r="C483" t="str">
            <v>KALIS AGENCY</v>
          </cell>
          <cell r="D483" t="str">
            <v>290, MUDANGIAR ROAD</v>
          </cell>
          <cell r="G483" t="str">
            <v>TAMILNADU</v>
          </cell>
          <cell r="H483" t="str">
            <v>RAJAPALAYAM</v>
          </cell>
          <cell r="I483" t="str">
            <v>626117</v>
          </cell>
          <cell r="J483" t="str">
            <v>003</v>
          </cell>
          <cell r="K483" t="str">
            <v>TNGST 5720045/293</v>
          </cell>
          <cell r="L483" t="str">
            <v>N</v>
          </cell>
          <cell r="M483">
            <v>0</v>
          </cell>
          <cell r="N483" t="str">
            <v>CST 485504</v>
          </cell>
          <cell r="O483" t="str">
            <v>N</v>
          </cell>
          <cell r="Q483" t="str">
            <v>336</v>
          </cell>
          <cell r="R483" t="str">
            <v>03</v>
          </cell>
          <cell r="S483" t="str">
            <v>03</v>
          </cell>
          <cell r="T483" t="str">
            <v>23</v>
          </cell>
          <cell r="X483" t="str">
            <v>30002</v>
          </cell>
          <cell r="Y483" t="str">
            <v>00336</v>
          </cell>
        </row>
        <row r="484">
          <cell r="A484" t="str">
            <v>23030023</v>
          </cell>
          <cell r="B484" t="str">
            <v>01</v>
          </cell>
          <cell r="C484" t="str">
            <v>VASANTHA AGENCIES</v>
          </cell>
          <cell r="D484" t="str">
            <v>17, AYYANAR KOIL STREET</v>
          </cell>
          <cell r="G484" t="str">
            <v>TAMILNADU</v>
          </cell>
          <cell r="H484" t="str">
            <v>VRIDHACHALAM</v>
          </cell>
          <cell r="I484" t="str">
            <v>606001</v>
          </cell>
          <cell r="J484" t="str">
            <v>003</v>
          </cell>
          <cell r="K484" t="str">
            <v>TNGST 4420459/228</v>
          </cell>
          <cell r="L484" t="str">
            <v>N</v>
          </cell>
          <cell r="M484">
            <v>0</v>
          </cell>
          <cell r="N484" t="str">
            <v>CST 394976</v>
          </cell>
          <cell r="O484" t="str">
            <v>N</v>
          </cell>
          <cell r="Q484" t="str">
            <v>337</v>
          </cell>
          <cell r="R484" t="str">
            <v>03</v>
          </cell>
          <cell r="S484" t="str">
            <v>03</v>
          </cell>
          <cell r="T484" t="str">
            <v>23</v>
          </cell>
          <cell r="X484" t="str">
            <v>30002</v>
          </cell>
          <cell r="Y484" t="str">
            <v>00337</v>
          </cell>
        </row>
        <row r="485">
          <cell r="A485" t="str">
            <v>23030024</v>
          </cell>
          <cell r="B485" t="str">
            <v>01</v>
          </cell>
          <cell r="C485" t="str">
            <v>ARAFATH AGENCY</v>
          </cell>
          <cell r="D485" t="str">
            <v>42,AMMAN SANNATHI STREET</v>
          </cell>
          <cell r="G485" t="str">
            <v>TAMILNADU</v>
          </cell>
          <cell r="H485" t="str">
            <v>TENKASI</v>
          </cell>
          <cell r="I485" t="str">
            <v>627811</v>
          </cell>
          <cell r="J485" t="str">
            <v>003</v>
          </cell>
          <cell r="K485" t="str">
            <v>TNGST 5681209/291</v>
          </cell>
          <cell r="L485" t="str">
            <v>N</v>
          </cell>
          <cell r="M485">
            <v>0</v>
          </cell>
          <cell r="O485" t="str">
            <v>N</v>
          </cell>
          <cell r="Q485" t="str">
            <v>338</v>
          </cell>
          <cell r="R485" t="str">
            <v>03</v>
          </cell>
          <cell r="S485" t="str">
            <v>03</v>
          </cell>
          <cell r="T485" t="str">
            <v>23</v>
          </cell>
          <cell r="X485" t="str">
            <v>30002</v>
          </cell>
          <cell r="Y485" t="str">
            <v>00338</v>
          </cell>
        </row>
        <row r="486">
          <cell r="A486" t="str">
            <v>23030025</v>
          </cell>
          <cell r="B486" t="str">
            <v>01</v>
          </cell>
          <cell r="C486" t="str">
            <v>SENTHIL SUDHA AGENCIES</v>
          </cell>
          <cell r="D486" t="str">
            <v>8-E, MARAGATHAM COLONY</v>
          </cell>
          <cell r="E486" t="str">
            <v>PALAYAMKOTTAI ROAD</v>
          </cell>
          <cell r="G486" t="str">
            <v>TAMILNADU</v>
          </cell>
          <cell r="H486" t="str">
            <v>TIRUCHENDUR</v>
          </cell>
          <cell r="I486" t="str">
            <v>628215</v>
          </cell>
          <cell r="J486" t="str">
            <v>003</v>
          </cell>
          <cell r="K486" t="str">
            <v>TNGST 5900738/302</v>
          </cell>
          <cell r="L486" t="str">
            <v>N</v>
          </cell>
          <cell r="M486">
            <v>0</v>
          </cell>
          <cell r="O486" t="str">
            <v>N</v>
          </cell>
          <cell r="Q486" t="str">
            <v>339</v>
          </cell>
          <cell r="R486" t="str">
            <v>03</v>
          </cell>
          <cell r="S486" t="str">
            <v>03</v>
          </cell>
          <cell r="T486" t="str">
            <v>23</v>
          </cell>
          <cell r="X486" t="str">
            <v>30002</v>
          </cell>
          <cell r="Y486" t="str">
            <v>00339</v>
          </cell>
        </row>
        <row r="487">
          <cell r="A487" t="str">
            <v>23030026</v>
          </cell>
          <cell r="B487" t="str">
            <v>01</v>
          </cell>
          <cell r="C487" t="str">
            <v>PRABHA AGENCIES</v>
          </cell>
          <cell r="D487" t="str">
            <v>(H.O.VIRUDHUNAGAR)</v>
          </cell>
          <cell r="E487" t="str">
            <v>31-A, ETTAYAPURAM ROAD</v>
          </cell>
          <cell r="G487" t="str">
            <v>TAMILNADU</v>
          </cell>
          <cell r="H487" t="str">
            <v>KOVILPATTI</v>
          </cell>
          <cell r="I487" t="str">
            <v>628 501</v>
          </cell>
          <cell r="J487" t="str">
            <v>003</v>
          </cell>
          <cell r="K487" t="str">
            <v>TNGST 5740474/294</v>
          </cell>
          <cell r="L487" t="str">
            <v>N</v>
          </cell>
          <cell r="M487">
            <v>0</v>
          </cell>
          <cell r="N487" t="str">
            <v>CST 498113/7;02;02</v>
          </cell>
          <cell r="O487" t="str">
            <v>N</v>
          </cell>
          <cell r="Q487" t="str">
            <v>340</v>
          </cell>
          <cell r="R487" t="str">
            <v>03</v>
          </cell>
          <cell r="S487" t="str">
            <v>03</v>
          </cell>
          <cell r="T487" t="str">
            <v>23</v>
          </cell>
          <cell r="U487">
            <v>0</v>
          </cell>
          <cell r="X487" t="str">
            <v>30002</v>
          </cell>
          <cell r="Y487" t="str">
            <v>00340</v>
          </cell>
        </row>
        <row r="488">
          <cell r="A488" t="str">
            <v>23030027</v>
          </cell>
          <cell r="B488" t="str">
            <v>01</v>
          </cell>
          <cell r="C488" t="str">
            <v>UNITED TRADERS</v>
          </cell>
          <cell r="D488" t="str">
            <v>EDEN GARDEN</v>
          </cell>
          <cell r="E488" t="str">
            <v>PAMMAM</v>
          </cell>
          <cell r="G488" t="str">
            <v>TAMILNADU</v>
          </cell>
          <cell r="H488" t="str">
            <v>MARTHANDAM,(K.K</v>
          </cell>
          <cell r="I488" t="str">
            <v>629165</v>
          </cell>
          <cell r="J488" t="str">
            <v>003</v>
          </cell>
          <cell r="K488" t="str">
            <v>TNGST 6180655/316</v>
          </cell>
          <cell r="L488" t="str">
            <v>N</v>
          </cell>
          <cell r="M488">
            <v>0</v>
          </cell>
          <cell r="O488" t="str">
            <v>N</v>
          </cell>
          <cell r="Q488" t="str">
            <v>341</v>
          </cell>
          <cell r="R488" t="str">
            <v>03</v>
          </cell>
          <cell r="S488" t="str">
            <v>03</v>
          </cell>
          <cell r="T488" t="str">
            <v>23</v>
          </cell>
          <cell r="U488">
            <v>0</v>
          </cell>
          <cell r="X488" t="str">
            <v>30002</v>
          </cell>
          <cell r="Y488" t="str">
            <v>00341</v>
          </cell>
        </row>
        <row r="489">
          <cell r="A489" t="str">
            <v>23030028</v>
          </cell>
          <cell r="B489" t="str">
            <v>01</v>
          </cell>
          <cell r="C489" t="str">
            <v>SREE SAMUNDEESWARI AGENCY</v>
          </cell>
          <cell r="D489" t="str">
            <v>133, PIDARI WEST STREET</v>
          </cell>
          <cell r="G489" t="str">
            <v>TAMILNADU</v>
          </cell>
          <cell r="H489" t="str">
            <v>SIRKALI</v>
          </cell>
          <cell r="I489" t="str">
            <v>609110</v>
          </cell>
          <cell r="J489" t="str">
            <v>003</v>
          </cell>
          <cell r="K489" t="str">
            <v>TNGST 4000797</v>
          </cell>
          <cell r="L489" t="str">
            <v>N</v>
          </cell>
          <cell r="M489">
            <v>0</v>
          </cell>
          <cell r="O489" t="str">
            <v>N</v>
          </cell>
          <cell r="Q489" t="str">
            <v>345</v>
          </cell>
          <cell r="R489" t="str">
            <v>03</v>
          </cell>
          <cell r="S489" t="str">
            <v>03</v>
          </cell>
          <cell r="T489" t="str">
            <v>23</v>
          </cell>
          <cell r="X489" t="str">
            <v>30002</v>
          </cell>
          <cell r="Y489" t="str">
            <v>00345</v>
          </cell>
        </row>
        <row r="490">
          <cell r="A490" t="str">
            <v>23030029</v>
          </cell>
          <cell r="B490" t="str">
            <v>01</v>
          </cell>
          <cell r="C490" t="str">
            <v>AVANTI AGENCIES</v>
          </cell>
          <cell r="D490" t="str">
            <v>27, EAST AYYAN STREET</v>
          </cell>
          <cell r="G490" t="str">
            <v>TAMILNADU</v>
          </cell>
          <cell r="H490" t="str">
            <v>KUMBAKONAM</v>
          </cell>
          <cell r="I490" t="str">
            <v>612001</v>
          </cell>
          <cell r="J490" t="str">
            <v>003</v>
          </cell>
          <cell r="K490" t="str">
            <v>TNGST 4080851/211</v>
          </cell>
          <cell r="L490" t="str">
            <v>N</v>
          </cell>
          <cell r="M490">
            <v>0</v>
          </cell>
          <cell r="O490" t="str">
            <v>N</v>
          </cell>
          <cell r="Q490" t="str">
            <v>346</v>
          </cell>
          <cell r="R490" t="str">
            <v>03</v>
          </cell>
          <cell r="S490" t="str">
            <v>03</v>
          </cell>
          <cell r="T490" t="str">
            <v>23</v>
          </cell>
          <cell r="X490" t="str">
            <v>30001</v>
          </cell>
          <cell r="Y490" t="str">
            <v>00346</v>
          </cell>
        </row>
        <row r="491">
          <cell r="A491" t="str">
            <v>23030030</v>
          </cell>
          <cell r="B491" t="str">
            <v>01</v>
          </cell>
          <cell r="C491" t="str">
            <v>GURUSWAMY CHETIAR AGENCIE</v>
          </cell>
          <cell r="D491" t="str">
            <v>45/D-5, VIRALIMALAI ROAD</v>
          </cell>
          <cell r="G491" t="str">
            <v>TAMILNADU</v>
          </cell>
          <cell r="H491" t="str">
            <v>MANAPPARAI</v>
          </cell>
          <cell r="J491" t="str">
            <v>003</v>
          </cell>
          <cell r="K491" t="str">
            <v>TNGST 3741083/194</v>
          </cell>
          <cell r="L491" t="str">
            <v>N</v>
          </cell>
          <cell r="M491">
            <v>0</v>
          </cell>
          <cell r="O491" t="str">
            <v>N</v>
          </cell>
          <cell r="Q491" t="str">
            <v>347</v>
          </cell>
          <cell r="R491" t="str">
            <v>03</v>
          </cell>
          <cell r="S491" t="str">
            <v>03</v>
          </cell>
          <cell r="T491" t="str">
            <v>23</v>
          </cell>
          <cell r="X491" t="str">
            <v>30002</v>
          </cell>
          <cell r="Y491" t="str">
            <v>00347</v>
          </cell>
        </row>
        <row r="492">
          <cell r="A492" t="str">
            <v>23030031</v>
          </cell>
          <cell r="B492" t="str">
            <v>01</v>
          </cell>
          <cell r="C492" t="str">
            <v>VENKATESHWARA TRADERS</v>
          </cell>
          <cell r="D492" t="str">
            <v>41, OPPANAKARA STREET</v>
          </cell>
          <cell r="G492" t="str">
            <v>TAMILNADU</v>
          </cell>
          <cell r="H492" t="str">
            <v>COIMBATORE</v>
          </cell>
          <cell r="I492" t="str">
            <v>641001</v>
          </cell>
          <cell r="J492" t="str">
            <v>003</v>
          </cell>
          <cell r="K492" t="str">
            <v>TNGST 4800100</v>
          </cell>
          <cell r="L492" t="str">
            <v>N</v>
          </cell>
          <cell r="M492">
            <v>0</v>
          </cell>
          <cell r="O492" t="str">
            <v>N</v>
          </cell>
          <cell r="Q492" t="str">
            <v>348</v>
          </cell>
          <cell r="R492" t="str">
            <v>03</v>
          </cell>
          <cell r="S492" t="str">
            <v>03</v>
          </cell>
          <cell r="T492" t="str">
            <v>23</v>
          </cell>
          <cell r="X492" t="str">
            <v>30001</v>
          </cell>
          <cell r="Y492" t="str">
            <v>00348</v>
          </cell>
        </row>
        <row r="493">
          <cell r="A493" t="str">
            <v>23030032</v>
          </cell>
          <cell r="B493" t="str">
            <v>01</v>
          </cell>
          <cell r="C493" t="str">
            <v>SANKAR SYNDICATE</v>
          </cell>
          <cell r="D493" t="str">
            <v>27,SENGUPTHA STREET</v>
          </cell>
          <cell r="E493" t="str">
            <v>RAMNAGAR</v>
          </cell>
          <cell r="G493" t="str">
            <v>TAMILNADU</v>
          </cell>
          <cell r="H493" t="str">
            <v>COIMBATORE</v>
          </cell>
          <cell r="I493" t="str">
            <v>641009</v>
          </cell>
          <cell r="J493" t="str">
            <v>003</v>
          </cell>
          <cell r="K493" t="str">
            <v>TNGST.2140247/112</v>
          </cell>
          <cell r="L493" t="str">
            <v>N</v>
          </cell>
          <cell r="M493">
            <v>0</v>
          </cell>
          <cell r="O493" t="str">
            <v>N</v>
          </cell>
          <cell r="Q493" t="str">
            <v>349</v>
          </cell>
          <cell r="R493" t="str">
            <v>03</v>
          </cell>
          <cell r="S493" t="str">
            <v>03</v>
          </cell>
          <cell r="T493" t="str">
            <v>23</v>
          </cell>
          <cell r="X493" t="str">
            <v>30001</v>
          </cell>
          <cell r="Y493" t="str">
            <v>00349</v>
          </cell>
        </row>
        <row r="494">
          <cell r="A494" t="str">
            <v>23030033</v>
          </cell>
          <cell r="B494" t="str">
            <v>01</v>
          </cell>
          <cell r="C494" t="str">
            <v>MURTI ENTERPRISES</v>
          </cell>
          <cell r="D494" t="str">
            <v>17/77 DONNINGTON ROAD</v>
          </cell>
          <cell r="G494" t="str">
            <v>TAMILNADU</v>
          </cell>
          <cell r="H494" t="str">
            <v>KOTAGIRI</v>
          </cell>
          <cell r="I494" t="str">
            <v>643217</v>
          </cell>
          <cell r="J494" t="str">
            <v>003</v>
          </cell>
          <cell r="K494" t="str">
            <v>TNGST 2560502/133</v>
          </cell>
          <cell r="L494" t="str">
            <v>N</v>
          </cell>
          <cell r="M494">
            <v>0</v>
          </cell>
          <cell r="O494" t="str">
            <v>N</v>
          </cell>
          <cell r="Q494" t="str">
            <v>350</v>
          </cell>
          <cell r="R494" t="str">
            <v>03</v>
          </cell>
          <cell r="S494" t="str">
            <v>03</v>
          </cell>
          <cell r="T494" t="str">
            <v>23</v>
          </cell>
          <cell r="X494" t="str">
            <v>30002</v>
          </cell>
          <cell r="Y494" t="str">
            <v>00350</v>
          </cell>
        </row>
        <row r="495">
          <cell r="A495" t="str">
            <v>23030034</v>
          </cell>
          <cell r="B495" t="str">
            <v>01</v>
          </cell>
          <cell r="C495" t="str">
            <v>HAJIAR &amp; CO (BRANCH)</v>
          </cell>
          <cell r="D495" t="str">
            <v>(H.O: METTUPALAYAM)</v>
          </cell>
          <cell r="E495" t="str">
            <v>4-E, SRI VISALAKSHI COMPLEX</v>
          </cell>
          <cell r="F495" t="str">
            <v>UPPER BAZAAR</v>
          </cell>
          <cell r="G495" t="str">
            <v>TAMILNADU</v>
          </cell>
          <cell r="H495" t="str">
            <v>UDAGAMANDALAM</v>
          </cell>
          <cell r="I495" t="str">
            <v>643001</v>
          </cell>
          <cell r="J495" t="str">
            <v>003</v>
          </cell>
          <cell r="K495" t="str">
            <v>TNGST 2040170/107</v>
          </cell>
          <cell r="L495" t="str">
            <v>N</v>
          </cell>
          <cell r="M495">
            <v>0</v>
          </cell>
          <cell r="O495" t="str">
            <v>N</v>
          </cell>
          <cell r="Q495" t="str">
            <v>351</v>
          </cell>
          <cell r="R495" t="str">
            <v>03</v>
          </cell>
          <cell r="S495" t="str">
            <v>03</v>
          </cell>
          <cell r="T495" t="str">
            <v>23</v>
          </cell>
          <cell r="U495">
            <v>0</v>
          </cell>
          <cell r="X495" t="str">
            <v>30001</v>
          </cell>
          <cell r="Y495" t="str">
            <v>00351</v>
          </cell>
        </row>
        <row r="496">
          <cell r="A496" t="str">
            <v>23030035</v>
          </cell>
          <cell r="B496" t="str">
            <v>01</v>
          </cell>
          <cell r="C496" t="str">
            <v>A V S &amp; CO</v>
          </cell>
          <cell r="D496" t="str">
            <v>264,GANDHI ROAD</v>
          </cell>
          <cell r="G496" t="str">
            <v>TAMILNADU</v>
          </cell>
          <cell r="H496" t="str">
            <v>KRISHNAGIRI</v>
          </cell>
          <cell r="I496" t="str">
            <v>635002</v>
          </cell>
          <cell r="J496" t="str">
            <v>003</v>
          </cell>
          <cell r="K496" t="str">
            <v>TNGST 3300134</v>
          </cell>
          <cell r="L496" t="str">
            <v>N</v>
          </cell>
          <cell r="M496">
            <v>0</v>
          </cell>
          <cell r="O496" t="str">
            <v>N</v>
          </cell>
          <cell r="Q496" t="str">
            <v>352</v>
          </cell>
          <cell r="R496" t="str">
            <v>03</v>
          </cell>
          <cell r="S496" t="str">
            <v>03</v>
          </cell>
          <cell r="T496" t="str">
            <v>23</v>
          </cell>
          <cell r="X496" t="str">
            <v>30002</v>
          </cell>
          <cell r="Y496" t="str">
            <v>00352</v>
          </cell>
        </row>
        <row r="497">
          <cell r="A497" t="str">
            <v>23030036</v>
          </cell>
          <cell r="B497" t="str">
            <v>01</v>
          </cell>
          <cell r="C497" t="str">
            <v>M.S.P.AGENCIES</v>
          </cell>
          <cell r="D497" t="str">
            <v>120,BIG BAZAAR STREET</v>
          </cell>
          <cell r="G497" t="str">
            <v>TAMILNADU</v>
          </cell>
          <cell r="H497" t="str">
            <v>DINDIGUL</v>
          </cell>
          <cell r="I497" t="str">
            <v>624001</v>
          </cell>
          <cell r="J497" t="str">
            <v>003</v>
          </cell>
          <cell r="K497" t="str">
            <v>TNGST 5220365/268</v>
          </cell>
          <cell r="L497" t="str">
            <v>N</v>
          </cell>
          <cell r="M497">
            <v>0</v>
          </cell>
          <cell r="N497" t="str">
            <v>CST 127395/21.09.88</v>
          </cell>
          <cell r="O497" t="str">
            <v>N</v>
          </cell>
          <cell r="Q497" t="str">
            <v>353</v>
          </cell>
          <cell r="R497" t="str">
            <v>03</v>
          </cell>
          <cell r="S497" t="str">
            <v>03</v>
          </cell>
          <cell r="T497" t="str">
            <v>23</v>
          </cell>
          <cell r="X497" t="str">
            <v>30001</v>
          </cell>
          <cell r="Y497" t="str">
            <v>00353</v>
          </cell>
        </row>
        <row r="498">
          <cell r="A498" t="str">
            <v>23030037</v>
          </cell>
          <cell r="B498" t="str">
            <v>01</v>
          </cell>
          <cell r="C498" t="str">
            <v>SRI SHAPTHAGIRI AGENCIES</v>
          </cell>
          <cell r="D498" t="str">
            <v>136,AGRAHARA STREET</v>
          </cell>
          <cell r="G498" t="str">
            <v>TAMILNADU</v>
          </cell>
          <cell r="H498" t="str">
            <v>ERODE</v>
          </cell>
          <cell r="I498" t="str">
            <v>638001</v>
          </cell>
          <cell r="J498" t="str">
            <v>003</v>
          </cell>
          <cell r="K498" t="str">
            <v>TNGST 2880660/151</v>
          </cell>
          <cell r="L498" t="str">
            <v>N</v>
          </cell>
          <cell r="M498">
            <v>0</v>
          </cell>
          <cell r="O498" t="str">
            <v>N</v>
          </cell>
          <cell r="Q498" t="str">
            <v>354</v>
          </cell>
          <cell r="R498" t="str">
            <v>03</v>
          </cell>
          <cell r="S498" t="str">
            <v>03</v>
          </cell>
          <cell r="T498" t="str">
            <v>23</v>
          </cell>
          <cell r="X498" t="str">
            <v>30001</v>
          </cell>
          <cell r="Y498" t="str">
            <v>00354</v>
          </cell>
        </row>
        <row r="499">
          <cell r="A499" t="str">
            <v>23030038</v>
          </cell>
          <cell r="B499" t="str">
            <v>01</v>
          </cell>
          <cell r="C499" t="str">
            <v>THE PERIYAR DIST. CONS.</v>
          </cell>
          <cell r="D499" t="str">
            <v>COOP WHOLESALE STORES LTD</v>
          </cell>
          <cell r="E499" t="str">
            <v>124-A,PERUNDURAI ROAD</v>
          </cell>
          <cell r="G499" t="str">
            <v>TAMILNADU</v>
          </cell>
          <cell r="H499" t="str">
            <v>ERODE</v>
          </cell>
          <cell r="I499" t="str">
            <v>638011</v>
          </cell>
          <cell r="J499" t="str">
            <v>003</v>
          </cell>
          <cell r="K499" t="str">
            <v>TNGST:2880102/151</v>
          </cell>
          <cell r="L499" t="str">
            <v>N</v>
          </cell>
          <cell r="M499">
            <v>0</v>
          </cell>
          <cell r="N499" t="str">
            <v>CST:433446/21.08.66</v>
          </cell>
          <cell r="O499" t="str">
            <v>N</v>
          </cell>
          <cell r="Q499" t="str">
            <v>355</v>
          </cell>
          <cell r="R499" t="str">
            <v>03</v>
          </cell>
          <cell r="S499" t="str">
            <v>03</v>
          </cell>
          <cell r="T499" t="str">
            <v>23</v>
          </cell>
          <cell r="X499" t="str">
            <v>30001</v>
          </cell>
          <cell r="Y499" t="str">
            <v>00355</v>
          </cell>
        </row>
        <row r="500">
          <cell r="A500" t="str">
            <v>23030039</v>
          </cell>
          <cell r="B500" t="str">
            <v>01</v>
          </cell>
          <cell r="C500" t="str">
            <v>SRI KAMALAMBIGAI AGENCIES</v>
          </cell>
          <cell r="D500" t="str">
            <v>666 JAWAHAR BAZAR</v>
          </cell>
          <cell r="G500" t="str">
            <v>TAMILNADU</v>
          </cell>
          <cell r="H500" t="str">
            <v>KARUR</v>
          </cell>
          <cell r="I500" t="str">
            <v>639001</v>
          </cell>
          <cell r="J500" t="str">
            <v>003</v>
          </cell>
          <cell r="K500" t="str">
            <v>TNGST 3660437</v>
          </cell>
          <cell r="L500" t="str">
            <v>N</v>
          </cell>
          <cell r="M500">
            <v>0</v>
          </cell>
          <cell r="O500" t="str">
            <v>N</v>
          </cell>
          <cell r="Q500" t="str">
            <v>356</v>
          </cell>
          <cell r="R500" t="str">
            <v>03</v>
          </cell>
          <cell r="S500" t="str">
            <v>03</v>
          </cell>
          <cell r="T500" t="str">
            <v>23</v>
          </cell>
          <cell r="X500" t="str">
            <v>30001</v>
          </cell>
          <cell r="Y500" t="str">
            <v>00356</v>
          </cell>
        </row>
        <row r="501">
          <cell r="A501" t="str">
            <v>23030040</v>
          </cell>
          <cell r="B501" t="str">
            <v>01</v>
          </cell>
          <cell r="C501" t="str">
            <v>MEENAKSHI SYNDICATE</v>
          </cell>
          <cell r="D501" t="str">
            <v>A-7 GANDHIJI ROAD</v>
          </cell>
          <cell r="E501" t="str">
            <v>N R T NAGAR</v>
          </cell>
          <cell r="G501" t="str">
            <v>TAMILNADU</v>
          </cell>
          <cell r="H501" t="str">
            <v>THENI</v>
          </cell>
          <cell r="I501" t="str">
            <v>626531</v>
          </cell>
          <cell r="J501" t="str">
            <v>003</v>
          </cell>
          <cell r="K501" t="str">
            <v>TNGST 5180748/266</v>
          </cell>
          <cell r="L501" t="str">
            <v>N</v>
          </cell>
          <cell r="M501">
            <v>0</v>
          </cell>
          <cell r="O501" t="str">
            <v>N</v>
          </cell>
          <cell r="Q501" t="str">
            <v>357</v>
          </cell>
          <cell r="R501" t="str">
            <v>03</v>
          </cell>
          <cell r="S501" t="str">
            <v>03</v>
          </cell>
          <cell r="T501" t="str">
            <v>23</v>
          </cell>
          <cell r="X501" t="str">
            <v>30002</v>
          </cell>
          <cell r="Y501" t="str">
            <v>00357</v>
          </cell>
        </row>
        <row r="502">
          <cell r="A502" t="str">
            <v>23030041</v>
          </cell>
          <cell r="B502" t="str">
            <v>01</v>
          </cell>
          <cell r="C502" t="str">
            <v>SHUNMUGA AGENCIES</v>
          </cell>
          <cell r="D502" t="str">
            <v>22,DR.BESANT ROAD</v>
          </cell>
          <cell r="G502" t="str">
            <v>TAMILNADU</v>
          </cell>
          <cell r="H502" t="str">
            <v>KUMBAKONAM</v>
          </cell>
          <cell r="I502" t="str">
            <v>612001</v>
          </cell>
          <cell r="J502" t="str">
            <v>003</v>
          </cell>
          <cell r="K502" t="str">
            <v>TNGST 3940600/204</v>
          </cell>
          <cell r="L502" t="str">
            <v>N</v>
          </cell>
          <cell r="M502">
            <v>0</v>
          </cell>
          <cell r="O502" t="str">
            <v>N</v>
          </cell>
          <cell r="Q502" t="str">
            <v>358</v>
          </cell>
          <cell r="R502" t="str">
            <v>03</v>
          </cell>
          <cell r="S502" t="str">
            <v>03</v>
          </cell>
          <cell r="T502" t="str">
            <v>23</v>
          </cell>
          <cell r="X502" t="str">
            <v>30001</v>
          </cell>
          <cell r="Y502" t="str">
            <v>00358</v>
          </cell>
        </row>
        <row r="503">
          <cell r="A503" t="str">
            <v>23030042</v>
          </cell>
          <cell r="B503" t="str">
            <v>01</v>
          </cell>
          <cell r="C503" t="str">
            <v>VISALAKSHI MARKETINGS</v>
          </cell>
          <cell r="D503" t="str">
            <v>4, EAST NAPPALAYAM LANE</v>
          </cell>
          <cell r="E503" t="str">
            <v>EAST MASI STREET</v>
          </cell>
          <cell r="G503" t="str">
            <v>TAMILNADU</v>
          </cell>
          <cell r="H503" t="str">
            <v>MADURAI</v>
          </cell>
          <cell r="I503" t="str">
            <v>625001</v>
          </cell>
          <cell r="J503" t="str">
            <v>003</v>
          </cell>
          <cell r="K503" t="str">
            <v>TNGST 4961181/2/5/5</v>
          </cell>
          <cell r="L503" t="str">
            <v>N</v>
          </cell>
          <cell r="M503">
            <v>0</v>
          </cell>
          <cell r="N503" t="str">
            <v>CST 121312</v>
          </cell>
          <cell r="O503" t="str">
            <v>N</v>
          </cell>
          <cell r="Q503" t="str">
            <v>359</v>
          </cell>
          <cell r="R503" t="str">
            <v>03</v>
          </cell>
          <cell r="S503" t="str">
            <v>03</v>
          </cell>
          <cell r="T503" t="str">
            <v>23</v>
          </cell>
          <cell r="X503" t="str">
            <v>30002</v>
          </cell>
          <cell r="Y503" t="str">
            <v>00359</v>
          </cell>
        </row>
        <row r="504">
          <cell r="A504" t="str">
            <v>23030043</v>
          </cell>
          <cell r="B504" t="str">
            <v>01</v>
          </cell>
          <cell r="C504" t="str">
            <v>THE MADURAI DIST PANDIAN</v>
          </cell>
          <cell r="D504" t="str">
            <v>162 EAST VELI STREET</v>
          </cell>
          <cell r="G504" t="str">
            <v>TAMILNADU</v>
          </cell>
          <cell r="H504" t="str">
            <v>MADURAI</v>
          </cell>
          <cell r="I504" t="str">
            <v>625001</v>
          </cell>
          <cell r="J504" t="str">
            <v>003</v>
          </cell>
          <cell r="K504" t="str">
            <v>TNGST 413086</v>
          </cell>
          <cell r="L504" t="str">
            <v>N</v>
          </cell>
          <cell r="M504">
            <v>0</v>
          </cell>
          <cell r="N504" t="str">
            <v>CST  1114/2-7-57</v>
          </cell>
          <cell r="O504" t="str">
            <v>N</v>
          </cell>
          <cell r="Q504" t="str">
            <v>360</v>
          </cell>
          <cell r="R504" t="str">
            <v>03</v>
          </cell>
          <cell r="S504" t="str">
            <v>03</v>
          </cell>
          <cell r="T504" t="str">
            <v>23</v>
          </cell>
          <cell r="X504" t="str">
            <v>30002</v>
          </cell>
          <cell r="Y504" t="str">
            <v>00360</v>
          </cell>
        </row>
        <row r="505">
          <cell r="A505" t="str">
            <v>23030044</v>
          </cell>
          <cell r="B505" t="str">
            <v>01</v>
          </cell>
          <cell r="C505" t="str">
            <v>RAMNAD DT COOP SUPPLY &amp;</v>
          </cell>
          <cell r="D505" t="str">
            <v>MARKETING SOCIETY LTD</v>
          </cell>
          <cell r="E505" t="str">
            <v>165 VAKIL NEW STREET</v>
          </cell>
          <cell r="G505" t="str">
            <v>TAMILNADU</v>
          </cell>
          <cell r="H505" t="str">
            <v>MADURAI</v>
          </cell>
          <cell r="I505" t="str">
            <v>625001</v>
          </cell>
          <cell r="J505" t="str">
            <v>003</v>
          </cell>
          <cell r="K505" t="str">
            <v>TNGST 18502/70-71</v>
          </cell>
          <cell r="L505" t="str">
            <v>N</v>
          </cell>
          <cell r="M505">
            <v>0</v>
          </cell>
          <cell r="N505" t="str">
            <v>CST 5504/29-6-57</v>
          </cell>
          <cell r="O505" t="str">
            <v>N</v>
          </cell>
          <cell r="Q505" t="str">
            <v>361</v>
          </cell>
          <cell r="R505" t="str">
            <v>03</v>
          </cell>
          <cell r="S505" t="str">
            <v>03</v>
          </cell>
          <cell r="T505" t="str">
            <v>23</v>
          </cell>
          <cell r="X505" t="str">
            <v>30002</v>
          </cell>
          <cell r="Y505" t="str">
            <v>00361</v>
          </cell>
        </row>
        <row r="506">
          <cell r="A506" t="str">
            <v>23030045</v>
          </cell>
          <cell r="B506" t="str">
            <v>01</v>
          </cell>
          <cell r="C506" t="str">
            <v>THE MADURA COATS WORKERS</v>
          </cell>
          <cell r="D506" t="str">
            <v>2,3 ARAPALAYAM CROSS ROAD</v>
          </cell>
          <cell r="E506" t="str">
            <v>PONNAGARAM</v>
          </cell>
          <cell r="G506" t="str">
            <v>TAMILNADU</v>
          </cell>
          <cell r="H506" t="str">
            <v>MADURAI</v>
          </cell>
          <cell r="I506" t="str">
            <v>625010</v>
          </cell>
          <cell r="J506" t="str">
            <v>003</v>
          </cell>
          <cell r="K506" t="str">
            <v>TNGST 5020022/258</v>
          </cell>
          <cell r="L506" t="str">
            <v>N</v>
          </cell>
          <cell r="M506">
            <v>0</v>
          </cell>
          <cell r="N506" t="str">
            <v>CST 102007/81</v>
          </cell>
          <cell r="O506" t="str">
            <v>N</v>
          </cell>
          <cell r="Q506" t="str">
            <v>362</v>
          </cell>
          <cell r="R506" t="str">
            <v>03</v>
          </cell>
          <cell r="S506" t="str">
            <v>03</v>
          </cell>
          <cell r="T506" t="str">
            <v>23</v>
          </cell>
          <cell r="X506" t="str">
            <v>30002</v>
          </cell>
          <cell r="Y506" t="str">
            <v>00362</v>
          </cell>
        </row>
        <row r="507">
          <cell r="A507" t="str">
            <v>23030046</v>
          </cell>
          <cell r="B507" t="str">
            <v>01</v>
          </cell>
          <cell r="C507" t="str">
            <v>PADHMAVATHI AGENCIES</v>
          </cell>
          <cell r="D507" t="str">
            <v>12 BAZAAR STREET</v>
          </cell>
          <cell r="G507" t="str">
            <v>TAMILNADU</v>
          </cell>
          <cell r="H507" t="str">
            <v>NAMAKKAL</v>
          </cell>
          <cell r="I507" t="str">
            <v>637001</v>
          </cell>
          <cell r="J507" t="str">
            <v>003</v>
          </cell>
          <cell r="K507" t="str">
            <v>TNGST 3120188/163</v>
          </cell>
          <cell r="L507" t="str">
            <v>N</v>
          </cell>
          <cell r="M507">
            <v>0</v>
          </cell>
          <cell r="N507" t="str">
            <v>CST 1312</v>
          </cell>
          <cell r="O507" t="str">
            <v>N</v>
          </cell>
          <cell r="Q507" t="str">
            <v>363</v>
          </cell>
          <cell r="R507" t="str">
            <v>03</v>
          </cell>
          <cell r="S507" t="str">
            <v>03</v>
          </cell>
          <cell r="T507" t="str">
            <v>23</v>
          </cell>
          <cell r="X507" t="str">
            <v>30001</v>
          </cell>
          <cell r="Y507" t="str">
            <v>00363</v>
          </cell>
        </row>
        <row r="508">
          <cell r="A508" t="str">
            <v>23030047</v>
          </cell>
          <cell r="B508" t="str">
            <v>01</v>
          </cell>
          <cell r="C508" t="str">
            <v>B G MALIGAI</v>
          </cell>
          <cell r="D508" t="str">
            <v>36 BAZZAR STREET</v>
          </cell>
          <cell r="G508" t="str">
            <v>TAMILNADU</v>
          </cell>
          <cell r="H508" t="str">
            <v>POLLACHI</v>
          </cell>
          <cell r="I508" t="str">
            <v>642001</v>
          </cell>
          <cell r="J508" t="str">
            <v>003</v>
          </cell>
          <cell r="K508" t="str">
            <v>TNGST 2260243/118</v>
          </cell>
          <cell r="L508" t="str">
            <v>N</v>
          </cell>
          <cell r="M508">
            <v>0</v>
          </cell>
          <cell r="O508" t="str">
            <v>N</v>
          </cell>
          <cell r="Q508" t="str">
            <v>364</v>
          </cell>
          <cell r="R508" t="str">
            <v>03</v>
          </cell>
          <cell r="S508" t="str">
            <v>03</v>
          </cell>
          <cell r="T508" t="str">
            <v>23</v>
          </cell>
          <cell r="X508" t="str">
            <v>30001</v>
          </cell>
          <cell r="Y508" t="str">
            <v>00364</v>
          </cell>
        </row>
        <row r="509">
          <cell r="A509" t="str">
            <v>23030048</v>
          </cell>
          <cell r="B509" t="str">
            <v>01</v>
          </cell>
          <cell r="C509" t="str">
            <v>THRIVENI TRADERS</v>
          </cell>
          <cell r="D509" t="str">
            <v>99,DEIVANAYAGAM STREET</v>
          </cell>
          <cell r="E509" t="str">
            <v>SHEVAPET</v>
          </cell>
          <cell r="G509" t="str">
            <v>TAMILNADU</v>
          </cell>
          <cell r="H509" t="str">
            <v>SALEM</v>
          </cell>
          <cell r="I509" t="str">
            <v>636002</v>
          </cell>
          <cell r="J509" t="str">
            <v>003</v>
          </cell>
          <cell r="K509" t="str">
            <v>TNGST 2660398</v>
          </cell>
          <cell r="L509" t="str">
            <v>N</v>
          </cell>
          <cell r="M509">
            <v>0</v>
          </cell>
          <cell r="O509" t="str">
            <v>N</v>
          </cell>
          <cell r="Q509" t="str">
            <v>365</v>
          </cell>
          <cell r="R509" t="str">
            <v>03</v>
          </cell>
          <cell r="S509" t="str">
            <v>03</v>
          </cell>
          <cell r="T509" t="str">
            <v>23</v>
          </cell>
          <cell r="X509" t="str">
            <v>30001</v>
          </cell>
          <cell r="Y509" t="str">
            <v>00365</v>
          </cell>
        </row>
        <row r="510">
          <cell r="A510" t="str">
            <v>23030049</v>
          </cell>
          <cell r="B510" t="str">
            <v>01</v>
          </cell>
          <cell r="C510" t="str">
            <v>K.T.R.AGENCIES</v>
          </cell>
          <cell r="D510" t="str">
            <v>19, SECOND STREET</v>
          </cell>
          <cell r="E510" t="str">
            <v>PARISUTHAM NAGAR</v>
          </cell>
          <cell r="G510" t="str">
            <v>TAMILNADU</v>
          </cell>
          <cell r="H510" t="str">
            <v>THANJAVUR</v>
          </cell>
          <cell r="I510" t="str">
            <v>613007</v>
          </cell>
          <cell r="J510" t="str">
            <v>003</v>
          </cell>
          <cell r="K510" t="str">
            <v>TNGST 3821152/198</v>
          </cell>
          <cell r="L510" t="str">
            <v>N</v>
          </cell>
          <cell r="M510">
            <v>0</v>
          </cell>
          <cell r="N510" t="str">
            <v>CST 235875</v>
          </cell>
          <cell r="O510" t="str">
            <v>N</v>
          </cell>
          <cell r="Q510" t="str">
            <v>366</v>
          </cell>
          <cell r="R510" t="str">
            <v>03</v>
          </cell>
          <cell r="S510" t="str">
            <v>03</v>
          </cell>
          <cell r="T510" t="str">
            <v>23</v>
          </cell>
          <cell r="X510" t="str">
            <v>30001</v>
          </cell>
          <cell r="Y510" t="str">
            <v>00366</v>
          </cell>
        </row>
        <row r="511">
          <cell r="A511" t="str">
            <v>23030050</v>
          </cell>
          <cell r="B511" t="str">
            <v>01</v>
          </cell>
          <cell r="C511" t="str">
            <v>ANAND AGENCIES</v>
          </cell>
          <cell r="D511" t="str">
            <v>34 MANIAM STREET</v>
          </cell>
          <cell r="E511" t="str">
            <v>VALLIPALAYAM</v>
          </cell>
          <cell r="G511" t="str">
            <v>TAMILNADU</v>
          </cell>
          <cell r="H511" t="str">
            <v>TIRUPPUR</v>
          </cell>
          <cell r="I511" t="str">
            <v>641 601</v>
          </cell>
          <cell r="J511" t="str">
            <v>003</v>
          </cell>
          <cell r="K511" t="str">
            <v>TNGST 2400202</v>
          </cell>
          <cell r="L511" t="str">
            <v>N</v>
          </cell>
          <cell r="M511">
            <v>0</v>
          </cell>
          <cell r="O511" t="str">
            <v>N</v>
          </cell>
          <cell r="Q511" t="str">
            <v>367</v>
          </cell>
          <cell r="R511" t="str">
            <v>03</v>
          </cell>
          <cell r="S511" t="str">
            <v>03</v>
          </cell>
          <cell r="T511" t="str">
            <v>23</v>
          </cell>
          <cell r="U511">
            <v>0</v>
          </cell>
          <cell r="X511" t="str">
            <v>30001</v>
          </cell>
          <cell r="Y511" t="str">
            <v>00367</v>
          </cell>
        </row>
        <row r="512">
          <cell r="A512" t="str">
            <v>23030051</v>
          </cell>
          <cell r="B512" t="str">
            <v>01</v>
          </cell>
          <cell r="C512" t="str">
            <v>KRISHNA TRADES</v>
          </cell>
          <cell r="D512" t="str">
            <v>ARUNACHALA MANRAM</v>
          </cell>
          <cell r="E512" t="str">
            <v>MAIN GAURD GATE</v>
          </cell>
          <cell r="G512" t="str">
            <v>TAMILNADU</v>
          </cell>
          <cell r="H512" t="str">
            <v>TRICHY</v>
          </cell>
          <cell r="I512" t="str">
            <v>620002</v>
          </cell>
          <cell r="J512" t="str">
            <v>003</v>
          </cell>
          <cell r="K512" t="str">
            <v>TNGST 3580019</v>
          </cell>
          <cell r="L512" t="str">
            <v>N</v>
          </cell>
          <cell r="M512">
            <v>0</v>
          </cell>
          <cell r="N512" t="str">
            <v>CST 1404/26-5-62</v>
          </cell>
          <cell r="O512" t="str">
            <v>N</v>
          </cell>
          <cell r="Q512" t="str">
            <v>368</v>
          </cell>
          <cell r="R512" t="str">
            <v>03</v>
          </cell>
          <cell r="S512" t="str">
            <v>03</v>
          </cell>
          <cell r="T512" t="str">
            <v>23</v>
          </cell>
          <cell r="X512" t="str">
            <v>30001</v>
          </cell>
          <cell r="Y512" t="str">
            <v>00368</v>
          </cell>
        </row>
        <row r="513">
          <cell r="A513" t="str">
            <v>23030052</v>
          </cell>
          <cell r="B513" t="str">
            <v>01</v>
          </cell>
          <cell r="C513" t="str">
            <v>THE TRICHY DT. AMARAVATHI</v>
          </cell>
          <cell r="D513" t="str">
            <v>CONSUMERS CO.OP WHOLE SALE ST.</v>
          </cell>
          <cell r="E513" t="str">
            <v>L.N.P.BUILDINGS</v>
          </cell>
          <cell r="F513" t="str">
            <v>NO:1, OLD GOODSHED ROAD</v>
          </cell>
          <cell r="G513" t="str">
            <v>TAMILNADU</v>
          </cell>
          <cell r="H513" t="str">
            <v>TRICHY</v>
          </cell>
          <cell r="I513" t="str">
            <v>620002</v>
          </cell>
          <cell r="J513" t="str">
            <v>003</v>
          </cell>
          <cell r="K513" t="str">
            <v>TNGST 102623</v>
          </cell>
          <cell r="L513" t="str">
            <v>N</v>
          </cell>
          <cell r="M513">
            <v>0</v>
          </cell>
          <cell r="N513" t="str">
            <v>CST 343</v>
          </cell>
          <cell r="O513" t="str">
            <v>N</v>
          </cell>
          <cell r="Q513" t="str">
            <v>369</v>
          </cell>
          <cell r="R513" t="str">
            <v>03</v>
          </cell>
          <cell r="S513" t="str">
            <v>03</v>
          </cell>
          <cell r="T513" t="str">
            <v>23</v>
          </cell>
          <cell r="U513">
            <v>0</v>
          </cell>
          <cell r="X513" t="str">
            <v>30001</v>
          </cell>
          <cell r="Y513" t="str">
            <v>00369</v>
          </cell>
        </row>
        <row r="514">
          <cell r="A514" t="str">
            <v>23030053</v>
          </cell>
          <cell r="B514" t="str">
            <v>01</v>
          </cell>
          <cell r="C514" t="str">
            <v>TRICHY DIST CON WHOLESALE</v>
          </cell>
          <cell r="D514" t="str">
            <v>STORES,CHINTAMANI SUPER MARKET</v>
          </cell>
          <cell r="E514" t="str">
            <v>12/1 E V R ROAD</v>
          </cell>
          <cell r="G514" t="str">
            <v>TAMILNADU</v>
          </cell>
          <cell r="H514" t="str">
            <v>TRICHY</v>
          </cell>
          <cell r="I514" t="str">
            <v>620017</v>
          </cell>
          <cell r="J514" t="str">
            <v>003</v>
          </cell>
          <cell r="K514" t="str">
            <v>TNGST 102634</v>
          </cell>
          <cell r="L514" t="str">
            <v>N</v>
          </cell>
          <cell r="M514">
            <v>0</v>
          </cell>
          <cell r="N514" t="str">
            <v>CST 134/12-7-57</v>
          </cell>
          <cell r="O514" t="str">
            <v>N</v>
          </cell>
          <cell r="Q514" t="str">
            <v>370</v>
          </cell>
          <cell r="R514" t="str">
            <v>03</v>
          </cell>
          <cell r="S514" t="str">
            <v>03</v>
          </cell>
          <cell r="T514" t="str">
            <v>23</v>
          </cell>
          <cell r="X514" t="str">
            <v>30001</v>
          </cell>
          <cell r="Y514" t="str">
            <v>00370</v>
          </cell>
        </row>
        <row r="515">
          <cell r="A515" t="str">
            <v>23030054</v>
          </cell>
          <cell r="B515" t="str">
            <v>01</v>
          </cell>
          <cell r="C515" t="str">
            <v>M S P M ENTERPRISE</v>
          </cell>
          <cell r="D515" t="str">
            <v>71 GANDHI ROAD</v>
          </cell>
          <cell r="G515" t="str">
            <v>TAMILNADU</v>
          </cell>
          <cell r="H515" t="str">
            <v>PALANI</v>
          </cell>
          <cell r="I515" t="str">
            <v>624601</v>
          </cell>
          <cell r="J515" t="str">
            <v>003</v>
          </cell>
          <cell r="K515" t="str">
            <v>TNGST 5360331/275</v>
          </cell>
          <cell r="L515" t="str">
            <v>N</v>
          </cell>
          <cell r="M515">
            <v>0</v>
          </cell>
          <cell r="O515" t="str">
            <v>N</v>
          </cell>
          <cell r="Q515" t="str">
            <v>371</v>
          </cell>
          <cell r="R515" t="str">
            <v>03</v>
          </cell>
          <cell r="S515" t="str">
            <v>03</v>
          </cell>
          <cell r="T515" t="str">
            <v>23</v>
          </cell>
          <cell r="X515" t="str">
            <v>30002</v>
          </cell>
          <cell r="Y515" t="str">
            <v>00371</v>
          </cell>
        </row>
        <row r="516">
          <cell r="A516" t="str">
            <v>23030055</v>
          </cell>
          <cell r="B516" t="str">
            <v>01</v>
          </cell>
          <cell r="C516" t="str">
            <v>SRI RAMAJAYAM TRADERS</v>
          </cell>
          <cell r="D516" t="str">
            <v>699,BAZAAR STREET</v>
          </cell>
          <cell r="G516" t="str">
            <v>TAMILNADU</v>
          </cell>
          <cell r="H516" t="str">
            <v>ATTUR(SALEM DIS</v>
          </cell>
          <cell r="J516" t="str">
            <v>003</v>
          </cell>
          <cell r="K516" t="str">
            <v>TNGST 3140442/164</v>
          </cell>
          <cell r="L516" t="str">
            <v>N</v>
          </cell>
          <cell r="M516">
            <v>0</v>
          </cell>
          <cell r="N516" t="str">
            <v>CST 411115</v>
          </cell>
          <cell r="O516" t="str">
            <v>N</v>
          </cell>
          <cell r="Q516" t="str">
            <v>372</v>
          </cell>
          <cell r="R516" t="str">
            <v>03</v>
          </cell>
          <cell r="S516" t="str">
            <v>03</v>
          </cell>
          <cell r="T516" t="str">
            <v>23</v>
          </cell>
          <cell r="X516" t="str">
            <v>30002</v>
          </cell>
          <cell r="Y516" t="str">
            <v>00372</v>
          </cell>
        </row>
        <row r="517">
          <cell r="A517" t="str">
            <v>23030056</v>
          </cell>
          <cell r="B517" t="str">
            <v>01</v>
          </cell>
          <cell r="C517" t="str">
            <v>VISHNU AGENCIES</v>
          </cell>
          <cell r="D517" t="str">
            <v>2/1-33-H,NANGAVALLI MAIN ROAD</v>
          </cell>
          <cell r="E517" t="str">
            <v>KUNJANDIYUR</v>
          </cell>
          <cell r="G517" t="str">
            <v>TAMILNADU</v>
          </cell>
          <cell r="H517" t="str">
            <v>METTURDAM</v>
          </cell>
          <cell r="I517" t="str">
            <v>636 404</v>
          </cell>
          <cell r="J517" t="str">
            <v>003</v>
          </cell>
          <cell r="K517" t="str">
            <v>TNGST 3240716/169</v>
          </cell>
          <cell r="L517" t="str">
            <v>N</v>
          </cell>
          <cell r="M517">
            <v>0</v>
          </cell>
          <cell r="N517" t="str">
            <v>CST 417453</v>
          </cell>
          <cell r="O517" t="str">
            <v>N</v>
          </cell>
          <cell r="Q517" t="str">
            <v>373</v>
          </cell>
          <cell r="R517" t="str">
            <v>03</v>
          </cell>
          <cell r="S517" t="str">
            <v>03</v>
          </cell>
          <cell r="T517" t="str">
            <v>23</v>
          </cell>
          <cell r="U517">
            <v>0</v>
          </cell>
          <cell r="X517" t="str">
            <v>30002</v>
          </cell>
          <cell r="Y517" t="str">
            <v>00373</v>
          </cell>
        </row>
        <row r="518">
          <cell r="A518" t="str">
            <v>23030057</v>
          </cell>
          <cell r="B518" t="str">
            <v>01</v>
          </cell>
          <cell r="C518" t="str">
            <v>VISALAKSHI SERVICES</v>
          </cell>
          <cell r="D518" t="str">
            <v>NO.162, VAKIL NEW STREET</v>
          </cell>
          <cell r="G518" t="str">
            <v>TAMILNADU</v>
          </cell>
          <cell r="H518" t="str">
            <v>MADURAI</v>
          </cell>
          <cell r="I518" t="str">
            <v>625001</v>
          </cell>
          <cell r="J518" t="str">
            <v>003</v>
          </cell>
          <cell r="K518" t="str">
            <v>TNGST 5760990</v>
          </cell>
          <cell r="L518" t="str">
            <v>N</v>
          </cell>
          <cell r="M518">
            <v>0</v>
          </cell>
          <cell r="O518" t="str">
            <v>N</v>
          </cell>
          <cell r="Q518" t="str">
            <v>374</v>
          </cell>
          <cell r="R518" t="str">
            <v>03</v>
          </cell>
          <cell r="S518" t="str">
            <v>03</v>
          </cell>
          <cell r="T518" t="str">
            <v>23</v>
          </cell>
          <cell r="X518" t="str">
            <v>30002</v>
          </cell>
          <cell r="Y518" t="str">
            <v>00374</v>
          </cell>
        </row>
        <row r="519">
          <cell r="A519" t="str">
            <v>23030058</v>
          </cell>
          <cell r="B519" t="str">
            <v>01</v>
          </cell>
          <cell r="C519" t="str">
            <v>CHELVAMINI AGENCIES</v>
          </cell>
          <cell r="D519" t="str">
            <v>D-61,8TH CROSS</v>
          </cell>
          <cell r="E519" t="str">
            <v>THILLAI NAGAR</v>
          </cell>
          <cell r="G519" t="str">
            <v>TAMILNADU</v>
          </cell>
          <cell r="H519" t="str">
            <v>TRICHY</v>
          </cell>
          <cell r="I519" t="str">
            <v>620018</v>
          </cell>
          <cell r="J519" t="str">
            <v>003</v>
          </cell>
          <cell r="K519" t="str">
            <v>TNGST 3440303</v>
          </cell>
          <cell r="L519" t="str">
            <v>N</v>
          </cell>
          <cell r="M519">
            <v>0</v>
          </cell>
          <cell r="N519" t="str">
            <v>CST 226682/28.12.83</v>
          </cell>
          <cell r="O519" t="str">
            <v>N</v>
          </cell>
          <cell r="Q519" t="str">
            <v>375</v>
          </cell>
          <cell r="R519" t="str">
            <v>03</v>
          </cell>
          <cell r="S519" t="str">
            <v>03</v>
          </cell>
          <cell r="T519" t="str">
            <v>23</v>
          </cell>
          <cell r="X519" t="str">
            <v>30001</v>
          </cell>
          <cell r="Y519" t="str">
            <v>00375</v>
          </cell>
        </row>
        <row r="520">
          <cell r="A520" t="str">
            <v>23030059</v>
          </cell>
          <cell r="B520" t="str">
            <v>01</v>
          </cell>
          <cell r="C520" t="str">
            <v>VIGNESH ENTERPRISES</v>
          </cell>
          <cell r="D520" t="str">
            <v>NO,55.BRINDAVAN ROAD</v>
          </cell>
          <cell r="E520" t="str">
            <v>FAIRLANDS</v>
          </cell>
          <cell r="G520" t="str">
            <v>TAMILNADU</v>
          </cell>
          <cell r="H520" t="str">
            <v>SALEM</v>
          </cell>
          <cell r="I520" t="str">
            <v>636016</v>
          </cell>
          <cell r="J520" t="str">
            <v>003</v>
          </cell>
          <cell r="K520" t="str">
            <v>TNGST 2840659/149</v>
          </cell>
          <cell r="L520" t="str">
            <v>N</v>
          </cell>
          <cell r="M520">
            <v>0</v>
          </cell>
          <cell r="O520" t="str">
            <v>N</v>
          </cell>
          <cell r="Q520" t="str">
            <v>376</v>
          </cell>
          <cell r="R520" t="str">
            <v>03</v>
          </cell>
          <cell r="S520" t="str">
            <v>03</v>
          </cell>
          <cell r="T520" t="str">
            <v>23</v>
          </cell>
          <cell r="X520" t="str">
            <v>30001</v>
          </cell>
          <cell r="Y520" t="str">
            <v>00376</v>
          </cell>
        </row>
        <row r="521">
          <cell r="A521" t="str">
            <v>23030060</v>
          </cell>
          <cell r="B521" t="str">
            <v>01</v>
          </cell>
          <cell r="C521" t="str">
            <v>PONNU AGENCIES</v>
          </cell>
          <cell r="D521" t="str">
            <v>4/12,NEW PET MAIN ROAD</v>
          </cell>
          <cell r="G521" t="str">
            <v>TAMILNADU</v>
          </cell>
          <cell r="H521" t="str">
            <v>HOSUR</v>
          </cell>
          <cell r="I521" t="str">
            <v>635109</v>
          </cell>
          <cell r="J521" t="str">
            <v>003</v>
          </cell>
          <cell r="K521" t="str">
            <v>TNGST 3360934</v>
          </cell>
          <cell r="L521" t="str">
            <v>N</v>
          </cell>
          <cell r="M521">
            <v>0</v>
          </cell>
          <cell r="O521" t="str">
            <v>N</v>
          </cell>
          <cell r="Q521" t="str">
            <v>377</v>
          </cell>
          <cell r="R521" t="str">
            <v>03</v>
          </cell>
          <cell r="S521" t="str">
            <v>03</v>
          </cell>
          <cell r="T521" t="str">
            <v>23</v>
          </cell>
          <cell r="X521" t="str">
            <v>30001</v>
          </cell>
          <cell r="Y521" t="str">
            <v>00377</v>
          </cell>
        </row>
        <row r="522">
          <cell r="A522" t="str">
            <v>23030061</v>
          </cell>
          <cell r="B522" t="str">
            <v>01</v>
          </cell>
          <cell r="C522" t="str">
            <v>S I M MUSTHAFA &amp; CO</v>
          </cell>
          <cell r="D522" t="str">
            <v>3/36 NORTH STREET</v>
          </cell>
          <cell r="G522" t="str">
            <v>TAMILNADU</v>
          </cell>
          <cell r="H522" t="str">
            <v>METTUPALAYAM</v>
          </cell>
          <cell r="I522" t="str">
            <v>641 301</v>
          </cell>
          <cell r="J522" t="str">
            <v>003</v>
          </cell>
          <cell r="K522" t="str">
            <v>TNGST 2040088/107</v>
          </cell>
          <cell r="L522" t="str">
            <v>N</v>
          </cell>
          <cell r="M522">
            <v>0</v>
          </cell>
          <cell r="O522" t="str">
            <v>N</v>
          </cell>
          <cell r="Q522" t="str">
            <v>378</v>
          </cell>
          <cell r="R522" t="str">
            <v>03</v>
          </cell>
          <cell r="S522" t="str">
            <v>03</v>
          </cell>
          <cell r="T522" t="str">
            <v>23</v>
          </cell>
          <cell r="U522">
            <v>0</v>
          </cell>
          <cell r="X522" t="str">
            <v>30001</v>
          </cell>
          <cell r="Y522" t="str">
            <v>00378</v>
          </cell>
        </row>
        <row r="523">
          <cell r="A523" t="str">
            <v>23030062</v>
          </cell>
          <cell r="B523" t="str">
            <v>01</v>
          </cell>
          <cell r="C523" t="str">
            <v>V SRINIVASA DIKSHITHER</v>
          </cell>
          <cell r="D523" t="str">
            <v>24 BIG BAZAAR STREET</v>
          </cell>
          <cell r="G523" t="str">
            <v>TAMILNADU</v>
          </cell>
          <cell r="H523" t="str">
            <v>KOOTHANALLUR</v>
          </cell>
          <cell r="I523" t="str">
            <v>614101</v>
          </cell>
          <cell r="J523" t="str">
            <v>003</v>
          </cell>
          <cell r="K523" t="str">
            <v>TNGST 3860300/200</v>
          </cell>
          <cell r="L523" t="str">
            <v>N</v>
          </cell>
          <cell r="M523">
            <v>0</v>
          </cell>
          <cell r="N523" t="str">
            <v>CST 3667/27-8-57</v>
          </cell>
          <cell r="O523" t="str">
            <v>N</v>
          </cell>
          <cell r="Q523" t="str">
            <v>379</v>
          </cell>
          <cell r="R523" t="str">
            <v>03</v>
          </cell>
          <cell r="S523" t="str">
            <v>03</v>
          </cell>
          <cell r="T523" t="str">
            <v>23</v>
          </cell>
          <cell r="X523" t="str">
            <v>30002</v>
          </cell>
          <cell r="Y523" t="str">
            <v>00379</v>
          </cell>
        </row>
        <row r="524">
          <cell r="A524" t="str">
            <v>23030063</v>
          </cell>
          <cell r="B524" t="str">
            <v>01</v>
          </cell>
          <cell r="C524" t="str">
            <v>J &amp; J ENTERPRISES(BRANCH)</v>
          </cell>
          <cell r="D524" t="str">
            <v>H.O:METTUPALAYAM)</v>
          </cell>
          <cell r="E524" t="str">
            <v>47/A, T D K ROAD</v>
          </cell>
          <cell r="G524" t="str">
            <v>TAMILNADU</v>
          </cell>
          <cell r="H524" t="str">
            <v>COONOOR</v>
          </cell>
          <cell r="I524" t="str">
            <v>643102</v>
          </cell>
          <cell r="J524" t="str">
            <v>003</v>
          </cell>
          <cell r="K524" t="str">
            <v>TNGST  2040911/107</v>
          </cell>
          <cell r="L524" t="str">
            <v>N</v>
          </cell>
          <cell r="M524">
            <v>0</v>
          </cell>
          <cell r="O524" t="str">
            <v>N</v>
          </cell>
          <cell r="Q524" t="str">
            <v>380</v>
          </cell>
          <cell r="R524" t="str">
            <v>03</v>
          </cell>
          <cell r="S524" t="str">
            <v>03</v>
          </cell>
          <cell r="T524" t="str">
            <v>23</v>
          </cell>
          <cell r="U524">
            <v>0</v>
          </cell>
          <cell r="X524" t="str">
            <v>30001</v>
          </cell>
          <cell r="Y524" t="str">
            <v>00380</v>
          </cell>
        </row>
        <row r="525">
          <cell r="A525" t="str">
            <v>23030064</v>
          </cell>
          <cell r="B525" t="str">
            <v>01</v>
          </cell>
          <cell r="C525" t="str">
            <v>ZULAIHA AGENCIES</v>
          </cell>
          <cell r="D525" t="str">
            <v>10/228 A-1-A HILL VIEW ROAD</v>
          </cell>
          <cell r="G525" t="str">
            <v>TAMILNADU</v>
          </cell>
          <cell r="H525" t="str">
            <v>GUDALUR-NILGIRI</v>
          </cell>
          <cell r="I525" t="str">
            <v>643212</v>
          </cell>
          <cell r="J525" t="str">
            <v>003</v>
          </cell>
          <cell r="K525" t="str">
            <v>TNGST 2580477/134</v>
          </cell>
          <cell r="L525" t="str">
            <v>N</v>
          </cell>
          <cell r="M525">
            <v>0</v>
          </cell>
          <cell r="O525" t="str">
            <v>N</v>
          </cell>
          <cell r="Q525" t="str">
            <v>381</v>
          </cell>
          <cell r="R525" t="str">
            <v>03</v>
          </cell>
          <cell r="S525" t="str">
            <v>03</v>
          </cell>
          <cell r="T525" t="str">
            <v>23</v>
          </cell>
          <cell r="U525">
            <v>0</v>
          </cell>
          <cell r="X525" t="str">
            <v>30002</v>
          </cell>
          <cell r="Y525" t="str">
            <v>00381</v>
          </cell>
        </row>
        <row r="526">
          <cell r="A526" t="str">
            <v>23030065</v>
          </cell>
          <cell r="B526" t="str">
            <v>01</v>
          </cell>
          <cell r="C526" t="str">
            <v>SRI VENUGOPAL ASSOCIATES</v>
          </cell>
          <cell r="D526" t="str">
            <v>42-B,V O C NAGAR 11 STREET</v>
          </cell>
          <cell r="G526" t="str">
            <v>TAMILNADU</v>
          </cell>
          <cell r="H526" t="str">
            <v>THANJAVUR</v>
          </cell>
          <cell r="I526" t="str">
            <v>613007</v>
          </cell>
          <cell r="J526" t="str">
            <v>003</v>
          </cell>
          <cell r="K526" t="str">
            <v>TNGST 3820919/198</v>
          </cell>
          <cell r="L526" t="str">
            <v>N</v>
          </cell>
          <cell r="M526">
            <v>0</v>
          </cell>
          <cell r="O526" t="str">
            <v>N</v>
          </cell>
          <cell r="Q526" t="str">
            <v>382</v>
          </cell>
          <cell r="R526" t="str">
            <v>03</v>
          </cell>
          <cell r="S526" t="str">
            <v>03</v>
          </cell>
          <cell r="T526" t="str">
            <v>23</v>
          </cell>
          <cell r="X526" t="str">
            <v>30001</v>
          </cell>
          <cell r="Y526" t="str">
            <v>00382</v>
          </cell>
        </row>
        <row r="527">
          <cell r="A527" t="str">
            <v>23030066</v>
          </cell>
          <cell r="B527" t="str">
            <v>01</v>
          </cell>
          <cell r="C527" t="str">
            <v>SRI ACHUTHA AGENCY</v>
          </cell>
          <cell r="D527" t="str">
            <v>118, S.K.C.ROAD</v>
          </cell>
          <cell r="G527" t="str">
            <v>TAMILNADU</v>
          </cell>
          <cell r="H527" t="str">
            <v>ERODE</v>
          </cell>
          <cell r="I527" t="str">
            <v>638001</v>
          </cell>
          <cell r="J527" t="str">
            <v>003</v>
          </cell>
          <cell r="K527" t="str">
            <v>TNGST 3001310/157</v>
          </cell>
          <cell r="L527" t="str">
            <v>N</v>
          </cell>
          <cell r="M527">
            <v>0</v>
          </cell>
          <cell r="O527" t="str">
            <v>N</v>
          </cell>
          <cell r="Q527" t="str">
            <v>383</v>
          </cell>
          <cell r="R527" t="str">
            <v>03</v>
          </cell>
          <cell r="S527" t="str">
            <v>03</v>
          </cell>
          <cell r="T527" t="str">
            <v>23</v>
          </cell>
          <cell r="X527" t="str">
            <v>30001</v>
          </cell>
          <cell r="Y527" t="str">
            <v>00383</v>
          </cell>
        </row>
        <row r="528">
          <cell r="A528" t="str">
            <v>23030067</v>
          </cell>
          <cell r="B528" t="str">
            <v>01</v>
          </cell>
          <cell r="C528" t="str">
            <v>BLUE STAR AGENCIES</v>
          </cell>
          <cell r="D528" t="str">
            <v>731 TRICHY ROAD</v>
          </cell>
          <cell r="E528" t="str">
            <v>RAMANATHAPURAM</v>
          </cell>
          <cell r="G528" t="str">
            <v>TAMILNADU</v>
          </cell>
          <cell r="H528" t="str">
            <v>COIMBATORE</v>
          </cell>
          <cell r="I528" t="str">
            <v>641045</v>
          </cell>
          <cell r="J528" t="str">
            <v>003</v>
          </cell>
          <cell r="K528" t="str">
            <v>TNGST 2260862/118</v>
          </cell>
          <cell r="L528" t="str">
            <v>N</v>
          </cell>
          <cell r="M528">
            <v>0</v>
          </cell>
          <cell r="O528" t="str">
            <v>N</v>
          </cell>
          <cell r="Q528" t="str">
            <v>384</v>
          </cell>
          <cell r="R528" t="str">
            <v>03</v>
          </cell>
          <cell r="S528" t="str">
            <v>03</v>
          </cell>
          <cell r="T528" t="str">
            <v>23</v>
          </cell>
          <cell r="X528" t="str">
            <v>30001</v>
          </cell>
          <cell r="Y528" t="str">
            <v>00384</v>
          </cell>
        </row>
        <row r="529">
          <cell r="A529" t="str">
            <v>23030068</v>
          </cell>
          <cell r="B529" t="str">
            <v>01</v>
          </cell>
          <cell r="C529" t="str">
            <v>VIGNESH DISTRIBUTORS</v>
          </cell>
          <cell r="D529" t="str">
            <v>7/200F,ANNA SALAI</v>
          </cell>
          <cell r="E529" t="str">
            <v>OPP,POST OFFICE</v>
          </cell>
          <cell r="G529" t="str">
            <v>TAMILNADU</v>
          </cell>
          <cell r="H529" t="str">
            <v>KODAIKANAL</v>
          </cell>
          <cell r="I529" t="str">
            <v>624101</v>
          </cell>
          <cell r="J529" t="str">
            <v>003</v>
          </cell>
          <cell r="K529" t="str">
            <v>TNGST 5320367</v>
          </cell>
          <cell r="L529" t="str">
            <v>N</v>
          </cell>
          <cell r="M529">
            <v>0</v>
          </cell>
          <cell r="O529" t="str">
            <v>N</v>
          </cell>
          <cell r="Q529" t="str">
            <v>385</v>
          </cell>
          <cell r="R529" t="str">
            <v>03</v>
          </cell>
          <cell r="S529" t="str">
            <v>03</v>
          </cell>
          <cell r="T529" t="str">
            <v>23</v>
          </cell>
          <cell r="U529">
            <v>0</v>
          </cell>
          <cell r="X529" t="str">
            <v>30002</v>
          </cell>
          <cell r="Y529" t="str">
            <v>00385</v>
          </cell>
        </row>
        <row r="530">
          <cell r="A530" t="str">
            <v>23030069</v>
          </cell>
          <cell r="B530" t="str">
            <v>01</v>
          </cell>
          <cell r="C530" t="str">
            <v>SRI VENKATESWARA &amp; CO</v>
          </cell>
          <cell r="D530" t="str">
            <v>1-J,VASU GOUNDAR STREET</v>
          </cell>
          <cell r="G530" t="str">
            <v>TAMILNADU</v>
          </cell>
          <cell r="H530" t="str">
            <v>DHARMAPURI</v>
          </cell>
          <cell r="I530" t="str">
            <v>636701</v>
          </cell>
          <cell r="J530" t="str">
            <v>003</v>
          </cell>
          <cell r="K530" t="str">
            <v>TNGST 3280624/171</v>
          </cell>
          <cell r="L530" t="str">
            <v>N</v>
          </cell>
          <cell r="M530">
            <v>0</v>
          </cell>
          <cell r="O530" t="str">
            <v>N</v>
          </cell>
          <cell r="Q530" t="str">
            <v>386</v>
          </cell>
          <cell r="R530" t="str">
            <v>03</v>
          </cell>
          <cell r="S530" t="str">
            <v>03</v>
          </cell>
          <cell r="T530" t="str">
            <v>23</v>
          </cell>
          <cell r="X530" t="str">
            <v>30002</v>
          </cell>
          <cell r="Y530" t="str">
            <v>00386</v>
          </cell>
        </row>
        <row r="531">
          <cell r="A531" t="str">
            <v>23030070</v>
          </cell>
          <cell r="B531" t="str">
            <v>01</v>
          </cell>
          <cell r="C531" t="str">
            <v>SRI   LAKSHMI   AGENCIES</v>
          </cell>
          <cell r="D531" t="str">
            <v>1/1 SOUTH DEVI STREET</v>
          </cell>
          <cell r="E531" t="str">
            <v>SUBRAMANIAPURAM</v>
          </cell>
          <cell r="F531" t="str">
            <v>SRIRANGAM</v>
          </cell>
          <cell r="G531" t="str">
            <v>TAMILNADU</v>
          </cell>
          <cell r="H531" t="str">
            <v>TRICHY</v>
          </cell>
          <cell r="I531" t="str">
            <v>620 006</v>
          </cell>
          <cell r="J531" t="str">
            <v>003</v>
          </cell>
          <cell r="K531" t="str">
            <v>TNGST 3460792/180</v>
          </cell>
          <cell r="L531" t="str">
            <v>N</v>
          </cell>
          <cell r="M531">
            <v>0</v>
          </cell>
          <cell r="O531" t="str">
            <v>N</v>
          </cell>
          <cell r="Q531" t="str">
            <v>387</v>
          </cell>
          <cell r="R531" t="str">
            <v>03</v>
          </cell>
          <cell r="S531" t="str">
            <v>03</v>
          </cell>
          <cell r="T531" t="str">
            <v>23</v>
          </cell>
          <cell r="U531">
            <v>0</v>
          </cell>
          <cell r="X531" t="str">
            <v>30002</v>
          </cell>
          <cell r="Y531" t="str">
            <v>00387</v>
          </cell>
        </row>
        <row r="532">
          <cell r="A532" t="str">
            <v>23030071</v>
          </cell>
          <cell r="B532" t="str">
            <v>01</v>
          </cell>
          <cell r="C532" t="str">
            <v>SRI MURUGAN AGENCIES</v>
          </cell>
          <cell r="D532" t="str">
            <v>240, TRICHY ROAD</v>
          </cell>
          <cell r="G532" t="str">
            <v>TAMILNADU</v>
          </cell>
          <cell r="H532" t="str">
            <v>THURAIYUR</v>
          </cell>
          <cell r="J532" t="str">
            <v>003</v>
          </cell>
          <cell r="K532" t="str">
            <v>TNGST 3640102</v>
          </cell>
          <cell r="L532" t="str">
            <v>N</v>
          </cell>
          <cell r="M532">
            <v>0</v>
          </cell>
          <cell r="O532" t="str">
            <v>N</v>
          </cell>
          <cell r="Q532" t="str">
            <v>388</v>
          </cell>
          <cell r="R532" t="str">
            <v>03</v>
          </cell>
          <cell r="S532" t="str">
            <v>03</v>
          </cell>
          <cell r="T532" t="str">
            <v>23</v>
          </cell>
          <cell r="X532" t="str">
            <v>30002</v>
          </cell>
          <cell r="Y532" t="str">
            <v>00388</v>
          </cell>
        </row>
        <row r="533">
          <cell r="A533" t="str">
            <v>23030072</v>
          </cell>
          <cell r="B533" t="str">
            <v>01</v>
          </cell>
          <cell r="C533" t="str">
            <v>SANKAR &amp; COMPANY</v>
          </cell>
          <cell r="D533" t="str">
            <v>28-A, 7TH CROSS</v>
          </cell>
          <cell r="E533" t="str">
            <v>BHARATHI PARK</v>
          </cell>
          <cell r="G533" t="str">
            <v>TAMILNADU</v>
          </cell>
          <cell r="H533" t="str">
            <v>COIMBATORE</v>
          </cell>
          <cell r="I533" t="str">
            <v>641043</v>
          </cell>
          <cell r="J533" t="str">
            <v>003</v>
          </cell>
          <cell r="K533" t="str">
            <v>TNGST 2140235/112</v>
          </cell>
          <cell r="L533" t="str">
            <v>N</v>
          </cell>
          <cell r="M533">
            <v>0</v>
          </cell>
          <cell r="O533" t="str">
            <v>N</v>
          </cell>
          <cell r="Q533" t="str">
            <v>389</v>
          </cell>
          <cell r="R533" t="str">
            <v>03</v>
          </cell>
          <cell r="S533" t="str">
            <v>03</v>
          </cell>
          <cell r="T533" t="str">
            <v>23</v>
          </cell>
          <cell r="U533">
            <v>0</v>
          </cell>
          <cell r="X533" t="str">
            <v>30001</v>
          </cell>
          <cell r="Y533" t="str">
            <v>00389</v>
          </cell>
        </row>
        <row r="534">
          <cell r="A534" t="str">
            <v>23030073</v>
          </cell>
          <cell r="B534" t="str">
            <v>01</v>
          </cell>
          <cell r="C534" t="str">
            <v>SUGANTHI AGENCIES</v>
          </cell>
          <cell r="D534" t="str">
            <v>6-H, MELAPUTTUR</v>
          </cell>
          <cell r="E534" t="str">
            <v>BHARATHIAR ROAD</v>
          </cell>
          <cell r="G534" t="str">
            <v>TAMILNADU</v>
          </cell>
          <cell r="H534" t="str">
            <v>TRICHY</v>
          </cell>
          <cell r="I534" t="str">
            <v>620001</v>
          </cell>
          <cell r="J534" t="str">
            <v>003</v>
          </cell>
          <cell r="K534" t="str">
            <v>TNGST 3540745/184</v>
          </cell>
          <cell r="L534" t="str">
            <v>N</v>
          </cell>
          <cell r="M534">
            <v>0</v>
          </cell>
          <cell r="O534" t="str">
            <v>N</v>
          </cell>
          <cell r="Q534" t="str">
            <v>390</v>
          </cell>
          <cell r="R534" t="str">
            <v>03</v>
          </cell>
          <cell r="S534" t="str">
            <v>03</v>
          </cell>
          <cell r="T534" t="str">
            <v>23</v>
          </cell>
          <cell r="X534" t="str">
            <v>30001</v>
          </cell>
          <cell r="Y534" t="str">
            <v>00390</v>
          </cell>
        </row>
        <row r="535">
          <cell r="A535" t="str">
            <v>23030074</v>
          </cell>
          <cell r="B535" t="str">
            <v>01</v>
          </cell>
          <cell r="C535" t="str">
            <v>VANETHA STORE</v>
          </cell>
          <cell r="D535" t="str">
            <v>29-A, PONMENI NARAYANAN STREET</v>
          </cell>
          <cell r="E535" t="str">
            <v>S.S.COLONY</v>
          </cell>
          <cell r="G535" t="str">
            <v>TAMILNADU</v>
          </cell>
          <cell r="H535" t="str">
            <v>MADURAI</v>
          </cell>
          <cell r="I535" t="str">
            <v>625016</v>
          </cell>
          <cell r="J535" t="str">
            <v>003</v>
          </cell>
          <cell r="K535" t="str">
            <v>TNGST 4900415/252</v>
          </cell>
          <cell r="L535" t="str">
            <v>N</v>
          </cell>
          <cell r="M535">
            <v>0</v>
          </cell>
          <cell r="O535" t="str">
            <v>N</v>
          </cell>
          <cell r="Q535" t="str">
            <v>391</v>
          </cell>
          <cell r="R535" t="str">
            <v>03</v>
          </cell>
          <cell r="S535" t="str">
            <v>03</v>
          </cell>
          <cell r="T535" t="str">
            <v>23</v>
          </cell>
          <cell r="X535" t="str">
            <v>30002</v>
          </cell>
          <cell r="Y535" t="str">
            <v>00391</v>
          </cell>
        </row>
        <row r="536">
          <cell r="A536" t="str">
            <v>23030075</v>
          </cell>
          <cell r="B536" t="str">
            <v>01</v>
          </cell>
          <cell r="C536" t="str">
            <v>S.CHIDAMBARAM</v>
          </cell>
          <cell r="D536" t="str">
            <v>CHIDAMBARAM COMPLEX</v>
          </cell>
          <cell r="E536" t="str">
            <v>129  KUMARAN ROAD</v>
          </cell>
          <cell r="G536" t="str">
            <v>TAMILNADU</v>
          </cell>
          <cell r="H536" t="str">
            <v>TIRUPPUR</v>
          </cell>
          <cell r="I536" t="str">
            <v>638604</v>
          </cell>
          <cell r="J536" t="str">
            <v>003</v>
          </cell>
          <cell r="K536" t="str">
            <v>TNGST 2400098</v>
          </cell>
          <cell r="L536" t="str">
            <v>N</v>
          </cell>
          <cell r="M536">
            <v>0</v>
          </cell>
          <cell r="O536" t="str">
            <v>N</v>
          </cell>
          <cell r="Q536" t="str">
            <v>392</v>
          </cell>
          <cell r="R536" t="str">
            <v>03</v>
          </cell>
          <cell r="S536" t="str">
            <v>03</v>
          </cell>
          <cell r="T536" t="str">
            <v>23</v>
          </cell>
          <cell r="U536">
            <v>0</v>
          </cell>
          <cell r="X536" t="str">
            <v>30001</v>
          </cell>
          <cell r="Y536" t="str">
            <v>00392</v>
          </cell>
        </row>
        <row r="537">
          <cell r="A537" t="str">
            <v>23030076</v>
          </cell>
          <cell r="B537" t="str">
            <v>01</v>
          </cell>
          <cell r="C537" t="str">
            <v>SARAVANA AGENCY</v>
          </cell>
          <cell r="D537" t="str">
            <v>45,OVERSEAR PILLAI STREET</v>
          </cell>
          <cell r="G537" t="str">
            <v>TAMILNADU</v>
          </cell>
          <cell r="H537" t="str">
            <v>SIVAGANGA(P.M.D</v>
          </cell>
          <cell r="I537" t="str">
            <v>623560</v>
          </cell>
          <cell r="J537" t="str">
            <v>003</v>
          </cell>
          <cell r="K537" t="str">
            <v>TNGST 5400551/277</v>
          </cell>
          <cell r="L537" t="str">
            <v>N</v>
          </cell>
          <cell r="M537">
            <v>0</v>
          </cell>
          <cell r="O537" t="str">
            <v>N</v>
          </cell>
          <cell r="Q537" t="str">
            <v>393</v>
          </cell>
          <cell r="R537" t="str">
            <v>03</v>
          </cell>
          <cell r="S537" t="str">
            <v>03</v>
          </cell>
          <cell r="T537" t="str">
            <v>23</v>
          </cell>
          <cell r="X537" t="str">
            <v>30002</v>
          </cell>
          <cell r="Y537" t="str">
            <v>00393</v>
          </cell>
        </row>
        <row r="538">
          <cell r="A538" t="str">
            <v>23030077</v>
          </cell>
          <cell r="B538" t="str">
            <v>01</v>
          </cell>
          <cell r="C538" t="str">
            <v>SRI VENKATESWARA DISTRIBU</v>
          </cell>
          <cell r="D538" t="str">
            <v>8-16-17A/1, VIVEKANANDA NAGAR</v>
          </cell>
          <cell r="E538" t="str">
            <v>DINDIGUL ROAD</v>
          </cell>
          <cell r="G538" t="str">
            <v>TAMILNADU</v>
          </cell>
          <cell r="H538" t="str">
            <v>BATLAGUNDU</v>
          </cell>
          <cell r="I538" t="str">
            <v>624202</v>
          </cell>
          <cell r="J538" t="str">
            <v>003</v>
          </cell>
          <cell r="K538" t="str">
            <v>TNGST 5300897</v>
          </cell>
          <cell r="L538" t="str">
            <v>N</v>
          </cell>
          <cell r="M538">
            <v>0</v>
          </cell>
          <cell r="O538" t="str">
            <v>N</v>
          </cell>
          <cell r="Q538" t="str">
            <v>394</v>
          </cell>
          <cell r="R538" t="str">
            <v>03</v>
          </cell>
          <cell r="S538" t="str">
            <v>03</v>
          </cell>
          <cell r="T538" t="str">
            <v>23</v>
          </cell>
          <cell r="U538">
            <v>0</v>
          </cell>
          <cell r="X538" t="str">
            <v>30002</v>
          </cell>
          <cell r="Y538" t="str">
            <v>00394</v>
          </cell>
        </row>
        <row r="539">
          <cell r="A539" t="str">
            <v>23030078</v>
          </cell>
          <cell r="B539" t="str">
            <v>01</v>
          </cell>
          <cell r="C539" t="str">
            <v>CHIDAMBARAM STORES</v>
          </cell>
          <cell r="D539" t="str">
            <v>NO. 6/2</v>
          </cell>
          <cell r="E539" t="str">
            <v>J S NAGAR</v>
          </cell>
          <cell r="G539" t="str">
            <v>TAMILNADU</v>
          </cell>
          <cell r="H539" t="str">
            <v>GOPICHETTYPALAY</v>
          </cell>
          <cell r="I539" t="str">
            <v>638 452</v>
          </cell>
          <cell r="J539" t="str">
            <v>003</v>
          </cell>
          <cell r="K539" t="str">
            <v>TNGST 2960915/155</v>
          </cell>
          <cell r="L539" t="str">
            <v>N</v>
          </cell>
          <cell r="M539">
            <v>0</v>
          </cell>
          <cell r="O539" t="str">
            <v>N</v>
          </cell>
          <cell r="Q539" t="str">
            <v>395</v>
          </cell>
          <cell r="R539" t="str">
            <v>03</v>
          </cell>
          <cell r="S539" t="str">
            <v>03</v>
          </cell>
          <cell r="T539" t="str">
            <v>23</v>
          </cell>
          <cell r="U539">
            <v>0</v>
          </cell>
          <cell r="X539" t="str">
            <v>30002</v>
          </cell>
          <cell r="Y539" t="str">
            <v>00395</v>
          </cell>
        </row>
        <row r="540">
          <cell r="A540" t="str">
            <v>23030079</v>
          </cell>
          <cell r="B540" t="str">
            <v>01</v>
          </cell>
          <cell r="C540" t="str">
            <v>SREE M.GURUSAMY CHETTIAR</v>
          </cell>
          <cell r="D540" t="str">
            <v>&amp; CO</v>
          </cell>
          <cell r="E540" t="str">
            <v>64, AGRAHARAM</v>
          </cell>
          <cell r="G540" t="str">
            <v>TAMILNADU</v>
          </cell>
          <cell r="H540" t="str">
            <v>ARANTHANGI</v>
          </cell>
          <cell r="I540" t="str">
            <v>614616</v>
          </cell>
          <cell r="J540" t="str">
            <v>003</v>
          </cell>
          <cell r="K540" t="str">
            <v>TNGST 4140722/214</v>
          </cell>
          <cell r="L540" t="str">
            <v>N</v>
          </cell>
          <cell r="M540">
            <v>0</v>
          </cell>
          <cell r="O540" t="str">
            <v>N</v>
          </cell>
          <cell r="Q540" t="str">
            <v>396</v>
          </cell>
          <cell r="R540" t="str">
            <v>03</v>
          </cell>
          <cell r="S540" t="str">
            <v>03</v>
          </cell>
          <cell r="T540" t="str">
            <v>23</v>
          </cell>
          <cell r="X540" t="str">
            <v>30002</v>
          </cell>
          <cell r="Y540" t="str">
            <v>00396</v>
          </cell>
        </row>
        <row r="541">
          <cell r="A541" t="str">
            <v>23030080</v>
          </cell>
          <cell r="B541" t="str">
            <v>01</v>
          </cell>
          <cell r="C541" t="str">
            <v>MAHALAKSHMI DISTRIBUTORS</v>
          </cell>
          <cell r="D541" t="str">
            <v>NO 8  GAYATHRI STREET</v>
          </cell>
          <cell r="E541" t="str">
            <v>NORTH ROW, DURAISAMY NAGAR</v>
          </cell>
          <cell r="F541" t="str">
            <v>BY-PASS ROAD</v>
          </cell>
          <cell r="G541" t="str">
            <v>TAMILNADU</v>
          </cell>
          <cell r="H541" t="str">
            <v>MADURAI</v>
          </cell>
          <cell r="I541" t="str">
            <v>625 010</v>
          </cell>
          <cell r="J541" t="str">
            <v>003</v>
          </cell>
          <cell r="K541" t="str">
            <v>TNGST 5161928</v>
          </cell>
          <cell r="L541" t="str">
            <v>N</v>
          </cell>
          <cell r="M541">
            <v>0</v>
          </cell>
          <cell r="O541" t="str">
            <v>N</v>
          </cell>
          <cell r="Q541" t="str">
            <v>397</v>
          </cell>
          <cell r="R541" t="str">
            <v>03</v>
          </cell>
          <cell r="S541" t="str">
            <v>03</v>
          </cell>
          <cell r="T541" t="str">
            <v>23</v>
          </cell>
          <cell r="U541">
            <v>0</v>
          </cell>
          <cell r="X541" t="str">
            <v>30002</v>
          </cell>
          <cell r="Y541" t="str">
            <v>00397</v>
          </cell>
        </row>
        <row r="542">
          <cell r="A542" t="str">
            <v>23030081</v>
          </cell>
          <cell r="B542" t="str">
            <v>01</v>
          </cell>
          <cell r="C542" t="str">
            <v>MARIYAM MARKETINGS</v>
          </cell>
          <cell r="D542" t="str">
            <v>69, POST OFFICE MAIN ROAD</v>
          </cell>
          <cell r="G542" t="str">
            <v>TAMILNADU</v>
          </cell>
          <cell r="H542" t="str">
            <v>AVINASHI</v>
          </cell>
          <cell r="I542" t="str">
            <v>641654</v>
          </cell>
          <cell r="J542" t="str">
            <v>003</v>
          </cell>
          <cell r="K542" t="str">
            <v>TNGST 2401011</v>
          </cell>
          <cell r="L542" t="str">
            <v>N</v>
          </cell>
          <cell r="M542">
            <v>0</v>
          </cell>
          <cell r="O542" t="str">
            <v>N</v>
          </cell>
          <cell r="Q542" t="str">
            <v>398</v>
          </cell>
          <cell r="R542" t="str">
            <v>03</v>
          </cell>
          <cell r="S542" t="str">
            <v>03</v>
          </cell>
          <cell r="T542" t="str">
            <v>23</v>
          </cell>
          <cell r="X542" t="str">
            <v>30002</v>
          </cell>
          <cell r="Y542" t="str">
            <v>00398</v>
          </cell>
        </row>
        <row r="543">
          <cell r="A543" t="str">
            <v>23030082</v>
          </cell>
          <cell r="B543" t="str">
            <v>01</v>
          </cell>
          <cell r="C543" t="str">
            <v>SRI RAAJA GANAPATHY</v>
          </cell>
          <cell r="D543" t="str">
            <v>TRADERS</v>
          </cell>
          <cell r="E543" t="str">
            <v>NO. 10</v>
          </cell>
          <cell r="F543" t="str">
            <v>NAGENDRA IYER STREET</v>
          </cell>
          <cell r="G543" t="str">
            <v>TAMILNADU</v>
          </cell>
          <cell r="H543" t="str">
            <v>RASIPURAM</v>
          </cell>
          <cell r="I543" t="str">
            <v>637 408</v>
          </cell>
          <cell r="J543" t="str">
            <v>003</v>
          </cell>
          <cell r="K543" t="str">
            <v>TNGST 3161763/165</v>
          </cell>
          <cell r="L543" t="str">
            <v>N</v>
          </cell>
          <cell r="M543">
            <v>0</v>
          </cell>
          <cell r="O543" t="str">
            <v>N</v>
          </cell>
          <cell r="Q543" t="str">
            <v>399</v>
          </cell>
          <cell r="R543" t="str">
            <v>03</v>
          </cell>
          <cell r="S543" t="str">
            <v>03</v>
          </cell>
          <cell r="T543" t="str">
            <v>23</v>
          </cell>
          <cell r="U543">
            <v>0</v>
          </cell>
          <cell r="X543" t="str">
            <v>30002</v>
          </cell>
          <cell r="Y543" t="str">
            <v>00399</v>
          </cell>
        </row>
        <row r="544">
          <cell r="A544" t="str">
            <v>23030083</v>
          </cell>
          <cell r="B544" t="str">
            <v>01</v>
          </cell>
          <cell r="C544" t="str">
            <v>SARATHY AGENCY</v>
          </cell>
          <cell r="D544" t="str">
            <v>380-N, SALEM MAIN ROAD</v>
          </cell>
          <cell r="G544" t="str">
            <v>TAMILNADU</v>
          </cell>
          <cell r="H544" t="str">
            <v>KOMARAPALAYAM</v>
          </cell>
          <cell r="I544" t="str">
            <v>638183</v>
          </cell>
          <cell r="J544" t="str">
            <v>003</v>
          </cell>
          <cell r="K544" t="str">
            <v>TNGST 3222056-168</v>
          </cell>
          <cell r="L544" t="str">
            <v>N</v>
          </cell>
          <cell r="M544">
            <v>0</v>
          </cell>
          <cell r="O544" t="str">
            <v>N</v>
          </cell>
          <cell r="Q544" t="str">
            <v>400</v>
          </cell>
          <cell r="R544" t="str">
            <v>03</v>
          </cell>
          <cell r="S544" t="str">
            <v>03</v>
          </cell>
          <cell r="T544" t="str">
            <v>23</v>
          </cell>
          <cell r="X544" t="str">
            <v>30002</v>
          </cell>
          <cell r="Y544" t="str">
            <v>00400</v>
          </cell>
        </row>
        <row r="545">
          <cell r="A545" t="str">
            <v>23030084</v>
          </cell>
          <cell r="B545" t="str">
            <v>01</v>
          </cell>
          <cell r="C545" t="str">
            <v>M.S.P.M.CHANDRA SEKARAN</v>
          </cell>
          <cell r="D545" t="str">
            <v>ENTERPRISES</v>
          </cell>
          <cell r="E545" t="str">
            <v>NO.33, BESANT ROAD</v>
          </cell>
          <cell r="F545" t="str">
            <v>CHOKKIKULAM</v>
          </cell>
          <cell r="G545" t="str">
            <v>TAMILNADU</v>
          </cell>
          <cell r="H545" t="str">
            <v>MADURAI</v>
          </cell>
          <cell r="I545" t="str">
            <v>625002</v>
          </cell>
          <cell r="J545" t="str">
            <v>003</v>
          </cell>
          <cell r="K545" t="str">
            <v>TNGST 5000560-257</v>
          </cell>
          <cell r="L545" t="str">
            <v>N</v>
          </cell>
          <cell r="M545">
            <v>0</v>
          </cell>
          <cell r="O545" t="str">
            <v>N</v>
          </cell>
          <cell r="Q545" t="str">
            <v>401</v>
          </cell>
          <cell r="R545" t="str">
            <v>03</v>
          </cell>
          <cell r="S545" t="str">
            <v>03</v>
          </cell>
          <cell r="T545" t="str">
            <v>23</v>
          </cell>
          <cell r="X545" t="str">
            <v>30002</v>
          </cell>
          <cell r="Y545" t="str">
            <v>00401</v>
          </cell>
        </row>
        <row r="546">
          <cell r="A546" t="str">
            <v>23030085</v>
          </cell>
          <cell r="B546" t="str">
            <v>01</v>
          </cell>
          <cell r="C546" t="str">
            <v>BABU AGENCIES</v>
          </cell>
          <cell r="D546" t="str">
            <v>74, POOVALUR ROAD</v>
          </cell>
          <cell r="G546" t="str">
            <v>TAMILNADU</v>
          </cell>
          <cell r="H546" t="str">
            <v>LALGUDI</v>
          </cell>
          <cell r="I546" t="str">
            <v>621601</v>
          </cell>
          <cell r="J546" t="str">
            <v>003</v>
          </cell>
          <cell r="K546" t="str">
            <v>TNGST:3481427</v>
          </cell>
          <cell r="L546" t="str">
            <v>N</v>
          </cell>
          <cell r="M546">
            <v>0</v>
          </cell>
          <cell r="O546" t="str">
            <v>N</v>
          </cell>
          <cell r="Q546" t="str">
            <v>402</v>
          </cell>
          <cell r="R546" t="str">
            <v>03</v>
          </cell>
          <cell r="S546" t="str">
            <v>03</v>
          </cell>
          <cell r="T546" t="str">
            <v>23</v>
          </cell>
          <cell r="U546">
            <v>0</v>
          </cell>
          <cell r="X546" t="str">
            <v>30002</v>
          </cell>
          <cell r="Y546" t="str">
            <v>00402</v>
          </cell>
        </row>
        <row r="547">
          <cell r="A547" t="str">
            <v>23030086</v>
          </cell>
          <cell r="B547" t="str">
            <v>01</v>
          </cell>
          <cell r="C547" t="str">
            <v>K.P.R.AGENCIES</v>
          </cell>
          <cell r="D547" t="str">
            <v>36,MONNAIYA CHETTY STREET</v>
          </cell>
          <cell r="G547" t="str">
            <v>TAMILNADU</v>
          </cell>
          <cell r="H547" t="str">
            <v>KURINJIPADI</v>
          </cell>
          <cell r="I547" t="str">
            <v>607302</v>
          </cell>
          <cell r="J547" t="str">
            <v>003</v>
          </cell>
          <cell r="K547" t="str">
            <v>TNGST 4401009-227</v>
          </cell>
          <cell r="L547" t="str">
            <v>N</v>
          </cell>
          <cell r="M547">
            <v>0</v>
          </cell>
          <cell r="O547" t="str">
            <v>N</v>
          </cell>
          <cell r="Q547" t="str">
            <v>403</v>
          </cell>
          <cell r="R547" t="str">
            <v>03</v>
          </cell>
          <cell r="S547" t="str">
            <v>03</v>
          </cell>
          <cell r="T547" t="str">
            <v>23</v>
          </cell>
          <cell r="X547" t="str">
            <v>30002</v>
          </cell>
          <cell r="Y547" t="str">
            <v>00403</v>
          </cell>
        </row>
        <row r="548">
          <cell r="A548" t="str">
            <v>23030087</v>
          </cell>
          <cell r="B548" t="str">
            <v>01</v>
          </cell>
          <cell r="C548" t="str">
            <v>AMMAN AGENCIES</v>
          </cell>
          <cell r="D548" t="str">
            <v>60, OMAMPULIYUR ROAD,</v>
          </cell>
          <cell r="G548" t="str">
            <v>TAMILNADU</v>
          </cell>
          <cell r="H548" t="str">
            <v>KATTUMANNARKOIL</v>
          </cell>
          <cell r="I548" t="str">
            <v>608301</v>
          </cell>
          <cell r="J548" t="str">
            <v>003</v>
          </cell>
          <cell r="K548" t="str">
            <v>TNGST 593309</v>
          </cell>
          <cell r="L548" t="str">
            <v>N</v>
          </cell>
          <cell r="M548">
            <v>0</v>
          </cell>
          <cell r="O548" t="str">
            <v>N</v>
          </cell>
          <cell r="Q548" t="str">
            <v>404</v>
          </cell>
          <cell r="R548" t="str">
            <v>03</v>
          </cell>
          <cell r="S548" t="str">
            <v>03</v>
          </cell>
          <cell r="T548" t="str">
            <v>23</v>
          </cell>
          <cell r="X548" t="str">
            <v>30002</v>
          </cell>
          <cell r="Y548" t="str">
            <v>00404</v>
          </cell>
        </row>
        <row r="549">
          <cell r="A549" t="str">
            <v>23030088</v>
          </cell>
          <cell r="B549" t="str">
            <v>01</v>
          </cell>
          <cell r="C549" t="str">
            <v>ANJUGAM AGENCIES</v>
          </cell>
          <cell r="D549" t="str">
            <v>72 DHANALAKSHMI NAGER</v>
          </cell>
          <cell r="E549" t="str">
            <v>SIDDAPUDUR</v>
          </cell>
          <cell r="G549" t="str">
            <v>TAMILNADU</v>
          </cell>
          <cell r="H549" t="str">
            <v>COIMBATORE</v>
          </cell>
          <cell r="I549" t="str">
            <v>641 044</v>
          </cell>
          <cell r="J549" t="str">
            <v>003</v>
          </cell>
          <cell r="K549" t="str">
            <v>TNGST 2161975 CODE 113</v>
          </cell>
          <cell r="L549" t="str">
            <v>N</v>
          </cell>
          <cell r="M549">
            <v>0</v>
          </cell>
          <cell r="O549" t="str">
            <v>N</v>
          </cell>
          <cell r="Q549" t="str">
            <v>405</v>
          </cell>
          <cell r="R549" t="str">
            <v>03</v>
          </cell>
          <cell r="S549" t="str">
            <v>03</v>
          </cell>
          <cell r="T549" t="str">
            <v>23</v>
          </cell>
          <cell r="U549">
            <v>0</v>
          </cell>
          <cell r="X549" t="str">
            <v>30001</v>
          </cell>
          <cell r="Y549" t="str">
            <v>00405</v>
          </cell>
        </row>
        <row r="550">
          <cell r="A550" t="str">
            <v>23030089</v>
          </cell>
          <cell r="B550" t="str">
            <v>01</v>
          </cell>
          <cell r="C550" t="str">
            <v>MAHA GANAPATHY DISTRIBTRS</v>
          </cell>
          <cell r="D550" t="str">
            <v>(H.O. POLLACHI)</v>
          </cell>
          <cell r="E550" t="str">
            <v>(BRANCH) GODOWN NO. 484 &amp; 485</v>
          </cell>
          <cell r="F550" t="str">
            <v>RANGAIAH GOWDER STREET</v>
          </cell>
          <cell r="G550" t="str">
            <v>TAMILNADU</v>
          </cell>
          <cell r="H550" t="str">
            <v>COIMBATORE</v>
          </cell>
          <cell r="I550" t="str">
            <v>641 001</v>
          </cell>
          <cell r="J550" t="str">
            <v>003</v>
          </cell>
          <cell r="K550" t="str">
            <v>TNGST 2260984-01/01/8</v>
          </cell>
          <cell r="L550" t="str">
            <v>N</v>
          </cell>
          <cell r="M550">
            <v>0</v>
          </cell>
          <cell r="O550" t="str">
            <v>N</v>
          </cell>
          <cell r="Q550" t="str">
            <v>406</v>
          </cell>
          <cell r="R550" t="str">
            <v>03</v>
          </cell>
          <cell r="S550" t="str">
            <v>03</v>
          </cell>
          <cell r="T550" t="str">
            <v>23</v>
          </cell>
          <cell r="U550">
            <v>0</v>
          </cell>
          <cell r="X550" t="str">
            <v>30001</v>
          </cell>
          <cell r="Y550" t="str">
            <v>00406</v>
          </cell>
        </row>
        <row r="551">
          <cell r="A551" t="str">
            <v>23030090</v>
          </cell>
          <cell r="B551" t="str">
            <v>01</v>
          </cell>
          <cell r="C551" t="str">
            <v>VARALAXMI AGENCY</v>
          </cell>
          <cell r="D551" t="str">
            <v>5/11, B &amp; C, B.D.C.COMPLEX</v>
          </cell>
          <cell r="E551" t="str">
            <v>AGRAHARAM, V.N.PALAYAM</v>
          </cell>
          <cell r="F551" t="str">
            <v>SALEM DISTRICT</v>
          </cell>
          <cell r="G551" t="str">
            <v>TAMILNADU</v>
          </cell>
          <cell r="H551" t="str">
            <v>SANKARI</v>
          </cell>
          <cell r="J551" t="str">
            <v>003</v>
          </cell>
          <cell r="K551" t="str">
            <v>TNGST 3222862</v>
          </cell>
          <cell r="L551" t="str">
            <v>N</v>
          </cell>
          <cell r="M551">
            <v>0</v>
          </cell>
          <cell r="O551" t="str">
            <v>N</v>
          </cell>
          <cell r="Q551" t="str">
            <v>407</v>
          </cell>
          <cell r="R551" t="str">
            <v>03</v>
          </cell>
          <cell r="S551" t="str">
            <v>03</v>
          </cell>
          <cell r="T551" t="str">
            <v>23</v>
          </cell>
          <cell r="X551" t="str">
            <v>30002</v>
          </cell>
          <cell r="Y551" t="str">
            <v>00407</v>
          </cell>
        </row>
        <row r="552">
          <cell r="A552" t="str">
            <v>23030091</v>
          </cell>
          <cell r="B552" t="str">
            <v>01</v>
          </cell>
          <cell r="C552" t="str">
            <v>SRI KANNIKA AGENCY</v>
          </cell>
          <cell r="D552" t="str">
            <v>NO, 21-A,VARTHAGAN STREET</v>
          </cell>
          <cell r="G552" t="str">
            <v>TAMILNADU</v>
          </cell>
          <cell r="H552" t="str">
            <v>RAMESWARAM</v>
          </cell>
          <cell r="I552" t="str">
            <v>623526</v>
          </cell>
          <cell r="J552" t="str">
            <v>003</v>
          </cell>
          <cell r="K552" t="str">
            <v>TNGST 5441336</v>
          </cell>
          <cell r="L552" t="str">
            <v>N</v>
          </cell>
          <cell r="M552">
            <v>0</v>
          </cell>
          <cell r="O552" t="str">
            <v>N</v>
          </cell>
          <cell r="Q552" t="str">
            <v>408</v>
          </cell>
          <cell r="R552" t="str">
            <v>03</v>
          </cell>
          <cell r="S552" t="str">
            <v>03</v>
          </cell>
          <cell r="T552" t="str">
            <v>23</v>
          </cell>
          <cell r="X552" t="str">
            <v>30001</v>
          </cell>
          <cell r="Y552" t="str">
            <v>00408</v>
          </cell>
        </row>
        <row r="553">
          <cell r="A553" t="str">
            <v>23030092</v>
          </cell>
          <cell r="B553" t="str">
            <v>01</v>
          </cell>
          <cell r="C553" t="str">
            <v>SRI KANNIKA ENTERPRISES</v>
          </cell>
          <cell r="D553" t="str">
            <v>SORNA BHAVAN</v>
          </cell>
          <cell r="E553" t="str">
            <v>1/8 SIDDI VINAYAKAR KOIL ST</v>
          </cell>
          <cell r="G553" t="str">
            <v>TAMILNADU</v>
          </cell>
          <cell r="H553" t="str">
            <v>RAMESWARAM</v>
          </cell>
          <cell r="I553" t="str">
            <v>623 526</v>
          </cell>
          <cell r="J553" t="str">
            <v>003</v>
          </cell>
          <cell r="K553" t="str">
            <v>TNGST 5441484-279</v>
          </cell>
          <cell r="L553" t="str">
            <v>N</v>
          </cell>
          <cell r="M553">
            <v>0</v>
          </cell>
          <cell r="O553" t="str">
            <v>N</v>
          </cell>
          <cell r="Q553" t="str">
            <v>409</v>
          </cell>
          <cell r="R553" t="str">
            <v>03</v>
          </cell>
          <cell r="S553" t="str">
            <v>03</v>
          </cell>
          <cell r="T553" t="str">
            <v>23</v>
          </cell>
          <cell r="U553">
            <v>0</v>
          </cell>
          <cell r="X553" t="str">
            <v>30002</v>
          </cell>
          <cell r="Y553" t="str">
            <v>00409</v>
          </cell>
        </row>
        <row r="554">
          <cell r="A554" t="str">
            <v>23030093</v>
          </cell>
          <cell r="B554" t="str">
            <v>01</v>
          </cell>
          <cell r="C554" t="str">
            <v>SHENBAGAM ENTERPRISES</v>
          </cell>
          <cell r="D554" t="str">
            <v>MADHANAGOPALAPURAM</v>
          </cell>
          <cell r="G554" t="str">
            <v>TAMILNADU</v>
          </cell>
          <cell r="H554" t="str">
            <v>PERAMBALUR</v>
          </cell>
          <cell r="I554" t="str">
            <v>621212</v>
          </cell>
          <cell r="J554" t="str">
            <v>003</v>
          </cell>
          <cell r="K554" t="str">
            <v>TNGST 3601097</v>
          </cell>
          <cell r="L554" t="str">
            <v>N</v>
          </cell>
          <cell r="M554">
            <v>0</v>
          </cell>
          <cell r="O554" t="str">
            <v>N</v>
          </cell>
          <cell r="Q554" t="str">
            <v>410</v>
          </cell>
          <cell r="R554" t="str">
            <v>03</v>
          </cell>
          <cell r="S554" t="str">
            <v>03</v>
          </cell>
          <cell r="T554" t="str">
            <v>23</v>
          </cell>
          <cell r="X554" t="str">
            <v>30002</v>
          </cell>
          <cell r="Y554" t="str">
            <v>00410</v>
          </cell>
        </row>
        <row r="555">
          <cell r="A555" t="str">
            <v>23030094</v>
          </cell>
          <cell r="B555" t="str">
            <v>01</v>
          </cell>
          <cell r="C555" t="str">
            <v>SIVAM &amp; COMPANY</v>
          </cell>
          <cell r="D555" t="str">
            <v>2 E MARIAMMAN KOIL STREET</v>
          </cell>
          <cell r="E555" t="str">
            <v>SAMIAPPA NAGAR</v>
          </cell>
          <cell r="G555" t="str">
            <v>TAMILNADU</v>
          </cell>
          <cell r="H555" t="str">
            <v>THIRUTHURAIPOON</v>
          </cell>
          <cell r="J555" t="str">
            <v>003</v>
          </cell>
          <cell r="K555" t="str">
            <v>TNGST 3920005</v>
          </cell>
          <cell r="L555" t="str">
            <v>N</v>
          </cell>
          <cell r="M555">
            <v>0</v>
          </cell>
          <cell r="O555" t="str">
            <v>N</v>
          </cell>
          <cell r="Q555" t="str">
            <v>411</v>
          </cell>
          <cell r="R555" t="str">
            <v>03</v>
          </cell>
          <cell r="S555" t="str">
            <v>03</v>
          </cell>
          <cell r="T555" t="str">
            <v>23</v>
          </cell>
          <cell r="X555" t="str">
            <v>30002</v>
          </cell>
          <cell r="Y555" t="str">
            <v>00411</v>
          </cell>
        </row>
        <row r="556">
          <cell r="A556" t="str">
            <v>23030095</v>
          </cell>
          <cell r="B556" t="str">
            <v>01</v>
          </cell>
          <cell r="C556" t="str">
            <v>B.G.AGENCIES</v>
          </cell>
          <cell r="D556" t="str">
            <v>9, CHATRAM STREET</v>
          </cell>
          <cell r="G556" t="str">
            <v>TAMILNADU</v>
          </cell>
          <cell r="H556" t="str">
            <v>POLLACHI</v>
          </cell>
          <cell r="I556" t="str">
            <v>642001</v>
          </cell>
          <cell r="J556" t="str">
            <v>003</v>
          </cell>
          <cell r="K556" t="str">
            <v>TNGST 2260130/1.1.8</v>
          </cell>
          <cell r="L556" t="str">
            <v>N</v>
          </cell>
          <cell r="M556">
            <v>0</v>
          </cell>
          <cell r="O556" t="str">
            <v>N</v>
          </cell>
          <cell r="Q556" t="str">
            <v>412</v>
          </cell>
          <cell r="R556" t="str">
            <v>03</v>
          </cell>
          <cell r="S556" t="str">
            <v>03</v>
          </cell>
          <cell r="T556" t="str">
            <v>23</v>
          </cell>
          <cell r="X556" t="str">
            <v>30001</v>
          </cell>
          <cell r="Y556" t="str">
            <v>00412</v>
          </cell>
        </row>
        <row r="557">
          <cell r="A557" t="str">
            <v>23030096</v>
          </cell>
          <cell r="B557" t="str">
            <v>01</v>
          </cell>
          <cell r="C557" t="str">
            <v>BHARANI AGENCIES (BRANCH)</v>
          </cell>
          <cell r="D557" t="str">
            <v>19-E/1, S K M COMPLEX</v>
          </cell>
          <cell r="E557" t="str">
            <v>TRICHY ROAD</v>
          </cell>
          <cell r="G557" t="str">
            <v>TAMILNADU</v>
          </cell>
          <cell r="H557" t="str">
            <v>PALLADAM</v>
          </cell>
          <cell r="I557" t="str">
            <v>641664</v>
          </cell>
          <cell r="J557" t="str">
            <v>003</v>
          </cell>
          <cell r="K557" t="str">
            <v>TNGST 2401919</v>
          </cell>
          <cell r="L557" t="str">
            <v>N</v>
          </cell>
          <cell r="M557">
            <v>0</v>
          </cell>
          <cell r="O557" t="str">
            <v>N</v>
          </cell>
          <cell r="Q557" t="str">
            <v>413</v>
          </cell>
          <cell r="R557" t="str">
            <v>03</v>
          </cell>
          <cell r="S557" t="str">
            <v>03</v>
          </cell>
          <cell r="T557" t="str">
            <v>23</v>
          </cell>
          <cell r="X557" t="str">
            <v>30001</v>
          </cell>
          <cell r="Y557" t="str">
            <v>00413</v>
          </cell>
        </row>
        <row r="558">
          <cell r="A558" t="str">
            <v>23030097</v>
          </cell>
          <cell r="B558" t="str">
            <v>01</v>
          </cell>
          <cell r="C558" t="str">
            <v>SUDHA AGENCY</v>
          </cell>
          <cell r="D558" t="str">
            <v>1-A, KARMEGANAR LANE</v>
          </cell>
          <cell r="G558" t="str">
            <v>TAMILNADU</v>
          </cell>
          <cell r="H558" t="str">
            <v>NANGUNERI</v>
          </cell>
          <cell r="I558" t="str">
            <v>627108</v>
          </cell>
          <cell r="J558" t="str">
            <v>003</v>
          </cell>
          <cell r="K558" t="str">
            <v>TNGST 5601093/2/8/7</v>
          </cell>
          <cell r="L558" t="str">
            <v>N</v>
          </cell>
          <cell r="M558">
            <v>0</v>
          </cell>
          <cell r="O558" t="str">
            <v>N</v>
          </cell>
          <cell r="Q558" t="str">
            <v>414</v>
          </cell>
          <cell r="R558" t="str">
            <v>03</v>
          </cell>
          <cell r="S558" t="str">
            <v>03</v>
          </cell>
          <cell r="T558" t="str">
            <v>23</v>
          </cell>
          <cell r="X558" t="str">
            <v>30002</v>
          </cell>
          <cell r="Y558" t="str">
            <v>00414</v>
          </cell>
        </row>
        <row r="559">
          <cell r="A559" t="str">
            <v>23030098</v>
          </cell>
          <cell r="B559" t="str">
            <v>01</v>
          </cell>
          <cell r="C559" t="str">
            <v>SREEDEVI &amp; CO</v>
          </cell>
          <cell r="D559" t="str">
            <v>11, PARVATHAVARTHINI STREET</v>
          </cell>
          <cell r="E559" t="str">
            <v>R.V.PURAM</v>
          </cell>
          <cell r="G559" t="str">
            <v>TAMILNADU</v>
          </cell>
          <cell r="H559" t="str">
            <v>NAGERCOIL</v>
          </cell>
          <cell r="I559" t="str">
            <v>629001</v>
          </cell>
          <cell r="J559" t="str">
            <v>003</v>
          </cell>
          <cell r="K559" t="str">
            <v>TNGST 6141276/3/1/4</v>
          </cell>
          <cell r="L559" t="str">
            <v>N</v>
          </cell>
          <cell r="M559">
            <v>0</v>
          </cell>
          <cell r="N559" t="str">
            <v>CST 506313/28-08-95</v>
          </cell>
          <cell r="O559" t="str">
            <v>N</v>
          </cell>
          <cell r="Q559" t="str">
            <v>415</v>
          </cell>
          <cell r="R559" t="str">
            <v>03</v>
          </cell>
          <cell r="S559" t="str">
            <v>03</v>
          </cell>
          <cell r="T559" t="str">
            <v>23</v>
          </cell>
          <cell r="X559" t="str">
            <v>30001</v>
          </cell>
          <cell r="Y559" t="str">
            <v>00415</v>
          </cell>
        </row>
        <row r="560">
          <cell r="A560" t="str">
            <v>23030099</v>
          </cell>
          <cell r="B560" t="str">
            <v>01</v>
          </cell>
          <cell r="C560" t="str">
            <v>V G R ASSOCIATES</v>
          </cell>
          <cell r="D560" t="str">
            <v>NO.117, PONNIAH RAJAPURAM</v>
          </cell>
          <cell r="G560" t="str">
            <v>TAMILNADU</v>
          </cell>
          <cell r="H560" t="str">
            <v>COIMBATORE</v>
          </cell>
          <cell r="I560" t="str">
            <v>641001</v>
          </cell>
          <cell r="J560" t="str">
            <v>003</v>
          </cell>
          <cell r="K560" t="str">
            <v>TNGST 1761557-0/9/3</v>
          </cell>
          <cell r="L560" t="str">
            <v>N</v>
          </cell>
          <cell r="M560">
            <v>0</v>
          </cell>
          <cell r="O560" t="str">
            <v>N</v>
          </cell>
          <cell r="Q560" t="str">
            <v>416</v>
          </cell>
          <cell r="R560" t="str">
            <v>03</v>
          </cell>
          <cell r="S560" t="str">
            <v>03</v>
          </cell>
          <cell r="T560" t="str">
            <v>23</v>
          </cell>
          <cell r="X560" t="str">
            <v>30001</v>
          </cell>
          <cell r="Y560" t="str">
            <v>00416</v>
          </cell>
        </row>
        <row r="561">
          <cell r="A561" t="str">
            <v>23030100</v>
          </cell>
          <cell r="B561" t="str">
            <v>01</v>
          </cell>
          <cell r="C561" t="str">
            <v>L.L.TRADERS</v>
          </cell>
          <cell r="D561" t="str">
            <v>C-20, NAKKERAR STREET</v>
          </cell>
          <cell r="E561" t="str">
            <v>SUBRAMANYA NAGAR</v>
          </cell>
          <cell r="G561" t="str">
            <v>TAMILNADU</v>
          </cell>
          <cell r="H561" t="str">
            <v>SALEM</v>
          </cell>
          <cell r="I561" t="str">
            <v>636 016</v>
          </cell>
          <cell r="J561" t="str">
            <v>003</v>
          </cell>
          <cell r="K561" t="str">
            <v>TNGST 2841799</v>
          </cell>
          <cell r="L561" t="str">
            <v>N</v>
          </cell>
          <cell r="M561">
            <v>0</v>
          </cell>
          <cell r="O561" t="str">
            <v>N</v>
          </cell>
          <cell r="Q561" t="str">
            <v>417</v>
          </cell>
          <cell r="R561" t="str">
            <v>03</v>
          </cell>
          <cell r="S561" t="str">
            <v>03</v>
          </cell>
          <cell r="T561" t="str">
            <v>23</v>
          </cell>
          <cell r="U561">
            <v>0</v>
          </cell>
          <cell r="X561" t="str">
            <v>30001</v>
          </cell>
          <cell r="Y561" t="str">
            <v>00417</v>
          </cell>
        </row>
        <row r="562">
          <cell r="A562" t="str">
            <v>23030101</v>
          </cell>
          <cell r="B562" t="str">
            <v>01</v>
          </cell>
          <cell r="C562" t="str">
            <v>SEETHA ENTERPRISES</v>
          </cell>
          <cell r="D562" t="str">
            <v>12, SILAMBANI SANNATHI STREET</v>
          </cell>
          <cell r="G562" t="str">
            <v>TAMILNADU</v>
          </cell>
          <cell r="H562" t="str">
            <v>DEVAKOTTAI</v>
          </cell>
          <cell r="I562" t="str">
            <v>630302</v>
          </cell>
          <cell r="J562" t="str">
            <v>003</v>
          </cell>
          <cell r="K562" t="str">
            <v>TNGST 5460809/2/8/0</v>
          </cell>
          <cell r="L562" t="str">
            <v>N</v>
          </cell>
          <cell r="M562">
            <v>0</v>
          </cell>
          <cell r="O562" t="str">
            <v>N</v>
          </cell>
          <cell r="Q562" t="str">
            <v>418</v>
          </cell>
          <cell r="R562" t="str">
            <v>03</v>
          </cell>
          <cell r="S562" t="str">
            <v>03</v>
          </cell>
          <cell r="T562" t="str">
            <v>23</v>
          </cell>
          <cell r="X562" t="str">
            <v>30002</v>
          </cell>
          <cell r="Y562" t="str">
            <v>00418</v>
          </cell>
        </row>
        <row r="563">
          <cell r="A563" t="str">
            <v>23030102</v>
          </cell>
          <cell r="B563" t="str">
            <v>01</v>
          </cell>
          <cell r="C563" t="str">
            <v>S.I.M.MUSTAFA &amp; CO</v>
          </cell>
          <cell r="D563" t="str">
            <v>(H.O: METTUPALAYAM)</v>
          </cell>
          <cell r="E563" t="str">
            <v>166,BAZAAR STREET</v>
          </cell>
          <cell r="G563" t="str">
            <v>TAMILNADU</v>
          </cell>
          <cell r="H563" t="str">
            <v>SATHIYAMANGALAM</v>
          </cell>
          <cell r="I563" t="str">
            <v>638401</v>
          </cell>
          <cell r="J563" t="str">
            <v>003</v>
          </cell>
          <cell r="K563" t="str">
            <v>TNGST 2040088-1/0/7</v>
          </cell>
          <cell r="L563" t="str">
            <v>N</v>
          </cell>
          <cell r="M563">
            <v>0</v>
          </cell>
          <cell r="O563" t="str">
            <v>N</v>
          </cell>
          <cell r="Q563" t="str">
            <v>419</v>
          </cell>
          <cell r="R563" t="str">
            <v>03</v>
          </cell>
          <cell r="S563" t="str">
            <v>03</v>
          </cell>
          <cell r="T563" t="str">
            <v>23</v>
          </cell>
          <cell r="U563">
            <v>0</v>
          </cell>
          <cell r="X563" t="str">
            <v>30002</v>
          </cell>
          <cell r="Y563" t="str">
            <v>00419</v>
          </cell>
        </row>
        <row r="564">
          <cell r="A564" t="str">
            <v>23030103</v>
          </cell>
          <cell r="B564" t="str">
            <v>01</v>
          </cell>
          <cell r="C564" t="str">
            <v>MAHALAKSHMI ENTERPRIES</v>
          </cell>
          <cell r="D564" t="str">
            <v>NO 1/2  FIRST CROSS STREET</v>
          </cell>
          <cell r="E564" t="str">
            <v>PUDHU NAGAR</v>
          </cell>
          <cell r="F564" t="str">
            <v>THIRUMANGALAM</v>
          </cell>
          <cell r="G564" t="str">
            <v>TAMILNADU</v>
          </cell>
          <cell r="H564" t="str">
            <v>MADURAI</v>
          </cell>
          <cell r="J564" t="str">
            <v>003</v>
          </cell>
          <cell r="K564" t="str">
            <v>TNGST 5161927/265</v>
          </cell>
          <cell r="L564" t="str">
            <v>N</v>
          </cell>
          <cell r="M564">
            <v>0</v>
          </cell>
          <cell r="O564" t="str">
            <v>N</v>
          </cell>
          <cell r="Q564" t="str">
            <v>420</v>
          </cell>
          <cell r="R564" t="str">
            <v>03</v>
          </cell>
          <cell r="S564" t="str">
            <v>03</v>
          </cell>
          <cell r="T564" t="str">
            <v>23</v>
          </cell>
          <cell r="U564">
            <v>0</v>
          </cell>
          <cell r="X564" t="str">
            <v>30002</v>
          </cell>
          <cell r="Y564" t="str">
            <v>00420</v>
          </cell>
        </row>
        <row r="565">
          <cell r="A565" t="str">
            <v>23030104</v>
          </cell>
          <cell r="B565" t="str">
            <v>01</v>
          </cell>
          <cell r="C565" t="str">
            <v>ISWARYA DISTRIBUTORS</v>
          </cell>
          <cell r="D565" t="str">
            <v>NO 14A, MUTHU IYER STREET</v>
          </cell>
          <cell r="E565" t="str">
            <v>BUILDING SOCIETY NORTH</v>
          </cell>
          <cell r="G565" t="str">
            <v>TAMILNADU</v>
          </cell>
          <cell r="H565" t="str">
            <v>CHINNAMANUR</v>
          </cell>
          <cell r="I565" t="str">
            <v>626515</v>
          </cell>
          <cell r="J565" t="str">
            <v>003</v>
          </cell>
          <cell r="K565" t="str">
            <v>TNGST 5180854/266</v>
          </cell>
          <cell r="L565" t="str">
            <v>N</v>
          </cell>
          <cell r="M565">
            <v>0</v>
          </cell>
          <cell r="O565" t="str">
            <v>N</v>
          </cell>
          <cell r="Q565" t="str">
            <v>421</v>
          </cell>
          <cell r="R565" t="str">
            <v>03</v>
          </cell>
          <cell r="S565" t="str">
            <v>03</v>
          </cell>
          <cell r="T565" t="str">
            <v>23</v>
          </cell>
          <cell r="X565" t="str">
            <v>30002</v>
          </cell>
          <cell r="Y565" t="str">
            <v>00421</v>
          </cell>
        </row>
        <row r="566">
          <cell r="A566" t="str">
            <v>23030105</v>
          </cell>
          <cell r="B566" t="str">
            <v>01</v>
          </cell>
          <cell r="C566" t="str">
            <v>SRI ACHUTHA ENTERPRISES</v>
          </cell>
          <cell r="D566" t="str">
            <v>NO.4,4B 8TH CORSS</v>
          </cell>
          <cell r="E566" t="str">
            <v>C H B COLONY</v>
          </cell>
          <cell r="F566" t="str">
            <v>VELUR ROAD</v>
          </cell>
          <cell r="G566" t="str">
            <v>TAMILNADU</v>
          </cell>
          <cell r="H566" t="str">
            <v>TIRUCHENGODE</v>
          </cell>
          <cell r="I566" t="str">
            <v>637 211</v>
          </cell>
          <cell r="J566" t="str">
            <v>003</v>
          </cell>
          <cell r="K566" t="str">
            <v>TNGST 166/3181969</v>
          </cell>
          <cell r="L566" t="str">
            <v>N</v>
          </cell>
          <cell r="M566">
            <v>0</v>
          </cell>
          <cell r="O566" t="str">
            <v>N</v>
          </cell>
          <cell r="Q566" t="str">
            <v>422</v>
          </cell>
          <cell r="R566" t="str">
            <v>03</v>
          </cell>
          <cell r="S566" t="str">
            <v>03</v>
          </cell>
          <cell r="T566" t="str">
            <v>23</v>
          </cell>
          <cell r="U566">
            <v>0</v>
          </cell>
          <cell r="X566" t="str">
            <v>30002</v>
          </cell>
          <cell r="Y566" t="str">
            <v>00422</v>
          </cell>
        </row>
        <row r="567">
          <cell r="A567" t="str">
            <v>23030106</v>
          </cell>
          <cell r="B567" t="str">
            <v>01</v>
          </cell>
          <cell r="C567" t="str">
            <v>SRI MEENAKSHI AGENCIES</v>
          </cell>
          <cell r="D567" t="str">
            <v>76-C,MUTHATCHI PILLIAR KOIL ST</v>
          </cell>
          <cell r="G567" t="str">
            <v>TAMILNADU</v>
          </cell>
          <cell r="H567" t="str">
            <v>BHUVANAGIRI(SA)</v>
          </cell>
          <cell r="I567" t="str">
            <v>608601</v>
          </cell>
          <cell r="J567" t="str">
            <v>003</v>
          </cell>
          <cell r="K567" t="str">
            <v>TNGST 4440866</v>
          </cell>
          <cell r="L567" t="str">
            <v>N</v>
          </cell>
          <cell r="M567">
            <v>0</v>
          </cell>
          <cell r="O567" t="str">
            <v>N</v>
          </cell>
          <cell r="Q567" t="str">
            <v>423</v>
          </cell>
          <cell r="R567" t="str">
            <v>03</v>
          </cell>
          <cell r="S567" t="str">
            <v>03</v>
          </cell>
          <cell r="T567" t="str">
            <v>23</v>
          </cell>
          <cell r="X567" t="str">
            <v>30002</v>
          </cell>
          <cell r="Y567" t="str">
            <v>00423</v>
          </cell>
        </row>
        <row r="568">
          <cell r="A568" t="str">
            <v>23030107</v>
          </cell>
          <cell r="B568" t="str">
            <v>01</v>
          </cell>
          <cell r="C568" t="str">
            <v>BABU ENTERPRISES</v>
          </cell>
          <cell r="D568" t="str">
            <v>MAIN ROAD</v>
          </cell>
          <cell r="G568" t="str">
            <v>TAMILNADU</v>
          </cell>
          <cell r="H568" t="str">
            <v>VALPARAI</v>
          </cell>
          <cell r="I568" t="str">
            <v>642127</v>
          </cell>
          <cell r="J568" t="str">
            <v>003</v>
          </cell>
          <cell r="K568" t="str">
            <v>TNGST NO:2360317</v>
          </cell>
          <cell r="L568" t="str">
            <v>N</v>
          </cell>
          <cell r="M568">
            <v>0</v>
          </cell>
          <cell r="O568" t="str">
            <v>N</v>
          </cell>
          <cell r="Q568" t="str">
            <v>424</v>
          </cell>
          <cell r="R568" t="str">
            <v>03</v>
          </cell>
          <cell r="S568" t="str">
            <v>03</v>
          </cell>
          <cell r="T568" t="str">
            <v>23</v>
          </cell>
          <cell r="X568" t="str">
            <v>30001</v>
          </cell>
          <cell r="Y568" t="str">
            <v>00424</v>
          </cell>
        </row>
        <row r="569">
          <cell r="A569" t="str">
            <v>23030108</v>
          </cell>
          <cell r="B569" t="str">
            <v>01</v>
          </cell>
          <cell r="C569" t="str">
            <v>GOOD LUCK DISTRIBUTORS</v>
          </cell>
          <cell r="D569" t="str">
            <v>97, KOVAI MAIN ROAD</v>
          </cell>
          <cell r="G569" t="str">
            <v>TAMILNADU</v>
          </cell>
          <cell r="H569" t="str">
            <v>VELLAKOIL</v>
          </cell>
          <cell r="I569" t="str">
            <v>638 111</v>
          </cell>
          <cell r="J569" t="str">
            <v>003</v>
          </cell>
          <cell r="K569" t="str">
            <v>TNGST:3081824 IAC-161</v>
          </cell>
          <cell r="L569" t="str">
            <v>N</v>
          </cell>
          <cell r="M569">
            <v>0</v>
          </cell>
          <cell r="O569" t="str">
            <v>N</v>
          </cell>
          <cell r="Q569" t="str">
            <v>425</v>
          </cell>
          <cell r="R569" t="str">
            <v>03</v>
          </cell>
          <cell r="S569" t="str">
            <v>03</v>
          </cell>
          <cell r="T569" t="str">
            <v>23</v>
          </cell>
          <cell r="U569">
            <v>0</v>
          </cell>
          <cell r="X569" t="str">
            <v>30001</v>
          </cell>
          <cell r="Y569" t="str">
            <v>00425</v>
          </cell>
        </row>
        <row r="570">
          <cell r="A570" t="str">
            <v>23030109</v>
          </cell>
          <cell r="B570" t="str">
            <v>01</v>
          </cell>
          <cell r="C570" t="str">
            <v>C&amp;F AGENT    (TRICHY)</v>
          </cell>
          <cell r="D570" t="str">
            <v>47/1,MANALVARI DURAI ROAD</v>
          </cell>
          <cell r="E570" t="str">
            <v>SANGILANDAVAPURAM</v>
          </cell>
          <cell r="G570" t="str">
            <v>TAMILNADU</v>
          </cell>
          <cell r="H570" t="str">
            <v>TRICHY</v>
          </cell>
          <cell r="I570" t="str">
            <v>620 001</v>
          </cell>
          <cell r="J570" t="str">
            <v>003</v>
          </cell>
          <cell r="K570" t="str">
            <v>TNGST: 1320020/067</v>
          </cell>
          <cell r="L570" t="str">
            <v>N</v>
          </cell>
          <cell r="M570">
            <v>0</v>
          </cell>
          <cell r="N570" t="str">
            <v>CST: 2681/66-67</v>
          </cell>
          <cell r="O570" t="str">
            <v>N</v>
          </cell>
          <cell r="Q570" t="str">
            <v>844</v>
          </cell>
          <cell r="R570" t="str">
            <v>03</v>
          </cell>
          <cell r="S570" t="str">
            <v>03</v>
          </cell>
          <cell r="T570" t="str">
            <v>23</v>
          </cell>
          <cell r="U570">
            <v>0</v>
          </cell>
          <cell r="X570" t="str">
            <v>30001</v>
          </cell>
          <cell r="Y570" t="str">
            <v>00844</v>
          </cell>
        </row>
        <row r="571">
          <cell r="A571" t="str">
            <v>23030110</v>
          </cell>
          <cell r="B571" t="str">
            <v>01</v>
          </cell>
          <cell r="C571" t="str">
            <v>C&amp;F AGENT    (AVIN)</v>
          </cell>
          <cell r="D571" t="str">
            <v>47/B, Annai Pudur</v>
          </cell>
          <cell r="E571" t="str">
            <v>Pooni Post</v>
          </cell>
          <cell r="G571" t="str">
            <v>TAMILNADU</v>
          </cell>
          <cell r="H571" t="str">
            <v>AVINASHI</v>
          </cell>
          <cell r="I571" t="str">
            <v>641562</v>
          </cell>
          <cell r="J571" t="str">
            <v>003</v>
          </cell>
          <cell r="K571" t="str">
            <v>TNGST: 1320020/067</v>
          </cell>
          <cell r="L571" t="str">
            <v>N</v>
          </cell>
          <cell r="M571">
            <v>0</v>
          </cell>
          <cell r="O571" t="str">
            <v>N</v>
          </cell>
          <cell r="Q571" t="str">
            <v>802</v>
          </cell>
          <cell r="R571" t="str">
            <v>03</v>
          </cell>
          <cell r="S571" t="str">
            <v>03</v>
          </cell>
          <cell r="T571" t="str">
            <v>23</v>
          </cell>
          <cell r="U571">
            <v>0</v>
          </cell>
          <cell r="X571" t="str">
            <v>30001</v>
          </cell>
          <cell r="Y571" t="str">
            <v>00802</v>
          </cell>
        </row>
        <row r="572">
          <cell r="A572" t="str">
            <v>23030111</v>
          </cell>
          <cell r="B572" t="str">
            <v>01</v>
          </cell>
          <cell r="C572" t="str">
            <v>SRI SABARI TRADERS</v>
          </cell>
          <cell r="D572" t="str">
            <v>4, THONDAR SANNATHI</v>
          </cell>
          <cell r="G572" t="str">
            <v>TAMILNADU</v>
          </cell>
          <cell r="H572" t="str">
            <v>TIRUNELVELI</v>
          </cell>
          <cell r="I572" t="str">
            <v>627 006</v>
          </cell>
          <cell r="J572" t="str">
            <v>004</v>
          </cell>
          <cell r="K572" t="str">
            <v>5580756 A:7-01-03</v>
          </cell>
          <cell r="L572" t="str">
            <v>N</v>
          </cell>
          <cell r="M572">
            <v>0</v>
          </cell>
          <cell r="N572" t="str">
            <v>453697 DT.17.03.93</v>
          </cell>
          <cell r="O572" t="str">
            <v>N</v>
          </cell>
          <cell r="Q572" t="str">
            <v>484</v>
          </cell>
          <cell r="R572" t="str">
            <v>03</v>
          </cell>
          <cell r="S572" t="str">
            <v>03</v>
          </cell>
          <cell r="T572" t="str">
            <v>23</v>
          </cell>
          <cell r="U572">
            <v>0</v>
          </cell>
          <cell r="X572" t="str">
            <v>30001</v>
          </cell>
          <cell r="Y572" t="str">
            <v>00484</v>
          </cell>
        </row>
        <row r="573">
          <cell r="A573" t="str">
            <v>23030112</v>
          </cell>
          <cell r="B573" t="str">
            <v>01</v>
          </cell>
          <cell r="C573" t="str">
            <v>SRI   SABARI TRADERS</v>
          </cell>
          <cell r="D573" t="str">
            <v>E-72, 10TH CROSS STREET</v>
          </cell>
          <cell r="E573" t="str">
            <v>MAHARAJA NAGAR</v>
          </cell>
          <cell r="G573" t="str">
            <v>TAMILNADU</v>
          </cell>
          <cell r="H573" t="str">
            <v>PALAYAMKOTTAI</v>
          </cell>
          <cell r="J573" t="str">
            <v>003</v>
          </cell>
          <cell r="K573" t="str">
            <v>TNGST: 5580756</v>
          </cell>
          <cell r="L573" t="str">
            <v>N</v>
          </cell>
          <cell r="M573">
            <v>0</v>
          </cell>
          <cell r="N573" t="str">
            <v>CST:453696</v>
          </cell>
          <cell r="O573" t="str">
            <v>N</v>
          </cell>
          <cell r="Q573" t="str">
            <v>485</v>
          </cell>
          <cell r="R573" t="str">
            <v>03</v>
          </cell>
          <cell r="S573" t="str">
            <v>03</v>
          </cell>
          <cell r="T573" t="str">
            <v>23</v>
          </cell>
          <cell r="U573">
            <v>0</v>
          </cell>
          <cell r="X573" t="str">
            <v>30001</v>
          </cell>
          <cell r="Y573" t="str">
            <v>00485</v>
          </cell>
        </row>
        <row r="574">
          <cell r="A574" t="str">
            <v>23030113</v>
          </cell>
          <cell r="B574" t="str">
            <v>01</v>
          </cell>
          <cell r="C574" t="str">
            <v>LAKSHMI  AGENCIES</v>
          </cell>
          <cell r="D574" t="str">
            <v>143/1  BEEMARAYAR MAIN STREET</v>
          </cell>
          <cell r="G574" t="str">
            <v>TAMIL NADU</v>
          </cell>
          <cell r="H574" t="str">
            <v>DHARAPURAM</v>
          </cell>
          <cell r="I574" t="str">
            <v>638 656</v>
          </cell>
          <cell r="J574" t="str">
            <v>003</v>
          </cell>
          <cell r="K574" t="str">
            <v>TNGST:3021448-158</v>
          </cell>
          <cell r="L574" t="str">
            <v>N</v>
          </cell>
          <cell r="M574">
            <v>0</v>
          </cell>
          <cell r="O574" t="str">
            <v>N</v>
          </cell>
          <cell r="Q574" t="str">
            <v>328</v>
          </cell>
          <cell r="R574" t="str">
            <v>03</v>
          </cell>
          <cell r="S574" t="str">
            <v>03</v>
          </cell>
          <cell r="T574" t="str">
            <v>23</v>
          </cell>
          <cell r="U574">
            <v>0</v>
          </cell>
          <cell r="X574" t="str">
            <v>30002</v>
          </cell>
          <cell r="Y574" t="str">
            <v>00328</v>
          </cell>
        </row>
        <row r="575">
          <cell r="A575" t="str">
            <v>23030114</v>
          </cell>
          <cell r="B575" t="str">
            <v>01</v>
          </cell>
          <cell r="C575" t="str">
            <v>DEVI AGENCIES</v>
          </cell>
          <cell r="D575" t="str">
            <v>65A/4C PERUMAL SOUTH STREET</v>
          </cell>
          <cell r="G575" t="str">
            <v>TAMIL NADU</v>
          </cell>
          <cell r="H575" t="str">
            <v>VALLIYOOR</v>
          </cell>
          <cell r="I575" t="str">
            <v>627 117</v>
          </cell>
          <cell r="J575" t="str">
            <v>003</v>
          </cell>
          <cell r="K575" t="str">
            <v>GST:5601278</v>
          </cell>
          <cell r="L575" t="str">
            <v>N</v>
          </cell>
          <cell r="M575">
            <v>0</v>
          </cell>
          <cell r="O575" t="str">
            <v>N</v>
          </cell>
          <cell r="Q575" t="str">
            <v>494</v>
          </cell>
          <cell r="R575" t="str">
            <v>03</v>
          </cell>
          <cell r="S575" t="str">
            <v>03</v>
          </cell>
          <cell r="T575" t="str">
            <v>23</v>
          </cell>
          <cell r="U575">
            <v>0</v>
          </cell>
          <cell r="X575" t="str">
            <v>30002</v>
          </cell>
          <cell r="Y575" t="str">
            <v>00494</v>
          </cell>
        </row>
        <row r="576">
          <cell r="A576" t="str">
            <v>23030115</v>
          </cell>
          <cell r="B576" t="str">
            <v>01</v>
          </cell>
          <cell r="C576" t="str">
            <v>ANNIE AGENCIES</v>
          </cell>
          <cell r="D576" t="str">
            <v>NO:32  5TH CROSS</v>
          </cell>
          <cell r="E576" t="str">
            <v>FORT STATION ROAD</v>
          </cell>
          <cell r="F576" t="str">
            <v>THILLAINAGAR</v>
          </cell>
          <cell r="G576" t="str">
            <v>TAMIL NADU</v>
          </cell>
          <cell r="H576" t="str">
            <v>TRICHY</v>
          </cell>
          <cell r="I576" t="str">
            <v>620 018</v>
          </cell>
          <cell r="J576" t="str">
            <v>003</v>
          </cell>
          <cell r="K576" t="str">
            <v>TNGST:3442020</v>
          </cell>
          <cell r="L576" t="str">
            <v>N</v>
          </cell>
          <cell r="M576">
            <v>0</v>
          </cell>
          <cell r="O576" t="str">
            <v>N</v>
          </cell>
          <cell r="Q576" t="str">
            <v>519</v>
          </cell>
          <cell r="R576" t="str">
            <v>03</v>
          </cell>
          <cell r="S576" t="str">
            <v>03</v>
          </cell>
          <cell r="T576" t="str">
            <v>23</v>
          </cell>
          <cell r="U576">
            <v>0</v>
          </cell>
          <cell r="X576" t="str">
            <v>30002</v>
          </cell>
          <cell r="Y576" t="str">
            <v>00519</v>
          </cell>
        </row>
        <row r="577">
          <cell r="A577" t="str">
            <v>23030116</v>
          </cell>
          <cell r="B577" t="str">
            <v>01</v>
          </cell>
          <cell r="C577" t="str">
            <v>SRI VASAVAI AGENCIES</v>
          </cell>
          <cell r="D577" t="str">
            <v>70-I SALEM MAIN ROAD</v>
          </cell>
          <cell r="E577" t="str">
            <v>GKM BUILDING</v>
          </cell>
          <cell r="G577" t="str">
            <v>TAMILNADU</v>
          </cell>
          <cell r="H577" t="str">
            <v>KALLAKURICHI</v>
          </cell>
          <cell r="I577" t="str">
            <v>606 202</v>
          </cell>
          <cell r="J577" t="str">
            <v>003</v>
          </cell>
          <cell r="K577" t="str">
            <v>TNGST 4780746/246</v>
          </cell>
          <cell r="L577" t="str">
            <v>N</v>
          </cell>
          <cell r="M577">
            <v>0</v>
          </cell>
          <cell r="N577" t="str">
            <v>CST 396965-7.6.90</v>
          </cell>
          <cell r="O577" t="str">
            <v>N</v>
          </cell>
          <cell r="Q577" t="str">
            <v>463</v>
          </cell>
          <cell r="R577" t="str">
            <v>03</v>
          </cell>
          <cell r="S577" t="str">
            <v>03</v>
          </cell>
          <cell r="T577" t="str">
            <v>23</v>
          </cell>
          <cell r="U577">
            <v>0</v>
          </cell>
          <cell r="X577" t="str">
            <v>30002</v>
          </cell>
          <cell r="Y577" t="str">
            <v>00463</v>
          </cell>
        </row>
        <row r="578">
          <cell r="A578" t="str">
            <v>23030117</v>
          </cell>
          <cell r="B578" t="str">
            <v>01</v>
          </cell>
          <cell r="C578" t="str">
            <v>SRI LAKSHMI AGENCIES</v>
          </cell>
          <cell r="D578" t="str">
            <v>10-K ASALIAMMAN KOIL STREET</v>
          </cell>
          <cell r="G578" t="str">
            <v>TAMILNADU</v>
          </cell>
          <cell r="H578" t="str">
            <v>TIRUVANNAMALAI</v>
          </cell>
          <cell r="I578" t="str">
            <v>606601</v>
          </cell>
          <cell r="J578" t="str">
            <v>003</v>
          </cell>
          <cell r="K578" t="str">
            <v>TNGST  620265</v>
          </cell>
          <cell r="L578" t="str">
            <v>N</v>
          </cell>
          <cell r="M578">
            <v>0</v>
          </cell>
          <cell r="O578" t="str">
            <v>N</v>
          </cell>
          <cell r="Q578" t="str">
            <v>458</v>
          </cell>
          <cell r="R578" t="str">
            <v>03</v>
          </cell>
          <cell r="S578" t="str">
            <v>03</v>
          </cell>
          <cell r="T578" t="str">
            <v>23</v>
          </cell>
          <cell r="X578" t="str">
            <v>30002</v>
          </cell>
          <cell r="Y578" t="str">
            <v>00458</v>
          </cell>
        </row>
        <row r="579">
          <cell r="A579" t="str">
            <v>23030118</v>
          </cell>
          <cell r="B579" t="str">
            <v>01</v>
          </cell>
          <cell r="C579" t="str">
            <v>VALARMATHY AGENCIES</v>
          </cell>
          <cell r="D579" t="str">
            <v>18-A,CHETTY STREET</v>
          </cell>
          <cell r="G579" t="str">
            <v>TAMILNADU</v>
          </cell>
          <cell r="H579" t="str">
            <v>TIRUPATTUR(N A)</v>
          </cell>
          <cell r="I579" t="str">
            <v>635601</v>
          </cell>
          <cell r="J579" t="str">
            <v>003</v>
          </cell>
          <cell r="K579" t="str">
            <v>TNGST 4620855</v>
          </cell>
          <cell r="L579" t="str">
            <v>N</v>
          </cell>
          <cell r="M579">
            <v>0</v>
          </cell>
          <cell r="O579" t="str">
            <v>N</v>
          </cell>
          <cell r="Q579" t="str">
            <v>459</v>
          </cell>
          <cell r="R579" t="str">
            <v>03</v>
          </cell>
          <cell r="S579" t="str">
            <v>03</v>
          </cell>
          <cell r="T579" t="str">
            <v>23</v>
          </cell>
          <cell r="X579" t="str">
            <v>30002</v>
          </cell>
          <cell r="Y579" t="str">
            <v>00459</v>
          </cell>
        </row>
        <row r="580">
          <cell r="A580" t="str">
            <v>23030119</v>
          </cell>
          <cell r="B580" t="str">
            <v>01</v>
          </cell>
          <cell r="C580" t="str">
            <v>A.P.G. &amp; SONS</v>
          </cell>
          <cell r="D580" t="str">
            <v>236, MOHAMAD ALI BAZAAR</v>
          </cell>
          <cell r="G580" t="str">
            <v>TAMILNADU</v>
          </cell>
          <cell r="H580" t="str">
            <v>VANIYAMBADI</v>
          </cell>
          <cell r="I580" t="str">
            <v>635751</v>
          </cell>
          <cell r="J580" t="str">
            <v>003</v>
          </cell>
          <cell r="K580" t="str">
            <v>TNGST 4641122-239</v>
          </cell>
          <cell r="L580" t="str">
            <v>N</v>
          </cell>
          <cell r="M580">
            <v>0</v>
          </cell>
          <cell r="N580" t="str">
            <v>CST 365684/02.03.94</v>
          </cell>
          <cell r="O580" t="str">
            <v>N</v>
          </cell>
          <cell r="Q580" t="str">
            <v>473</v>
          </cell>
          <cell r="R580" t="str">
            <v>03</v>
          </cell>
          <cell r="S580" t="str">
            <v>03</v>
          </cell>
          <cell r="T580" t="str">
            <v>23</v>
          </cell>
          <cell r="X580" t="str">
            <v>30002</v>
          </cell>
          <cell r="Y580" t="str">
            <v>00473</v>
          </cell>
        </row>
        <row r="581">
          <cell r="A581" t="str">
            <v>23030120</v>
          </cell>
          <cell r="B581" t="str">
            <v>01</v>
          </cell>
          <cell r="C581" t="str">
            <v>ANU ASSOCIATES</v>
          </cell>
          <cell r="D581" t="str">
            <v>13-A KASI CHETTY STREET</v>
          </cell>
          <cell r="G581" t="str">
            <v>TAMILNADU</v>
          </cell>
          <cell r="H581" t="str">
            <v>AMBUR</v>
          </cell>
          <cell r="I581" t="str">
            <v>635802</v>
          </cell>
          <cell r="J581" t="str">
            <v>003</v>
          </cell>
          <cell r="K581" t="str">
            <v>TNGST4260995 IAC-220</v>
          </cell>
          <cell r="L581" t="str">
            <v>N</v>
          </cell>
          <cell r="M581">
            <v>0</v>
          </cell>
          <cell r="O581" t="str">
            <v>N</v>
          </cell>
          <cell r="Q581" t="str">
            <v>464</v>
          </cell>
          <cell r="R581" t="str">
            <v>03</v>
          </cell>
          <cell r="S581" t="str">
            <v>03</v>
          </cell>
          <cell r="T581" t="str">
            <v>23</v>
          </cell>
          <cell r="U581">
            <v>0</v>
          </cell>
          <cell r="X581" t="str">
            <v>30002</v>
          </cell>
          <cell r="Y581" t="str">
            <v>00464</v>
          </cell>
        </row>
        <row r="582">
          <cell r="A582" t="str">
            <v>23030121</v>
          </cell>
          <cell r="B582" t="str">
            <v>01</v>
          </cell>
          <cell r="C582" t="str">
            <v>R.GURUNATHAN CHETTIAR</v>
          </cell>
          <cell r="D582" t="str">
            <v>52-A, PALLIVASAL STREET</v>
          </cell>
          <cell r="G582" t="str">
            <v>TAMILNADU</v>
          </cell>
          <cell r="H582" t="str">
            <v>TIRUKOILUR</v>
          </cell>
          <cell r="I582" t="str">
            <v>605757</v>
          </cell>
          <cell r="J582" t="str">
            <v>003</v>
          </cell>
          <cell r="K582" t="str">
            <v>TNGST 4760129/245</v>
          </cell>
          <cell r="L582" t="str">
            <v>N</v>
          </cell>
          <cell r="M582">
            <v>0</v>
          </cell>
          <cell r="O582" t="str">
            <v>N</v>
          </cell>
          <cell r="Q582" t="str">
            <v>466</v>
          </cell>
          <cell r="R582" t="str">
            <v>03</v>
          </cell>
          <cell r="S582" t="str">
            <v>03</v>
          </cell>
          <cell r="T582" t="str">
            <v>23</v>
          </cell>
          <cell r="X582" t="str">
            <v>30002</v>
          </cell>
          <cell r="Y582" t="str">
            <v>00466</v>
          </cell>
        </row>
        <row r="583">
          <cell r="A583" t="str">
            <v>23030122</v>
          </cell>
          <cell r="B583" t="str">
            <v>01</v>
          </cell>
          <cell r="C583" t="str">
            <v>BARATHI AGENCIES</v>
          </cell>
          <cell r="D583" t="str">
            <v>21-A/6, MELPATTI ROAD</v>
          </cell>
          <cell r="E583" t="str">
            <v>SANTHAPET</v>
          </cell>
          <cell r="G583" t="str">
            <v>TAMILNADU</v>
          </cell>
          <cell r="H583" t="str">
            <v>GUDIYATTAM</v>
          </cell>
          <cell r="I583" t="str">
            <v>632602</v>
          </cell>
          <cell r="J583" t="str">
            <v>003</v>
          </cell>
          <cell r="K583" t="str">
            <v>TNGST NO 4340125 / 224</v>
          </cell>
          <cell r="L583" t="str">
            <v>N</v>
          </cell>
          <cell r="M583">
            <v>0</v>
          </cell>
          <cell r="O583" t="str">
            <v>N</v>
          </cell>
          <cell r="Q583" t="str">
            <v>471</v>
          </cell>
          <cell r="R583" t="str">
            <v>03</v>
          </cell>
          <cell r="S583" t="str">
            <v>03</v>
          </cell>
          <cell r="T583" t="str">
            <v>23</v>
          </cell>
          <cell r="X583" t="str">
            <v>30002</v>
          </cell>
          <cell r="Y583" t="str">
            <v>00471</v>
          </cell>
        </row>
        <row r="584">
          <cell r="A584" t="str">
            <v>23030123</v>
          </cell>
          <cell r="B584" t="str">
            <v>01</v>
          </cell>
          <cell r="C584" t="str">
            <v>AISHWARYA TRADERS</v>
          </cell>
          <cell r="D584" t="str">
            <v>5/263</v>
          </cell>
          <cell r="E584" t="str">
            <v>AYYASAMY STREET</v>
          </cell>
          <cell r="G584" t="str">
            <v>TAMIL NADU</v>
          </cell>
          <cell r="H584" t="str">
            <v>PARAMAKUDI</v>
          </cell>
          <cell r="I584" t="str">
            <v>623 707</v>
          </cell>
          <cell r="J584" t="str">
            <v>003</v>
          </cell>
          <cell r="K584" t="str">
            <v>TNGST:5421937-278</v>
          </cell>
          <cell r="L584" t="str">
            <v>N</v>
          </cell>
          <cell r="M584">
            <v>0</v>
          </cell>
          <cell r="O584" t="str">
            <v>N</v>
          </cell>
          <cell r="Q584" t="str">
            <v>333</v>
          </cell>
          <cell r="R584" t="str">
            <v>03</v>
          </cell>
          <cell r="S584" t="str">
            <v>03</v>
          </cell>
          <cell r="T584" t="str">
            <v>23</v>
          </cell>
          <cell r="U584">
            <v>0</v>
          </cell>
          <cell r="X584" t="str">
            <v>30002</v>
          </cell>
          <cell r="Y584" t="str">
            <v>00333</v>
          </cell>
        </row>
        <row r="585">
          <cell r="A585" t="str">
            <v>23030124</v>
          </cell>
          <cell r="B585" t="str">
            <v>01</v>
          </cell>
          <cell r="C585" t="str">
            <v>AADITYA AGENCYYIES(BRANCH</v>
          </cell>
          <cell r="D585" t="str">
            <v>NO:99</v>
          </cell>
          <cell r="E585" t="str">
            <v>PATTAKARA AYYASAMY NAICKER ST</v>
          </cell>
          <cell r="G585" t="str">
            <v>TAMIL NADU</v>
          </cell>
          <cell r="H585" t="str">
            <v>COIMBATORE</v>
          </cell>
          <cell r="I585" t="str">
            <v>641 001</v>
          </cell>
          <cell r="J585" t="str">
            <v>003</v>
          </cell>
          <cell r="K585" t="str">
            <v>TNGST:2181628/114</v>
          </cell>
          <cell r="L585" t="str">
            <v>N</v>
          </cell>
          <cell r="M585">
            <v>0</v>
          </cell>
          <cell r="O585" t="str">
            <v>N</v>
          </cell>
          <cell r="Q585" t="str">
            <v>384</v>
          </cell>
          <cell r="R585" t="str">
            <v>03</v>
          </cell>
          <cell r="S585" t="str">
            <v>03</v>
          </cell>
          <cell r="T585" t="str">
            <v>23</v>
          </cell>
          <cell r="U585">
            <v>0</v>
          </cell>
          <cell r="X585" t="str">
            <v>30001</v>
          </cell>
          <cell r="Y585" t="str">
            <v>00384</v>
          </cell>
        </row>
        <row r="586">
          <cell r="A586" t="str">
            <v>23030125</v>
          </cell>
          <cell r="B586" t="str">
            <v>01</v>
          </cell>
          <cell r="C586" t="str">
            <v>MEENA TRADERS</v>
          </cell>
          <cell r="D586" t="str">
            <v>39  NORTH CAR STREET</v>
          </cell>
          <cell r="E586" t="str">
            <v>TIRUNELVELI DISTRICT</v>
          </cell>
          <cell r="G586" t="str">
            <v>TAMIL NADU</v>
          </cell>
          <cell r="H586" t="str">
            <v>AMBASAMUDRAM</v>
          </cell>
          <cell r="I586" t="str">
            <v>627 401</v>
          </cell>
          <cell r="J586" t="str">
            <v>003</v>
          </cell>
          <cell r="K586" t="str">
            <v>TNGST:5621536</v>
          </cell>
          <cell r="L586" t="str">
            <v>N</v>
          </cell>
          <cell r="M586">
            <v>0</v>
          </cell>
          <cell r="O586" t="str">
            <v>N</v>
          </cell>
          <cell r="Q586" t="str">
            <v>531</v>
          </cell>
          <cell r="R586" t="str">
            <v>03</v>
          </cell>
          <cell r="S586" t="str">
            <v>03</v>
          </cell>
          <cell r="T586" t="str">
            <v>23</v>
          </cell>
          <cell r="U586">
            <v>3000</v>
          </cell>
          <cell r="X586" t="str">
            <v>30002</v>
          </cell>
          <cell r="Y586" t="str">
            <v>00531</v>
          </cell>
        </row>
        <row r="587">
          <cell r="A587" t="str">
            <v>23030126</v>
          </cell>
          <cell r="B587" t="str">
            <v>01</v>
          </cell>
          <cell r="C587" t="str">
            <v>SANTHI AGENCIES</v>
          </cell>
          <cell r="D587" t="str">
            <v>30/47-B</v>
          </cell>
          <cell r="E587" t="str">
            <v>MAIN ROAD</v>
          </cell>
          <cell r="F587" t="str">
            <v>SALEM DISTRICT</v>
          </cell>
          <cell r="G587" t="str">
            <v>TAMIL NADU</v>
          </cell>
          <cell r="H587" t="str">
            <v>YERCAUD</v>
          </cell>
          <cell r="I587" t="str">
            <v>636 601</v>
          </cell>
          <cell r="J587" t="str">
            <v>003</v>
          </cell>
          <cell r="K587" t="str">
            <v>TNGST:2701968</v>
          </cell>
          <cell r="L587" t="str">
            <v>N</v>
          </cell>
          <cell r="M587">
            <v>0</v>
          </cell>
          <cell r="N587" t="str">
            <v>CST:703926</v>
          </cell>
          <cell r="O587" t="str">
            <v>N</v>
          </cell>
          <cell r="Q587" t="str">
            <v>532</v>
          </cell>
          <cell r="R587" t="str">
            <v>03</v>
          </cell>
          <cell r="S587" t="str">
            <v>03</v>
          </cell>
          <cell r="T587" t="str">
            <v>23</v>
          </cell>
          <cell r="U587">
            <v>0</v>
          </cell>
          <cell r="X587" t="str">
            <v>30002</v>
          </cell>
          <cell r="Y587" t="str">
            <v>00532</v>
          </cell>
        </row>
        <row r="588">
          <cell r="A588" t="str">
            <v>23030127</v>
          </cell>
          <cell r="B588" t="str">
            <v>01</v>
          </cell>
          <cell r="C588" t="str">
            <v>V D C ASSOCIATES</v>
          </cell>
          <cell r="D588" t="str">
            <v>10 7th EAST MAIN ROAD</v>
          </cell>
          <cell r="E588" t="str">
            <v>GANDHI NAGAR</v>
          </cell>
          <cell r="G588" t="str">
            <v>TAMIL NADU</v>
          </cell>
          <cell r="H588" t="str">
            <v>VELLORE</v>
          </cell>
          <cell r="I588" t="str">
            <v>632 006</v>
          </cell>
          <cell r="J588" t="str">
            <v>003</v>
          </cell>
          <cell r="K588" t="str">
            <v>4322085  2 2 3</v>
          </cell>
          <cell r="L588" t="str">
            <v>N</v>
          </cell>
          <cell r="M588">
            <v>0</v>
          </cell>
          <cell r="O588" t="str">
            <v>N</v>
          </cell>
          <cell r="Q588" t="str">
            <v>456</v>
          </cell>
          <cell r="R588" t="str">
            <v>03</v>
          </cell>
          <cell r="S588" t="str">
            <v>03</v>
          </cell>
          <cell r="T588" t="str">
            <v>23</v>
          </cell>
          <cell r="U588">
            <v>0</v>
          </cell>
          <cell r="X588" t="str">
            <v>30002</v>
          </cell>
          <cell r="Y588" t="str">
            <v>456</v>
          </cell>
        </row>
        <row r="589">
          <cell r="A589" t="str">
            <v>23030128</v>
          </cell>
          <cell r="B589" t="str">
            <v>01</v>
          </cell>
          <cell r="C589" t="str">
            <v>S V SYNDICATE</v>
          </cell>
          <cell r="D589" t="str">
            <v>No. 3 Mettupalayam Road</v>
          </cell>
          <cell r="E589" t="str">
            <v>G N Mills (PO)</v>
          </cell>
          <cell r="G589" t="str">
            <v>Tamil Nadu</v>
          </cell>
          <cell r="H589" t="str">
            <v>Coimbatore</v>
          </cell>
          <cell r="I589" t="str">
            <v>641 029</v>
          </cell>
          <cell r="J589" t="str">
            <v>003</v>
          </cell>
          <cell r="K589" t="str">
            <v>6201765 3 1 7</v>
          </cell>
          <cell r="L589" t="str">
            <v>N</v>
          </cell>
          <cell r="M589">
            <v>0</v>
          </cell>
          <cell r="N589" t="str">
            <v>684747</v>
          </cell>
          <cell r="O589" t="str">
            <v>N</v>
          </cell>
          <cell r="Q589" t="str">
            <v>384</v>
          </cell>
          <cell r="R589" t="str">
            <v>03</v>
          </cell>
          <cell r="S589" t="str">
            <v>03</v>
          </cell>
          <cell r="T589" t="str">
            <v>23</v>
          </cell>
          <cell r="U589">
            <v>0</v>
          </cell>
          <cell r="X589" t="str">
            <v>30001</v>
          </cell>
          <cell r="Y589" t="str">
            <v>384</v>
          </cell>
        </row>
        <row r="590">
          <cell r="A590" t="str">
            <v>23030129</v>
          </cell>
          <cell r="B590" t="str">
            <v>01</v>
          </cell>
          <cell r="C590" t="str">
            <v>DANALAKSHMI AGENCIES</v>
          </cell>
          <cell r="D590" t="str">
            <v>Police Station Road</v>
          </cell>
          <cell r="E590" t="str">
            <v>Kotagiri</v>
          </cell>
          <cell r="F590" t="str">
            <v>(Nilgiri Dist)</v>
          </cell>
          <cell r="G590" t="str">
            <v>Tamil Nadu</v>
          </cell>
          <cell r="H590" t="str">
            <v>Kotagiri</v>
          </cell>
          <cell r="I590" t="str">
            <v>643 217</v>
          </cell>
          <cell r="J590" t="str">
            <v>003</v>
          </cell>
          <cell r="K590" t="str">
            <v>2560185/80-81</v>
          </cell>
          <cell r="L590" t="str">
            <v>N</v>
          </cell>
          <cell r="M590">
            <v>0</v>
          </cell>
          <cell r="O590" t="str">
            <v>N</v>
          </cell>
          <cell r="Q590" t="str">
            <v>350</v>
          </cell>
          <cell r="R590" t="str">
            <v>03</v>
          </cell>
          <cell r="S590" t="str">
            <v>03</v>
          </cell>
          <cell r="T590" t="str">
            <v>23</v>
          </cell>
          <cell r="U590">
            <v>0</v>
          </cell>
          <cell r="X590" t="str">
            <v>30002</v>
          </cell>
          <cell r="Y590" t="str">
            <v>350</v>
          </cell>
        </row>
        <row r="591">
          <cell r="A591" t="str">
            <v>23030130</v>
          </cell>
          <cell r="B591" t="str">
            <v>01</v>
          </cell>
          <cell r="C591" t="str">
            <v>SRI LAKSHMI AGENCIES</v>
          </cell>
          <cell r="D591" t="str">
            <v>143/1 BEEMARAYAR MAIN STREET</v>
          </cell>
          <cell r="G591" t="str">
            <v>TAMIL NADU</v>
          </cell>
          <cell r="H591" t="str">
            <v>DHARAPURAM</v>
          </cell>
          <cell r="I591" t="str">
            <v>638 656</v>
          </cell>
          <cell r="J591" t="str">
            <v>003</v>
          </cell>
          <cell r="K591" t="str">
            <v>TNGST: 3021448-158</v>
          </cell>
          <cell r="L591" t="str">
            <v>N</v>
          </cell>
          <cell r="M591">
            <v>0</v>
          </cell>
          <cell r="O591" t="str">
            <v>N</v>
          </cell>
          <cell r="Q591" t="str">
            <v>328</v>
          </cell>
          <cell r="R591" t="str">
            <v>03</v>
          </cell>
          <cell r="S591" t="str">
            <v>03</v>
          </cell>
          <cell r="T591" t="str">
            <v>23</v>
          </cell>
          <cell r="U591">
            <v>0</v>
          </cell>
          <cell r="X591" t="str">
            <v>30002</v>
          </cell>
          <cell r="Y591" t="str">
            <v>00328</v>
          </cell>
        </row>
        <row r="592">
          <cell r="A592" t="str">
            <v>23030131</v>
          </cell>
          <cell r="B592" t="str">
            <v>01</v>
          </cell>
          <cell r="C592" t="str">
            <v>SABARI ASSOCIATES</v>
          </cell>
          <cell r="D592" t="str">
            <v>ARCH HOUSE</v>
          </cell>
          <cell r="E592" t="str">
            <v>17 S N HIGH ROAD</v>
          </cell>
          <cell r="G592" t="str">
            <v>TAMIL NADU</v>
          </cell>
          <cell r="H592" t="str">
            <v>TIRUNELVELI</v>
          </cell>
          <cell r="I592" t="str">
            <v>627 006</v>
          </cell>
          <cell r="J592" t="str">
            <v>003</v>
          </cell>
          <cell r="K592" t="str">
            <v>5641070 IAC 2.8.9</v>
          </cell>
          <cell r="L592" t="str">
            <v>N</v>
          </cell>
          <cell r="M592">
            <v>0</v>
          </cell>
          <cell r="O592" t="str">
            <v>N</v>
          </cell>
          <cell r="Q592" t="str">
            <v>484</v>
          </cell>
          <cell r="R592" t="str">
            <v>03</v>
          </cell>
          <cell r="S592" t="str">
            <v>03</v>
          </cell>
          <cell r="T592" t="str">
            <v>23</v>
          </cell>
          <cell r="U592">
            <v>0</v>
          </cell>
          <cell r="X592" t="str">
            <v>30001</v>
          </cell>
          <cell r="Y592" t="str">
            <v>00484</v>
          </cell>
        </row>
        <row r="593">
          <cell r="A593" t="str">
            <v>23030132</v>
          </cell>
          <cell r="B593" t="str">
            <v>01</v>
          </cell>
          <cell r="C593" t="str">
            <v>GLORY AGENCIES</v>
          </cell>
          <cell r="D593" t="str">
            <v>42 NEW ROAD</v>
          </cell>
          <cell r="G593" t="str">
            <v>TAMIL NADU</v>
          </cell>
          <cell r="H593" t="str">
            <v>SIVAKASI</v>
          </cell>
          <cell r="I593" t="str">
            <v>626 123</v>
          </cell>
          <cell r="J593" t="str">
            <v>003</v>
          </cell>
          <cell r="K593" t="str">
            <v>6000509</v>
          </cell>
          <cell r="L593" t="str">
            <v>N</v>
          </cell>
          <cell r="M593">
            <v>0</v>
          </cell>
          <cell r="O593" t="str">
            <v>N</v>
          </cell>
          <cell r="Q593" t="str">
            <v>909</v>
          </cell>
          <cell r="R593" t="str">
            <v>03</v>
          </cell>
          <cell r="S593" t="str">
            <v>03</v>
          </cell>
          <cell r="T593" t="str">
            <v>23</v>
          </cell>
          <cell r="U593">
            <v>0</v>
          </cell>
          <cell r="X593" t="str">
            <v>30002</v>
          </cell>
          <cell r="Y593" t="str">
            <v>00909</v>
          </cell>
        </row>
        <row r="594">
          <cell r="A594" t="str">
            <v>32010000</v>
          </cell>
          <cell r="B594" t="str">
            <v>01</v>
          </cell>
          <cell r="C594" t="str">
            <v>C&amp;F AGENT    (PONDY)</v>
          </cell>
          <cell r="D594" t="str">
            <v>109, AUROBINDO STREET</v>
          </cell>
          <cell r="G594" t="str">
            <v>PONDICHERRY</v>
          </cell>
          <cell r="H594" t="str">
            <v>PONDICHERRY</v>
          </cell>
          <cell r="I594" t="str">
            <v>605 001</v>
          </cell>
          <cell r="J594" t="str">
            <v>003</v>
          </cell>
          <cell r="K594" t="str">
            <v>PGST: 101070/88-89</v>
          </cell>
          <cell r="L594" t="str">
            <v>N</v>
          </cell>
          <cell r="M594">
            <v>0</v>
          </cell>
          <cell r="N594" t="str">
            <v>CST:3733-PRC/80-81</v>
          </cell>
          <cell r="O594" t="str">
            <v>N</v>
          </cell>
          <cell r="Q594" t="str">
            <v>836</v>
          </cell>
          <cell r="R594" t="str">
            <v>01</v>
          </cell>
          <cell r="S594" t="str">
            <v>01</v>
          </cell>
          <cell r="T594" t="str">
            <v>32</v>
          </cell>
          <cell r="U594">
            <v>0</v>
          </cell>
          <cell r="X594" t="str">
            <v>30001</v>
          </cell>
          <cell r="Y594" t="str">
            <v>00836</v>
          </cell>
        </row>
        <row r="595">
          <cell r="A595" t="str">
            <v>32010001</v>
          </cell>
          <cell r="B595" t="str">
            <v>01</v>
          </cell>
          <cell r="C595" t="str">
            <v>VENUS TRADING CO</v>
          </cell>
          <cell r="D595" t="str">
            <v>91 CHURCH STREET</v>
          </cell>
          <cell r="G595" t="str">
            <v>PONDICHERY</v>
          </cell>
          <cell r="H595" t="str">
            <v>KARAIKAL</v>
          </cell>
          <cell r="I595" t="str">
            <v>609602</v>
          </cell>
          <cell r="J595" t="str">
            <v>003</v>
          </cell>
          <cell r="K595" t="str">
            <v>PGST 846</v>
          </cell>
          <cell r="L595" t="str">
            <v>N</v>
          </cell>
          <cell r="M595">
            <v>0</v>
          </cell>
          <cell r="N595" t="str">
            <v>CST 98/KRG DT.15-7-63</v>
          </cell>
          <cell r="O595" t="str">
            <v>N</v>
          </cell>
          <cell r="Q595" t="str">
            <v>317</v>
          </cell>
          <cell r="R595" t="str">
            <v>01</v>
          </cell>
          <cell r="S595" t="str">
            <v>01</v>
          </cell>
          <cell r="T595" t="str">
            <v>32</v>
          </cell>
          <cell r="X595" t="str">
            <v>30002</v>
          </cell>
          <cell r="Y595" t="str">
            <v>00317</v>
          </cell>
        </row>
        <row r="596">
          <cell r="A596" t="str">
            <v>32010002</v>
          </cell>
          <cell r="B596" t="str">
            <v>01</v>
          </cell>
          <cell r="C596" t="str">
            <v>NATIONAL AGENCIES</v>
          </cell>
          <cell r="D596" t="str">
            <v>75-C MAHATMA GANDHI ROAD</v>
          </cell>
          <cell r="G596" t="str">
            <v>PONDICHERY</v>
          </cell>
          <cell r="H596" t="str">
            <v>PONDICHERRY</v>
          </cell>
          <cell r="I596" t="str">
            <v>605001</v>
          </cell>
          <cell r="J596" t="str">
            <v>003</v>
          </cell>
          <cell r="K596" t="str">
            <v>PGST 4696</v>
          </cell>
          <cell r="L596" t="str">
            <v>N</v>
          </cell>
          <cell r="M596">
            <v>0</v>
          </cell>
          <cell r="N596" t="str">
            <v>CST 1297/4-3-70</v>
          </cell>
          <cell r="O596" t="str">
            <v>N</v>
          </cell>
          <cell r="Q596" t="str">
            <v>324</v>
          </cell>
          <cell r="R596" t="str">
            <v>01</v>
          </cell>
          <cell r="S596" t="str">
            <v>01</v>
          </cell>
          <cell r="T596" t="str">
            <v>32</v>
          </cell>
          <cell r="U596">
            <v>0</v>
          </cell>
          <cell r="X596" t="str">
            <v>30002</v>
          </cell>
          <cell r="Y596" t="str">
            <v>00324</v>
          </cell>
        </row>
        <row r="597">
          <cell r="A597" t="str">
            <v>32010003</v>
          </cell>
          <cell r="B597" t="str">
            <v>01</v>
          </cell>
          <cell r="C597" t="str">
            <v>THE PONDICHERY STATE COOP</v>
          </cell>
          <cell r="D597" t="str">
            <v>CONSUMERS FEDERATION LTD</v>
          </cell>
          <cell r="E597" t="str">
            <v>42 M G ROAD</v>
          </cell>
          <cell r="G597" t="str">
            <v>PONDICHERY</v>
          </cell>
          <cell r="H597" t="str">
            <v>PONDICHERRY</v>
          </cell>
          <cell r="I597" t="str">
            <v>605001</v>
          </cell>
          <cell r="J597" t="str">
            <v>003</v>
          </cell>
          <cell r="K597" t="str">
            <v>PGST  DI 11295/83-84</v>
          </cell>
          <cell r="L597" t="str">
            <v>N</v>
          </cell>
          <cell r="M597">
            <v>0</v>
          </cell>
          <cell r="N597" t="str">
            <v>CST  4600/PRC DT.4-5-83</v>
          </cell>
          <cell r="O597" t="str">
            <v>N</v>
          </cell>
          <cell r="Q597" t="str">
            <v>325</v>
          </cell>
          <cell r="R597" t="str">
            <v>01</v>
          </cell>
          <cell r="S597" t="str">
            <v>01</v>
          </cell>
          <cell r="T597" t="str">
            <v>32</v>
          </cell>
          <cell r="X597" t="str">
            <v>30001</v>
          </cell>
          <cell r="Y597" t="str">
            <v>00325</v>
          </cell>
        </row>
        <row r="598">
          <cell r="A598" t="str">
            <v>32010004</v>
          </cell>
          <cell r="B598" t="str">
            <v>01</v>
          </cell>
          <cell r="C598" t="str">
            <v>ASSOCIATES ENTERPRISES</v>
          </cell>
          <cell r="D598" t="str">
            <v>135, VELLALA STREET</v>
          </cell>
          <cell r="G598" t="str">
            <v>PONDICHERY</v>
          </cell>
          <cell r="H598" t="str">
            <v>PONDICHERRY</v>
          </cell>
          <cell r="I598" t="str">
            <v>605001</v>
          </cell>
          <cell r="J598" t="str">
            <v>003</v>
          </cell>
          <cell r="L598" t="str">
            <v>N</v>
          </cell>
          <cell r="M598">
            <v>0</v>
          </cell>
          <cell r="N598" t="str">
            <v>R C NO.203446</v>
          </cell>
          <cell r="O598" t="str">
            <v>N</v>
          </cell>
          <cell r="Q598" t="str">
            <v>342</v>
          </cell>
          <cell r="R598" t="str">
            <v>01</v>
          </cell>
          <cell r="S598" t="str">
            <v>01</v>
          </cell>
          <cell r="T598" t="str">
            <v>32</v>
          </cell>
          <cell r="X598" t="str">
            <v>30001</v>
          </cell>
          <cell r="Y598" t="str">
            <v>00342</v>
          </cell>
        </row>
        <row r="599">
          <cell r="A599" t="str">
            <v>32010005</v>
          </cell>
          <cell r="B599" t="str">
            <v>01</v>
          </cell>
          <cell r="C599" t="str">
            <v>SAKTHI VINAYAGAR AGENCIES</v>
          </cell>
          <cell r="D599" t="str">
            <v>NO. 11, 3RD CROSS</v>
          </cell>
          <cell r="E599" t="str">
            <v>VENKATESWARA NAGAR</v>
          </cell>
          <cell r="G599" t="str">
            <v>PONDICHERY</v>
          </cell>
          <cell r="H599" t="str">
            <v>PONDICHERRY</v>
          </cell>
          <cell r="I599" t="str">
            <v>605 013</v>
          </cell>
          <cell r="J599" t="str">
            <v>003</v>
          </cell>
          <cell r="K599" t="str">
            <v>PGST 103869</v>
          </cell>
          <cell r="L599" t="str">
            <v>N</v>
          </cell>
          <cell r="M599">
            <v>0</v>
          </cell>
          <cell r="O599" t="str">
            <v>N</v>
          </cell>
          <cell r="Q599" t="str">
            <v>343</v>
          </cell>
          <cell r="R599" t="str">
            <v>01</v>
          </cell>
          <cell r="S599" t="str">
            <v>01</v>
          </cell>
          <cell r="T599" t="str">
            <v>32</v>
          </cell>
          <cell r="U599">
            <v>0</v>
          </cell>
          <cell r="X599" t="str">
            <v>30001</v>
          </cell>
          <cell r="Y599" t="str">
            <v>00343</v>
          </cell>
        </row>
        <row r="600">
          <cell r="A600" t="str">
            <v>32010006</v>
          </cell>
          <cell r="B600" t="str">
            <v>01</v>
          </cell>
          <cell r="C600" t="str">
            <v>K.S.V. AGENCIES</v>
          </cell>
          <cell r="D600" t="str">
            <v>NO.76, EASWARAN KOIL STREET</v>
          </cell>
          <cell r="G600" t="str">
            <v>PONDICHERY</v>
          </cell>
          <cell r="H600" t="str">
            <v>PONDICHERRY</v>
          </cell>
          <cell r="I600" t="str">
            <v>605001</v>
          </cell>
          <cell r="J600" t="str">
            <v>003</v>
          </cell>
          <cell r="K600" t="str">
            <v>PGST 103401/93-94</v>
          </cell>
          <cell r="L600" t="str">
            <v>N</v>
          </cell>
          <cell r="M600">
            <v>0</v>
          </cell>
          <cell r="N600" t="str">
            <v>CST 9116/PRC/12.05.93</v>
          </cell>
          <cell r="O600" t="str">
            <v>N</v>
          </cell>
          <cell r="Q600" t="str">
            <v>344</v>
          </cell>
          <cell r="R600" t="str">
            <v>01</v>
          </cell>
          <cell r="S600" t="str">
            <v>01</v>
          </cell>
          <cell r="T600" t="str">
            <v>32</v>
          </cell>
          <cell r="X600" t="str">
            <v>30001</v>
          </cell>
          <cell r="Y600" t="str">
            <v>00344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MNOV"/>
      <sheetName val="PRIMOCT"/>
      <sheetName val="PRIMSEP"/>
      <sheetName val="nsv nov"/>
      <sheetName val="Sheet3"/>
      <sheetName val="oct crnote value"/>
      <sheetName val="nsv oct"/>
      <sheetName val="nsv sep"/>
      <sheetName val="Sheet12"/>
      <sheetName val="Sheet11 (2)"/>
      <sheetName val="Sheet4"/>
      <sheetName val="Stock"/>
      <sheetName val="NSV"/>
      <sheetName val="in KGs"/>
      <sheetName val="in CBBs"/>
      <sheetName val="List Price"/>
      <sheetName val="Sheet7"/>
      <sheetName val="Sheet5"/>
      <sheetName val="DW10kg Bulk DNotes"/>
      <sheetName val="Sheet1"/>
      <sheetName val="Sheet8"/>
      <sheetName val="Sheet2"/>
      <sheetName val="CLST12"/>
      <sheetName val="PRIMDEC"/>
      <sheetName val="tb"/>
      <sheetName val="Balance Sheet"/>
      <sheetName val="Masters"/>
      <sheetName val="Balance Sheet "/>
      <sheetName val="INQVAR 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2">
          <cell r="A2">
            <v>90155</v>
          </cell>
          <cell r="B2" t="str">
            <v>CHEESE TIN FT 400G 24PK CBB</v>
          </cell>
          <cell r="C2" t="str">
            <v>02</v>
          </cell>
          <cell r="D2">
            <v>9.6</v>
          </cell>
          <cell r="E2">
            <v>24</v>
          </cell>
        </row>
        <row r="3">
          <cell r="A3">
            <v>90156</v>
          </cell>
          <cell r="B3" t="str">
            <v>CHEESE TIN FT 400G 24PK CBB EXP</v>
          </cell>
          <cell r="C3" t="str">
            <v>02</v>
          </cell>
          <cell r="D3">
            <v>9.6</v>
          </cell>
          <cell r="E3">
            <v>24</v>
          </cell>
        </row>
        <row r="4">
          <cell r="A4">
            <v>90157</v>
          </cell>
          <cell r="B4" t="str">
            <v>CHEESE TIN NFT 400G 24PK CBB</v>
          </cell>
          <cell r="C4" t="str">
            <v>02</v>
          </cell>
          <cell r="D4">
            <v>9.6</v>
          </cell>
          <cell r="E4">
            <v>24</v>
          </cell>
        </row>
        <row r="5">
          <cell r="A5">
            <v>90158</v>
          </cell>
          <cell r="B5" t="str">
            <v>CHEESE TIN NFT 400G 24PK CBB EXP</v>
          </cell>
          <cell r="C5" t="str">
            <v>02</v>
          </cell>
          <cell r="D5">
            <v>9.6</v>
          </cell>
          <cell r="E5">
            <v>24</v>
          </cell>
        </row>
        <row r="6">
          <cell r="A6">
            <v>90159</v>
          </cell>
          <cell r="B6" t="str">
            <v>CHEESE CUBES 200G PLAIN 60PK CBB</v>
          </cell>
          <cell r="C6" t="str">
            <v>02</v>
          </cell>
          <cell r="D6">
            <v>12</v>
          </cell>
          <cell r="E6">
            <v>60</v>
          </cell>
        </row>
        <row r="7">
          <cell r="A7">
            <v>90160</v>
          </cell>
          <cell r="B7" t="str">
            <v>CHEESE CUBES 200G PLAIN 60PK CBB EXP</v>
          </cell>
          <cell r="C7" t="str">
            <v>02</v>
          </cell>
          <cell r="D7">
            <v>12</v>
          </cell>
          <cell r="E7">
            <v>60</v>
          </cell>
        </row>
        <row r="8">
          <cell r="A8">
            <v>90161</v>
          </cell>
          <cell r="B8" t="str">
            <v>CHEESE CUBES 120G PLAIN 100PK CBB</v>
          </cell>
          <cell r="C8" t="str">
            <v>02</v>
          </cell>
          <cell r="D8">
            <v>12</v>
          </cell>
          <cell r="E8">
            <v>100</v>
          </cell>
        </row>
        <row r="9">
          <cell r="A9">
            <v>90162</v>
          </cell>
          <cell r="B9" t="str">
            <v>CHEESE CUBES PEPPER 120G 100PK CBB</v>
          </cell>
          <cell r="C9" t="str">
            <v>02</v>
          </cell>
          <cell r="D9">
            <v>12</v>
          </cell>
          <cell r="E9">
            <v>100</v>
          </cell>
        </row>
        <row r="10">
          <cell r="A10">
            <v>90163</v>
          </cell>
          <cell r="B10" t="str">
            <v>CHEESE CUBES M. ONION 120G 100PK CBB</v>
          </cell>
          <cell r="C10" t="str">
            <v>02</v>
          </cell>
          <cell r="D10">
            <v>12</v>
          </cell>
          <cell r="E10">
            <v>100</v>
          </cell>
        </row>
        <row r="11">
          <cell r="A11">
            <v>90164</v>
          </cell>
          <cell r="B11" t="str">
            <v>CHEESE CUBES M. GARLIC 120G 100PK CBB</v>
          </cell>
          <cell r="C11" t="str">
            <v>02</v>
          </cell>
          <cell r="D11">
            <v>12</v>
          </cell>
          <cell r="E11">
            <v>100</v>
          </cell>
        </row>
        <row r="12">
          <cell r="A12">
            <v>90165</v>
          </cell>
          <cell r="B12" t="str">
            <v>CHEESE SLICES 200G 60PK CBB</v>
          </cell>
          <cell r="C12" t="str">
            <v>02</v>
          </cell>
          <cell r="D12">
            <v>12</v>
          </cell>
          <cell r="E12">
            <v>60</v>
          </cell>
        </row>
        <row r="13">
          <cell r="A13">
            <v>90166</v>
          </cell>
          <cell r="B13" t="str">
            <v>CHEESE SLICES 200G 60PK CBB EXP</v>
          </cell>
          <cell r="C13" t="str">
            <v>02</v>
          </cell>
          <cell r="D13">
            <v>12</v>
          </cell>
          <cell r="E13">
            <v>60</v>
          </cell>
        </row>
        <row r="14">
          <cell r="A14">
            <v>90167</v>
          </cell>
          <cell r="B14" t="str">
            <v>CHEESE SLICES 100G 120PK CBB</v>
          </cell>
          <cell r="C14" t="str">
            <v>02</v>
          </cell>
          <cell r="D14">
            <v>12</v>
          </cell>
          <cell r="E14">
            <v>120</v>
          </cell>
        </row>
        <row r="15">
          <cell r="A15">
            <v>90168</v>
          </cell>
          <cell r="B15" t="str">
            <v>CHEESE BLOCK 1KG 12PK CBB</v>
          </cell>
          <cell r="C15" t="str">
            <v>02</v>
          </cell>
          <cell r="D15">
            <v>12</v>
          </cell>
          <cell r="E15">
            <v>12</v>
          </cell>
        </row>
        <row r="16">
          <cell r="A16">
            <v>90169</v>
          </cell>
          <cell r="B16" t="str">
            <v>CHEESE BLOCK 200G CEKA 48PK CBB</v>
          </cell>
          <cell r="C16" t="str">
            <v>02</v>
          </cell>
          <cell r="D16">
            <v>9.6</v>
          </cell>
          <cell r="E16">
            <v>48</v>
          </cell>
        </row>
        <row r="17">
          <cell r="A17">
            <v>90170</v>
          </cell>
          <cell r="B17" t="str">
            <v>CHEESE BLOCK 400G CEKA 30PK CBB</v>
          </cell>
          <cell r="C17" t="str">
            <v>02</v>
          </cell>
          <cell r="D17">
            <v>12</v>
          </cell>
          <cell r="E17">
            <v>30</v>
          </cell>
        </row>
        <row r="18">
          <cell r="A18">
            <v>90171</v>
          </cell>
          <cell r="B18" t="str">
            <v>C. SPREAD TUB PLAIN 150G 60PK CBB</v>
          </cell>
          <cell r="C18" t="str">
            <v>02</v>
          </cell>
          <cell r="D18">
            <v>9</v>
          </cell>
          <cell r="E18">
            <v>60</v>
          </cell>
        </row>
        <row r="19">
          <cell r="A19">
            <v>90172</v>
          </cell>
          <cell r="B19" t="str">
            <v>C. SPREAD TUB PEPPER 150G 60PK CBB</v>
          </cell>
          <cell r="C19" t="str">
            <v>02</v>
          </cell>
          <cell r="D19">
            <v>9</v>
          </cell>
          <cell r="E19">
            <v>60</v>
          </cell>
        </row>
        <row r="20">
          <cell r="A20">
            <v>90173</v>
          </cell>
          <cell r="B20" t="str">
            <v>C. SPREAD TUB ONION 150G 60PK CBB</v>
          </cell>
          <cell r="C20" t="str">
            <v>02</v>
          </cell>
          <cell r="D20">
            <v>9</v>
          </cell>
          <cell r="E20">
            <v>60</v>
          </cell>
        </row>
        <row r="21">
          <cell r="A21">
            <v>90174</v>
          </cell>
          <cell r="B21" t="str">
            <v>C. SPREAD TUB GARLIC 150G 60PK CBB</v>
          </cell>
          <cell r="C21" t="str">
            <v>02</v>
          </cell>
          <cell r="D21">
            <v>9</v>
          </cell>
          <cell r="E21">
            <v>60</v>
          </cell>
        </row>
        <row r="22">
          <cell r="A22">
            <v>90175</v>
          </cell>
          <cell r="B22" t="str">
            <v>C. SPREAD TUB C. CAP. 150G 60PK CBB</v>
          </cell>
          <cell r="C22" t="str">
            <v>02</v>
          </cell>
          <cell r="D22">
            <v>9</v>
          </cell>
          <cell r="E22">
            <v>60</v>
          </cell>
        </row>
        <row r="23">
          <cell r="A23">
            <v>90176</v>
          </cell>
          <cell r="B23" t="str">
            <v>D. WHITENER CARTON 500G 24PK CBB</v>
          </cell>
          <cell r="C23" t="str">
            <v>01</v>
          </cell>
          <cell r="D23">
            <v>12</v>
          </cell>
          <cell r="E23">
            <v>24</v>
          </cell>
        </row>
        <row r="24">
          <cell r="A24">
            <v>90177</v>
          </cell>
          <cell r="B24" t="str">
            <v>D. WHITENER CARTON 200G 60PK CBB</v>
          </cell>
          <cell r="C24" t="str">
            <v>01</v>
          </cell>
          <cell r="D24">
            <v>12</v>
          </cell>
          <cell r="E24">
            <v>60</v>
          </cell>
        </row>
        <row r="25">
          <cell r="A25">
            <v>90178</v>
          </cell>
          <cell r="B25" t="str">
            <v>D. WHITENER POUCH 1KG 12PK CBB</v>
          </cell>
          <cell r="C25" t="str">
            <v>01</v>
          </cell>
          <cell r="D25">
            <v>12</v>
          </cell>
          <cell r="E25">
            <v>12</v>
          </cell>
        </row>
        <row r="26">
          <cell r="A26">
            <v>90179</v>
          </cell>
          <cell r="B26" t="str">
            <v>D. WHITENER POUCH 500G 24PK CBB</v>
          </cell>
          <cell r="C26" t="str">
            <v>01</v>
          </cell>
          <cell r="D26">
            <v>12</v>
          </cell>
          <cell r="E26">
            <v>24</v>
          </cell>
        </row>
        <row r="27">
          <cell r="A27">
            <v>90180</v>
          </cell>
          <cell r="B27" t="str">
            <v>D. WHITENER POUCH 200G 60PK CBB</v>
          </cell>
          <cell r="C27" t="str">
            <v>01</v>
          </cell>
          <cell r="D27">
            <v>12</v>
          </cell>
          <cell r="E27">
            <v>60</v>
          </cell>
        </row>
        <row r="28">
          <cell r="A28">
            <v>90181</v>
          </cell>
          <cell r="B28" t="str">
            <v>D. WHITENER POUCH 100G 120PK CBB</v>
          </cell>
          <cell r="C28" t="str">
            <v>01</v>
          </cell>
          <cell r="D28">
            <v>12</v>
          </cell>
          <cell r="E28">
            <v>120</v>
          </cell>
        </row>
        <row r="29">
          <cell r="A29">
            <v>90182</v>
          </cell>
          <cell r="B29" t="str">
            <v>D. WHITENER POUCH 50G 180PK CBB</v>
          </cell>
          <cell r="C29" t="str">
            <v>01</v>
          </cell>
          <cell r="D29">
            <v>9</v>
          </cell>
          <cell r="E29">
            <v>180</v>
          </cell>
        </row>
        <row r="30">
          <cell r="A30">
            <v>90183</v>
          </cell>
          <cell r="B30" t="str">
            <v>D. WHITENER JAR 10KG 1PK CBB</v>
          </cell>
          <cell r="C30" t="str">
            <v>01</v>
          </cell>
          <cell r="D30">
            <v>10</v>
          </cell>
          <cell r="E30">
            <v>1</v>
          </cell>
        </row>
        <row r="31">
          <cell r="A31">
            <v>90184</v>
          </cell>
          <cell r="B31" t="str">
            <v>D. WHITENER JAR 25KG 1PK BAG</v>
          </cell>
          <cell r="C31" t="str">
            <v>01</v>
          </cell>
          <cell r="D31">
            <v>25</v>
          </cell>
          <cell r="E31">
            <v>1</v>
          </cell>
        </row>
        <row r="32">
          <cell r="A32">
            <v>90185</v>
          </cell>
          <cell r="B32" t="str">
            <v>D. MIX POUCH 50G 180PK CBB</v>
          </cell>
          <cell r="C32" t="str">
            <v>01</v>
          </cell>
          <cell r="D32">
            <v>9</v>
          </cell>
          <cell r="E32">
            <v>180</v>
          </cell>
        </row>
        <row r="33">
          <cell r="A33">
            <v>90186</v>
          </cell>
          <cell r="B33" t="str">
            <v>BUTTER BLOCK 1KG 18PK CBB</v>
          </cell>
          <cell r="C33" t="str">
            <v>03</v>
          </cell>
          <cell r="D33">
            <v>18</v>
          </cell>
          <cell r="E33">
            <v>18</v>
          </cell>
        </row>
        <row r="34">
          <cell r="A34">
            <v>90187</v>
          </cell>
          <cell r="B34" t="str">
            <v>BUTTER BLOCK 100G 150PK CBB</v>
          </cell>
          <cell r="C34" t="str">
            <v>03</v>
          </cell>
          <cell r="D34">
            <v>15</v>
          </cell>
          <cell r="E34">
            <v>150</v>
          </cell>
        </row>
        <row r="35">
          <cell r="A35">
            <v>90188</v>
          </cell>
          <cell r="B35" t="str">
            <v>BUTTER BLOCK 500G 30PK CBB</v>
          </cell>
          <cell r="C35" t="str">
            <v>03</v>
          </cell>
          <cell r="D35">
            <v>15</v>
          </cell>
          <cell r="E35">
            <v>30</v>
          </cell>
        </row>
        <row r="36">
          <cell r="A36">
            <v>90189</v>
          </cell>
          <cell r="B36" t="str">
            <v>COW GHEE TIN 1LT 18PK CBB</v>
          </cell>
          <cell r="C36" t="str">
            <v>04</v>
          </cell>
          <cell r="D36">
            <v>18</v>
          </cell>
          <cell r="E36">
            <v>18</v>
          </cell>
        </row>
        <row r="37">
          <cell r="A37">
            <v>90190</v>
          </cell>
          <cell r="B37" t="str">
            <v>COW GHEE CEKA 1LT 18PK CBB</v>
          </cell>
          <cell r="C37" t="str">
            <v>04</v>
          </cell>
          <cell r="D37">
            <v>18</v>
          </cell>
          <cell r="E37">
            <v>18</v>
          </cell>
        </row>
        <row r="38">
          <cell r="A38">
            <v>90191</v>
          </cell>
          <cell r="B38" t="str">
            <v>COW GHEE CEKA 500ML 36PK CBB</v>
          </cell>
          <cell r="C38" t="str">
            <v>04</v>
          </cell>
          <cell r="D38">
            <v>18</v>
          </cell>
          <cell r="E38">
            <v>36</v>
          </cell>
        </row>
        <row r="39">
          <cell r="A39">
            <v>90192</v>
          </cell>
          <cell r="B39" t="str">
            <v>COW GHEE CEKA 200ML 60PK CBB</v>
          </cell>
          <cell r="C39" t="str">
            <v>04</v>
          </cell>
          <cell r="D39">
            <v>12</v>
          </cell>
          <cell r="E39">
            <v>60</v>
          </cell>
        </row>
        <row r="40">
          <cell r="A40">
            <v>90193</v>
          </cell>
          <cell r="B40" t="str">
            <v>COW GHEE POUCH 1LT 18PK CBB</v>
          </cell>
          <cell r="C40" t="str">
            <v>04</v>
          </cell>
          <cell r="D40">
            <v>12</v>
          </cell>
          <cell r="E40">
            <v>12</v>
          </cell>
        </row>
        <row r="41">
          <cell r="A41">
            <v>90194</v>
          </cell>
          <cell r="B41" t="str">
            <v>COW GHEE TIN 1LT 12PK CBB EXP</v>
          </cell>
          <cell r="C41" t="str">
            <v>04</v>
          </cell>
          <cell r="D41">
            <v>12</v>
          </cell>
          <cell r="E41">
            <v>12</v>
          </cell>
        </row>
        <row r="42">
          <cell r="A42">
            <v>90195</v>
          </cell>
          <cell r="B42" t="str">
            <v>MIXED GHEE TIN 1LT 18PK CBB</v>
          </cell>
          <cell r="C42" t="str">
            <v>04</v>
          </cell>
          <cell r="D42">
            <v>18</v>
          </cell>
          <cell r="E42">
            <v>18</v>
          </cell>
        </row>
        <row r="43">
          <cell r="A43">
            <v>90196</v>
          </cell>
          <cell r="B43" t="str">
            <v>MIXED GHEE CEKA 1LT 18PK CBB</v>
          </cell>
          <cell r="C43" t="str">
            <v>04</v>
          </cell>
          <cell r="D43">
            <v>18</v>
          </cell>
          <cell r="E43">
            <v>18</v>
          </cell>
        </row>
        <row r="44">
          <cell r="A44">
            <v>90197</v>
          </cell>
          <cell r="B44" t="str">
            <v>MIXED GHEE CEKA 500ML 36PK CBB</v>
          </cell>
          <cell r="C44" t="str">
            <v>04</v>
          </cell>
          <cell r="D44">
            <v>18</v>
          </cell>
          <cell r="E44">
            <v>36</v>
          </cell>
        </row>
        <row r="45">
          <cell r="A45">
            <v>90198</v>
          </cell>
          <cell r="B45" t="str">
            <v>MIXED GHEE POUCH 1LT 18PK CBB</v>
          </cell>
          <cell r="C45" t="str">
            <v>04</v>
          </cell>
          <cell r="D45">
            <v>12</v>
          </cell>
          <cell r="E45">
            <v>12</v>
          </cell>
        </row>
        <row r="46">
          <cell r="A46">
            <v>90199</v>
          </cell>
          <cell r="B46" t="str">
            <v>MIXED GHEE TIN 1LT 12PK CBB EXP</v>
          </cell>
          <cell r="C46" t="str">
            <v>04</v>
          </cell>
          <cell r="D46">
            <v>12</v>
          </cell>
          <cell r="E46">
            <v>12</v>
          </cell>
        </row>
        <row r="47">
          <cell r="A47">
            <v>90200</v>
          </cell>
          <cell r="B47" t="str">
            <v>BAR CAKE FRUIT 200G 60PK CBB</v>
          </cell>
          <cell r="C47" t="str">
            <v>07</v>
          </cell>
          <cell r="D47">
            <v>12</v>
          </cell>
          <cell r="E47">
            <v>60</v>
          </cell>
        </row>
        <row r="48">
          <cell r="A48">
            <v>90201</v>
          </cell>
          <cell r="B48" t="str">
            <v>BAR CAKE FRUIT 100G PK CBB</v>
          </cell>
          <cell r="C48" t="str">
            <v>07</v>
          </cell>
          <cell r="D48">
            <v>12</v>
          </cell>
          <cell r="E48">
            <v>120</v>
          </cell>
        </row>
        <row r="49">
          <cell r="A49">
            <v>90202</v>
          </cell>
          <cell r="B49" t="str">
            <v>BAR CAKE ORANGE 200G 60PK CBB</v>
          </cell>
          <cell r="C49" t="str">
            <v>07</v>
          </cell>
          <cell r="D49">
            <v>12</v>
          </cell>
          <cell r="E49">
            <v>60</v>
          </cell>
        </row>
        <row r="50">
          <cell r="A50">
            <v>90203</v>
          </cell>
          <cell r="B50" t="str">
            <v>BAR CAKE CHOCO 200G 60PK CBB</v>
          </cell>
          <cell r="C50" t="str">
            <v>07</v>
          </cell>
          <cell r="D50">
            <v>12</v>
          </cell>
          <cell r="E50">
            <v>60</v>
          </cell>
        </row>
        <row r="51">
          <cell r="A51">
            <v>90204</v>
          </cell>
          <cell r="B51" t="str">
            <v>BAR CAKE V.C. 200G 60PK CBB</v>
          </cell>
          <cell r="C51" t="str">
            <v>07</v>
          </cell>
          <cell r="D51">
            <v>12</v>
          </cell>
          <cell r="E51">
            <v>60</v>
          </cell>
        </row>
        <row r="52">
          <cell r="A52">
            <v>90205</v>
          </cell>
          <cell r="B52" t="str">
            <v>BAR CAKE O.C. 200G 60PK CBB</v>
          </cell>
          <cell r="C52" t="str">
            <v>07</v>
          </cell>
          <cell r="D52">
            <v>12</v>
          </cell>
          <cell r="E52">
            <v>60</v>
          </cell>
        </row>
        <row r="53">
          <cell r="A53">
            <v>90206</v>
          </cell>
          <cell r="B53" t="str">
            <v>BAR CAKE BUTTER SPONGE 200G 60PK CBB</v>
          </cell>
          <cell r="C53" t="str">
            <v>07</v>
          </cell>
          <cell r="D53">
            <v>12</v>
          </cell>
          <cell r="E53">
            <v>60</v>
          </cell>
        </row>
        <row r="54">
          <cell r="A54">
            <v>90207</v>
          </cell>
          <cell r="B54" t="str">
            <v>BAR CAKE PLUM 300G 60PK CBB</v>
          </cell>
          <cell r="C54" t="str">
            <v>07</v>
          </cell>
          <cell r="D54">
            <v>18</v>
          </cell>
          <cell r="E54">
            <v>60</v>
          </cell>
        </row>
        <row r="55">
          <cell r="A55">
            <v>90208</v>
          </cell>
          <cell r="B55" t="str">
            <v>7" DRUM 400G 12 DRUM CBB</v>
          </cell>
          <cell r="C55" t="str">
            <v>07</v>
          </cell>
          <cell r="D55">
            <v>4.8</v>
          </cell>
          <cell r="E55">
            <v>12</v>
          </cell>
        </row>
        <row r="56">
          <cell r="A56">
            <v>90209</v>
          </cell>
          <cell r="B56" t="str">
            <v>SLICE CAKE RICH FRUIT 35G 240PK CBB</v>
          </cell>
          <cell r="C56" t="str">
            <v>07</v>
          </cell>
          <cell r="D56">
            <v>8.4</v>
          </cell>
          <cell r="E56">
            <v>240</v>
          </cell>
        </row>
        <row r="57">
          <cell r="A57">
            <v>90210</v>
          </cell>
          <cell r="B57" t="str">
            <v>SLICE CAKE MAZA MIX 35G 240PK CBB</v>
          </cell>
          <cell r="C57" t="str">
            <v>07</v>
          </cell>
          <cell r="D57">
            <v>8.4</v>
          </cell>
          <cell r="E57">
            <v>240</v>
          </cell>
        </row>
        <row r="58">
          <cell r="A58">
            <v>90211</v>
          </cell>
          <cell r="B58" t="str">
            <v>SLICE CAKE VANILA 35G 240PK CBB</v>
          </cell>
          <cell r="C58" t="str">
            <v>07</v>
          </cell>
          <cell r="D58">
            <v>8.4</v>
          </cell>
          <cell r="E58">
            <v>240</v>
          </cell>
        </row>
        <row r="59">
          <cell r="A59">
            <v>90212</v>
          </cell>
          <cell r="B59" t="str">
            <v>CREAM CAKE V.C. 30G TWIN 160PK CBB</v>
          </cell>
          <cell r="C59" t="str">
            <v>07</v>
          </cell>
          <cell r="D59">
            <v>4.8</v>
          </cell>
          <cell r="E59">
            <v>160</v>
          </cell>
        </row>
        <row r="60">
          <cell r="A60">
            <v>90213</v>
          </cell>
          <cell r="B60" t="str">
            <v>CREAM CAKE O.C. 30G TWIN 160PK CBB</v>
          </cell>
          <cell r="C60" t="str">
            <v>07</v>
          </cell>
          <cell r="D60">
            <v>4.8</v>
          </cell>
          <cell r="E60">
            <v>160</v>
          </cell>
        </row>
        <row r="61">
          <cell r="A61">
            <v>90214</v>
          </cell>
          <cell r="B61" t="str">
            <v>CUP CAKE BUTTER 30G TWIN 160PK CBB</v>
          </cell>
          <cell r="C61" t="str">
            <v>07</v>
          </cell>
          <cell r="D61">
            <v>4.8</v>
          </cell>
          <cell r="E61">
            <v>160</v>
          </cell>
        </row>
        <row r="62">
          <cell r="A62">
            <v>90215</v>
          </cell>
          <cell r="B62" t="str">
            <v>CUP CAKE ORG CREAM 30G TWIN 160PK CBB</v>
          </cell>
          <cell r="C62" t="str">
            <v>07</v>
          </cell>
          <cell r="D62">
            <v>4.8</v>
          </cell>
          <cell r="E62">
            <v>160</v>
          </cell>
        </row>
        <row r="63">
          <cell r="A63">
            <v>90216</v>
          </cell>
          <cell r="B63" t="str">
            <v>CUP CAKE PINEAPPLE TWIN 30G 160PK CBB</v>
          </cell>
          <cell r="C63" t="str">
            <v>07</v>
          </cell>
          <cell r="D63">
            <v>4.8</v>
          </cell>
          <cell r="E63">
            <v>160</v>
          </cell>
        </row>
        <row r="64">
          <cell r="A64">
            <v>90217</v>
          </cell>
          <cell r="B64" t="str">
            <v>CUP CAKE BUTTER 75G TRAY 40PK CBB</v>
          </cell>
          <cell r="C64" t="str">
            <v>07</v>
          </cell>
          <cell r="D64">
            <v>3</v>
          </cell>
          <cell r="E64">
            <v>40</v>
          </cell>
        </row>
        <row r="65">
          <cell r="A65">
            <v>90218</v>
          </cell>
          <cell r="B65" t="str">
            <v>CUP CAKE ORG CREAM 75G TRAY 40PK CBB</v>
          </cell>
          <cell r="C65" t="str">
            <v>07</v>
          </cell>
          <cell r="D65">
            <v>3</v>
          </cell>
          <cell r="E65">
            <v>40</v>
          </cell>
        </row>
        <row r="66">
          <cell r="A66">
            <v>90219</v>
          </cell>
          <cell r="B66" t="str">
            <v>CUP CAKE PINEAPPLE 75G TRAY 40PK CBB</v>
          </cell>
          <cell r="C66" t="str">
            <v>07</v>
          </cell>
          <cell r="D66">
            <v>3</v>
          </cell>
          <cell r="E66">
            <v>40</v>
          </cell>
        </row>
        <row r="67">
          <cell r="A67">
            <v>90254</v>
          </cell>
          <cell r="B67" t="str">
            <v>DUNDEE 600G 12 DRUM CBB</v>
          </cell>
          <cell r="C67" t="str">
            <v>07</v>
          </cell>
          <cell r="D67">
            <v>7.2</v>
          </cell>
          <cell r="E67">
            <v>12</v>
          </cell>
        </row>
        <row r="68">
          <cell r="A68">
            <v>90255</v>
          </cell>
          <cell r="B68" t="str">
            <v>F. MILK CHOCOLATE 200ML 27PK TRAY</v>
          </cell>
          <cell r="C68" t="str">
            <v>05</v>
          </cell>
          <cell r="D68">
            <v>5.4</v>
          </cell>
          <cell r="E68">
            <v>27</v>
          </cell>
        </row>
        <row r="69">
          <cell r="A69">
            <v>90256</v>
          </cell>
          <cell r="B69" t="str">
            <v>F. MILK CHOCOLATE 200ML 27PK TRAY EXP</v>
          </cell>
          <cell r="C69" t="str">
            <v>05</v>
          </cell>
          <cell r="D69">
            <v>5.4</v>
          </cell>
          <cell r="E69">
            <v>27</v>
          </cell>
        </row>
        <row r="70">
          <cell r="A70">
            <v>90257</v>
          </cell>
          <cell r="B70" t="str">
            <v>F. MILK CHOCOLATE 1LT 12PK TRAY</v>
          </cell>
          <cell r="C70" t="str">
            <v>05</v>
          </cell>
          <cell r="D70">
            <v>12</v>
          </cell>
          <cell r="E70">
            <v>12</v>
          </cell>
        </row>
        <row r="71">
          <cell r="A71">
            <v>90258</v>
          </cell>
          <cell r="B71" t="str">
            <v>F. MILK STRAWBERRY 200ML 27PK TRAY</v>
          </cell>
          <cell r="C71" t="str">
            <v>05</v>
          </cell>
          <cell r="D71">
            <v>5.4</v>
          </cell>
          <cell r="E71">
            <v>27</v>
          </cell>
        </row>
        <row r="72">
          <cell r="A72">
            <v>90259</v>
          </cell>
          <cell r="B72" t="str">
            <v>F. MILK STRAWBERRY 200ML 27PK TRAY EXP</v>
          </cell>
          <cell r="C72" t="str">
            <v>05</v>
          </cell>
          <cell r="D72">
            <v>5.4</v>
          </cell>
          <cell r="E72">
            <v>27</v>
          </cell>
        </row>
        <row r="73">
          <cell r="A73">
            <v>90260</v>
          </cell>
          <cell r="B73" t="str">
            <v>F. MILK STRAWBERRY 1LT 12PK TRAY</v>
          </cell>
          <cell r="C73" t="str">
            <v>05</v>
          </cell>
          <cell r="D73">
            <v>12</v>
          </cell>
          <cell r="E73">
            <v>12</v>
          </cell>
        </row>
        <row r="74">
          <cell r="A74">
            <v>90261</v>
          </cell>
          <cell r="B74" t="str">
            <v>LASSI 200ML 27PK TRAY</v>
          </cell>
          <cell r="C74" t="str">
            <v>06</v>
          </cell>
          <cell r="D74">
            <v>5.4</v>
          </cell>
          <cell r="E74">
            <v>27</v>
          </cell>
        </row>
        <row r="75">
          <cell r="A75">
            <v>90262</v>
          </cell>
          <cell r="B75" t="str">
            <v>COLD COFFEE 200ML 27PK TRAY</v>
          </cell>
          <cell r="C75" t="str">
            <v>05</v>
          </cell>
          <cell r="D75">
            <v>5.4</v>
          </cell>
          <cell r="E75">
            <v>27</v>
          </cell>
        </row>
        <row r="76">
          <cell r="A76">
            <v>90265</v>
          </cell>
          <cell r="B76" t="str">
            <v>CHEESE BLOCK NATURAL 200G CEKA 30PK CBB</v>
          </cell>
          <cell r="C76" t="str">
            <v>02</v>
          </cell>
          <cell r="D76">
            <v>6</v>
          </cell>
          <cell r="E76">
            <v>30</v>
          </cell>
        </row>
        <row r="77">
          <cell r="A77">
            <v>90266</v>
          </cell>
          <cell r="B77" t="str">
            <v>COLD COFFEE 200ML 24PK TRAY</v>
          </cell>
          <cell r="C77" t="str">
            <v>05</v>
          </cell>
          <cell r="D77">
            <v>4.8</v>
          </cell>
          <cell r="E77">
            <v>24</v>
          </cell>
        </row>
        <row r="78">
          <cell r="A78">
            <v>90267</v>
          </cell>
          <cell r="B78" t="str">
            <v>D. MIX POUCH 100G 120PK CBB</v>
          </cell>
          <cell r="C78" t="str">
            <v>01</v>
          </cell>
          <cell r="D78">
            <v>12</v>
          </cell>
          <cell r="E78">
            <v>120</v>
          </cell>
        </row>
        <row r="79">
          <cell r="A79">
            <v>90268</v>
          </cell>
          <cell r="B79" t="str">
            <v>F. MILK CHOCOLATE 200ML 24PK TRAY</v>
          </cell>
          <cell r="C79" t="str">
            <v>05</v>
          </cell>
          <cell r="D79">
            <v>4.8</v>
          </cell>
          <cell r="E79">
            <v>24</v>
          </cell>
        </row>
        <row r="80">
          <cell r="A80">
            <v>90269</v>
          </cell>
          <cell r="B80" t="str">
            <v>F. MILK STRAWBERRY 200ML 24PK TRAY</v>
          </cell>
          <cell r="C80" t="str">
            <v>05</v>
          </cell>
          <cell r="D80">
            <v>4.8</v>
          </cell>
          <cell r="E80">
            <v>24</v>
          </cell>
        </row>
        <row r="81">
          <cell r="A81">
            <v>90270</v>
          </cell>
          <cell r="B81" t="str">
            <v>LASSI 200ML 24PK TRAY</v>
          </cell>
          <cell r="C81" t="str">
            <v>06</v>
          </cell>
          <cell r="D81">
            <v>4.8</v>
          </cell>
          <cell r="E81">
            <v>24</v>
          </cell>
        </row>
        <row r="82">
          <cell r="A82">
            <v>90271</v>
          </cell>
          <cell r="B82" t="str">
            <v>MIXED GHEE TIN 5LT 4PK CBB</v>
          </cell>
          <cell r="C82" t="str">
            <v>04</v>
          </cell>
          <cell r="D82">
            <v>20</v>
          </cell>
          <cell r="E82">
            <v>4</v>
          </cell>
        </row>
        <row r="83">
          <cell r="A83">
            <v>90288</v>
          </cell>
          <cell r="B83" t="str">
            <v>D. WHITENER POUCH 30G 300PK CBB</v>
          </cell>
          <cell r="C83" t="str">
            <v>01</v>
          </cell>
          <cell r="D83">
            <v>9</v>
          </cell>
          <cell r="E83">
            <v>300</v>
          </cell>
        </row>
        <row r="84">
          <cell r="A84">
            <v>90296</v>
          </cell>
          <cell r="B84" t="str">
            <v>CHEESE BLOCK 1KG 12PK CBB LOW MELT</v>
          </cell>
          <cell r="C84" t="str">
            <v>02</v>
          </cell>
          <cell r="D84">
            <v>12</v>
          </cell>
          <cell r="E84">
            <v>12</v>
          </cell>
        </row>
        <row r="85">
          <cell r="A85">
            <v>90300</v>
          </cell>
          <cell r="B85" t="str">
            <v>CREDIT NOTE MATERIAL - DY</v>
          </cell>
          <cell r="D85">
            <v>1</v>
          </cell>
          <cell r="E85">
            <v>1</v>
          </cell>
        </row>
        <row r="86">
          <cell r="A86">
            <v>90316</v>
          </cell>
          <cell r="B86" t="str">
            <v>BAR CAKE CHOCO 200G 30PK CBB</v>
          </cell>
          <cell r="C86" t="str">
            <v>07</v>
          </cell>
          <cell r="D86">
            <v>6</v>
          </cell>
          <cell r="E86">
            <v>30</v>
          </cell>
        </row>
        <row r="87">
          <cell r="A87">
            <v>90317</v>
          </cell>
          <cell r="B87" t="str">
            <v>BAR CAKE FRUIT 200G 30PK CBB</v>
          </cell>
          <cell r="C87" t="str">
            <v>07</v>
          </cell>
          <cell r="D87">
            <v>6</v>
          </cell>
          <cell r="E87">
            <v>30</v>
          </cell>
        </row>
        <row r="88">
          <cell r="A88">
            <v>90318</v>
          </cell>
          <cell r="B88" t="str">
            <v>BAR CAKE O.C. 200G 30PK CBB</v>
          </cell>
          <cell r="C88" t="str">
            <v>07</v>
          </cell>
          <cell r="D88">
            <v>6</v>
          </cell>
          <cell r="E88">
            <v>30</v>
          </cell>
        </row>
        <row r="89">
          <cell r="A89">
            <v>90319</v>
          </cell>
          <cell r="B89" t="str">
            <v>BAR CAKE ORANGE 200G 30PK CBB</v>
          </cell>
          <cell r="C89" t="str">
            <v>07</v>
          </cell>
          <cell r="D89">
            <v>6</v>
          </cell>
          <cell r="E89">
            <v>30</v>
          </cell>
        </row>
        <row r="90">
          <cell r="A90">
            <v>90320</v>
          </cell>
          <cell r="B90" t="str">
            <v>BAR CAKE PLUM 300G 30PK CBB</v>
          </cell>
          <cell r="C90" t="str">
            <v>07</v>
          </cell>
          <cell r="D90">
            <v>9</v>
          </cell>
          <cell r="E90">
            <v>30</v>
          </cell>
        </row>
        <row r="91">
          <cell r="A91">
            <v>90321</v>
          </cell>
          <cell r="B91" t="str">
            <v>BAR CAKE V.C. 200G 30PK CBB</v>
          </cell>
          <cell r="C91" t="str">
            <v>07</v>
          </cell>
          <cell r="D91">
            <v>6</v>
          </cell>
          <cell r="E91">
            <v>30</v>
          </cell>
        </row>
        <row r="92">
          <cell r="A92">
            <v>90322</v>
          </cell>
          <cell r="B92" t="str">
            <v>CHEESE BLOCK NATURAL 1KG CEKA 12PK CBB</v>
          </cell>
          <cell r="C92" t="str">
            <v>02</v>
          </cell>
          <cell r="D92">
            <v>12</v>
          </cell>
          <cell r="E92">
            <v>12</v>
          </cell>
        </row>
        <row r="93">
          <cell r="A93">
            <v>90323</v>
          </cell>
          <cell r="B93" t="str">
            <v>CHEESE CASTED SLICES 2.27KG 8PK CBB</v>
          </cell>
          <cell r="C93" t="str">
            <v>02</v>
          </cell>
          <cell r="D93">
            <v>18.16</v>
          </cell>
          <cell r="E93">
            <v>8</v>
          </cell>
        </row>
        <row r="94">
          <cell r="A94">
            <v>90324</v>
          </cell>
          <cell r="B94" t="str">
            <v>CHEESE SLICES 1KG 12PK CBB</v>
          </cell>
          <cell r="C94" t="str">
            <v>02</v>
          </cell>
          <cell r="D94">
            <v>12</v>
          </cell>
          <cell r="E94">
            <v>12</v>
          </cell>
        </row>
        <row r="95">
          <cell r="A95">
            <v>90325</v>
          </cell>
          <cell r="B95" t="str">
            <v>COW GHEE PET 200ML 48PK CBB</v>
          </cell>
          <cell r="C95" t="str">
            <v>04</v>
          </cell>
          <cell r="D95">
            <v>9.6</v>
          </cell>
          <cell r="E95">
            <v>48</v>
          </cell>
        </row>
        <row r="96">
          <cell r="A96">
            <v>90326</v>
          </cell>
          <cell r="B96" t="str">
            <v>COW GHEE POUCH 1LT 12PK CBB</v>
          </cell>
          <cell r="C96" t="str">
            <v>04</v>
          </cell>
          <cell r="D96">
            <v>12</v>
          </cell>
          <cell r="E96">
            <v>12</v>
          </cell>
        </row>
        <row r="97">
          <cell r="A97">
            <v>90327</v>
          </cell>
          <cell r="B97" t="str">
            <v>COW GHEE POUCH 500ML 24PK CBB</v>
          </cell>
          <cell r="C97" t="str">
            <v>04</v>
          </cell>
          <cell r="D97">
            <v>12</v>
          </cell>
          <cell r="E97">
            <v>24</v>
          </cell>
        </row>
        <row r="98">
          <cell r="A98">
            <v>90328</v>
          </cell>
          <cell r="B98" t="str">
            <v>COW GHEE TIN 15KG 1PK CBB</v>
          </cell>
          <cell r="C98" t="str">
            <v>04</v>
          </cell>
          <cell r="D98">
            <v>15</v>
          </cell>
          <cell r="E98">
            <v>1</v>
          </cell>
        </row>
        <row r="99">
          <cell r="A99">
            <v>90329</v>
          </cell>
          <cell r="B99" t="str">
            <v>MIXED GHEE TIN 15LT 1PK CBB</v>
          </cell>
          <cell r="C99" t="str">
            <v>04</v>
          </cell>
          <cell r="D99">
            <v>15</v>
          </cell>
          <cell r="E99">
            <v>1</v>
          </cell>
        </row>
        <row r="100">
          <cell r="A100">
            <v>90330</v>
          </cell>
          <cell r="B100" t="str">
            <v>MIXED GHEE CEKA 200ML 60PK CBB</v>
          </cell>
          <cell r="C100" t="str">
            <v>04</v>
          </cell>
          <cell r="D100">
            <v>12</v>
          </cell>
          <cell r="E100">
            <v>12</v>
          </cell>
        </row>
        <row r="101">
          <cell r="A101">
            <v>90331</v>
          </cell>
          <cell r="B101" t="str">
            <v>MIXED GHEE POUCH 500ML 24PK CBB</v>
          </cell>
          <cell r="C101" t="str">
            <v>04</v>
          </cell>
          <cell r="D101">
            <v>12</v>
          </cell>
          <cell r="E101">
            <v>24</v>
          </cell>
        </row>
        <row r="102">
          <cell r="A102">
            <v>90332</v>
          </cell>
          <cell r="B102" t="str">
            <v>2-IN-1 400G FEST PACK 30PK CBB</v>
          </cell>
          <cell r="C102" t="str">
            <v>07</v>
          </cell>
          <cell r="D102">
            <v>12</v>
          </cell>
          <cell r="E102">
            <v>30</v>
          </cell>
        </row>
        <row r="103">
          <cell r="A103">
            <v>90333</v>
          </cell>
          <cell r="B103" t="str">
            <v>3-IN-1 600G FEST PACK 20 PK CBB</v>
          </cell>
          <cell r="C103" t="str">
            <v>07</v>
          </cell>
          <cell r="D103">
            <v>12</v>
          </cell>
          <cell r="E103">
            <v>20</v>
          </cell>
        </row>
        <row r="104">
          <cell r="A104">
            <v>90334</v>
          </cell>
          <cell r="B104" t="str">
            <v>5-IN-1 1KG FEST PACK 12 PK CBB</v>
          </cell>
          <cell r="C104" t="str">
            <v>07</v>
          </cell>
          <cell r="D104">
            <v>12</v>
          </cell>
          <cell r="E104">
            <v>12</v>
          </cell>
        </row>
        <row r="105">
          <cell r="A105">
            <v>90335</v>
          </cell>
          <cell r="B105" t="str">
            <v>CREAM CAKE FEST PACK 30G TWIN 160PK CBB</v>
          </cell>
          <cell r="C105" t="str">
            <v>07</v>
          </cell>
          <cell r="D105">
            <v>4.8</v>
          </cell>
          <cell r="E105">
            <v>160</v>
          </cell>
        </row>
        <row r="106">
          <cell r="A106">
            <v>90336</v>
          </cell>
          <cell r="B106" t="str">
            <v>CUP CAKE FEST 30G TWIN 160PK CBB</v>
          </cell>
          <cell r="C106" t="str">
            <v>07</v>
          </cell>
          <cell r="D106">
            <v>4.8</v>
          </cell>
          <cell r="E106">
            <v>160</v>
          </cell>
        </row>
        <row r="107">
          <cell r="A107">
            <v>90337</v>
          </cell>
          <cell r="B107" t="str">
            <v>BUTTER BLOCK 100G 150PK CBB PROMO</v>
          </cell>
          <cell r="C107" t="str">
            <v>03</v>
          </cell>
          <cell r="D107">
            <v>15</v>
          </cell>
          <cell r="E107">
            <v>150</v>
          </cell>
        </row>
        <row r="108">
          <cell r="A108">
            <v>90338</v>
          </cell>
          <cell r="B108" t="str">
            <v>CHEESE TIN FT 400G+100G 24PK CBB PROMO</v>
          </cell>
          <cell r="C108" t="str">
            <v>02</v>
          </cell>
          <cell r="D108">
            <v>9.6</v>
          </cell>
          <cell r="E108">
            <v>24</v>
          </cell>
        </row>
        <row r="109">
          <cell r="A109">
            <v>90339</v>
          </cell>
          <cell r="B109" t="str">
            <v>CHEESE TIN NFT 400G+100G 24PK CBB PROMO</v>
          </cell>
          <cell r="C109" t="str">
            <v>02</v>
          </cell>
          <cell r="D109">
            <v>9.6</v>
          </cell>
          <cell r="E109">
            <v>24</v>
          </cell>
        </row>
        <row r="110">
          <cell r="A110">
            <v>90340</v>
          </cell>
          <cell r="B110" t="str">
            <v>D. WHITENER JAR 10KG+0.5KG 1PK CBB</v>
          </cell>
          <cell r="C110" t="str">
            <v>01</v>
          </cell>
          <cell r="D110">
            <v>10</v>
          </cell>
          <cell r="E110">
            <v>1</v>
          </cell>
        </row>
        <row r="111">
          <cell r="A111">
            <v>90399</v>
          </cell>
          <cell r="B111" t="str">
            <v>BAR CAKE MILK 200G 30PK CBB</v>
          </cell>
          <cell r="C111" t="str">
            <v>07</v>
          </cell>
          <cell r="D111">
            <v>6</v>
          </cell>
          <cell r="E111">
            <v>30</v>
          </cell>
        </row>
        <row r="112">
          <cell r="A112">
            <v>90400</v>
          </cell>
          <cell r="B112" t="str">
            <v>BAR CAKE MILK 200G 60PK CBB</v>
          </cell>
          <cell r="C112" t="str">
            <v>07</v>
          </cell>
          <cell r="D112">
            <v>12</v>
          </cell>
          <cell r="E112">
            <v>60</v>
          </cell>
        </row>
        <row r="113">
          <cell r="A113">
            <v>90401</v>
          </cell>
          <cell r="B113" t="str">
            <v>C. SPREAD TUB C. CAP. 200G 60PK CBB</v>
          </cell>
          <cell r="C113" t="str">
            <v>02</v>
          </cell>
          <cell r="D113">
            <v>12</v>
          </cell>
          <cell r="E113">
            <v>60</v>
          </cell>
        </row>
        <row r="114">
          <cell r="A114">
            <v>90402</v>
          </cell>
          <cell r="B114" t="str">
            <v>C. SPREAD TUB PEPPER 200G 60PK CBB</v>
          </cell>
          <cell r="C114" t="str">
            <v>02</v>
          </cell>
          <cell r="D114">
            <v>12</v>
          </cell>
          <cell r="E114">
            <v>60</v>
          </cell>
        </row>
        <row r="115">
          <cell r="A115">
            <v>90403</v>
          </cell>
          <cell r="B115" t="str">
            <v>C. SPREAD TUB PLAIN 200G 60PK CBB</v>
          </cell>
          <cell r="C115" t="str">
            <v>02</v>
          </cell>
          <cell r="D115">
            <v>12</v>
          </cell>
          <cell r="E115">
            <v>60</v>
          </cell>
        </row>
        <row r="116">
          <cell r="A116">
            <v>90404</v>
          </cell>
          <cell r="B116" t="str">
            <v>CHEESE BLOCK 400G CEKA 30PK CBB PL BOX</v>
          </cell>
          <cell r="C116" t="str">
            <v>02</v>
          </cell>
          <cell r="D116">
            <v>12</v>
          </cell>
          <cell r="E116">
            <v>30</v>
          </cell>
        </row>
        <row r="117">
          <cell r="A117">
            <v>90405</v>
          </cell>
          <cell r="B117" t="str">
            <v>CHEESE SLICES PEPPER 100G 120PK CBB</v>
          </cell>
          <cell r="C117" t="str">
            <v>02</v>
          </cell>
          <cell r="D117">
            <v>12</v>
          </cell>
          <cell r="E117">
            <v>120</v>
          </cell>
        </row>
        <row r="118">
          <cell r="A118">
            <v>90406</v>
          </cell>
          <cell r="B118" t="str">
            <v>CHEESE TIN 200G 48PK CBB</v>
          </cell>
          <cell r="C118" t="str">
            <v>02</v>
          </cell>
          <cell r="D118">
            <v>9.6</v>
          </cell>
          <cell r="E118">
            <v>48</v>
          </cell>
        </row>
        <row r="119">
          <cell r="A119">
            <v>90407</v>
          </cell>
          <cell r="B119" t="str">
            <v>CHEESE TIN 500G 24PK CBB</v>
          </cell>
          <cell r="C119" t="str">
            <v>02</v>
          </cell>
          <cell r="D119">
            <v>12</v>
          </cell>
          <cell r="E119">
            <v>24</v>
          </cell>
        </row>
        <row r="120">
          <cell r="A120">
            <v>90408</v>
          </cell>
          <cell r="B120" t="str">
            <v>D. WHITENER POUCH 1KG 12PK CBB PROMO</v>
          </cell>
          <cell r="C120" t="str">
            <v>01</v>
          </cell>
          <cell r="D120">
            <v>12</v>
          </cell>
          <cell r="E120">
            <v>12</v>
          </cell>
        </row>
        <row r="121">
          <cell r="A121">
            <v>90409</v>
          </cell>
          <cell r="B121" t="str">
            <v>D. WHITENER POUCH 200G 60PK CBB PROMO</v>
          </cell>
          <cell r="C121" t="str">
            <v>01</v>
          </cell>
          <cell r="D121">
            <v>12</v>
          </cell>
          <cell r="E121">
            <v>60</v>
          </cell>
        </row>
        <row r="122">
          <cell r="A122">
            <v>90410</v>
          </cell>
          <cell r="B122" t="str">
            <v>D. WHITENER POUCH 500G 24PK CBB PROMO</v>
          </cell>
          <cell r="C122" t="str">
            <v>01</v>
          </cell>
          <cell r="D122">
            <v>12</v>
          </cell>
          <cell r="E122">
            <v>24</v>
          </cell>
        </row>
        <row r="123">
          <cell r="A123">
            <v>90411</v>
          </cell>
          <cell r="B123" t="str">
            <v>D. WHITENER POUCH 50G 180PK CBB PROMO</v>
          </cell>
          <cell r="C123" t="str">
            <v>01</v>
          </cell>
          <cell r="D123">
            <v>9</v>
          </cell>
          <cell r="E123">
            <v>180</v>
          </cell>
        </row>
        <row r="124">
          <cell r="A124">
            <v>90412</v>
          </cell>
          <cell r="B124" t="str">
            <v>D. WHITENER SACHET 3G 2000PK CBB</v>
          </cell>
          <cell r="C124" t="str">
            <v>01</v>
          </cell>
          <cell r="D124">
            <v>6</v>
          </cell>
          <cell r="E124">
            <v>2000</v>
          </cell>
        </row>
        <row r="125">
          <cell r="A125">
            <v>90413</v>
          </cell>
          <cell r="B125" t="str">
            <v>SLICE CAKE MAZA MIX 35G 240PK CBB FEST</v>
          </cell>
          <cell r="C125" t="str">
            <v>07</v>
          </cell>
          <cell r="D125">
            <v>8.4</v>
          </cell>
          <cell r="E125">
            <v>240</v>
          </cell>
        </row>
        <row r="126">
          <cell r="A126">
            <v>90414</v>
          </cell>
          <cell r="B126" t="str">
            <v>BAR CAKE BUTTER SPONGE 200G 30PK CBB</v>
          </cell>
          <cell r="C126" t="str">
            <v>07</v>
          </cell>
          <cell r="D126">
            <v>6</v>
          </cell>
          <cell r="E126">
            <v>30</v>
          </cell>
        </row>
        <row r="127">
          <cell r="A127">
            <v>90415</v>
          </cell>
          <cell r="B127" t="str">
            <v>MILK UHT TTPK 1LT 12PK CBB</v>
          </cell>
          <cell r="C127" t="str">
            <v>08</v>
          </cell>
          <cell r="D127">
            <v>12</v>
          </cell>
          <cell r="E127">
            <v>12</v>
          </cell>
        </row>
        <row r="128">
          <cell r="A128">
            <v>90416</v>
          </cell>
          <cell r="B128" t="str">
            <v>MILK UHT TTPK 250ML 24PK CBB</v>
          </cell>
          <cell r="C128" t="str">
            <v>08</v>
          </cell>
          <cell r="D128">
            <v>6</v>
          </cell>
          <cell r="E128">
            <v>24</v>
          </cell>
        </row>
        <row r="129">
          <cell r="A129">
            <v>90417</v>
          </cell>
          <cell r="B129" t="str">
            <v>MILK FULL CREAM 1LT POUCH PACK</v>
          </cell>
          <cell r="C129" t="str">
            <v>09</v>
          </cell>
          <cell r="D129">
            <v>1</v>
          </cell>
          <cell r="E129">
            <v>1</v>
          </cell>
        </row>
        <row r="130">
          <cell r="A130">
            <v>90418</v>
          </cell>
          <cell r="B130" t="str">
            <v>MILK FULL CREAM 500ML POUCH PACK</v>
          </cell>
          <cell r="C130" t="str">
            <v>09</v>
          </cell>
          <cell r="D130">
            <v>0.5</v>
          </cell>
          <cell r="E130">
            <v>1</v>
          </cell>
        </row>
        <row r="131">
          <cell r="A131">
            <v>90419</v>
          </cell>
          <cell r="B131" t="str">
            <v>MILK TONED 1LT POUCH PACK</v>
          </cell>
          <cell r="C131" t="str">
            <v>09</v>
          </cell>
          <cell r="D131">
            <v>1</v>
          </cell>
          <cell r="E131">
            <v>1</v>
          </cell>
        </row>
        <row r="132">
          <cell r="A132">
            <v>90420</v>
          </cell>
          <cell r="B132" t="str">
            <v>MILK TONED 500 ML POUCH PACK</v>
          </cell>
          <cell r="C132" t="str">
            <v>09</v>
          </cell>
          <cell r="D132">
            <v>0.5</v>
          </cell>
          <cell r="E132">
            <v>1</v>
          </cell>
        </row>
        <row r="133">
          <cell r="A133">
            <v>90421</v>
          </cell>
          <cell r="B133" t="str">
            <v>MILK DOUBLE TONED 500 ML POUCH PACK</v>
          </cell>
          <cell r="C133" t="str">
            <v>09</v>
          </cell>
          <cell r="D133">
            <v>0.5</v>
          </cell>
          <cell r="E133">
            <v>1</v>
          </cell>
        </row>
        <row r="134">
          <cell r="A134">
            <v>90425</v>
          </cell>
          <cell r="B134" t="str">
            <v>CHEESE BLOCK 400G CEKA 36PK CBB APO</v>
          </cell>
          <cell r="C134" t="str">
            <v>02</v>
          </cell>
          <cell r="D134">
            <v>14.4</v>
          </cell>
          <cell r="E134">
            <v>36</v>
          </cell>
        </row>
        <row r="135">
          <cell r="A135">
            <v>90426</v>
          </cell>
          <cell r="B135" t="str">
            <v>MIXED GHEE PET 200ML 48PK CBB</v>
          </cell>
          <cell r="C135" t="str">
            <v>04</v>
          </cell>
          <cell r="D135">
            <v>9.6</v>
          </cell>
          <cell r="E135">
            <v>48</v>
          </cell>
        </row>
        <row r="136">
          <cell r="A136">
            <v>90427</v>
          </cell>
          <cell r="B136" t="str">
            <v>MIXED GHEE POUCH 1LT 12PK CBB</v>
          </cell>
          <cell r="C136" t="str">
            <v>04</v>
          </cell>
          <cell r="D136">
            <v>12</v>
          </cell>
          <cell r="E136">
            <v>12</v>
          </cell>
        </row>
        <row r="137">
          <cell r="A137">
            <v>90490</v>
          </cell>
          <cell r="B137" t="str">
            <v>COW GHEE PET 500ML 36PK CBB</v>
          </cell>
          <cell r="C137" t="str">
            <v>04</v>
          </cell>
          <cell r="D137">
            <v>18</v>
          </cell>
          <cell r="E137">
            <v>36</v>
          </cell>
        </row>
        <row r="138">
          <cell r="A138">
            <v>90504</v>
          </cell>
          <cell r="B138" t="str">
            <v>CHEESE SLICES 200G 60PK CBB PROMO</v>
          </cell>
          <cell r="C138" t="str">
            <v>02</v>
          </cell>
          <cell r="D138">
            <v>12</v>
          </cell>
          <cell r="E138">
            <v>60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heet6"/>
      <sheetName val="Sheet5"/>
      <sheetName val="FLASH CARD"/>
      <sheetName val="master (2)"/>
      <sheetName val="master"/>
      <sheetName val="sap"/>
      <sheetName val="Dairy "/>
      <sheetName val="Brsku"/>
      <sheetName val="Sheet4"/>
      <sheetName val="Dairy Summary"/>
      <sheetName val="CALCUTTADAIRY"/>
      <sheetName val="CHENNAIDAIRY"/>
      <sheetName val="EO"/>
      <sheetName val="DELHIDAIRY"/>
      <sheetName val="MUMDAIRY"/>
      <sheetName val="Sheet1"/>
      <sheetName val="Branch Wise Pro Cent Wise"/>
      <sheetName val="Branch Wise Depot Wise"/>
      <sheetName val="Sheet3"/>
      <sheetName val="CALCUTTACAKE"/>
      <sheetName val="DELHICAKE"/>
      <sheetName val="MUMCAKE"/>
      <sheetName val="CHENNAICAKE"/>
      <sheetName val="SUMMARY CAKE"/>
      <sheetName val="SUMMARY SHEET- Mike Report"/>
      <sheetName val="Challan"/>
      <sheetName val="INQVAR PY"/>
      <sheetName val="nela"/>
      <sheetName val="Params"/>
      <sheetName val="Basewor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4">
          <cell r="A4">
            <v>10</v>
          </cell>
          <cell r="B4" t="str">
            <v>CH02</v>
          </cell>
          <cell r="C4" t="str">
            <v>BIL - C&amp;F AGENT(BANGALORE)</v>
          </cell>
          <cell r="D4" t="str">
            <v>SCH1C4</v>
          </cell>
          <cell r="E4" t="str">
            <v>Karnataka</v>
          </cell>
          <cell r="F4">
            <v>10</v>
          </cell>
          <cell r="G4" t="str">
            <v>Karnataka</v>
          </cell>
          <cell r="H4" t="str">
            <v>CHE1</v>
          </cell>
          <cell r="I4" t="str">
            <v>SCH1</v>
          </cell>
          <cell r="J4" t="str">
            <v>CHENNAI</v>
          </cell>
        </row>
        <row r="5">
          <cell r="A5">
            <v>10</v>
          </cell>
          <cell r="B5" t="str">
            <v>CH06</v>
          </cell>
          <cell r="C5" t="str">
            <v>BIL - C&amp;F AGENT  (HUBLI)</v>
          </cell>
          <cell r="D5" t="str">
            <v>SCH1C4</v>
          </cell>
          <cell r="E5" t="str">
            <v>Karnataka</v>
          </cell>
          <cell r="F5">
            <v>10</v>
          </cell>
          <cell r="G5" t="str">
            <v>Karnataka</v>
          </cell>
          <cell r="H5" t="str">
            <v>CHE1</v>
          </cell>
          <cell r="I5" t="str">
            <v>SCH1</v>
          </cell>
          <cell r="J5" t="str">
            <v>CHENNAI</v>
          </cell>
        </row>
        <row r="6">
          <cell r="A6">
            <v>11</v>
          </cell>
          <cell r="B6" t="str">
            <v>CH09</v>
          </cell>
          <cell r="C6" t="str">
            <v>BIL - C&amp;F AGENT ( COCHIN)</v>
          </cell>
          <cell r="D6" t="str">
            <v>SCH1C5</v>
          </cell>
          <cell r="E6" t="str">
            <v>Kerala</v>
          </cell>
          <cell r="F6">
            <v>11</v>
          </cell>
          <cell r="G6" t="str">
            <v>Kerala</v>
          </cell>
          <cell r="H6" t="str">
            <v>CHE1</v>
          </cell>
          <cell r="I6" t="str">
            <v>SCH1</v>
          </cell>
          <cell r="J6" t="str">
            <v>CHENNAI</v>
          </cell>
        </row>
        <row r="7">
          <cell r="A7">
            <v>11</v>
          </cell>
          <cell r="B7" t="str">
            <v>CH10</v>
          </cell>
          <cell r="C7" t="str">
            <v>BIL - C&amp;F AGENT ( CALICUT)</v>
          </cell>
          <cell r="D7" t="str">
            <v>SCH1C5</v>
          </cell>
          <cell r="E7" t="str">
            <v>Kerala</v>
          </cell>
          <cell r="F7">
            <v>11</v>
          </cell>
          <cell r="G7" t="str">
            <v>Kerala</v>
          </cell>
          <cell r="H7" t="str">
            <v>CHE1</v>
          </cell>
          <cell r="I7" t="str">
            <v>SCH1</v>
          </cell>
          <cell r="J7" t="str">
            <v>CHENNAI</v>
          </cell>
        </row>
        <row r="8">
          <cell r="A8">
            <v>11</v>
          </cell>
          <cell r="B8" t="str">
            <v>CH18</v>
          </cell>
          <cell r="C8" t="str">
            <v>BIL - C&amp;F AGENT(MAVELIKKARA)</v>
          </cell>
          <cell r="D8" t="str">
            <v>SCH1C5</v>
          </cell>
          <cell r="E8" t="str">
            <v>Kerala</v>
          </cell>
          <cell r="F8">
            <v>11</v>
          </cell>
          <cell r="G8" t="str">
            <v>Kerala</v>
          </cell>
          <cell r="H8" t="str">
            <v>CHE1</v>
          </cell>
          <cell r="I8" t="str">
            <v>SCH1</v>
          </cell>
          <cell r="J8" t="str">
            <v>CHENNAI</v>
          </cell>
        </row>
        <row r="9">
          <cell r="A9">
            <v>12</v>
          </cell>
          <cell r="B9" t="str">
            <v>MU03</v>
          </cell>
          <cell r="C9" t="str">
            <v>BIL- INDORE DEPOT</v>
          </cell>
          <cell r="D9" t="str">
            <v>WMU1M5</v>
          </cell>
          <cell r="E9" t="str">
            <v>Madhya Pradesh</v>
          </cell>
          <cell r="F9">
            <v>12</v>
          </cell>
          <cell r="G9" t="str">
            <v>Madhya Pradesh</v>
          </cell>
          <cell r="H9" t="str">
            <v>MUM1</v>
          </cell>
          <cell r="I9" t="str">
            <v>WMU1</v>
          </cell>
          <cell r="J9" t="str">
            <v>MUMBAI</v>
          </cell>
        </row>
        <row r="10">
          <cell r="A10">
            <v>12</v>
          </cell>
          <cell r="B10" t="str">
            <v>MU04</v>
          </cell>
          <cell r="C10" t="str">
            <v>BIL- JABALPUR DEPOT</v>
          </cell>
          <cell r="D10" t="str">
            <v>WMU1M5</v>
          </cell>
          <cell r="E10" t="str">
            <v>Madhya Pradesh</v>
          </cell>
          <cell r="F10">
            <v>12</v>
          </cell>
          <cell r="G10" t="str">
            <v>Madhya Pradesh</v>
          </cell>
          <cell r="H10" t="str">
            <v>MUM1</v>
          </cell>
          <cell r="I10" t="str">
            <v>WMU1</v>
          </cell>
          <cell r="J10" t="str">
            <v>MUMBAI</v>
          </cell>
        </row>
        <row r="11">
          <cell r="A11">
            <v>12</v>
          </cell>
          <cell r="B11" t="str">
            <v>MU08</v>
          </cell>
          <cell r="C11" t="str">
            <v>BIL - RAIPUR DEPOT</v>
          </cell>
          <cell r="D11" t="str">
            <v>WMU1M1</v>
          </cell>
          <cell r="E11" t="str">
            <v>Mumbai Metro</v>
          </cell>
          <cell r="F11">
            <v>12</v>
          </cell>
          <cell r="G11" t="str">
            <v>Madhya Pradesh</v>
          </cell>
          <cell r="H11" t="str">
            <v>MUM1</v>
          </cell>
          <cell r="I11" t="str">
            <v>WMU1</v>
          </cell>
          <cell r="J11" t="str">
            <v>MUMBAI</v>
          </cell>
        </row>
        <row r="12">
          <cell r="A12">
            <v>13</v>
          </cell>
          <cell r="B12" t="str">
            <v>MU01</v>
          </cell>
          <cell r="C12" t="str">
            <v>BIL - BHANDUP DEPOT</v>
          </cell>
          <cell r="D12" t="str">
            <v>WMU1M1</v>
          </cell>
          <cell r="E12" t="str">
            <v>Mumbai Metro</v>
          </cell>
          <cell r="F12">
            <v>13</v>
          </cell>
          <cell r="G12" t="str">
            <v>Maharashtra</v>
          </cell>
          <cell r="H12" t="str">
            <v>MUM1</v>
          </cell>
          <cell r="I12" t="str">
            <v>WMU1</v>
          </cell>
          <cell r="J12" t="str">
            <v>MUMBAI</v>
          </cell>
        </row>
        <row r="13">
          <cell r="A13">
            <v>13</v>
          </cell>
          <cell r="B13" t="str">
            <v>MU02</v>
          </cell>
          <cell r="C13" t="str">
            <v>BIL - BIWANDI DEPOT</v>
          </cell>
          <cell r="D13" t="str">
            <v>WMU1M2</v>
          </cell>
          <cell r="E13" t="str">
            <v>BKT</v>
          </cell>
          <cell r="F13">
            <v>13</v>
          </cell>
          <cell r="G13" t="str">
            <v>Maharashtra</v>
          </cell>
          <cell r="H13" t="str">
            <v>MUM1</v>
          </cell>
          <cell r="I13" t="str">
            <v>WMU1</v>
          </cell>
          <cell r="J13" t="str">
            <v>MUMBAI</v>
          </cell>
        </row>
        <row r="14">
          <cell r="A14">
            <v>13</v>
          </cell>
          <cell r="B14" t="str">
            <v>MU05</v>
          </cell>
          <cell r="C14" t="str">
            <v>BIL - NAGPUR DEPOT</v>
          </cell>
          <cell r="D14" t="str">
            <v>WMU1M3</v>
          </cell>
          <cell r="E14" t="str">
            <v>Maharashtra</v>
          </cell>
          <cell r="F14">
            <v>13</v>
          </cell>
          <cell r="G14" t="str">
            <v>Maharashtra</v>
          </cell>
          <cell r="H14" t="str">
            <v>MUM1</v>
          </cell>
          <cell r="I14" t="str">
            <v>WMU1</v>
          </cell>
          <cell r="J14" t="str">
            <v>MUMBAI</v>
          </cell>
        </row>
        <row r="15">
          <cell r="A15">
            <v>13</v>
          </cell>
          <cell r="B15" t="str">
            <v>MU09</v>
          </cell>
          <cell r="C15" t="str">
            <v>BIL - RAJGURU NAGAR DEPOT</v>
          </cell>
          <cell r="D15" t="str">
            <v>WMU1M3</v>
          </cell>
          <cell r="E15" t="str">
            <v>Maharashtra</v>
          </cell>
          <cell r="F15">
            <v>13</v>
          </cell>
          <cell r="G15" t="str">
            <v>Maharashtra</v>
          </cell>
          <cell r="H15" t="str">
            <v>MUM1</v>
          </cell>
          <cell r="I15" t="str">
            <v>WMU1</v>
          </cell>
          <cell r="J15" t="str">
            <v>MUMBAI</v>
          </cell>
        </row>
        <row r="16">
          <cell r="A16">
            <v>13</v>
          </cell>
          <cell r="B16" t="str">
            <v>MU10</v>
          </cell>
          <cell r="C16" t="str">
            <v>BIL - SATARA DEPOT</v>
          </cell>
          <cell r="D16" t="str">
            <v>WMU1M3</v>
          </cell>
          <cell r="E16" t="str">
            <v>Maharashtra</v>
          </cell>
          <cell r="F16">
            <v>13</v>
          </cell>
          <cell r="G16" t="str">
            <v>Maharashtra</v>
          </cell>
          <cell r="H16" t="str">
            <v>MUM1</v>
          </cell>
          <cell r="I16" t="str">
            <v>WMU1</v>
          </cell>
          <cell r="J16" t="str">
            <v>MUMBAI</v>
          </cell>
        </row>
        <row r="17">
          <cell r="A17">
            <v>14</v>
          </cell>
          <cell r="B17" t="str">
            <v>CA11</v>
          </cell>
          <cell r="C17" t="str">
            <v>BIL - IMPHAL DEPOT</v>
          </cell>
          <cell r="D17" t="str">
            <v>ECA1K4</v>
          </cell>
          <cell r="E17" t="str">
            <v>North East</v>
          </cell>
          <cell r="F17">
            <v>14</v>
          </cell>
          <cell r="G17" t="str">
            <v>Manipur</v>
          </cell>
          <cell r="H17" t="str">
            <v>CAL1</v>
          </cell>
          <cell r="I17" t="str">
            <v>ECA1</v>
          </cell>
          <cell r="J17" t="str">
            <v>KOLKATTA</v>
          </cell>
        </row>
        <row r="18">
          <cell r="A18">
            <v>15</v>
          </cell>
          <cell r="B18" t="str">
            <v>CA17</v>
          </cell>
          <cell r="C18" t="str">
            <v>BIL - SHILONG DEPOT</v>
          </cell>
          <cell r="D18" t="str">
            <v>ECA1K4</v>
          </cell>
          <cell r="E18" t="str">
            <v>North East</v>
          </cell>
          <cell r="F18">
            <v>15</v>
          </cell>
          <cell r="G18" t="str">
            <v>Megalaya</v>
          </cell>
          <cell r="H18" t="str">
            <v>CAL1</v>
          </cell>
          <cell r="I18" t="str">
            <v>ECA1</v>
          </cell>
          <cell r="J18" t="str">
            <v>KOLKATTA</v>
          </cell>
        </row>
        <row r="19">
          <cell r="A19">
            <v>17</v>
          </cell>
          <cell r="B19" t="str">
            <v>CA08</v>
          </cell>
          <cell r="C19" t="str">
            <v>BIL - DIMAPUR DEPOT</v>
          </cell>
          <cell r="D19" t="str">
            <v>ECA1K4</v>
          </cell>
          <cell r="E19" t="str">
            <v>North East</v>
          </cell>
          <cell r="F19">
            <v>17</v>
          </cell>
          <cell r="G19" t="str">
            <v>Nagaland</v>
          </cell>
          <cell r="H19" t="str">
            <v>CAL1</v>
          </cell>
          <cell r="I19" t="str">
            <v>ECA1</v>
          </cell>
          <cell r="J19" t="str">
            <v>KOLKATTA</v>
          </cell>
        </row>
        <row r="20">
          <cell r="A20">
            <v>18</v>
          </cell>
          <cell r="B20" t="str">
            <v>CA05</v>
          </cell>
          <cell r="C20" t="str">
            <v>BIL - CUTTACK DEPOT</v>
          </cell>
          <cell r="D20" t="str">
            <v>ECA1K5</v>
          </cell>
          <cell r="E20" t="str">
            <v>Orissa</v>
          </cell>
          <cell r="F20">
            <v>18</v>
          </cell>
          <cell r="G20" t="str">
            <v>Orissa</v>
          </cell>
          <cell r="H20" t="str">
            <v>CAL1</v>
          </cell>
          <cell r="I20" t="str">
            <v>ECA1</v>
          </cell>
          <cell r="J20" t="str">
            <v>KOLKATTA</v>
          </cell>
        </row>
        <row r="21">
          <cell r="A21">
            <v>18</v>
          </cell>
          <cell r="B21" t="str">
            <v>CA16</v>
          </cell>
          <cell r="C21" t="str">
            <v>BIL - ROURKELA DEPOT</v>
          </cell>
          <cell r="D21" t="str">
            <v>ECA1K5</v>
          </cell>
          <cell r="E21" t="str">
            <v>Orissa</v>
          </cell>
          <cell r="F21">
            <v>18</v>
          </cell>
          <cell r="G21" t="str">
            <v>Orissa</v>
          </cell>
          <cell r="H21" t="str">
            <v>CAL1</v>
          </cell>
          <cell r="I21" t="str">
            <v>ECA1</v>
          </cell>
          <cell r="J21" t="str">
            <v>KOLKATTA</v>
          </cell>
        </row>
        <row r="22">
          <cell r="A22">
            <v>19</v>
          </cell>
          <cell r="B22" t="str">
            <v>DE11</v>
          </cell>
          <cell r="C22" t="str">
            <v>BIL - ZEERAKPUR DEPOT</v>
          </cell>
          <cell r="D22" t="str">
            <v>NDE1D5</v>
          </cell>
          <cell r="E22" t="str">
            <v>NWI 2</v>
          </cell>
          <cell r="F22">
            <v>19</v>
          </cell>
          <cell r="G22" t="str">
            <v>Punjab</v>
          </cell>
          <cell r="H22" t="str">
            <v>DEL1</v>
          </cell>
          <cell r="I22" t="str">
            <v>NDE1</v>
          </cell>
          <cell r="J22" t="str">
            <v>DELHI</v>
          </cell>
        </row>
        <row r="23">
          <cell r="A23">
            <v>20</v>
          </cell>
          <cell r="B23" t="str">
            <v>DE06</v>
          </cell>
          <cell r="C23" t="str">
            <v>BIL - JAIPUR DEPOT</v>
          </cell>
          <cell r="D23" t="str">
            <v>NDE1D4</v>
          </cell>
          <cell r="E23" t="str">
            <v>NWI 1</v>
          </cell>
          <cell r="F23">
            <v>20</v>
          </cell>
          <cell r="G23" t="str">
            <v>Rajasthan</v>
          </cell>
          <cell r="H23" t="str">
            <v>DEL1</v>
          </cell>
          <cell r="I23" t="str">
            <v>NDE1</v>
          </cell>
          <cell r="J23" t="str">
            <v>DELHI</v>
          </cell>
        </row>
        <row r="24">
          <cell r="A24">
            <v>22</v>
          </cell>
          <cell r="B24" t="str">
            <v>CH099</v>
          </cell>
          <cell r="C24" t="str">
            <v>BIL - PORT BLAIR DEPOT</v>
          </cell>
          <cell r="D24" t="str">
            <v>SCH1C1</v>
          </cell>
          <cell r="E24" t="str">
            <v>Chennai</v>
          </cell>
          <cell r="F24">
            <v>22</v>
          </cell>
          <cell r="G24" t="str">
            <v>Tamil Nadu</v>
          </cell>
          <cell r="H24" t="str">
            <v>CHE1</v>
          </cell>
          <cell r="I24" t="str">
            <v>SCH1</v>
          </cell>
          <cell r="J24" t="str">
            <v>CHENNAI</v>
          </cell>
        </row>
        <row r="25">
          <cell r="A25">
            <v>22</v>
          </cell>
          <cell r="B25" t="str">
            <v>CH012</v>
          </cell>
          <cell r="C25" t="str">
            <v>BIL - C&amp;F AGENT (PONDY)</v>
          </cell>
          <cell r="D25" t="str">
            <v>SCH1C1</v>
          </cell>
          <cell r="E25" t="str">
            <v>Chennai</v>
          </cell>
          <cell r="F25">
            <v>22</v>
          </cell>
          <cell r="G25" t="str">
            <v>Tamil Nadu</v>
          </cell>
          <cell r="H25" t="str">
            <v>CHE1</v>
          </cell>
          <cell r="I25" t="str">
            <v>SCH1</v>
          </cell>
          <cell r="J25" t="str">
            <v>CHENNAI</v>
          </cell>
        </row>
        <row r="26">
          <cell r="A26">
            <v>22</v>
          </cell>
          <cell r="B26" t="str">
            <v>CH013</v>
          </cell>
          <cell r="C26" t="str">
            <v>BIL - C&amp;F AGENT ( SALEM)</v>
          </cell>
          <cell r="D26" t="str">
            <v>SCH1C1</v>
          </cell>
          <cell r="E26" t="str">
            <v>Chennai</v>
          </cell>
          <cell r="F26">
            <v>22</v>
          </cell>
          <cell r="G26" t="str">
            <v>Tamil Nadu</v>
          </cell>
          <cell r="H26" t="str">
            <v>CHE1</v>
          </cell>
          <cell r="I26" t="str">
            <v>SCH1</v>
          </cell>
          <cell r="J26" t="str">
            <v>CHENNAI</v>
          </cell>
        </row>
        <row r="27">
          <cell r="A27">
            <v>22</v>
          </cell>
          <cell r="B27" t="str">
            <v>CH01</v>
          </cell>
          <cell r="C27" t="str">
            <v>BIL - C/O-C&amp;F AGENT (AVINASHI</v>
          </cell>
          <cell r="D27" t="str">
            <v>SCH1C2</v>
          </cell>
          <cell r="E27" t="str">
            <v>Tamil Nadu</v>
          </cell>
          <cell r="F27">
            <v>22</v>
          </cell>
          <cell r="G27" t="str">
            <v>Tamil Nadu</v>
          </cell>
          <cell r="H27" t="str">
            <v>CHE1</v>
          </cell>
          <cell r="I27" t="str">
            <v>SCH1</v>
          </cell>
          <cell r="J27" t="str">
            <v>CHENNAI</v>
          </cell>
        </row>
        <row r="28">
          <cell r="A28">
            <v>22</v>
          </cell>
          <cell r="B28" t="str">
            <v>CH04</v>
          </cell>
          <cell r="C28" t="str">
            <v>BIL - C&amp;F AGENT ( AMBATTUR)</v>
          </cell>
          <cell r="D28" t="str">
            <v>SCH1C1</v>
          </cell>
          <cell r="E28" t="str">
            <v>Chennai</v>
          </cell>
          <cell r="F28">
            <v>22</v>
          </cell>
          <cell r="G28" t="str">
            <v>Tamil Nadu</v>
          </cell>
          <cell r="H28" t="str">
            <v>CHE1</v>
          </cell>
          <cell r="I28" t="str">
            <v>SCH1</v>
          </cell>
          <cell r="J28" t="str">
            <v>CHENNAI</v>
          </cell>
        </row>
        <row r="29">
          <cell r="A29">
            <v>22</v>
          </cell>
          <cell r="B29" t="str">
            <v>CH11</v>
          </cell>
          <cell r="C29" t="str">
            <v>BIL - C&amp;F AGENT (MADURAI)</v>
          </cell>
          <cell r="D29" t="str">
            <v>SCH1C2</v>
          </cell>
          <cell r="E29" t="str">
            <v>Tamil Nadu</v>
          </cell>
          <cell r="F29">
            <v>22</v>
          </cell>
          <cell r="G29" t="str">
            <v>Tamil Nadu</v>
          </cell>
          <cell r="H29" t="str">
            <v>CHE1</v>
          </cell>
          <cell r="I29" t="str">
            <v>SCH1</v>
          </cell>
          <cell r="J29" t="str">
            <v>CHENNAI</v>
          </cell>
        </row>
        <row r="30">
          <cell r="A30">
            <v>22</v>
          </cell>
          <cell r="B30" t="str">
            <v>CH14</v>
          </cell>
          <cell r="C30" t="str">
            <v>BIL - C&amp;F AGENT (TRICHY)</v>
          </cell>
          <cell r="D30" t="str">
            <v>SCH1C2</v>
          </cell>
          <cell r="E30" t="str">
            <v>Tamil Nadu</v>
          </cell>
          <cell r="F30">
            <v>22</v>
          </cell>
          <cell r="G30" t="str">
            <v>Tamil Nadu</v>
          </cell>
          <cell r="H30" t="str">
            <v>CHE1</v>
          </cell>
          <cell r="I30" t="str">
            <v>SCH1</v>
          </cell>
          <cell r="J30" t="str">
            <v>CHENNAI</v>
          </cell>
        </row>
        <row r="31">
          <cell r="A31">
            <v>23</v>
          </cell>
          <cell r="B31" t="str">
            <v>CA01</v>
          </cell>
          <cell r="C31" t="str">
            <v>BIL - AGARTALA DEPOT</v>
          </cell>
          <cell r="D31" t="str">
            <v>ECA1K4</v>
          </cell>
          <cell r="E31" t="str">
            <v>North East</v>
          </cell>
          <cell r="F31">
            <v>23</v>
          </cell>
          <cell r="G31" t="str">
            <v>Tripura</v>
          </cell>
          <cell r="H31" t="str">
            <v>CAL1</v>
          </cell>
          <cell r="I31" t="str">
            <v>ECA1</v>
          </cell>
          <cell r="J31" t="str">
            <v>KOLKATTA</v>
          </cell>
        </row>
        <row r="32">
          <cell r="A32">
            <v>24</v>
          </cell>
          <cell r="B32" t="str">
            <v>DE04</v>
          </cell>
          <cell r="C32" t="str">
            <v>BIL - GHAZIABAD DEPOT</v>
          </cell>
          <cell r="D32" t="str">
            <v>NDE1D2</v>
          </cell>
          <cell r="E32" t="str">
            <v>Western UP</v>
          </cell>
          <cell r="F32">
            <v>24</v>
          </cell>
          <cell r="G32" t="str">
            <v>Uttar Pradesh</v>
          </cell>
          <cell r="H32" t="str">
            <v>DEL1</v>
          </cell>
          <cell r="I32" t="str">
            <v>NDE1</v>
          </cell>
          <cell r="J32" t="str">
            <v>DELHI</v>
          </cell>
        </row>
        <row r="33">
          <cell r="A33">
            <v>24</v>
          </cell>
          <cell r="B33" t="str">
            <v>DE10</v>
          </cell>
          <cell r="C33" t="str">
            <v>BIL - KANPUR DEPOT</v>
          </cell>
          <cell r="D33" t="str">
            <v>NDE1D3</v>
          </cell>
          <cell r="E33" t="str">
            <v>Eastern UP</v>
          </cell>
          <cell r="F33">
            <v>24</v>
          </cell>
          <cell r="G33" t="str">
            <v>Uttar Pradesh</v>
          </cell>
          <cell r="H33" t="str">
            <v>DEL1</v>
          </cell>
          <cell r="I33" t="str">
            <v>NDE1</v>
          </cell>
          <cell r="J33" t="str">
            <v>DELHI</v>
          </cell>
        </row>
        <row r="34">
          <cell r="A34">
            <v>25</v>
          </cell>
          <cell r="B34" t="str">
            <v>CA02</v>
          </cell>
          <cell r="C34" t="str">
            <v>BIL - BURDWAN DEPOT</v>
          </cell>
          <cell r="D34" t="str">
            <v>ECA1K3</v>
          </cell>
          <cell r="E34" t="str">
            <v>West Bengal</v>
          </cell>
          <cell r="F34">
            <v>25</v>
          </cell>
          <cell r="G34" t="str">
            <v>West Bengal</v>
          </cell>
          <cell r="H34" t="str">
            <v>CAL1</v>
          </cell>
          <cell r="I34" t="str">
            <v>ECA1</v>
          </cell>
          <cell r="J34" t="str">
            <v>KOLKATTA</v>
          </cell>
        </row>
        <row r="35">
          <cell r="A35">
            <v>25</v>
          </cell>
          <cell r="B35" t="str">
            <v>CA03</v>
          </cell>
          <cell r="C35" t="str">
            <v>BIL - BUXARAH DEPOT</v>
          </cell>
          <cell r="D35" t="str">
            <v>ECA1K2</v>
          </cell>
          <cell r="E35" t="str">
            <v>Calcutta 2</v>
          </cell>
          <cell r="F35">
            <v>25</v>
          </cell>
          <cell r="G35" t="str">
            <v>West Bengal</v>
          </cell>
          <cell r="H35" t="str">
            <v>CAL1</v>
          </cell>
          <cell r="I35" t="str">
            <v>ECA1</v>
          </cell>
          <cell r="J35" t="str">
            <v>KOLKATTA</v>
          </cell>
        </row>
        <row r="36">
          <cell r="A36">
            <v>25</v>
          </cell>
          <cell r="B36" t="str">
            <v>CA10</v>
          </cell>
          <cell r="C36" t="str">
            <v>BIL - HOWRAH DEPOT</v>
          </cell>
          <cell r="D36" t="str">
            <v>ECA1K2</v>
          </cell>
          <cell r="E36" t="str">
            <v>Calcutta 2</v>
          </cell>
          <cell r="F36">
            <v>25</v>
          </cell>
          <cell r="G36" t="str">
            <v>West Bengal</v>
          </cell>
          <cell r="H36" t="str">
            <v>CAL1</v>
          </cell>
          <cell r="I36" t="str">
            <v>ECA1</v>
          </cell>
          <cell r="J36" t="str">
            <v>KOLKATTA</v>
          </cell>
        </row>
        <row r="37">
          <cell r="A37">
            <v>25</v>
          </cell>
          <cell r="B37" t="str">
            <v>CA12</v>
          </cell>
          <cell r="C37" t="str">
            <v>BIL - JADAVPUR DEPOT</v>
          </cell>
          <cell r="D37" t="str">
            <v>ECA1K1/K2</v>
          </cell>
          <cell r="E37" t="str">
            <v>Cal Metro/Cal 2</v>
          </cell>
          <cell r="F37">
            <v>25</v>
          </cell>
          <cell r="G37" t="str">
            <v>West Bengal</v>
          </cell>
          <cell r="H37" t="str">
            <v>CAL1</v>
          </cell>
          <cell r="I37" t="str">
            <v>ECA1</v>
          </cell>
          <cell r="J37" t="str">
            <v>KOLKATTA</v>
          </cell>
        </row>
        <row r="38">
          <cell r="A38">
            <v>25</v>
          </cell>
          <cell r="B38" t="str">
            <v>CA18</v>
          </cell>
          <cell r="C38" t="str">
            <v>BIL - SILIGURI DEPOT</v>
          </cell>
          <cell r="D38" t="str">
            <v>ECA1K3</v>
          </cell>
          <cell r="E38" t="str">
            <v>West Bengal</v>
          </cell>
          <cell r="F38">
            <v>25</v>
          </cell>
          <cell r="G38" t="str">
            <v>West Bengal</v>
          </cell>
          <cell r="H38" t="str">
            <v>CAL1</v>
          </cell>
          <cell r="I38" t="str">
            <v>ECA1</v>
          </cell>
          <cell r="J38" t="str">
            <v>KOLKATTA</v>
          </cell>
        </row>
        <row r="39">
          <cell r="A39">
            <v>27</v>
          </cell>
          <cell r="B39" t="str">
            <v>DE21</v>
          </cell>
          <cell r="C39" t="str">
            <v>BIL - CHANDIGARH DEPOT</v>
          </cell>
          <cell r="D39" t="str">
            <v>NDE1D5</v>
          </cell>
          <cell r="E39" t="str">
            <v>NWI 2</v>
          </cell>
          <cell r="F39">
            <v>27</v>
          </cell>
          <cell r="G39" t="str">
            <v>Chandigarh</v>
          </cell>
          <cell r="H39" t="str">
            <v>DEL1</v>
          </cell>
          <cell r="I39" t="str">
            <v>NDE1</v>
          </cell>
          <cell r="J39" t="str">
            <v>DELHI</v>
          </cell>
        </row>
        <row r="40">
          <cell r="A40">
            <v>30</v>
          </cell>
          <cell r="B40" t="str">
            <v>DE12</v>
          </cell>
          <cell r="C40" t="str">
            <v>BIL - DELHI DEPOT (CHEESE)</v>
          </cell>
          <cell r="D40" t="str">
            <v>NDE1D1</v>
          </cell>
          <cell r="E40" t="str">
            <v>Delhi Metro</v>
          </cell>
          <cell r="F40">
            <v>30</v>
          </cell>
          <cell r="G40" t="str">
            <v>Delhi</v>
          </cell>
          <cell r="H40" t="str">
            <v>DEL1</v>
          </cell>
          <cell r="I40" t="str">
            <v>NDE1</v>
          </cell>
          <cell r="J40" t="str">
            <v>DELHI</v>
          </cell>
        </row>
        <row r="41">
          <cell r="A41">
            <v>30</v>
          </cell>
          <cell r="B41" t="str">
            <v>DEL1</v>
          </cell>
          <cell r="C41" t="str">
            <v>BIL - DELHI DEPOT (CAKE)</v>
          </cell>
          <cell r="D41" t="str">
            <v>NDE1D1</v>
          </cell>
          <cell r="E41" t="str">
            <v>Delhi Metro</v>
          </cell>
          <cell r="F41">
            <v>30</v>
          </cell>
          <cell r="G41" t="str">
            <v>Delhi</v>
          </cell>
          <cell r="H41" t="str">
            <v>DEL1</v>
          </cell>
          <cell r="I41" t="str">
            <v>NDE1</v>
          </cell>
          <cell r="J41" t="str">
            <v>DELHI</v>
          </cell>
        </row>
        <row r="42">
          <cell r="A42">
            <v>33</v>
          </cell>
          <cell r="B42" t="str">
            <v>CA19</v>
          </cell>
          <cell r="C42" t="str">
            <v>BIL - RANCHI DEPOT</v>
          </cell>
          <cell r="D42" t="str">
            <v>ECA1K6</v>
          </cell>
          <cell r="E42" t="str">
            <v>Bihar</v>
          </cell>
          <cell r="F42">
            <v>33</v>
          </cell>
          <cell r="G42" t="str">
            <v>Jharkhand</v>
          </cell>
          <cell r="H42" t="str">
            <v>CAL1</v>
          </cell>
          <cell r="I42" t="str">
            <v>ECA1</v>
          </cell>
          <cell r="J42" t="str">
            <v>KOLKATTA</v>
          </cell>
        </row>
        <row r="43">
          <cell r="A43">
            <v>34</v>
          </cell>
          <cell r="B43" t="str">
            <v>DE16</v>
          </cell>
          <cell r="C43" t="str">
            <v>BIL -  HALDWANI  UTTARANCHAL</v>
          </cell>
          <cell r="D43" t="str">
            <v>NDE1D2</v>
          </cell>
          <cell r="E43" t="str">
            <v>Western UP</v>
          </cell>
          <cell r="F43">
            <v>34</v>
          </cell>
          <cell r="G43" t="str">
            <v>Uttaranchal</v>
          </cell>
          <cell r="H43" t="str">
            <v>DEL1</v>
          </cell>
          <cell r="I43" t="str">
            <v>NDE1</v>
          </cell>
          <cell r="J43" t="str">
            <v>DELHI</v>
          </cell>
        </row>
        <row r="44">
          <cell r="A44" t="str">
            <v>01</v>
          </cell>
          <cell r="B44" t="str">
            <v>CH08</v>
          </cell>
          <cell r="C44" t="str">
            <v>BIL - C&amp;F AGENT ( HYDERABAD)</v>
          </cell>
          <cell r="D44" t="str">
            <v>SCH1C3</v>
          </cell>
          <cell r="E44" t="str">
            <v>Andhra Pradesh</v>
          </cell>
          <cell r="F44">
            <v>1</v>
          </cell>
          <cell r="G44" t="str">
            <v>Andra Pradesh</v>
          </cell>
          <cell r="H44" t="str">
            <v>CHE1</v>
          </cell>
          <cell r="I44" t="str">
            <v>SCH1</v>
          </cell>
          <cell r="J44" t="str">
            <v>CHENNAI</v>
          </cell>
        </row>
        <row r="45">
          <cell r="A45" t="str">
            <v>01</v>
          </cell>
          <cell r="B45" t="str">
            <v>CH15</v>
          </cell>
          <cell r="C45" t="str">
            <v>BIL - C&amp;F AGENT ( VIJAYAWADA)</v>
          </cell>
          <cell r="D45" t="str">
            <v>SCH1C3</v>
          </cell>
          <cell r="E45" t="str">
            <v>Andhra Pradesh</v>
          </cell>
          <cell r="F45">
            <v>1</v>
          </cell>
          <cell r="G45" t="str">
            <v>Andra Pradesh</v>
          </cell>
          <cell r="H45" t="str">
            <v>CHE1</v>
          </cell>
          <cell r="I45" t="str">
            <v>SCH1</v>
          </cell>
          <cell r="J45" t="str">
            <v>CHENNAI</v>
          </cell>
        </row>
        <row r="46">
          <cell r="A46" t="str">
            <v>03</v>
          </cell>
          <cell r="B46" t="str">
            <v>CA09</v>
          </cell>
          <cell r="C46" t="str">
            <v>BIL - GUWAHATI DEPOT</v>
          </cell>
          <cell r="D46" t="str">
            <v>ECA1K4</v>
          </cell>
          <cell r="E46" t="str">
            <v>North East</v>
          </cell>
          <cell r="F46">
            <v>3</v>
          </cell>
          <cell r="G46" t="str">
            <v>Assam</v>
          </cell>
          <cell r="H46" t="str">
            <v>CAL1</v>
          </cell>
          <cell r="I46" t="str">
            <v>ECA1</v>
          </cell>
          <cell r="J46" t="str">
            <v>KOLKATTA</v>
          </cell>
        </row>
        <row r="47">
          <cell r="A47" t="str">
            <v>04</v>
          </cell>
          <cell r="B47" t="str">
            <v>CA14</v>
          </cell>
          <cell r="C47" t="str">
            <v>BIL - PATNA DEPOT</v>
          </cell>
          <cell r="D47" t="str">
            <v>ECA1K6</v>
          </cell>
          <cell r="E47" t="str">
            <v>Bihar</v>
          </cell>
          <cell r="F47">
            <v>4</v>
          </cell>
          <cell r="G47" t="str">
            <v>Bihar</v>
          </cell>
          <cell r="H47" t="str">
            <v>CAL1</v>
          </cell>
          <cell r="I47" t="str">
            <v>ECA1</v>
          </cell>
          <cell r="J47" t="str">
            <v>KOLKATTA</v>
          </cell>
        </row>
        <row r="48">
          <cell r="A48" t="str">
            <v>05</v>
          </cell>
          <cell r="B48" t="str">
            <v>MU07</v>
          </cell>
          <cell r="C48" t="str">
            <v>BIL - GOA DEPOT</v>
          </cell>
          <cell r="D48" t="str">
            <v>WMU1M6</v>
          </cell>
          <cell r="E48" t="str">
            <v>Goa</v>
          </cell>
          <cell r="F48">
            <v>5</v>
          </cell>
          <cell r="G48" t="str">
            <v>Goa</v>
          </cell>
          <cell r="H48" t="str">
            <v>MUM1</v>
          </cell>
          <cell r="I48" t="str">
            <v>WMU1</v>
          </cell>
          <cell r="J48" t="str">
            <v>MUMBAI</v>
          </cell>
        </row>
        <row r="49">
          <cell r="A49" t="str">
            <v>06</v>
          </cell>
          <cell r="B49" t="str">
            <v>MU06</v>
          </cell>
          <cell r="C49" t="str">
            <v>BIL - NAROL DEPOT</v>
          </cell>
          <cell r="D49" t="str">
            <v>WMU1M4</v>
          </cell>
          <cell r="E49" t="str">
            <v>Gujarat</v>
          </cell>
          <cell r="F49">
            <v>6</v>
          </cell>
          <cell r="G49" t="str">
            <v>Gujarat</v>
          </cell>
          <cell r="H49" t="str">
            <v>MUM1</v>
          </cell>
          <cell r="I49" t="str">
            <v>WMU1</v>
          </cell>
          <cell r="J49" t="str">
            <v>MUMBAI</v>
          </cell>
        </row>
        <row r="50">
          <cell r="A50" t="str">
            <v>06</v>
          </cell>
          <cell r="B50" t="str">
            <v>MU11</v>
          </cell>
          <cell r="C50" t="str">
            <v>BIL - SURAT DEPOT</v>
          </cell>
          <cell r="D50" t="str">
            <v>WMU1M4</v>
          </cell>
          <cell r="E50" t="str">
            <v>Gujarat</v>
          </cell>
          <cell r="F50">
            <v>6</v>
          </cell>
          <cell r="G50" t="str">
            <v>Gujarat</v>
          </cell>
          <cell r="H50" t="str">
            <v>MUM1</v>
          </cell>
          <cell r="I50" t="str">
            <v>WMU1</v>
          </cell>
          <cell r="J50" t="str">
            <v>MUMBAI</v>
          </cell>
        </row>
        <row r="51">
          <cell r="A51" t="str">
            <v>07</v>
          </cell>
          <cell r="B51" t="str">
            <v>DE99</v>
          </cell>
          <cell r="C51" t="str">
            <v>BIL - KUNDLI- DEPOT</v>
          </cell>
          <cell r="D51" t="str">
            <v>NDE1D4</v>
          </cell>
          <cell r="E51" t="str">
            <v>NWI 1</v>
          </cell>
          <cell r="F51">
            <v>7</v>
          </cell>
          <cell r="G51" t="str">
            <v>Haryana</v>
          </cell>
          <cell r="H51" t="str">
            <v>DEL1</v>
          </cell>
          <cell r="I51" t="str">
            <v>NDE1</v>
          </cell>
          <cell r="J51" t="str">
            <v>DELHI</v>
          </cell>
        </row>
        <row r="52">
          <cell r="A52" t="str">
            <v>08</v>
          </cell>
          <cell r="B52" t="str">
            <v>DE22</v>
          </cell>
          <cell r="C52" t="str">
            <v>BIL - HP DEPOT</v>
          </cell>
          <cell r="D52" t="str">
            <v>NDE1D5</v>
          </cell>
          <cell r="E52" t="str">
            <v>NWI 2</v>
          </cell>
          <cell r="F52">
            <v>8</v>
          </cell>
          <cell r="G52" t="str">
            <v>Himachal Pradesh</v>
          </cell>
          <cell r="H52" t="str">
            <v>DEL1</v>
          </cell>
          <cell r="I52" t="str">
            <v>NDE1</v>
          </cell>
          <cell r="J52" t="str">
            <v>DELHI</v>
          </cell>
        </row>
        <row r="53">
          <cell r="A53" t="str">
            <v>09</v>
          </cell>
          <cell r="B53" t="str">
            <v>DE07</v>
          </cell>
          <cell r="C53" t="str">
            <v>BIL - JAMMU DEPOT</v>
          </cell>
          <cell r="D53" t="str">
            <v>NDE1D5</v>
          </cell>
          <cell r="E53" t="str">
            <v>NWI 2</v>
          </cell>
          <cell r="F53">
            <v>9</v>
          </cell>
          <cell r="G53" t="str">
            <v>Jammu und Kashmir</v>
          </cell>
          <cell r="H53" t="str">
            <v>DEL1</v>
          </cell>
          <cell r="I53" t="str">
            <v>NDE1</v>
          </cell>
          <cell r="J53" t="str">
            <v>DELHI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hedule-5"/>
      <sheetName val="Schedule-5 (2)"/>
      <sheetName val="09-10"/>
      <sheetName val="software"/>
      <sheetName val="Sheet1"/>
      <sheetName val="08-09"/>
      <sheetName val="07-08"/>
      <sheetName val="06-07"/>
      <sheetName val="05-06"/>
      <sheetName val="04-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ial Balance"/>
      <sheetName val="B S"/>
      <sheetName val="PL"/>
      <sheetName val="SCH 1-3"/>
      <sheetName val="SCH 4"/>
      <sheetName val="SCH 5-10"/>
      <sheetName val="Sch 11-15"/>
      <sheetName val="Sub-Sch"/>
      <sheetName val="CFS"/>
      <sheetName val="Dep"/>
      <sheetName val="NA"/>
      <sheetName val="Computation"/>
      <sheetName val="Salary"/>
      <sheetName val="DTA"/>
      <sheetName val="Sub(8)"/>
      <sheetName val="Sub (9)"/>
      <sheetName val="Sub(11)"/>
      <sheetName val="Sub(15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Information"/>
      <sheetName val="Balance Sheet"/>
      <sheetName val="Profit And Loss"/>
      <sheetName val="cash flow"/>
      <sheetName val="Share Capital"/>
      <sheetName val="Shareholding in excess of 5% "/>
      <sheetName val="Reco share"/>
      <sheetName val="Reserves &amp; Surplus"/>
      <sheetName val="Money Recd Ag Share Warrants"/>
      <sheetName val="Sh.Appl. Pending Allot"/>
      <sheetName val="Liabilities "/>
      <sheetName val="Bonds and Debentures "/>
      <sheetName val="term loans "/>
      <sheetName val="Deferred Payments "/>
      <sheetName val="Deposits "/>
      <sheetName val="loans from related parties "/>
      <sheetName val="Lease obligations "/>
      <sheetName val="Other Longterm Liabilities"/>
      <sheetName val="Others Liabilities "/>
      <sheetName val="trade  payable "/>
      <sheetName val="provision "/>
      <sheetName val="Fixed Assets CY"/>
      <sheetName val="Fixed Assets PY"/>
      <sheetName val="assets held for sale"/>
      <sheetName val="Investment Pivot"/>
      <sheetName val="Investments "/>
      <sheetName val="Inventories "/>
      <sheetName val="Trade Receivables "/>
      <sheetName val="trade Receivables curyr"/>
      <sheetName val="trade Receivables preyr"/>
      <sheetName val="Cash and cash equivalents "/>
      <sheetName val="Loans and Advances "/>
      <sheetName val="capital Advance"/>
      <sheetName val="Loans related parties curyr"/>
      <sheetName val="Loans related parties preyr"/>
      <sheetName val="Security Deposit curyr "/>
      <sheetName val="Security Deposit preyr "/>
      <sheetName val="Other Loans curyr "/>
      <sheetName val="Other Loans preyr "/>
      <sheetName val="Other Assets curyr "/>
      <sheetName val="Other Assets preyr "/>
      <sheetName val="DTS Summery"/>
      <sheetName val="deferrerd tax"/>
      <sheetName val="deferrerd tax discont"/>
      <sheetName val="revenue from operations "/>
      <sheetName val="other income "/>
      <sheetName val="Cost of goods sold "/>
      <sheetName val="ChaNges in invet"/>
      <sheetName val="Emp Ben"/>
      <sheetName val="finance cost"/>
      <sheetName val="Other Expenses"/>
      <sheetName val="Current Tax"/>
      <sheetName val="Pror Period "/>
      <sheetName val="Profitlossfirmllp"/>
      <sheetName val="Extraordinary Items"/>
      <sheetName val="discontinuing operations"/>
      <sheetName val="Cont liabilities and commitment"/>
      <sheetName val="Wrkg 6U 6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 &amp; Assumption"/>
      <sheetName val="Pen-W"/>
      <sheetName val="Pen-F"/>
      <sheetName val="Pen-Grn(P)"/>
      <sheetName val="PEN-W(GRES)"/>
      <sheetName val="PEN-F(GRES)"/>
      <sheetName val="Pen-dies"/>
      <sheetName val="Pen-cons"/>
      <sheetName val="DATASHEET"/>
      <sheetName val="Sheet1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mark"/>
      <sheetName val="Sheet2"/>
      <sheetName val="Data"/>
      <sheetName val="70"/>
      <sheetName val="START"/>
    </sheetNames>
    <sheetDataSet>
      <sheetData sheetId="0">
        <row r="2">
          <cell r="A2" t="str">
            <v>Bopp Tape 2"</v>
          </cell>
        </row>
      </sheetData>
      <sheetData sheetId="1"/>
      <sheetData sheetId="2">
        <row r="2">
          <cell r="A2" t="str">
            <v>Bopp Tape 2"</v>
          </cell>
        </row>
        <row r="3">
          <cell r="A3" t="str">
            <v>Carton - 3Ply - 100ml x 50nos</v>
          </cell>
        </row>
        <row r="4">
          <cell r="A4" t="str">
            <v>Carton - 3Ply - Admix GT1 - 100ml x 50nos</v>
          </cell>
        </row>
        <row r="5">
          <cell r="A5" t="str">
            <v>Carton - 3Ply - Ardex R 30 CE Part B - 1kg x 4nos</v>
          </cell>
        </row>
        <row r="6">
          <cell r="A6" t="str">
            <v>Carton - 3Ply - Ardex R 35 CE Part B - 1.05kg x 4nos</v>
          </cell>
        </row>
        <row r="7">
          <cell r="A7" t="str">
            <v>Carton - 3Ply - Ardex WPM 265 - 1Ltr x 4nos</v>
          </cell>
        </row>
        <row r="8">
          <cell r="A8" t="str">
            <v>Carton - 3Ply - Epoxy Grout -1kg x 12nos</v>
          </cell>
        </row>
        <row r="9">
          <cell r="A9" t="str">
            <v>Carton - 3Ply - Epoxy Grout -1kg x 6nos</v>
          </cell>
        </row>
        <row r="10">
          <cell r="A10" t="str">
            <v>Carton - 3Ply - Flex - 1.25kg kit x 8nos</v>
          </cell>
        </row>
        <row r="11">
          <cell r="A11" t="str">
            <v>Carton - 5Ply - 5Ltr x 4nos</v>
          </cell>
        </row>
        <row r="12">
          <cell r="A12" t="str">
            <v>Carton - 5Ply - Admix AD1 - 5Ltr x 4nos</v>
          </cell>
        </row>
        <row r="13">
          <cell r="A13" t="str">
            <v>Carton - 5Ply - Admix GT1 - 2.5Ltr x 6nos</v>
          </cell>
        </row>
        <row r="14">
          <cell r="A14" t="str">
            <v>Carton - 5Ply - Ardex P51 - 5Ltr x 4nos</v>
          </cell>
        </row>
        <row r="15">
          <cell r="A15" t="str">
            <v>Carton - 5ply - Ardex R 1 CE Part A - 3.33kg x 4nos</v>
          </cell>
        </row>
        <row r="16">
          <cell r="A16" t="str">
            <v>Carton - 5ply - Ardex R 1 CE Part B - 1.67kg x 4nos</v>
          </cell>
        </row>
        <row r="17">
          <cell r="A17" t="str">
            <v>Carton - 5ply - Ardex R 24 CE Part A - 3.88kg x 4nos</v>
          </cell>
        </row>
        <row r="18">
          <cell r="A18" t="str">
            <v>Carton - 5ply - Ardex R 24 CE Part B - 2.00kg x 4nos</v>
          </cell>
        </row>
        <row r="19">
          <cell r="A19" t="str">
            <v>Carton - 5Ply - Ardex R 25 CE Part A - 3.80kg x 4nos</v>
          </cell>
        </row>
        <row r="20">
          <cell r="A20" t="str">
            <v>Carton - 5Ply - Ardex R 25 CE Part B - 1.70kg x 4nos</v>
          </cell>
        </row>
        <row r="21">
          <cell r="A21" t="str">
            <v>Carton - 5Ply - Ardex R 3 E Part A - 3.125kg x 4nos</v>
          </cell>
        </row>
        <row r="22">
          <cell r="A22" t="str">
            <v>Carton - 5Ply - Ardex R 3 E Part B - 1.875kg x 4nos</v>
          </cell>
        </row>
        <row r="23">
          <cell r="A23" t="str">
            <v>Carton - 5Ply - Ardex R 30 CE Part A - 3.60kg x 4nos</v>
          </cell>
        </row>
        <row r="24">
          <cell r="A24" t="str">
            <v>Carton - 5Ply - Ardex R 35 CE Part A - 4.95kg x 4nos</v>
          </cell>
        </row>
        <row r="25">
          <cell r="A25" t="str">
            <v>Carton - 5Ply - Ardex WPM 163 - 5Ltr x 4nos</v>
          </cell>
        </row>
        <row r="26">
          <cell r="A26" t="str">
            <v>Carton - 5Ply - Ardex WPM 265 - 5Ltr x 4nos</v>
          </cell>
        </row>
        <row r="27">
          <cell r="A27" t="str">
            <v>Carton - 5Ply - Ardex WPM 270 - 1Ltr x 9nos</v>
          </cell>
        </row>
        <row r="28">
          <cell r="A28" t="str">
            <v>Carton - 5Ply - Epoxy Adhesives 10kg kit</v>
          </cell>
        </row>
        <row r="29">
          <cell r="A29" t="str">
            <v>Carton - 5Ply - Epoxy Grout - 4kg kit (Hardener &amp; Filler) x 4nos</v>
          </cell>
        </row>
        <row r="30">
          <cell r="A30" t="str">
            <v>Carton - 5Ply - Epoxy Grout -1kg Resin x 12nos</v>
          </cell>
        </row>
        <row r="31">
          <cell r="A31" t="str">
            <v>Carton - 5Ply - Epoxy Grout Remover - 1Ltr x 10nos</v>
          </cell>
        </row>
        <row r="32">
          <cell r="A32" t="str">
            <v>Carton - 5Ply - Epoxy Grout Remover - 1Ltr x 9nos</v>
          </cell>
        </row>
        <row r="33">
          <cell r="A33" t="str">
            <v>Carton - 5Ply - Flex Liquid - 5Ltr x 4nos</v>
          </cell>
        </row>
        <row r="34">
          <cell r="A34" t="str">
            <v>Carton - 5Ply - Grout - 1kg x 10nos</v>
          </cell>
        </row>
        <row r="35">
          <cell r="A35" t="str">
            <v>Carton - 5Ply - Grout - 500gms x 20nos</v>
          </cell>
        </row>
        <row r="36">
          <cell r="A36" t="str">
            <v>Carton - 5ply - Grout Additive Powder - 1kg x 10nos</v>
          </cell>
        </row>
        <row r="37">
          <cell r="A37" t="str">
            <v>Carton - 5Ply - H D Imp.T &amp; S Sealer- 1Ltr x 10nos</v>
          </cell>
        </row>
        <row r="38">
          <cell r="A38" t="str">
            <v>Carton - 5Ply - H D Imp.T &amp; S Sealer- 1Ltr x 9nos</v>
          </cell>
        </row>
        <row r="39">
          <cell r="A39" t="str">
            <v>Carton - 5Ply - Mortar Bed - 5Ltr x 4nos</v>
          </cell>
        </row>
        <row r="40">
          <cell r="A40" t="str">
            <v>Carton - 5Ply - R 70 P Part A - 2.67kgs x 5nos</v>
          </cell>
        </row>
        <row r="41">
          <cell r="A41" t="str">
            <v>Carton - 5Ply - R 70 P Part B - 2.86kgs x 5nos</v>
          </cell>
        </row>
        <row r="42">
          <cell r="A42" t="str">
            <v>Carton - 5Ply - Slurry Bond Liquid - 5Ltr x 4nos</v>
          </cell>
        </row>
        <row r="43">
          <cell r="A43" t="str">
            <v>Carton - 5Ply - Super Grout - 1kg x 10nos</v>
          </cell>
        </row>
        <row r="44">
          <cell r="A44" t="str">
            <v>Carton - 5Ply - Tile Care Range - 500ml x 10nos</v>
          </cell>
        </row>
        <row r="45">
          <cell r="A45" t="str">
            <v>Carton - 7Py - Adhesives - 5kg x 4nos</v>
          </cell>
        </row>
        <row r="46">
          <cell r="A46" t="str">
            <v>Carton multicolor - 3Ply - Epoxy Grout - 1kg (Resin)</v>
          </cell>
        </row>
        <row r="47">
          <cell r="A47" t="str">
            <v>Carton multicolor - 3Ply - Epoxy Grout - 1kg kit</v>
          </cell>
        </row>
        <row r="48">
          <cell r="A48" t="str">
            <v>Carton multicolor - 3Ply - Epoxy Grout - 4kg kit (Hardener &amp; Filler)</v>
          </cell>
        </row>
        <row r="49">
          <cell r="A49" t="str">
            <v>Carton multicolor - 3Ply - Epoxy Grout - 5kg kit</v>
          </cell>
        </row>
        <row r="50">
          <cell r="A50" t="str">
            <v>Carton multicolor - 3Ply - Flex - 1.25kg kit</v>
          </cell>
        </row>
        <row r="51">
          <cell r="A51" t="str">
            <v>Floor Pad - Non Woven Abrasive Cleaning Pad</v>
          </cell>
        </row>
        <row r="52">
          <cell r="A52" t="str">
            <v>Gloves medium Latex Examination quality</v>
          </cell>
        </row>
        <row r="53">
          <cell r="A53" t="str">
            <v>Induction Sealing Wads</v>
          </cell>
        </row>
        <row r="54">
          <cell r="A54" t="str">
            <v>Instruction Sheet - Epoxy Grout</v>
          </cell>
        </row>
        <row r="55">
          <cell r="A55" t="str">
            <v>Kraft Bag - 13"x16" - Ardex WPM 002 - 5kg</v>
          </cell>
        </row>
        <row r="56">
          <cell r="A56" t="str">
            <v>Kraft Bag - 13"x16" - Ardex WPM 350 - 5kg</v>
          </cell>
        </row>
        <row r="57">
          <cell r="A57" t="str">
            <v>Kraft Bag - Ardex A 37 - 25kg</v>
          </cell>
        </row>
        <row r="58">
          <cell r="A58" t="str">
            <v>Kraft Bag - Ardex A 45 - 11kg</v>
          </cell>
        </row>
        <row r="59">
          <cell r="A59" t="str">
            <v>Kraft Bag - Ardex CL 11 - 25kg</v>
          </cell>
        </row>
        <row r="60">
          <cell r="A60" t="str">
            <v>Kraft Bag - Ardex K 15 - 22kg</v>
          </cell>
        </row>
        <row r="61">
          <cell r="A61" t="str">
            <v>Kraft Bag - Ardex K 301 - 25kg</v>
          </cell>
        </row>
        <row r="62">
          <cell r="A62" t="str">
            <v>Kraft Bag - Ardex K 80 - 25kg</v>
          </cell>
        </row>
        <row r="63">
          <cell r="A63" t="str">
            <v>Kraft Bag - Ardex R 24 CE - 10.80kg</v>
          </cell>
        </row>
        <row r="64">
          <cell r="A64" t="str">
            <v>Kraft Bag - Ardex R 25 CE -10kg</v>
          </cell>
        </row>
        <row r="65">
          <cell r="A65" t="str">
            <v>Kraft Bag - Ardex R 70 P - 14.25kg</v>
          </cell>
        </row>
        <row r="66">
          <cell r="A66" t="str">
            <v>Kraft Bag - Ardex R 90 P - 23kg</v>
          </cell>
        </row>
        <row r="67">
          <cell r="A67" t="str">
            <v>Kraft Bag - Ardex WPM 002 - 20kg</v>
          </cell>
        </row>
        <row r="68">
          <cell r="A68" t="str">
            <v>Kraft Bag - Ardex WPM 350 - 20kg</v>
          </cell>
        </row>
        <row r="69">
          <cell r="A69" t="str">
            <v>Kraft Bag - Ardex WPM SG - 25kg</v>
          </cell>
        </row>
        <row r="70">
          <cell r="A70" t="str">
            <v>Kraft Bag - CPS Anti Slip Grains - 20kg</v>
          </cell>
        </row>
        <row r="71">
          <cell r="A71" t="str">
            <v>Kraft Bag - Diamond Star Grey - 20kg</v>
          </cell>
        </row>
        <row r="72">
          <cell r="A72" t="str">
            <v>Kraft Bag - Diamond Star White - 20kg</v>
          </cell>
        </row>
        <row r="73">
          <cell r="A73" t="str">
            <v>Kraft Bag - Epoxy Adhesive Filler - 7.75kg</v>
          </cell>
        </row>
        <row r="74">
          <cell r="A74" t="str">
            <v>Kraft Bag - Flex Powder - 7.5kg</v>
          </cell>
        </row>
        <row r="75">
          <cell r="A75" t="str">
            <v>Kraft Bag - Gold Star - 20kg</v>
          </cell>
        </row>
        <row r="76">
          <cell r="A76" t="str">
            <v>Kraft Bag - Grout - 10kg</v>
          </cell>
        </row>
        <row r="77">
          <cell r="A77" t="str">
            <v>Kraft Bag - Plain - 10 Kg</v>
          </cell>
        </row>
        <row r="78">
          <cell r="A78" t="str">
            <v>Kraft Bag - Platinum Star Grey - 20 Kg</v>
          </cell>
        </row>
        <row r="79">
          <cell r="A79" t="str">
            <v>Kraft Bag - Platinum Star White - 20 Kg</v>
          </cell>
        </row>
        <row r="80">
          <cell r="A80" t="str">
            <v>Kraft Bag - Silver Star - 20kg</v>
          </cell>
        </row>
        <row r="81">
          <cell r="A81" t="str">
            <v>Kraft Bag - Silver Star - 20kgs(NEW)</v>
          </cell>
        </row>
        <row r="82">
          <cell r="A82" t="str">
            <v>Kraft Bag - Slurry Bond Powder - 20kg</v>
          </cell>
        </row>
        <row r="83">
          <cell r="A83" t="str">
            <v>Kraft Bag - Tile Additive Grey - 20kg</v>
          </cell>
        </row>
        <row r="84">
          <cell r="A84" t="str">
            <v>Kraft Bag - White Star - 20kg</v>
          </cell>
        </row>
        <row r="85">
          <cell r="A85" t="str">
            <v>Kraft Bag - Wide Joint Grout - 10kg</v>
          </cell>
        </row>
        <row r="86">
          <cell r="A86" t="str">
            <v>Kraft Paper Bag - Ardex R 26 CE - 12.824kg</v>
          </cell>
        </row>
        <row r="87">
          <cell r="A87" t="str">
            <v>Kraft Paper Bag - Super Grout - 10kg</v>
          </cell>
        </row>
        <row r="88">
          <cell r="A88" t="str">
            <v>Laminated Pouch - Grout - 0.5kg</v>
          </cell>
        </row>
        <row r="89">
          <cell r="A89" t="str">
            <v>Laminated Pouch - Grout - 1kg</v>
          </cell>
        </row>
        <row r="90">
          <cell r="A90" t="str">
            <v>Laminated Pouch - Grout Additive Powder- 1kg</v>
          </cell>
        </row>
        <row r="91">
          <cell r="A91" t="str">
            <v>Laminated Pouch - Super Grout - 1kg</v>
          </cell>
        </row>
        <row r="92">
          <cell r="A92" t="str">
            <v>Measuring cup for Epoxy Grout</v>
          </cell>
        </row>
        <row r="93">
          <cell r="A93" t="str">
            <v>Metal Container - Rectangular narrow mouth - 1Ltr</v>
          </cell>
        </row>
        <row r="94">
          <cell r="A94" t="str">
            <v>Metal Container - Rectangular narrow mouth - 2Ltr</v>
          </cell>
        </row>
        <row r="95">
          <cell r="A95" t="str">
            <v>Metal Container - Rectangular narrow mouth - 5Ltr</v>
          </cell>
        </row>
        <row r="96">
          <cell r="A96" t="str">
            <v>Metal Container - Round narrow mouth - 100ml</v>
          </cell>
        </row>
        <row r="97">
          <cell r="A97" t="str">
            <v>Metal Container - Round narrow mouth - 1Ltr</v>
          </cell>
        </row>
        <row r="98">
          <cell r="A98" t="str">
            <v xml:space="preserve">Metal Container - Round narrow mouth - 250ml </v>
          </cell>
        </row>
        <row r="99">
          <cell r="A99" t="str">
            <v>Metal Container - Round Narrow mouth - 500ml</v>
          </cell>
        </row>
        <row r="100">
          <cell r="A100" t="str">
            <v>Metal Container - Round Wide Mouth - 500ml</v>
          </cell>
        </row>
        <row r="101">
          <cell r="A101" t="str">
            <v>Metal Container - Round Wide Mouth - 5Lltr</v>
          </cell>
        </row>
        <row r="102">
          <cell r="A102" t="str">
            <v>Metal Drum - 20Ltr</v>
          </cell>
        </row>
        <row r="103">
          <cell r="A103" t="str">
            <v>Pail - 10Ltr</v>
          </cell>
        </row>
        <row r="104">
          <cell r="A104" t="str">
            <v>Pail - 1Ltr</v>
          </cell>
        </row>
        <row r="105">
          <cell r="A105" t="str">
            <v>Pail - 200ml</v>
          </cell>
        </row>
        <row r="106">
          <cell r="A106" t="str">
            <v>Pail - 20kg</v>
          </cell>
        </row>
        <row r="107">
          <cell r="A107" t="str">
            <v>Pail - 20Ltr</v>
          </cell>
        </row>
        <row r="108">
          <cell r="A108" t="str">
            <v>Pail - 2Ltr</v>
          </cell>
        </row>
        <row r="109">
          <cell r="A109" t="str">
            <v>Pail - 4Ltr</v>
          </cell>
        </row>
        <row r="110">
          <cell r="A110" t="str">
            <v>Pail - 500ml</v>
          </cell>
        </row>
        <row r="111">
          <cell r="A111" t="str">
            <v>Pail - 5Ltr</v>
          </cell>
        </row>
        <row r="112">
          <cell r="A112" t="str">
            <v>Pail - 7Ltr</v>
          </cell>
        </row>
        <row r="113">
          <cell r="A113" t="str">
            <v>Plastic Can narrow mouth - 2.50Ltr</v>
          </cell>
        </row>
        <row r="114">
          <cell r="A114" t="str">
            <v>Plastic Can narrow mouth - 20Ltr</v>
          </cell>
        </row>
        <row r="115">
          <cell r="A115" t="str">
            <v>Plastic F Type Can narrow mouth - 5Ltr</v>
          </cell>
        </row>
        <row r="116">
          <cell r="A116" t="str">
            <v>Plastic Flat Container narrow mouth - 500ml</v>
          </cell>
        </row>
        <row r="117">
          <cell r="A117" t="str">
            <v>Plastic Polythene Sheet</v>
          </cell>
        </row>
        <row r="118">
          <cell r="A118" t="str">
            <v>Plastic Round Container narrow mouth - 1.25Ltr</v>
          </cell>
        </row>
        <row r="119">
          <cell r="A119" t="str">
            <v>Plastic Round Container narrow mouth - 100ml</v>
          </cell>
        </row>
        <row r="120">
          <cell r="A120" t="str">
            <v>Plastic Round Container narrow mouth - 1Ltr</v>
          </cell>
        </row>
        <row r="121">
          <cell r="A121" t="str">
            <v xml:space="preserve">Plastic Round Container narrow mouth - 250ml </v>
          </cell>
        </row>
        <row r="122">
          <cell r="A122" t="str">
            <v>Plastic Round Container narrow mouth - 500ml</v>
          </cell>
        </row>
        <row r="123">
          <cell r="A123" t="str">
            <v>Plastic Round Container wide mouth - 100ml</v>
          </cell>
        </row>
        <row r="124">
          <cell r="A124" t="str">
            <v xml:space="preserve">Plastic Round Container wide mouth - 250ml </v>
          </cell>
        </row>
        <row r="125">
          <cell r="A125" t="str">
            <v>Plastic Round Container wide mouth - 300ml</v>
          </cell>
        </row>
        <row r="126">
          <cell r="A126" t="str">
            <v>Pouch - Diamond Star Grey - 5kg</v>
          </cell>
        </row>
        <row r="127">
          <cell r="A127" t="str">
            <v>Pouch - Diamond Star White - 5kg</v>
          </cell>
        </row>
        <row r="128">
          <cell r="A128" t="str">
            <v>Pouch - Epoxy Grout Filler - 0.7kg</v>
          </cell>
        </row>
        <row r="129">
          <cell r="A129" t="str">
            <v>Pouch - Epoxy Grout Filler - 1.75kg</v>
          </cell>
        </row>
        <row r="130">
          <cell r="A130" t="str">
            <v>Pouch - Epoxy Grout Filler - 3.5kg</v>
          </cell>
        </row>
        <row r="131">
          <cell r="A131" t="str">
            <v>Pouch - Flex Powder - 0.75kg</v>
          </cell>
        </row>
        <row r="132">
          <cell r="A132" t="str">
            <v>Pouch - Gold Star - 5kg</v>
          </cell>
        </row>
        <row r="133">
          <cell r="A133" t="str">
            <v>Pouch - Plain for Ardex R 15 P Filler - 1.212kg</v>
          </cell>
        </row>
        <row r="134">
          <cell r="A134" t="str">
            <v>Pouch - Plain for PU Pigments - 227 &amp; 400 grams</v>
          </cell>
        </row>
        <row r="135">
          <cell r="A135" t="str">
            <v>Pouch - Silver Star - 5kg</v>
          </cell>
        </row>
        <row r="136">
          <cell r="A136" t="str">
            <v>Pouch - White Star - 5kg</v>
          </cell>
        </row>
        <row r="137">
          <cell r="A137" t="str">
            <v>PVC Shrink Sleeve</v>
          </cell>
        </row>
        <row r="138">
          <cell r="A138" t="str">
            <v>Sack - Admix AD1 - 1Ltr x 16nos</v>
          </cell>
        </row>
        <row r="139">
          <cell r="A139" t="str">
            <v>Sack - Admix GT1 - 1Ltr x 16nos</v>
          </cell>
        </row>
        <row r="140">
          <cell r="A140" t="str">
            <v>Sack - Diamond Star White Conc. - 25kg</v>
          </cell>
        </row>
        <row r="141">
          <cell r="A141" t="str">
            <v>Sack - Durafix  - 50kg</v>
          </cell>
        </row>
        <row r="142">
          <cell r="A142" t="str">
            <v>Sack - Durafix Diamond Star White - 50kg</v>
          </cell>
        </row>
        <row r="143">
          <cell r="A143" t="str">
            <v>Sack - Durafix Gold Star - 50kg</v>
          </cell>
        </row>
        <row r="144">
          <cell r="A144" t="str">
            <v>Sack - Durafix Silver Star - 50kg</v>
          </cell>
        </row>
        <row r="145">
          <cell r="A145" t="str">
            <v>Sack - Mortarbed - 20kg</v>
          </cell>
        </row>
        <row r="146">
          <cell r="A146" t="str">
            <v>Sack - Mortarbed - 50kg</v>
          </cell>
        </row>
        <row r="147">
          <cell r="A147" t="str">
            <v>Sack - Plain - 20kg</v>
          </cell>
        </row>
        <row r="148">
          <cell r="A148" t="str">
            <v>Sack - Plain - 50kg</v>
          </cell>
        </row>
        <row r="149">
          <cell r="A149" t="str">
            <v>Sack - Platinum Star Grey - 50kg</v>
          </cell>
        </row>
        <row r="150">
          <cell r="A150" t="str">
            <v>Sack - Quartz Grit 1.00mm - 1.50mm - 50kg</v>
          </cell>
        </row>
        <row r="151">
          <cell r="A151" t="str">
            <v>Sack - Quartz Grit 2.50mm - 3.00mm - 22kg</v>
          </cell>
        </row>
        <row r="152">
          <cell r="A152" t="str">
            <v>Sack - TA - 20kg</v>
          </cell>
        </row>
        <row r="153">
          <cell r="A153" t="str">
            <v>Sack - TA - 50kg</v>
          </cell>
        </row>
        <row r="154">
          <cell r="A154" t="str">
            <v>Sack - TA Concentrate - 30kg</v>
          </cell>
        </row>
        <row r="155">
          <cell r="A155" t="str">
            <v>Sack - Tile Additive Grey - 50kg</v>
          </cell>
        </row>
        <row r="156">
          <cell r="A156" t="str">
            <v>Sack - White Star Conc. - 25kg</v>
          </cell>
        </row>
        <row r="157">
          <cell r="A157" t="str">
            <v>Security Hologram</v>
          </cell>
        </row>
        <row r="158">
          <cell r="A158" t="str">
            <v>Sticker Label - Admix AD1 - 1Ltr</v>
          </cell>
        </row>
        <row r="159">
          <cell r="A159" t="str">
            <v>Sticker Label - Admix AD1- 5Ltr</v>
          </cell>
        </row>
        <row r="160">
          <cell r="A160" t="str">
            <v>Sticker Label - Admix GT1 - 100ml</v>
          </cell>
        </row>
        <row r="161">
          <cell r="A161" t="str">
            <v>Sticker Label - Admix GT1 - 1Ltr</v>
          </cell>
        </row>
        <row r="162">
          <cell r="A162" t="str">
            <v>Sticker Label - Ardex P51 - 5Kg</v>
          </cell>
        </row>
        <row r="163">
          <cell r="A163" t="str">
            <v>Sticker Label - Ardex R 1 CE Part A - 3.33kg</v>
          </cell>
        </row>
        <row r="164">
          <cell r="A164" t="str">
            <v>Sticker Label - Ardex R 1 CE Part B - 1.67 Kg</v>
          </cell>
        </row>
        <row r="165">
          <cell r="A165" t="str">
            <v>Sticker Label - Ardex R 10 P Pigment - 400gms</v>
          </cell>
        </row>
        <row r="166">
          <cell r="A166" t="str">
            <v>Sticker Label - Ardex R 15 P Pigment - 227gms</v>
          </cell>
        </row>
        <row r="167">
          <cell r="A167" t="str">
            <v>Sticker Label - Ardex R 15P Filler - 1.212Kg</v>
          </cell>
        </row>
        <row r="168">
          <cell r="A168" t="str">
            <v>Sticker Label - Ardex R 15P Part A - 934g</v>
          </cell>
        </row>
        <row r="169">
          <cell r="A169" t="str">
            <v>Sticker Label - Ardex R 15P Part B - 1kg</v>
          </cell>
        </row>
        <row r="170">
          <cell r="A170" t="str">
            <v>Sticker Label - Ardex R 24 CE Part A - 3.88 kg</v>
          </cell>
        </row>
        <row r="171">
          <cell r="A171" t="str">
            <v>Sticker Label - Ardex R 24 CE Part B - 2.00 kg</v>
          </cell>
        </row>
        <row r="172">
          <cell r="A172" t="str">
            <v>Sticker Label - Ardex R 25 CE Epoxy Pigment - 0.50kg</v>
          </cell>
        </row>
        <row r="173">
          <cell r="A173" t="str">
            <v>Sticker Label - Ardex R 25 CE Part A - 3.80kg</v>
          </cell>
        </row>
        <row r="174">
          <cell r="A174" t="str">
            <v>Sticker Label - Ardex R 25 CE Part B - 1.70kg</v>
          </cell>
        </row>
        <row r="175">
          <cell r="A175" t="str">
            <v>Sticker Label - Ardex R 3 E Part A - 3.125kg</v>
          </cell>
        </row>
        <row r="176">
          <cell r="A176" t="str">
            <v>Sticker Label - Ardex R 3 E Part B - 1.875kg</v>
          </cell>
        </row>
        <row r="177">
          <cell r="A177" t="str">
            <v>Sticker Label - Ardex R 30 CE Part A - 3.60kg</v>
          </cell>
        </row>
        <row r="178">
          <cell r="A178" t="str">
            <v>Sticker Label - Ardex R 30 CE Part B - 1.00kg</v>
          </cell>
        </row>
        <row r="179">
          <cell r="A179" t="str">
            <v>Sticker Label - Ardex R 35 CE Part A - 4.95kg</v>
          </cell>
        </row>
        <row r="180">
          <cell r="A180" t="str">
            <v>Sticker Label - Ardex R 35 CE Part B - 1.05kg</v>
          </cell>
        </row>
        <row r="181">
          <cell r="A181" t="str">
            <v>Sticker Label - Ardex R 70 P Pigment - 400gms</v>
          </cell>
        </row>
        <row r="182">
          <cell r="A182" t="str">
            <v>Sticker Label - Ardex R 70 P Pigment - 600gms</v>
          </cell>
        </row>
        <row r="183">
          <cell r="A183" t="str">
            <v>Sticker Label - Ardex R 90 P Pigment - 400gms</v>
          </cell>
        </row>
        <row r="184">
          <cell r="A184" t="str">
            <v>Sticker Label - Ardex WPM 002 - 20Ltr</v>
          </cell>
        </row>
        <row r="185">
          <cell r="A185" t="str">
            <v>Sticker Label - Ardex WPM 002 - 5Ltr</v>
          </cell>
        </row>
        <row r="186">
          <cell r="A186" t="str">
            <v>Sticker Label - Ardex WPM 163 - 1Ltr</v>
          </cell>
        </row>
        <row r="187">
          <cell r="A187" t="str">
            <v>Sticker Label - Ardex WPM 163 - 5Ltr</v>
          </cell>
        </row>
        <row r="188">
          <cell r="A188" t="str">
            <v>Sticker Label - Ardex WPM 200 Part A - 10Ltr</v>
          </cell>
        </row>
        <row r="189">
          <cell r="A189" t="str">
            <v>Sticker Label - Ardex WPM 200 Part B - 10Ltr</v>
          </cell>
        </row>
        <row r="190">
          <cell r="A190" t="str">
            <v>Sticker Label - Ardex WPM 240 - 20Ltr</v>
          </cell>
        </row>
        <row r="191">
          <cell r="A191" t="str">
            <v>Sticker Label - Ardex WPM 256 Part A - 10Ltr</v>
          </cell>
        </row>
        <row r="192">
          <cell r="A192" t="str">
            <v>Sticker Label - Ardex WPM 256 Part B - 10Ltr</v>
          </cell>
        </row>
        <row r="193">
          <cell r="A193" t="str">
            <v>Sticker Label - Ardex WPM 265 - 1Ltr</v>
          </cell>
        </row>
        <row r="194">
          <cell r="A194" t="str">
            <v>Sticker Label - Ardex WPM 265 - 5Ltr</v>
          </cell>
        </row>
        <row r="195">
          <cell r="A195" t="str">
            <v>Sticker Label - Ardex WPM 270 - 1Ltr</v>
          </cell>
        </row>
        <row r="196">
          <cell r="A196" t="str">
            <v>Sticker Label - Ardex WPM 300 Part A - 10Ltr</v>
          </cell>
        </row>
        <row r="197">
          <cell r="A197" t="str">
            <v>Sticker Label - Ardex WPM 300 Part B - 10Ltr</v>
          </cell>
        </row>
        <row r="198">
          <cell r="A198" t="str">
            <v>Sticker Label - Ardex WPM 310 - 15Ltr</v>
          </cell>
        </row>
        <row r="199">
          <cell r="A199" t="str">
            <v>Sticker Label - Ardex WPM 320 - 20Ltr</v>
          </cell>
        </row>
        <row r="200">
          <cell r="A200" t="str">
            <v>Sticker Label - Ardex WPM 330 - 15 Ltr</v>
          </cell>
        </row>
        <row r="201">
          <cell r="A201" t="str">
            <v>Sticker Label - Ardex WPM 350 - 20Ltr</v>
          </cell>
        </row>
        <row r="202">
          <cell r="A202" t="str">
            <v>Sticker Label - Ardex WPM 350 - 5Ltr</v>
          </cell>
        </row>
        <row r="203">
          <cell r="A203" t="str">
            <v>Sticker Label - Ardex WPM 405 - 20Ltr</v>
          </cell>
        </row>
        <row r="204">
          <cell r="A204" t="str">
            <v>Sticker Label - Ardex WPM SG - 20kg</v>
          </cell>
        </row>
        <row r="205">
          <cell r="A205" t="str">
            <v>Sticker Label - CP Fittings &amp; Sanitary Cleaner - 500ml</v>
          </cell>
        </row>
        <row r="206">
          <cell r="A206" t="str">
            <v>Sticker Label - CP Fittings &amp; Sanitary Cleaner - carton</v>
          </cell>
        </row>
        <row r="207">
          <cell r="A207" t="str">
            <v>Sticker Label - CP Fittings &amp; Sanitary Cleaner -5Ltr</v>
          </cell>
        </row>
        <row r="208">
          <cell r="A208" t="str">
            <v>Sticker Label - CPS Primer Part A - 2.20kg</v>
          </cell>
        </row>
        <row r="209">
          <cell r="A209" t="str">
            <v>Sticker Label - CPS Primer Part B - 2.35kg</v>
          </cell>
        </row>
        <row r="210">
          <cell r="A210" t="str">
            <v>Sticker Label - CPS Primer Part C - 1.55kg</v>
          </cell>
        </row>
        <row r="211">
          <cell r="A211" t="str">
            <v>Sticker Label - CPS Top Coat Part A - 2.94kg</v>
          </cell>
        </row>
        <row r="212">
          <cell r="A212" t="str">
            <v>Sticker Label - CPS Top Coat Part B - 1.06kg</v>
          </cell>
        </row>
        <row r="213">
          <cell r="A213" t="str">
            <v>Sticker Label - CPS Wear Coat Part A - 12.80kg</v>
          </cell>
        </row>
        <row r="214">
          <cell r="A214" t="str">
            <v>Sticker Label - CPS Wear Coat Part B - 3.20kg</v>
          </cell>
        </row>
        <row r="215">
          <cell r="A215" t="str">
            <v>Sticker Label - Diamond Star - carton</v>
          </cell>
        </row>
        <row r="216">
          <cell r="A216" t="str">
            <v>Sticker Label - Epoxy Grout Hardener - 0.5 kg</v>
          </cell>
        </row>
        <row r="217">
          <cell r="A217" t="str">
            <v>Sticker Label - Epoxy Grout Remover - 1Ltr</v>
          </cell>
        </row>
        <row r="218">
          <cell r="A218" t="str">
            <v>Sticker Label - Epoxy Grout Resin - 1 kg</v>
          </cell>
        </row>
        <row r="219">
          <cell r="A219" t="str">
            <v>Sticker Label - Flex Liquid - 500ml</v>
          </cell>
        </row>
        <row r="220">
          <cell r="A220" t="str">
            <v>Sticker Label - Flex Liquid - 5Ltr</v>
          </cell>
        </row>
        <row r="221">
          <cell r="A221" t="str">
            <v>Sticker Label - Gold Star - carton</v>
          </cell>
        </row>
        <row r="222">
          <cell r="A222" t="str">
            <v>Sticker Label - Grout Sealer - 100ml</v>
          </cell>
        </row>
        <row r="223">
          <cell r="A223" t="str">
            <v>Sticker Label - Grout Sealer - 500ml</v>
          </cell>
        </row>
        <row r="224">
          <cell r="A224" t="str">
            <v>Sticker Label - Grout Sealer - carton</v>
          </cell>
        </row>
        <row r="225">
          <cell r="A225" t="str">
            <v>Sticker Label - Heavy Duty Imp. Tile &amp; Stone Sealer - 1Ltr</v>
          </cell>
        </row>
        <row r="226">
          <cell r="A226" t="str">
            <v>Sticker Label - Heavy Duty Tile Cleaner - 500ml</v>
          </cell>
        </row>
        <row r="227">
          <cell r="A227" t="str">
            <v>Sticker Label - Heavy Duty Tile Cleaner - 5Ltr</v>
          </cell>
        </row>
        <row r="228">
          <cell r="A228" t="str">
            <v>Sticker Label - Heavy Duty Tile Cleaner - carton</v>
          </cell>
        </row>
        <row r="229">
          <cell r="A229" t="str">
            <v>Sticker Label - Imp. Grout &amp; Tile Sealer - 500ml</v>
          </cell>
        </row>
        <row r="230">
          <cell r="A230" t="str">
            <v>Sticker Label - Imp. Tile &amp; Stone Sealer - 100ml</v>
          </cell>
        </row>
        <row r="231">
          <cell r="A231" t="str">
            <v>Sticker Label - Imp. Tile &amp; Stone Sealer - 500ml</v>
          </cell>
        </row>
        <row r="232">
          <cell r="A232" t="str">
            <v>Sticker Label - Imp. Tile &amp; Stone Sealer - 5Ltr</v>
          </cell>
        </row>
        <row r="233">
          <cell r="A233" t="str">
            <v>Sticker Label - Imp. Tile &amp; Stone Sealer - carton</v>
          </cell>
        </row>
        <row r="234">
          <cell r="A234" t="str">
            <v>Sticker Label - Industrial Adhesive - Fluroscent</v>
          </cell>
        </row>
        <row r="235">
          <cell r="A235" t="str">
            <v>Sticker Label - Microshield Tile &amp; Stone Cleaner - 100ml</v>
          </cell>
        </row>
        <row r="236">
          <cell r="A236" t="str">
            <v>Sticker Label - Microshield Tile &amp; Stone Cleaner - 500ml</v>
          </cell>
        </row>
        <row r="237">
          <cell r="A237" t="str">
            <v>Sticker Label - Mortar Bed - 5Ltr</v>
          </cell>
        </row>
        <row r="238">
          <cell r="A238" t="str">
            <v>Sticker Label - Non Acedic Cleaner - 500ml</v>
          </cell>
        </row>
        <row r="239">
          <cell r="A239" t="str">
            <v>Sticker Label - Non Acidic Cleaner - carton</v>
          </cell>
        </row>
        <row r="240">
          <cell r="A240" t="str">
            <v>Sticker Label - Oil &amp; Grease Remover - 500ml</v>
          </cell>
        </row>
        <row r="241">
          <cell r="A241" t="str">
            <v>Sticker Label - Oil &amp; Grease Remover - 5ltr</v>
          </cell>
        </row>
        <row r="242">
          <cell r="A242" t="str">
            <v>Sticker Label - Oil &amp; Grease Remover - carton</v>
          </cell>
        </row>
        <row r="243">
          <cell r="A243" t="str">
            <v>Sticker Label - Protective Tile &amp; Stone Sealer - 100ml</v>
          </cell>
        </row>
        <row r="244">
          <cell r="A244" t="str">
            <v>Sticker Label - Protective Tile &amp; Stone Sealer - 500ml</v>
          </cell>
        </row>
        <row r="245">
          <cell r="A245" t="str">
            <v>Sticker Label - Protective Tile &amp; Stone Sealer - 5Ltr</v>
          </cell>
        </row>
        <row r="246">
          <cell r="A246" t="str">
            <v>Sticker Label - Protective Tile &amp; Stone Sealer - carton</v>
          </cell>
        </row>
        <row r="247">
          <cell r="A247" t="str">
            <v>Sticker Label - PU Seal 100 - 600ml</v>
          </cell>
        </row>
        <row r="248">
          <cell r="A248" t="str">
            <v>Sticker Label - R 10 P Part A - 0.934kg</v>
          </cell>
        </row>
        <row r="249">
          <cell r="A249" t="str">
            <v>Sticker Label - R 10 P Part B - 1kg</v>
          </cell>
        </row>
        <row r="250">
          <cell r="A250" t="str">
            <v>Sticker Label - R 70 P Part A - 2.67kgs</v>
          </cell>
        </row>
        <row r="251">
          <cell r="A251" t="str">
            <v>Sticker Label - R 70 P Part B - 2.86kgs</v>
          </cell>
        </row>
        <row r="252">
          <cell r="A252" t="str">
            <v>Sticker Label - Silver Star - carton</v>
          </cell>
        </row>
        <row r="253">
          <cell r="A253" t="str">
            <v>Sticker label - Slurry Bond Liquid 5Ltr</v>
          </cell>
        </row>
        <row r="254">
          <cell r="A254" t="str">
            <v>Sticker Label - Tile &amp; Stone Clean &amp; Wax - 500ml</v>
          </cell>
        </row>
        <row r="255">
          <cell r="A255" t="str">
            <v>Sticker Label - Tile &amp; Stone Clean &amp; Wax - 5Ltr</v>
          </cell>
        </row>
        <row r="256">
          <cell r="A256" t="str">
            <v>Sticker Label - Tile &amp; Stone Clean &amp; Wax - carton</v>
          </cell>
        </row>
        <row r="257">
          <cell r="A257" t="str">
            <v>Sticker Label - Tile &amp; Stone Cleaner - 500ml</v>
          </cell>
        </row>
        <row r="258">
          <cell r="A258" t="str">
            <v>Sticker Label - Tile &amp; Stone Cleaner - 5Ltr</v>
          </cell>
        </row>
        <row r="259">
          <cell r="A259" t="str">
            <v>Sticker Label - Tile &amp; Stone Cleaner - carton</v>
          </cell>
        </row>
        <row r="260">
          <cell r="A260" t="str">
            <v>Sticker Label - Tile &amp; Stone Polish - 500ml</v>
          </cell>
        </row>
        <row r="261">
          <cell r="A261" t="str">
            <v>Sticker Label - Tile &amp; Stone Polish - 5Ltr</v>
          </cell>
        </row>
        <row r="262">
          <cell r="A262" t="str">
            <v>Sticker Label - Tile &amp; Stone Polish - carton</v>
          </cell>
        </row>
        <row r="263">
          <cell r="A263" t="str">
            <v>Sticker Label - Trans. Impr. Tile &amp; Stone Sealer - 100ml</v>
          </cell>
        </row>
        <row r="264">
          <cell r="A264" t="str">
            <v>Sticker Label - Trans. Impr. Tile &amp; Stone Sealer - 500ml</v>
          </cell>
        </row>
        <row r="265">
          <cell r="A265" t="str">
            <v>Sticker Label - Trans. Impr. Tile &amp; Stone Sealer - 5Ltr</v>
          </cell>
        </row>
        <row r="266">
          <cell r="A266" t="str">
            <v>Sticker Label - Trans. Impr. Tile &amp; Stone Sealer - carton</v>
          </cell>
        </row>
        <row r="267">
          <cell r="A267" t="str">
            <v>Sticker Label - Under Tile &amp; Stone Primer - 500ml</v>
          </cell>
        </row>
        <row r="268">
          <cell r="A268" t="str">
            <v>Sticker Label - Under Tile &amp; Stone Primer - 5Ltr</v>
          </cell>
        </row>
        <row r="269">
          <cell r="A269" t="str">
            <v>Sticker Label - Under Tile &amp; Stone Primer - carton</v>
          </cell>
        </row>
        <row r="270">
          <cell r="A270" t="str">
            <v>Sticker Label - Wax &amp; Polish Remover - 500ml</v>
          </cell>
        </row>
        <row r="271">
          <cell r="A271" t="str">
            <v>Sticker Label - Wax &amp; Polish Remover - 5Ltr</v>
          </cell>
        </row>
        <row r="272">
          <cell r="A272" t="str">
            <v>Sticker Label - White Star - carton</v>
          </cell>
        </row>
        <row r="273">
          <cell r="A273" t="str">
            <v>Stitching Thread - 4ply Cotton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ency BS Expl-17A"/>
      <sheetName val="Agency BS"/>
      <sheetName val="Agency BS Expl-17B"/>
      <sheetName val="Agency PL variance-17A"/>
      <sheetName val="Agency PL"/>
      <sheetName val="KPI"/>
      <sheetName val="KPI-july 2001"/>
      <sheetName val="Agency PL variance-17B"/>
      <sheetName val="Agency-Cash Flow"/>
      <sheetName val="Group BS"/>
      <sheetName val="Group PL"/>
      <sheetName val="Budget-2001 to 2005"/>
      <sheetName val="Estimate 2001"/>
      <sheetName val="Actual-2000"/>
    </sheetNames>
    <sheetDataSet>
      <sheetData sheetId="0"/>
      <sheetData sheetId="1" refreshError="1">
        <row r="1">
          <cell r="A1" t="str">
            <v>Safmarine  India  Private  Limited</v>
          </cell>
        </row>
        <row r="3">
          <cell r="A3" t="str">
            <v>Balance  Sheet  Budget</v>
          </cell>
        </row>
        <row r="5">
          <cell r="A5" t="str">
            <v>In  Local  Currency  ( '000 )</v>
          </cell>
          <cell r="B5" t="str">
            <v>Actual</v>
          </cell>
          <cell r="C5" t="str">
            <v>Budget</v>
          </cell>
          <cell r="D5" t="str">
            <v>Actual</v>
          </cell>
          <cell r="E5" t="str">
            <v>Budget</v>
          </cell>
        </row>
        <row r="6">
          <cell r="B6" t="str">
            <v>31.12.2000</v>
          </cell>
          <cell r="C6" t="str">
            <v>30.06.2001</v>
          </cell>
          <cell r="D6" t="str">
            <v>30.06.2001</v>
          </cell>
          <cell r="E6" t="str">
            <v>31.12.2001</v>
          </cell>
        </row>
        <row r="7">
          <cell r="A7" t="str">
            <v>ASSETS:</v>
          </cell>
        </row>
        <row r="8">
          <cell r="A8" t="str">
            <v>FIXED ASSETS</v>
          </cell>
        </row>
        <row r="9">
          <cell r="A9" t="str">
            <v>Land &amp; Buildings</v>
          </cell>
          <cell r="B9">
            <v>790.45</v>
          </cell>
          <cell r="C9">
            <v>11790.45</v>
          </cell>
          <cell r="D9">
            <v>790.45</v>
          </cell>
          <cell r="E9">
            <v>11790.45</v>
          </cell>
        </row>
        <row r="10">
          <cell r="A10" t="str">
            <v>Containers &amp; Gensets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</row>
        <row r="11">
          <cell r="A11" t="str">
            <v>Machinery &amp; Equipment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</row>
        <row r="12">
          <cell r="A12" t="str">
            <v>Furniture &amp; Office Equipment</v>
          </cell>
          <cell r="B12">
            <v>16370.459650000001</v>
          </cell>
          <cell r="C12">
            <v>18213.722000000002</v>
          </cell>
          <cell r="D12">
            <v>14689.537</v>
          </cell>
          <cell r="E12">
            <v>18413.722000000002</v>
          </cell>
        </row>
        <row r="13">
          <cell r="A13" t="str">
            <v>EDP Equipment</v>
          </cell>
          <cell r="B13">
            <v>11953.477999999999</v>
          </cell>
          <cell r="C13">
            <v>13424.329</v>
          </cell>
          <cell r="D13">
            <v>11804.766</v>
          </cell>
          <cell r="E13">
            <v>13524.329</v>
          </cell>
        </row>
        <row r="14">
          <cell r="A14" t="str">
            <v>Cars / Motor Vehicles</v>
          </cell>
          <cell r="B14">
            <v>15004.98</v>
          </cell>
          <cell r="C14">
            <v>13648.120999999999</v>
          </cell>
          <cell r="D14">
            <v>12878.49</v>
          </cell>
          <cell r="E14">
            <v>14268.120999999999</v>
          </cell>
        </row>
        <row r="15">
          <cell r="A15" t="str">
            <v>Trucks &amp; Chassis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FIXED ASSETS AT COST PRICE</v>
          </cell>
          <cell r="B16">
            <v>44119.36765</v>
          </cell>
          <cell r="C16">
            <v>57076.622000000003</v>
          </cell>
          <cell r="D16">
            <v>40163.243000000002</v>
          </cell>
          <cell r="E16">
            <v>57996.622000000003</v>
          </cell>
        </row>
        <row r="17">
          <cell r="A17" t="str">
            <v>- Accumulated Depreciation</v>
          </cell>
          <cell r="B17">
            <v>-31017.195</v>
          </cell>
          <cell r="C17">
            <v>-23245</v>
          </cell>
          <cell r="D17">
            <v>-27854.202000000005</v>
          </cell>
          <cell r="E17">
            <v>-24861.803999999996</v>
          </cell>
        </row>
        <row r="18">
          <cell r="B18">
            <v>13102.17265</v>
          </cell>
          <cell r="C18">
            <v>33831.622000000003</v>
          </cell>
          <cell r="D18">
            <v>12309.040999999997</v>
          </cell>
          <cell r="E18">
            <v>33134.818000000007</v>
          </cell>
        </row>
        <row r="19">
          <cell r="A19" t="str">
            <v>FINANCIAL ASSETS</v>
          </cell>
        </row>
        <row r="20">
          <cell r="A20" t="str">
            <v>Investment in Subsidiaries</v>
          </cell>
          <cell r="B20">
            <v>5500.02</v>
          </cell>
          <cell r="C20">
            <v>5499.98</v>
          </cell>
          <cell r="D20">
            <v>5500.02</v>
          </cell>
          <cell r="E20">
            <v>5499.98</v>
          </cell>
        </row>
        <row r="21">
          <cell r="A21" t="str">
            <v>Shares / Bonds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</row>
        <row r="22">
          <cell r="A22" t="str">
            <v>Other Financial Assets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</row>
        <row r="23">
          <cell r="A23" t="str">
            <v>TOTAL FINANCIAL ASSETS</v>
          </cell>
          <cell r="B23">
            <v>5500.02</v>
          </cell>
          <cell r="C23">
            <v>5499.98</v>
          </cell>
          <cell r="D23">
            <v>5500.02</v>
          </cell>
          <cell r="E23">
            <v>5499.98</v>
          </cell>
        </row>
        <row r="24">
          <cell r="A24" t="str">
            <v>CURRENT ASSETS</v>
          </cell>
        </row>
        <row r="25">
          <cell r="A25" t="str">
            <v>Trade Debtors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</row>
        <row r="26">
          <cell r="A26" t="str">
            <v>Other Debtors</v>
          </cell>
          <cell r="B26">
            <v>6806</v>
          </cell>
          <cell r="C26">
            <v>6806</v>
          </cell>
          <cell r="D26">
            <v>6306</v>
          </cell>
          <cell r="E26">
            <v>6806</v>
          </cell>
        </row>
        <row r="27">
          <cell r="A27" t="str">
            <v>Reservation for Bad Debts</v>
          </cell>
          <cell r="B27">
            <v>-1824.027</v>
          </cell>
          <cell r="C27">
            <v>-1824.027</v>
          </cell>
          <cell r="D27">
            <v>-1824.027</v>
          </cell>
          <cell r="E27">
            <v>-1824.027</v>
          </cell>
        </row>
        <row r="28">
          <cell r="A28" t="str">
            <v>Stores and Inventories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</row>
        <row r="29">
          <cell r="A29" t="str">
            <v>Prepaid Expenses / Deposits</v>
          </cell>
          <cell r="B29">
            <v>18172.181999999997</v>
          </cell>
          <cell r="C29">
            <v>18500</v>
          </cell>
          <cell r="D29">
            <v>42002.627</v>
          </cell>
          <cell r="E29">
            <v>18500</v>
          </cell>
        </row>
        <row r="30">
          <cell r="A30" t="str">
            <v xml:space="preserve">Accruals </v>
          </cell>
          <cell r="B30">
            <v>2807.2150000000001</v>
          </cell>
          <cell r="C30">
            <v>1650</v>
          </cell>
          <cell r="D30">
            <v>2270.701</v>
          </cell>
          <cell r="E30">
            <v>1650</v>
          </cell>
        </row>
        <row r="31">
          <cell r="A31" t="str">
            <v>Loans to Staff</v>
          </cell>
          <cell r="B31">
            <v>5186.3</v>
          </cell>
          <cell r="C31">
            <v>4636</v>
          </cell>
          <cell r="D31">
            <v>4974.5</v>
          </cell>
          <cell r="E31">
            <v>4078</v>
          </cell>
        </row>
        <row r="32">
          <cell r="A32" t="str">
            <v>Other Current Assets</v>
          </cell>
          <cell r="B32">
            <v>18930.545669999996</v>
          </cell>
          <cell r="C32">
            <v>10910.767</v>
          </cell>
          <cell r="D32">
            <v>26708.546049999997</v>
          </cell>
          <cell r="E32">
            <v>11468.767</v>
          </cell>
        </row>
        <row r="33">
          <cell r="A33" t="str">
            <v>Loans to Subsidiaries</v>
          </cell>
          <cell r="B33">
            <v>65200.02</v>
          </cell>
          <cell r="C33">
            <v>68300.02</v>
          </cell>
          <cell r="D33">
            <v>65300.02</v>
          </cell>
          <cell r="E33">
            <v>61800.02</v>
          </cell>
        </row>
        <row r="34">
          <cell r="A34" t="str">
            <v>Cash and Bank</v>
          </cell>
          <cell r="B34">
            <v>196243.94514</v>
          </cell>
          <cell r="C34">
            <v>181142.96851000012</v>
          </cell>
          <cell r="D34">
            <v>204876.60250999985</v>
          </cell>
          <cell r="E34">
            <v>204859.14351000031</v>
          </cell>
        </row>
        <row r="35">
          <cell r="A35" t="str">
            <v>TOTAL CURRENT ASSETS</v>
          </cell>
          <cell r="B35">
            <v>311522.18080999999</v>
          </cell>
          <cell r="C35">
            <v>290121.72851000016</v>
          </cell>
          <cell r="D35">
            <v>350614.96955999988</v>
          </cell>
          <cell r="E35">
            <v>307337.90351000032</v>
          </cell>
        </row>
        <row r="36">
          <cell r="A36" t="str">
            <v>TOTAL ASSETS</v>
          </cell>
          <cell r="B36">
            <v>330124.37346000003</v>
          </cell>
          <cell r="C36">
            <v>329453.33051000012</v>
          </cell>
          <cell r="D36">
            <v>368424.03055999987</v>
          </cell>
          <cell r="E36">
            <v>345972.70151000033</v>
          </cell>
        </row>
        <row r="38">
          <cell r="A38" t="str">
            <v>LIABILITIES &amp; EQUITY</v>
          </cell>
        </row>
        <row r="39">
          <cell r="A39" t="str">
            <v>LIABILITIES</v>
          </cell>
        </row>
        <row r="40">
          <cell r="A40" t="str">
            <v>Loans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</row>
        <row r="41">
          <cell r="A41" t="str">
            <v>Accounts Payable</v>
          </cell>
          <cell r="B41">
            <v>2793.633249999999</v>
          </cell>
          <cell r="C41">
            <v>51775</v>
          </cell>
          <cell r="D41">
            <v>37803.590720000007</v>
          </cell>
          <cell r="E41">
            <v>51075</v>
          </cell>
        </row>
        <row r="42">
          <cell r="A42" t="str">
            <v>Current Account with Safmarine</v>
          </cell>
          <cell r="B42">
            <v>251189.5674</v>
          </cell>
          <cell r="C42">
            <v>111200</v>
          </cell>
          <cell r="D42">
            <v>219986.34223000001</v>
          </cell>
          <cell r="E42">
            <v>106200</v>
          </cell>
        </row>
        <row r="43">
          <cell r="A43" t="str">
            <v>Company Taxes</v>
          </cell>
          <cell r="B43">
            <v>15573.974</v>
          </cell>
          <cell r="C43">
            <v>18127.457999999999</v>
          </cell>
          <cell r="D43">
            <v>19827.290999999997</v>
          </cell>
          <cell r="E43">
            <v>28627.457999999999</v>
          </cell>
        </row>
        <row r="44">
          <cell r="A44" t="str">
            <v>Provident / Pension Funds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</row>
        <row r="45">
          <cell r="A45" t="str">
            <v>Dividend for the year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</row>
        <row r="46">
          <cell r="A46" t="str">
            <v>Accruals / Other Provisions</v>
          </cell>
          <cell r="B46">
            <v>6333.7349999999997</v>
          </cell>
          <cell r="C46">
            <v>7120</v>
          </cell>
          <cell r="D46">
            <v>6821.6059999999998</v>
          </cell>
          <cell r="E46">
            <v>7820</v>
          </cell>
        </row>
        <row r="47">
          <cell r="A47" t="str">
            <v>Other Liabilities</v>
          </cell>
          <cell r="B47">
            <v>34825.906999999999</v>
          </cell>
          <cell r="C47">
            <v>107305</v>
          </cell>
          <cell r="D47">
            <v>45472.153749999998</v>
          </cell>
          <cell r="E47">
            <v>107305</v>
          </cell>
        </row>
        <row r="48">
          <cell r="A48" t="str">
            <v>TOTAL LIABILITIES</v>
          </cell>
          <cell r="B48">
            <v>310716.81664999999</v>
          </cell>
          <cell r="C48">
            <v>295527.45799999998</v>
          </cell>
          <cell r="D48">
            <v>329910.98370000004</v>
          </cell>
          <cell r="E48">
            <v>301027.45799999998</v>
          </cell>
        </row>
        <row r="49">
          <cell r="A49" t="str">
            <v>EQUITY</v>
          </cell>
        </row>
        <row r="50">
          <cell r="A50" t="str">
            <v>Share Capital</v>
          </cell>
          <cell r="B50">
            <v>1507.46</v>
          </cell>
          <cell r="C50">
            <v>1507.46</v>
          </cell>
          <cell r="D50">
            <v>1507.46</v>
          </cell>
          <cell r="E50">
            <v>1507.46</v>
          </cell>
        </row>
        <row r="51">
          <cell r="A51" t="str">
            <v>Legal Reserves</v>
          </cell>
          <cell r="B51">
            <v>1568.5989999999999</v>
          </cell>
          <cell r="C51">
            <v>23357.424510000001</v>
          </cell>
          <cell r="D51">
            <v>19788.627789999999</v>
          </cell>
          <cell r="E51">
            <v>23357.424510000001</v>
          </cell>
        </row>
        <row r="52">
          <cell r="A52" t="str">
            <v>Other Reserves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</row>
        <row r="53">
          <cell r="A53" t="str">
            <v>P &amp; L Account</v>
          </cell>
          <cell r="B53">
            <v>16331.49765000001</v>
          </cell>
          <cell r="C53">
            <v>9060.9880000000012</v>
          </cell>
          <cell r="D53">
            <v>17216.958219999997</v>
          </cell>
          <cell r="E53">
            <v>20080.359000000004</v>
          </cell>
        </row>
        <row r="54">
          <cell r="A54" t="str">
            <v>TOTAL EQUITY</v>
          </cell>
          <cell r="B54">
            <v>19407.55665000001</v>
          </cell>
          <cell r="C54">
            <v>33925.872510000001</v>
          </cell>
          <cell r="D54">
            <v>38513.046009999991</v>
          </cell>
          <cell r="E54">
            <v>44945.24351</v>
          </cell>
        </row>
        <row r="55">
          <cell r="A55" t="str">
            <v>TOTAL LIABILITIES &amp; EQUITY</v>
          </cell>
          <cell r="B55">
            <v>330124.37329999998</v>
          </cell>
          <cell r="C55">
            <v>329453.33051</v>
          </cell>
          <cell r="D55">
            <v>368424.02971000003</v>
          </cell>
          <cell r="E55">
            <v>345972.70150999998</v>
          </cell>
        </row>
        <row r="57">
          <cell r="B57">
            <v>-1.6000005416572094E-4</v>
          </cell>
          <cell r="C57">
            <v>0</v>
          </cell>
          <cell r="D57">
            <v>-8.4999983664602041E-4</v>
          </cell>
          <cell r="E57">
            <v>0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PLANTS"/>
      <sheetName val="TALSTOCKVAL"/>
      <sheetName val="BKCSTOCKVAL"/>
      <sheetName val="MAHSTOCKVAL"/>
      <sheetName val="SUMMARY SHEET- Mike Report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Feb02"/>
      <sheetName val="POFG"/>
      <sheetName val="Sheet1"/>
      <sheetName val="newpp"/>
      <sheetName val="Sheet2"/>
      <sheetName val="CHECK"/>
      <sheetName val="Sheet3 (2)"/>
      <sheetName val="Sheet5"/>
      <sheetName val="Sheet3"/>
      <sheetName val="NSV N KGs"/>
      <sheetName val="aCal"/>
      <sheetName val="aChe"/>
      <sheetName val="aDel"/>
      <sheetName val="aMum"/>
      <sheetName val="All India"/>
      <sheetName val="Sheet4"/>
      <sheetName val="Chennai"/>
      <sheetName val="Delhi"/>
      <sheetName val="Stock (2)"/>
      <sheetName val="Stock"/>
      <sheetName val="Mumbai"/>
      <sheetName val="AllIndia"/>
      <sheetName val="P&amp;L"/>
      <sheetName val="Butter Promo"/>
      <sheetName val="DDIL Butter &amp; Ghee"/>
      <sheetName val="NSV"/>
      <sheetName val="aCalcutta"/>
      <sheetName val="aChennai "/>
      <sheetName val="aDelhi "/>
      <sheetName val="aMumbai "/>
      <sheetName val="HYPOTHESIS"/>
      <sheetName val="Lists"/>
      <sheetName val="Mapping"/>
    </sheetNames>
    <sheetDataSet>
      <sheetData sheetId="0" refreshError="1"/>
      <sheetData sheetId="1" refreshError="1">
        <row r="5">
          <cell r="A5">
            <v>90155</v>
          </cell>
          <cell r="B5" t="str">
            <v>CHEESE TIN FT 400G 24PK CBB</v>
          </cell>
          <cell r="C5" t="str">
            <v>03</v>
          </cell>
          <cell r="D5">
            <v>89.397571851454515</v>
          </cell>
          <cell r="E5">
            <v>1.9039298136483209</v>
          </cell>
          <cell r="F5">
            <v>38.14</v>
          </cell>
          <cell r="G5">
            <v>0.17182262271734081</v>
          </cell>
          <cell r="H5">
            <v>2.6318034404348341</v>
          </cell>
          <cell r="I5">
            <v>1.45</v>
          </cell>
          <cell r="J5">
            <v>1.67</v>
          </cell>
          <cell r="M5">
            <v>135.36512772825498</v>
          </cell>
        </row>
        <row r="6">
          <cell r="A6">
            <v>90157</v>
          </cell>
          <cell r="B6" t="str">
            <v>CHEESE TIN NFT 400G 24PK CBB</v>
          </cell>
          <cell r="C6" t="str">
            <v>03</v>
          </cell>
          <cell r="D6">
            <v>89.397571851454515</v>
          </cell>
          <cell r="E6">
            <v>1.9039298136483209</v>
          </cell>
          <cell r="F6">
            <v>25.66</v>
          </cell>
          <cell r="G6">
            <v>0.17182262271734081</v>
          </cell>
          <cell r="H6">
            <v>2.6318034404348341</v>
          </cell>
          <cell r="I6">
            <v>1.45</v>
          </cell>
          <cell r="J6">
            <v>0.22</v>
          </cell>
          <cell r="M6">
            <v>121.43512772825501</v>
          </cell>
        </row>
        <row r="7">
          <cell r="A7">
            <v>90159</v>
          </cell>
          <cell r="B7" t="str">
            <v>CHEESE CUBES 200G PLAIN 60PK CBB</v>
          </cell>
          <cell r="C7" t="str">
            <v>03</v>
          </cell>
          <cell r="D7">
            <v>88.792844835305985</v>
          </cell>
          <cell r="E7">
            <v>2.793987636772127</v>
          </cell>
          <cell r="F7">
            <v>24.25</v>
          </cell>
          <cell r="G7">
            <v>0.17142606778010852</v>
          </cell>
          <cell r="H7">
            <v>2.6318034404348341</v>
          </cell>
          <cell r="I7">
            <v>1.45</v>
          </cell>
          <cell r="J7">
            <v>1.27</v>
          </cell>
          <cell r="M7">
            <v>121.36006198029305</v>
          </cell>
        </row>
        <row r="8">
          <cell r="A8">
            <v>90165</v>
          </cell>
          <cell r="B8" t="str">
            <v>CHEESE SLICES 200G 60PK CBB</v>
          </cell>
          <cell r="C8" t="str">
            <v>03</v>
          </cell>
          <cell r="D8">
            <v>84.008032640823799</v>
          </cell>
          <cell r="E8">
            <v>3.3526836799331909</v>
          </cell>
          <cell r="F8">
            <v>16.68</v>
          </cell>
          <cell r="G8">
            <v>2.9847326367025067E-2</v>
          </cell>
          <cell r="H8">
            <v>2.6318034404348341</v>
          </cell>
          <cell r="I8">
            <v>1.45</v>
          </cell>
          <cell r="J8">
            <v>1.48</v>
          </cell>
          <cell r="M8">
            <v>109.63236708755885</v>
          </cell>
        </row>
        <row r="9">
          <cell r="A9">
            <v>90167</v>
          </cell>
          <cell r="B9" t="str">
            <v>CHEESE SLICES 100G 120PK CBB</v>
          </cell>
          <cell r="C9" t="str">
            <v>03</v>
          </cell>
          <cell r="D9">
            <v>84.008032640823799</v>
          </cell>
          <cell r="E9">
            <v>4.607967643075515</v>
          </cell>
          <cell r="F9">
            <v>22.83</v>
          </cell>
          <cell r="G9">
            <v>2.9847326367025067E-2</v>
          </cell>
          <cell r="H9">
            <v>2.6318034404348341</v>
          </cell>
          <cell r="I9">
            <v>1.45</v>
          </cell>
          <cell r="J9">
            <v>1.89</v>
          </cell>
          <cell r="M9">
            <v>117.44765105070117</v>
          </cell>
        </row>
        <row r="10">
          <cell r="A10">
            <v>90168</v>
          </cell>
          <cell r="B10" t="str">
            <v>CHEESE BLOCK 1KG 12PK CBB</v>
          </cell>
          <cell r="C10" t="str">
            <v>03</v>
          </cell>
          <cell r="D10">
            <v>95.479101318784913</v>
          </cell>
          <cell r="E10">
            <v>1.8079215036188994</v>
          </cell>
          <cell r="F10">
            <v>5.73</v>
          </cell>
          <cell r="G10">
            <v>0.17182262271734081</v>
          </cell>
          <cell r="H10">
            <v>2.6318034404348341</v>
          </cell>
          <cell r="I10">
            <v>1.45</v>
          </cell>
          <cell r="J10">
            <v>0.67</v>
          </cell>
          <cell r="M10">
            <v>107.940648885556</v>
          </cell>
        </row>
        <row r="11">
          <cell r="A11">
            <v>90170</v>
          </cell>
          <cell r="B11" t="str">
            <v>CHEESE BLOCK 400G CEKA 30PK CBB</v>
          </cell>
          <cell r="C11" t="str">
            <v>03</v>
          </cell>
          <cell r="D11">
            <v>90.544383169275193</v>
          </cell>
          <cell r="E11">
            <v>2.1980148496495717</v>
          </cell>
          <cell r="F11">
            <v>8.41</v>
          </cell>
          <cell r="G11">
            <v>0.17182262271734081</v>
          </cell>
          <cell r="H11">
            <v>2.6318034404348341</v>
          </cell>
          <cell r="I11">
            <v>1.45</v>
          </cell>
          <cell r="J11">
            <v>0.13</v>
          </cell>
          <cell r="M11">
            <v>105.53602408207693</v>
          </cell>
        </row>
        <row r="12">
          <cell r="A12">
            <v>90171</v>
          </cell>
          <cell r="B12" t="str">
            <v>C. SPREAD TUB PLAIN 150G 60PK CBB</v>
          </cell>
          <cell r="C12" t="str">
            <v>04</v>
          </cell>
          <cell r="D12">
            <v>60.34</v>
          </cell>
          <cell r="E12">
            <v>2.99</v>
          </cell>
          <cell r="F12">
            <v>22.5</v>
          </cell>
          <cell r="G12">
            <v>0.17182262271734081</v>
          </cell>
          <cell r="H12">
            <v>2.63</v>
          </cell>
          <cell r="I12">
            <v>1.45</v>
          </cell>
          <cell r="J12">
            <v>0.13</v>
          </cell>
        </row>
        <row r="13">
          <cell r="A13">
            <v>90176</v>
          </cell>
          <cell r="B13" t="str">
            <v>D. WHITENER CARTON 500G 24PK CBB</v>
          </cell>
          <cell r="C13" t="str">
            <v>01</v>
          </cell>
          <cell r="D13">
            <v>59.4</v>
          </cell>
          <cell r="F13">
            <v>8.17</v>
          </cell>
          <cell r="G13">
            <v>8.6</v>
          </cell>
          <cell r="H13">
            <v>1.73</v>
          </cell>
          <cell r="L13">
            <v>7.5</v>
          </cell>
        </row>
        <row r="14">
          <cell r="A14">
            <v>90177</v>
          </cell>
          <cell r="B14" t="str">
            <v>D. WHITENER CARTON 200G 60PK CBB</v>
          </cell>
          <cell r="C14" t="str">
            <v>01</v>
          </cell>
          <cell r="D14">
            <v>59.4</v>
          </cell>
          <cell r="F14">
            <v>11.03</v>
          </cell>
          <cell r="G14">
            <v>8.6</v>
          </cell>
          <cell r="H14">
            <v>1.73</v>
          </cell>
          <cell r="L14">
            <v>7.5</v>
          </cell>
        </row>
        <row r="15">
          <cell r="A15">
            <v>90178</v>
          </cell>
          <cell r="B15" t="str">
            <v>D. WHITENER POUCH 1KG 12PK CBB</v>
          </cell>
          <cell r="C15" t="str">
            <v>01</v>
          </cell>
          <cell r="D15">
            <v>59.4</v>
          </cell>
          <cell r="F15">
            <v>4.62</v>
          </cell>
          <cell r="G15">
            <v>8.6</v>
          </cell>
          <cell r="H15">
            <v>1.73</v>
          </cell>
          <cell r="L15">
            <v>7.5</v>
          </cell>
        </row>
        <row r="16">
          <cell r="A16">
            <v>90179</v>
          </cell>
          <cell r="B16" t="str">
            <v>D. WHITENER POUCH 500G 24PK CBB</v>
          </cell>
          <cell r="C16" t="str">
            <v>01</v>
          </cell>
          <cell r="D16">
            <v>59.4</v>
          </cell>
          <cell r="F16">
            <v>5.52</v>
          </cell>
          <cell r="G16">
            <v>8.6</v>
          </cell>
          <cell r="H16">
            <v>1.73</v>
          </cell>
          <cell r="L16">
            <v>7.5</v>
          </cell>
        </row>
        <row r="17">
          <cell r="A17">
            <v>90180</v>
          </cell>
          <cell r="B17" t="str">
            <v>D. WHITENER POUCH 200G 60PK CBB</v>
          </cell>
          <cell r="C17" t="str">
            <v>01</v>
          </cell>
          <cell r="D17">
            <v>59.4</v>
          </cell>
          <cell r="F17">
            <v>7.56</v>
          </cell>
          <cell r="G17">
            <v>8.6</v>
          </cell>
          <cell r="H17">
            <v>1.73</v>
          </cell>
          <cell r="L17">
            <v>7.5</v>
          </cell>
        </row>
        <row r="18">
          <cell r="A18">
            <v>90181</v>
          </cell>
          <cell r="B18" t="str">
            <v>D. WHITENER POUCH 100G 120PK CBB</v>
          </cell>
          <cell r="C18" t="str">
            <v>01</v>
          </cell>
          <cell r="D18">
            <v>59.4</v>
          </cell>
          <cell r="F18">
            <v>10.74</v>
          </cell>
          <cell r="G18">
            <v>8.6</v>
          </cell>
          <cell r="H18">
            <v>1.73</v>
          </cell>
          <cell r="L18">
            <v>7.5</v>
          </cell>
        </row>
        <row r="19">
          <cell r="A19">
            <v>90182</v>
          </cell>
          <cell r="B19" t="str">
            <v>D. WHITENER POUCH 50G 180PK CBB</v>
          </cell>
          <cell r="C19" t="str">
            <v>01</v>
          </cell>
          <cell r="D19">
            <v>59.4</v>
          </cell>
          <cell r="F19">
            <v>14.48</v>
          </cell>
          <cell r="G19">
            <v>8.6</v>
          </cell>
          <cell r="H19">
            <v>1.73</v>
          </cell>
          <cell r="L19">
            <v>7.5</v>
          </cell>
        </row>
        <row r="20">
          <cell r="A20">
            <v>90183</v>
          </cell>
          <cell r="B20" t="str">
            <v>D. WHITENER JAR 10KG 1PK CBB</v>
          </cell>
          <cell r="C20" t="str">
            <v>02</v>
          </cell>
          <cell r="D20">
            <v>74.5</v>
          </cell>
        </row>
        <row r="21">
          <cell r="A21">
            <v>90184</v>
          </cell>
          <cell r="B21" t="str">
            <v>D. WHITENER JAR 25KG 1PK BAG</v>
          </cell>
          <cell r="C21" t="str">
            <v>02</v>
          </cell>
          <cell r="D21">
            <v>70</v>
          </cell>
        </row>
        <row r="22">
          <cell r="A22">
            <v>90186</v>
          </cell>
          <cell r="B22" t="str">
            <v>BUTTER BLOCK 1KG 18PK CBB</v>
          </cell>
          <cell r="C22" t="str">
            <v>07</v>
          </cell>
          <cell r="D22">
            <v>82.27</v>
          </cell>
        </row>
        <row r="23">
          <cell r="A23">
            <v>90187</v>
          </cell>
          <cell r="B23" t="str">
            <v>BUTTER BLOCK 100G 150PK CBB</v>
          </cell>
          <cell r="C23" t="str">
            <v>07</v>
          </cell>
          <cell r="D23">
            <v>90.21</v>
          </cell>
        </row>
        <row r="24">
          <cell r="A24">
            <v>90188</v>
          </cell>
          <cell r="B24" t="str">
            <v>BUTTER BLOCK 500G 30PK CBB</v>
          </cell>
          <cell r="C24" t="str">
            <v>07</v>
          </cell>
          <cell r="D24">
            <v>85.1</v>
          </cell>
        </row>
        <row r="25">
          <cell r="A25">
            <v>90189</v>
          </cell>
          <cell r="B25" t="str">
            <v>COW GHEE TIN 1LT 18PK CBB</v>
          </cell>
          <cell r="C25" t="str">
            <v>05</v>
          </cell>
          <cell r="D25">
            <v>81.27</v>
          </cell>
          <cell r="F25">
            <v>12.46</v>
          </cell>
        </row>
        <row r="26">
          <cell r="A26">
            <v>90190</v>
          </cell>
          <cell r="B26" t="str">
            <v>COW GHEE CEKA 1LT 18PK CBB</v>
          </cell>
          <cell r="C26" t="str">
            <v>05</v>
          </cell>
          <cell r="D26">
            <v>81.27</v>
          </cell>
          <cell r="F26">
            <v>4.67</v>
          </cell>
        </row>
        <row r="27">
          <cell r="A27">
            <v>90191</v>
          </cell>
          <cell r="B27" t="str">
            <v>COW GHEE CEKA 500ML 36PK CBB</v>
          </cell>
          <cell r="C27" t="str">
            <v>05</v>
          </cell>
          <cell r="D27">
            <v>81.27</v>
          </cell>
          <cell r="F27">
            <v>6.4</v>
          </cell>
        </row>
        <row r="28">
          <cell r="A28">
            <v>90192</v>
          </cell>
          <cell r="B28" t="str">
            <v>COW GHEE CEKA 200ML 60PK CBB</v>
          </cell>
          <cell r="C28" t="str">
            <v>05</v>
          </cell>
          <cell r="D28">
            <v>81.27</v>
          </cell>
          <cell r="F28">
            <v>10.44</v>
          </cell>
        </row>
        <row r="29">
          <cell r="A29">
            <v>90195</v>
          </cell>
          <cell r="B29" t="str">
            <v>MIXED GHEE TIN 1LT 18PK CBB</v>
          </cell>
          <cell r="C29" t="str">
            <v>06</v>
          </cell>
          <cell r="D29">
            <v>100.75</v>
          </cell>
        </row>
        <row r="30">
          <cell r="A30">
            <v>90196</v>
          </cell>
          <cell r="B30" t="str">
            <v>MIXED GHEE CEKA 1LT 18PK CBB</v>
          </cell>
          <cell r="C30" t="str">
            <v>06</v>
          </cell>
          <cell r="D30">
            <v>93.81</v>
          </cell>
        </row>
        <row r="31">
          <cell r="A31">
            <v>90197</v>
          </cell>
          <cell r="B31" t="str">
            <v>MIXED GHEE CEKA 500ML 36PK CBB</v>
          </cell>
          <cell r="C31" t="str">
            <v>06</v>
          </cell>
          <cell r="D31">
            <v>95.74</v>
          </cell>
        </row>
        <row r="32">
          <cell r="A32">
            <v>90200</v>
          </cell>
          <cell r="B32" t="str">
            <v>BAR CAKE FRUIT 200G 60PK CBB</v>
          </cell>
          <cell r="C32" t="str">
            <v>09</v>
          </cell>
        </row>
        <row r="33">
          <cell r="A33">
            <v>90201</v>
          </cell>
          <cell r="B33" t="str">
            <v>BAR CAKE FRUIT 100G PK CBB</v>
          </cell>
          <cell r="C33" t="str">
            <v>09</v>
          </cell>
        </row>
        <row r="34">
          <cell r="A34">
            <v>90203</v>
          </cell>
          <cell r="B34" t="str">
            <v>BAR CAKE CHOCO 200G 60PK CBB</v>
          </cell>
          <cell r="C34" t="str">
            <v>09</v>
          </cell>
        </row>
        <row r="35">
          <cell r="A35">
            <v>90204</v>
          </cell>
          <cell r="B35" t="str">
            <v>BAR CAKE V.C. 200G 60PK CBB</v>
          </cell>
          <cell r="C35" t="str">
            <v>09</v>
          </cell>
        </row>
        <row r="36">
          <cell r="A36">
            <v>90205</v>
          </cell>
          <cell r="B36" t="str">
            <v>BAR CAKE O.C. 200G 60PK CBB</v>
          </cell>
          <cell r="C36" t="str">
            <v>09</v>
          </cell>
        </row>
        <row r="37">
          <cell r="A37">
            <v>90206</v>
          </cell>
          <cell r="B37" t="str">
            <v>BAR CAKE BUTTER SPONGE 200G 60PK CBB</v>
          </cell>
          <cell r="C37" t="str">
            <v>09</v>
          </cell>
        </row>
        <row r="38">
          <cell r="A38">
            <v>90265</v>
          </cell>
          <cell r="B38" t="str">
            <v>CHEESE BLOCK NATURAL 200G CEKA 30PK CBB</v>
          </cell>
          <cell r="C38" t="str">
            <v>03</v>
          </cell>
          <cell r="D38">
            <v>99.974357217985641</v>
          </cell>
          <cell r="E38">
            <v>1.8079215036188994</v>
          </cell>
          <cell r="F38">
            <v>24.25</v>
          </cell>
          <cell r="G38">
            <v>0.17182262271734081</v>
          </cell>
          <cell r="H38">
            <v>2.6318034404348341</v>
          </cell>
          <cell r="I38">
            <v>1.45</v>
          </cell>
          <cell r="J38">
            <v>1.48</v>
          </cell>
          <cell r="M38">
            <v>131.76590478475669</v>
          </cell>
        </row>
        <row r="39">
          <cell r="A39">
            <v>90266</v>
          </cell>
          <cell r="B39" t="str">
            <v>COLD COFFEE 200ML 24PK TRAY</v>
          </cell>
          <cell r="C39" t="str">
            <v>08</v>
          </cell>
          <cell r="D39">
            <v>15.58</v>
          </cell>
          <cell r="E39">
            <v>4.25</v>
          </cell>
          <cell r="F39">
            <v>12.28</v>
          </cell>
          <cell r="L39">
            <v>1.75</v>
          </cell>
        </row>
        <row r="40">
          <cell r="A40">
            <v>90267</v>
          </cell>
          <cell r="B40" t="str">
            <v>D. MIX POUCH 100G 120PK CBB</v>
          </cell>
          <cell r="C40" t="str">
            <v>01</v>
          </cell>
          <cell r="D40">
            <v>59.4</v>
          </cell>
          <cell r="F40">
            <v>10.74</v>
          </cell>
          <cell r="G40">
            <v>8.6</v>
          </cell>
          <cell r="H40">
            <v>1.73</v>
          </cell>
          <cell r="L40">
            <v>7.5</v>
          </cell>
        </row>
        <row r="41">
          <cell r="A41">
            <v>90268</v>
          </cell>
          <cell r="B41" t="str">
            <v>F. MILK CHOCOLATE 200ML 24PK TRAY</v>
          </cell>
          <cell r="C41" t="str">
            <v>08</v>
          </cell>
          <cell r="D41">
            <v>13.73</v>
          </cell>
          <cell r="E41">
            <v>4.25</v>
          </cell>
          <cell r="F41">
            <v>12.28</v>
          </cell>
          <cell r="L41">
            <v>1.75</v>
          </cell>
        </row>
        <row r="42">
          <cell r="A42">
            <v>90269</v>
          </cell>
          <cell r="B42" t="str">
            <v>F. MILK STRAWBERRY 200ML 24PK TRAY</v>
          </cell>
          <cell r="C42" t="str">
            <v>08</v>
          </cell>
          <cell r="D42">
            <v>15.26</v>
          </cell>
          <cell r="E42">
            <v>4.25</v>
          </cell>
          <cell r="F42">
            <v>12.28</v>
          </cell>
          <cell r="L42">
            <v>1.75</v>
          </cell>
        </row>
        <row r="43">
          <cell r="A43">
            <v>90270</v>
          </cell>
          <cell r="B43" t="str">
            <v>LASSI 200ML 24PK TRAY</v>
          </cell>
          <cell r="C43" t="str">
            <v>08</v>
          </cell>
          <cell r="D43">
            <v>14.88</v>
          </cell>
          <cell r="E43">
            <v>4.25</v>
          </cell>
          <cell r="F43">
            <v>12.28</v>
          </cell>
          <cell r="L43">
            <v>1.75</v>
          </cell>
        </row>
        <row r="44">
          <cell r="A44">
            <v>90271</v>
          </cell>
          <cell r="B44" t="str">
            <v>MIXED GHEE TIN 5LT 4PK CBB</v>
          </cell>
          <cell r="C44" t="str">
            <v>06</v>
          </cell>
          <cell r="D44">
            <v>97.05</v>
          </cell>
        </row>
        <row r="45">
          <cell r="A45">
            <v>90296</v>
          </cell>
          <cell r="B45" t="str">
            <v>CHEESE BLOCK 1KG 12PK CBB LOW MELT</v>
          </cell>
          <cell r="C45" t="str">
            <v>03</v>
          </cell>
          <cell r="D45">
            <v>99.661379223592263</v>
          </cell>
          <cell r="E45">
            <v>1.8079215036188994</v>
          </cell>
          <cell r="F45">
            <v>5.73</v>
          </cell>
          <cell r="G45">
            <v>0.17182262271734081</v>
          </cell>
          <cell r="H45">
            <v>2.6318034404348341</v>
          </cell>
          <cell r="I45">
            <v>1.45</v>
          </cell>
          <cell r="J45">
            <v>1.17</v>
          </cell>
          <cell r="M45">
            <v>112.62292679036335</v>
          </cell>
        </row>
        <row r="46">
          <cell r="A46">
            <v>90316</v>
          </cell>
          <cell r="B46" t="str">
            <v>BAR CAKE CHOCO 200G 30PK CBB</v>
          </cell>
          <cell r="C46" t="str">
            <v>09</v>
          </cell>
        </row>
        <row r="47">
          <cell r="A47">
            <v>90317</v>
          </cell>
          <cell r="B47" t="str">
            <v>BAR CAKE FRUIT 200G 30PK CBB</v>
          </cell>
          <cell r="C47" t="str">
            <v>09</v>
          </cell>
        </row>
        <row r="48">
          <cell r="A48">
            <v>90318</v>
          </cell>
          <cell r="B48" t="str">
            <v>BAR CAKE O.C. 200G 30PK CBB</v>
          </cell>
          <cell r="C48" t="str">
            <v>09</v>
          </cell>
        </row>
        <row r="49">
          <cell r="A49">
            <v>90321</v>
          </cell>
          <cell r="B49" t="str">
            <v>BAR CAKE V.C. 200G 30PK CBB</v>
          </cell>
          <cell r="C49" t="str">
            <v>09</v>
          </cell>
        </row>
        <row r="50">
          <cell r="A50">
            <v>90322</v>
          </cell>
          <cell r="B50" t="str">
            <v>CHEESE BLOCK NATURAL 1KG CEKA 12PK CBB</v>
          </cell>
          <cell r="C50" t="str">
            <v>03</v>
          </cell>
          <cell r="D50">
            <v>99.974357217985641</v>
          </cell>
          <cell r="E50">
            <v>1.8079215036188994</v>
          </cell>
          <cell r="F50">
            <v>7.18</v>
          </cell>
          <cell r="G50">
            <v>0.17182262271734081</v>
          </cell>
          <cell r="H50">
            <v>2.6318034404348341</v>
          </cell>
          <cell r="I50">
            <v>1.45</v>
          </cell>
          <cell r="J50">
            <v>1.17</v>
          </cell>
          <cell r="M50">
            <v>114.38590478475673</v>
          </cell>
        </row>
        <row r="51">
          <cell r="A51">
            <v>90323</v>
          </cell>
          <cell r="B51" t="str">
            <v>CHEESE CASTED SLICES 2.27KG 8PK CBB</v>
          </cell>
          <cell r="C51" t="str">
            <v>03</v>
          </cell>
          <cell r="D51">
            <v>99.974357217985641</v>
          </cell>
          <cell r="E51">
            <v>4.6965663756069551</v>
          </cell>
          <cell r="F51">
            <v>3.37</v>
          </cell>
          <cell r="G51">
            <v>0.17142606778010852</v>
          </cell>
          <cell r="H51">
            <v>2.6318034404348341</v>
          </cell>
          <cell r="I51">
            <v>1.45</v>
          </cell>
          <cell r="J51">
            <v>0.67</v>
          </cell>
          <cell r="M51">
            <v>112.96415310180754</v>
          </cell>
        </row>
        <row r="52">
          <cell r="A52">
            <v>90325</v>
          </cell>
          <cell r="B52" t="str">
            <v>COW GHEE PET 200ML 48PK CBB</v>
          </cell>
          <cell r="C52" t="str">
            <v>05</v>
          </cell>
          <cell r="D52">
            <v>81.27</v>
          </cell>
          <cell r="F52">
            <v>25.91</v>
          </cell>
          <cell r="H52">
            <v>3</v>
          </cell>
        </row>
        <row r="53">
          <cell r="A53">
            <v>90326</v>
          </cell>
          <cell r="B53" t="str">
            <v>COW GHEE POUCH 1LT 12PK CBB</v>
          </cell>
          <cell r="C53" t="str">
            <v>05</v>
          </cell>
          <cell r="D53">
            <v>81.27</v>
          </cell>
          <cell r="F53">
            <v>2.0099999999999998</v>
          </cell>
        </row>
        <row r="54">
          <cell r="A54">
            <v>90327</v>
          </cell>
          <cell r="B54" t="str">
            <v>COW GHEE POUCH 500ML 24PK CBB</v>
          </cell>
          <cell r="C54" t="str">
            <v>05</v>
          </cell>
          <cell r="D54">
            <v>81.27</v>
          </cell>
          <cell r="F54">
            <v>2.63</v>
          </cell>
        </row>
        <row r="55">
          <cell r="A55">
            <v>90328</v>
          </cell>
          <cell r="B55" t="str">
            <v>COW GHEE TIN 15KG 1PK CBB</v>
          </cell>
          <cell r="C55" t="str">
            <v>05</v>
          </cell>
          <cell r="D55">
            <v>92</v>
          </cell>
        </row>
        <row r="56">
          <cell r="A56">
            <v>90330</v>
          </cell>
          <cell r="B56" t="str">
            <v>MIXED GHEE CEKA 200ML 60PK CBB</v>
          </cell>
          <cell r="C56" t="str">
            <v>06</v>
          </cell>
          <cell r="D56">
            <v>98.91</v>
          </cell>
        </row>
        <row r="57">
          <cell r="A57">
            <v>90338</v>
          </cell>
          <cell r="B57" t="str">
            <v>CHEESE TIN FT 400G+100G 24PK CBB PROMO</v>
          </cell>
          <cell r="C57" t="str">
            <v>03</v>
          </cell>
          <cell r="D57">
            <v>89.397571851454515</v>
          </cell>
          <cell r="E57">
            <v>1.9039298136483209</v>
          </cell>
          <cell r="F57">
            <v>38.14</v>
          </cell>
          <cell r="G57">
            <v>0.17182262271734081</v>
          </cell>
          <cell r="H57">
            <v>2.6318034404348341</v>
          </cell>
          <cell r="I57">
            <v>1.45</v>
          </cell>
          <cell r="J57">
            <v>1.67</v>
          </cell>
          <cell r="M57">
            <v>135.36512772825498</v>
          </cell>
        </row>
        <row r="58">
          <cell r="A58">
            <v>90339</v>
          </cell>
          <cell r="B58" t="str">
            <v>CHEESE TIN NFT 400G+100G 24PK CBB PROMO</v>
          </cell>
          <cell r="C58" t="str">
            <v>03</v>
          </cell>
          <cell r="D58">
            <v>89.397571851454515</v>
          </cell>
          <cell r="E58">
            <v>1.9039298136483209</v>
          </cell>
          <cell r="F58">
            <v>25.66</v>
          </cell>
          <cell r="G58">
            <v>0.17182262271734081</v>
          </cell>
          <cell r="H58">
            <v>2.6318034404348341</v>
          </cell>
          <cell r="I58">
            <v>1.45</v>
          </cell>
          <cell r="J58">
            <v>0.22</v>
          </cell>
          <cell r="M58">
            <v>121.43512772825501</v>
          </cell>
        </row>
        <row r="59">
          <cell r="A59">
            <v>90340</v>
          </cell>
          <cell r="B59" t="str">
            <v>D. WHITENER JAR 10KG+0.5KG 1PK CBB</v>
          </cell>
          <cell r="C59" t="str">
            <v>02</v>
          </cell>
          <cell r="D59">
            <v>76</v>
          </cell>
        </row>
        <row r="60">
          <cell r="A60">
            <v>90401</v>
          </cell>
          <cell r="B60" t="str">
            <v>C. SPREAD TUB C. CAP. 200G 60PK CBB</v>
          </cell>
          <cell r="C60" t="str">
            <v>04</v>
          </cell>
          <cell r="D60">
            <v>64.551046228885653</v>
          </cell>
          <cell r="E60">
            <v>2.9925114504918966</v>
          </cell>
          <cell r="F60">
            <v>17.18</v>
          </cell>
          <cell r="G60">
            <v>0.17142606778010852</v>
          </cell>
          <cell r="H60">
            <v>2.6318034404348341</v>
          </cell>
          <cell r="I60">
            <v>1.45</v>
          </cell>
          <cell r="J60">
            <v>0.85</v>
          </cell>
          <cell r="M60">
            <v>89.826787187592501</v>
          </cell>
        </row>
        <row r="61">
          <cell r="A61">
            <v>90402</v>
          </cell>
          <cell r="B61" t="str">
            <v>C. SPREAD TUB PEPPER 200G 60PK CBB</v>
          </cell>
          <cell r="C61" t="str">
            <v>04</v>
          </cell>
          <cell r="D61">
            <v>62.223666844172811</v>
          </cell>
          <cell r="E61">
            <v>2.9925114504918966</v>
          </cell>
          <cell r="F61">
            <v>17.18</v>
          </cell>
          <cell r="G61">
            <v>0.17142606778010852</v>
          </cell>
          <cell r="H61">
            <v>2.6318034404348341</v>
          </cell>
          <cell r="I61">
            <v>1.45</v>
          </cell>
          <cell r="J61">
            <v>0.74</v>
          </cell>
          <cell r="M61">
            <v>87.389407802879646</v>
          </cell>
        </row>
        <row r="62">
          <cell r="A62">
            <v>90403</v>
          </cell>
          <cell r="B62" t="str">
            <v>C. SPREAD TUB PLAIN 200G 60PK CBB</v>
          </cell>
          <cell r="C62" t="str">
            <v>04</v>
          </cell>
          <cell r="D62">
            <v>60.336390936231538</v>
          </cell>
          <cell r="E62">
            <v>2.9925114504918966</v>
          </cell>
          <cell r="F62">
            <v>17.18</v>
          </cell>
          <cell r="G62">
            <v>0.17142606778010852</v>
          </cell>
          <cell r="H62">
            <v>2.6318034404348341</v>
          </cell>
          <cell r="I62">
            <v>1.45</v>
          </cell>
          <cell r="J62">
            <v>0.67</v>
          </cell>
          <cell r="M62">
            <v>85.432131894938379</v>
          </cell>
        </row>
        <row r="63">
          <cell r="A63">
            <v>90404</v>
          </cell>
          <cell r="B63" t="str">
            <v>CHEESE BLOCK 400G CEKA 30PK CBB PL BOX</v>
          </cell>
          <cell r="C63" t="str">
            <v>03</v>
          </cell>
          <cell r="D63">
            <v>90.544383169275193</v>
          </cell>
          <cell r="E63">
            <v>2.1980148496495717</v>
          </cell>
          <cell r="F63">
            <v>23.16</v>
          </cell>
          <cell r="G63">
            <v>0.17182262271734081</v>
          </cell>
          <cell r="H63">
            <v>2.6318034404348341</v>
          </cell>
          <cell r="I63">
            <v>1.45</v>
          </cell>
          <cell r="J63">
            <v>0.13</v>
          </cell>
          <cell r="M63">
            <v>120.28602408207693</v>
          </cell>
        </row>
        <row r="64">
          <cell r="A64">
            <v>90408</v>
          </cell>
          <cell r="B64" t="str">
            <v>D. WHITENER POUCH 1KG 12PK CBB PROMO</v>
          </cell>
        </row>
        <row r="65">
          <cell r="A65">
            <v>90409</v>
          </cell>
          <cell r="B65" t="str">
            <v>D. WHITENER POUCH 200G 60PK CBB PROMO</v>
          </cell>
          <cell r="C65" t="str">
            <v>01</v>
          </cell>
          <cell r="D65">
            <v>59.4</v>
          </cell>
          <cell r="F65">
            <v>7.56</v>
          </cell>
          <cell r="G65">
            <v>8.6</v>
          </cell>
          <cell r="H65">
            <v>1.73</v>
          </cell>
          <cell r="L65">
            <v>7.5</v>
          </cell>
        </row>
        <row r="66">
          <cell r="A66">
            <v>90410</v>
          </cell>
          <cell r="B66" t="str">
            <v>D. WHITENER POUCH 500G 24PK CBB PROMO</v>
          </cell>
          <cell r="D66">
            <v>59.4</v>
          </cell>
          <cell r="F66">
            <v>5.52</v>
          </cell>
          <cell r="G66">
            <v>8.6</v>
          </cell>
          <cell r="H66">
            <v>1.73</v>
          </cell>
          <cell r="L66">
            <v>7.5</v>
          </cell>
        </row>
        <row r="67">
          <cell r="A67">
            <v>90411</v>
          </cell>
          <cell r="B67" t="str">
            <v>D. WHITENER POUCH 50G 180PK CBB PROMO</v>
          </cell>
          <cell r="C67" t="str">
            <v>01</v>
          </cell>
          <cell r="D67">
            <v>59.4</v>
          </cell>
          <cell r="F67">
            <v>14.58</v>
          </cell>
          <cell r="G67">
            <v>8.6</v>
          </cell>
          <cell r="H67">
            <v>1.73</v>
          </cell>
          <cell r="L67">
            <v>7.5</v>
          </cell>
        </row>
        <row r="68">
          <cell r="A68">
            <v>90412</v>
          </cell>
          <cell r="B68" t="str">
            <v>D. WHITENER SACHET 3G 2000PK CBB</v>
          </cell>
          <cell r="C68" t="str">
            <v>01</v>
          </cell>
          <cell r="D68">
            <v>169.23</v>
          </cell>
        </row>
        <row r="69">
          <cell r="A69">
            <v>90414</v>
          </cell>
          <cell r="B69" t="str">
            <v>BAR CAKE BUTTER SPONGE 200G 30PK CBB</v>
          </cell>
          <cell r="C69" t="str">
            <v>01</v>
          </cell>
        </row>
        <row r="70">
          <cell r="A70">
            <v>90425</v>
          </cell>
          <cell r="B70" t="str">
            <v>Cheese 400g APO</v>
          </cell>
          <cell r="C70" t="str">
            <v>03</v>
          </cell>
          <cell r="D70">
            <v>90.539386829961529</v>
          </cell>
          <cell r="E70">
            <v>1.9110058893864683</v>
          </cell>
          <cell r="F70">
            <v>25.66</v>
          </cell>
          <cell r="G70">
            <v>0.17142606778010852</v>
          </cell>
          <cell r="H70">
            <v>2.6318034404348341</v>
          </cell>
          <cell r="I70">
            <v>1.45</v>
          </cell>
          <cell r="J70">
            <v>-0.05</v>
          </cell>
          <cell r="M70">
            <v>122.31362222756294</v>
          </cell>
        </row>
        <row r="71">
          <cell r="A71">
            <v>90427</v>
          </cell>
          <cell r="B71" t="str">
            <v>MIXED GHEE POUCH 1LT 12PK CBB</v>
          </cell>
          <cell r="C71" t="str">
            <v>06</v>
          </cell>
          <cell r="D71">
            <v>91.91</v>
          </cell>
        </row>
        <row r="72">
          <cell r="A72">
            <v>90488</v>
          </cell>
          <cell r="B72" t="str">
            <v>BUTTER BLOCK 100G 180PK CBB INST</v>
          </cell>
          <cell r="C72" t="str">
            <v>07</v>
          </cell>
          <cell r="D72">
            <v>84.55</v>
          </cell>
        </row>
        <row r="73">
          <cell r="A73">
            <v>90490</v>
          </cell>
          <cell r="B73" t="str">
            <v>COW GHEE PET 500ML 36PK CBB</v>
          </cell>
          <cell r="C73" t="str">
            <v>05</v>
          </cell>
          <cell r="D73">
            <v>81.27</v>
          </cell>
          <cell r="F73">
            <v>14.98</v>
          </cell>
          <cell r="H73">
            <v>3</v>
          </cell>
        </row>
        <row r="74">
          <cell r="A74">
            <v>90500</v>
          </cell>
          <cell r="B74" t="str">
            <v>Mixed Butter - 100gms</v>
          </cell>
          <cell r="C74" t="str">
            <v>06</v>
          </cell>
          <cell r="D74">
            <v>91.57</v>
          </cell>
        </row>
        <row r="75">
          <cell r="A75">
            <v>90501</v>
          </cell>
          <cell r="B75" t="str">
            <v>Mixed Butter - 500 Gms</v>
          </cell>
          <cell r="C75" t="str">
            <v>06</v>
          </cell>
          <cell r="D75">
            <v>86.92</v>
          </cell>
        </row>
        <row r="76">
          <cell r="A76">
            <v>90502</v>
          </cell>
          <cell r="B76" t="str">
            <v>Mixed Butter - 1 Kg</v>
          </cell>
          <cell r="C76" t="str">
            <v>06</v>
          </cell>
          <cell r="D76">
            <v>86.15</v>
          </cell>
        </row>
        <row r="77">
          <cell r="A77">
            <v>90503</v>
          </cell>
          <cell r="B77" t="str">
            <v>BUTTER BLOCK 500G 30PK CBB PROMO</v>
          </cell>
          <cell r="C77" t="str">
            <v>07</v>
          </cell>
          <cell r="D77">
            <v>85.1</v>
          </cell>
        </row>
        <row r="78">
          <cell r="A78">
            <v>90504</v>
          </cell>
          <cell r="B78" t="str">
            <v>CHEESE SLICES 200G 60PK CBB PROMO</v>
          </cell>
          <cell r="C78" t="str">
            <v>03</v>
          </cell>
          <cell r="D78">
            <v>84.008032640823799</v>
          </cell>
          <cell r="E78">
            <v>3.3526836799331909</v>
          </cell>
          <cell r="F78">
            <v>16.68</v>
          </cell>
          <cell r="G78">
            <v>2.9847326367025067E-2</v>
          </cell>
          <cell r="H78">
            <v>2.6318034404348341</v>
          </cell>
          <cell r="I78">
            <v>1.45</v>
          </cell>
          <cell r="J78">
            <v>1.48</v>
          </cell>
          <cell r="M78">
            <v>109.63236708755885</v>
          </cell>
        </row>
        <row r="79">
          <cell r="A79">
            <v>90513</v>
          </cell>
          <cell r="B79" t="str">
            <v>MIXED GHEE TIN 1LT 12PK CBB</v>
          </cell>
          <cell r="C79" t="str">
            <v>06</v>
          </cell>
          <cell r="D79">
            <v>100.75</v>
          </cell>
        </row>
        <row r="80">
          <cell r="A80">
            <v>90532</v>
          </cell>
          <cell r="B80" t="str">
            <v>MIXED GHEE CEKA 1LT 18PK CBB PROMO</v>
          </cell>
          <cell r="C80" t="str">
            <v>06</v>
          </cell>
          <cell r="D80">
            <v>93.81</v>
          </cell>
        </row>
        <row r="81">
          <cell r="A81">
            <v>90533</v>
          </cell>
          <cell r="B81" t="str">
            <v>GH 1ltr Pouch Mix  Prom</v>
          </cell>
          <cell r="D81">
            <v>91.91</v>
          </cell>
        </row>
        <row r="82">
          <cell r="A82">
            <v>90534</v>
          </cell>
          <cell r="B82" t="str">
            <v>MIXED GHEE TIN 1LT 18PK CBB PROMO</v>
          </cell>
          <cell r="C82" t="str">
            <v>06</v>
          </cell>
          <cell r="D82">
            <v>100.75</v>
          </cell>
        </row>
        <row r="83">
          <cell r="A83">
            <v>90535</v>
          </cell>
          <cell r="B83" t="str">
            <v>SKIMMED MILK 500 ML</v>
          </cell>
          <cell r="C83" t="str">
            <v>10</v>
          </cell>
          <cell r="D83">
            <v>7.0250000000000004</v>
          </cell>
        </row>
        <row r="84">
          <cell r="A84" t="str">
            <v>90417</v>
          </cell>
          <cell r="B84" t="str">
            <v>MILK FULL CREAM 1LT</v>
          </cell>
          <cell r="C84" t="str">
            <v>10</v>
          </cell>
          <cell r="D84">
            <v>12.605</v>
          </cell>
          <cell r="N84">
            <v>15.89</v>
          </cell>
        </row>
        <row r="85">
          <cell r="A85" t="str">
            <v>90418</v>
          </cell>
          <cell r="B85" t="str">
            <v>MILK FULL CREAM 500M</v>
          </cell>
          <cell r="C85" t="str">
            <v>10</v>
          </cell>
          <cell r="D85">
            <v>12.712999999999999</v>
          </cell>
          <cell r="N85">
            <v>15.89</v>
          </cell>
        </row>
        <row r="86">
          <cell r="A86" t="str">
            <v>90419</v>
          </cell>
          <cell r="B86" t="str">
            <v>MILK TONED 1LT POUCH</v>
          </cell>
          <cell r="C86" t="str">
            <v>10</v>
          </cell>
          <cell r="D86">
            <v>9.3030000000000008</v>
          </cell>
          <cell r="N86">
            <v>11.04</v>
          </cell>
        </row>
        <row r="87">
          <cell r="A87" t="str">
            <v>90420</v>
          </cell>
          <cell r="B87" t="str">
            <v>MILK TONED 500 ML PO</v>
          </cell>
          <cell r="C87" t="str">
            <v>10</v>
          </cell>
          <cell r="D87">
            <v>9.3789999999999996</v>
          </cell>
          <cell r="N87">
            <v>11.04</v>
          </cell>
        </row>
        <row r="88">
          <cell r="A88" t="str">
            <v>90421</v>
          </cell>
          <cell r="B88" t="str">
            <v>MILK DOUBLE TONED 50</v>
          </cell>
          <cell r="C88" t="str">
            <v>10</v>
          </cell>
          <cell r="D88">
            <v>8.3290000000000006</v>
          </cell>
          <cell r="N88">
            <v>9.26</v>
          </cell>
        </row>
        <row r="89">
          <cell r="A89" t="str">
            <v>90509</v>
          </cell>
          <cell r="B89" t="str">
            <v>MILK STANDARDISED 1L</v>
          </cell>
          <cell r="C89" t="str">
            <v>10</v>
          </cell>
          <cell r="D89">
            <v>10.965999999999999</v>
          </cell>
        </row>
        <row r="90">
          <cell r="A90" t="str">
            <v>90510</v>
          </cell>
          <cell r="B90" t="str">
            <v>MILK STANDARDISED 50</v>
          </cell>
          <cell r="C90" t="str">
            <v>10</v>
          </cell>
          <cell r="D90">
            <v>11.065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Information"/>
      <sheetName val="Balance Sheet"/>
      <sheetName val="Profit And Loss"/>
      <sheetName val="cash flow"/>
      <sheetName val="Share Capital"/>
      <sheetName val="Shareholding in excess of 5% "/>
      <sheetName val="Reco share"/>
      <sheetName val="Reserves &amp; Surplus"/>
      <sheetName val="Money Recd Ag Share Warrants"/>
      <sheetName val="Sh.Appl. Pending Allot"/>
      <sheetName val="Liabilities "/>
      <sheetName val="Bonds and Debentures "/>
      <sheetName val="term loans "/>
      <sheetName val="Deferred Payments "/>
      <sheetName val="Deposits "/>
      <sheetName val="loans from related parties "/>
      <sheetName val="Lease obligations "/>
      <sheetName val="Other Longterm Liabilities"/>
      <sheetName val="Others Liabilities "/>
      <sheetName val="trade  payable "/>
      <sheetName val="provision "/>
      <sheetName val="Fixed Assets CY"/>
      <sheetName val="Fixed Assets PY"/>
      <sheetName val="assets held for sale"/>
      <sheetName val="Investment Pivot"/>
      <sheetName val="Investments "/>
      <sheetName val="Inventories "/>
      <sheetName val="Trade Receivables "/>
      <sheetName val="trade Receivables curyr"/>
      <sheetName val="trade Receivables preyr"/>
      <sheetName val="Cash and cash equivalents "/>
      <sheetName val="Loans and Advances "/>
      <sheetName val="capital Advance"/>
      <sheetName val="Loans related parties curyr"/>
      <sheetName val="Loans related parties preyr"/>
      <sheetName val="Security Deposit curyr "/>
      <sheetName val="Security Deposit preyr "/>
      <sheetName val="Other Loans curyr "/>
      <sheetName val="Other Loans preyr "/>
      <sheetName val="Other Assets curyr "/>
      <sheetName val="Other Assets preyr "/>
      <sheetName val="DTS Summery"/>
      <sheetName val="deferrerd tax"/>
      <sheetName val="deferrerd tax discont"/>
      <sheetName val="revenue from operations "/>
      <sheetName val="other income "/>
      <sheetName val="Cost of goods sold "/>
      <sheetName val="ChaNges in invet"/>
      <sheetName val="Emp Ben"/>
      <sheetName val="finance cost"/>
      <sheetName val="Other Expenses"/>
      <sheetName val="Current Tax"/>
      <sheetName val="Pror Period "/>
      <sheetName val="Profitlossfirmllp"/>
      <sheetName val="Extraordinary Items"/>
      <sheetName val="discontinuing operations"/>
      <sheetName val="Cont liabilities and commitment"/>
      <sheetName val="Wrkg 6U 6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Other Notes"/>
      <sheetName val="Note 4.01 to 4.13"/>
      <sheetName val="P&amp;L"/>
      <sheetName val="Ind AS TB - BS"/>
      <sheetName val="Ind AS TB - PL"/>
      <sheetName val="Changes in equity (1)"/>
      <sheetName val="Note 2.01 &amp; 2.05 (BS)"/>
      <sheetName val="Note 2.01 &amp; 2.05 (FA)"/>
      <sheetName val="Note 1.01 to 1.25"/>
      <sheetName val="Note 2.05 to 2.09(BS)"/>
      <sheetName val="Note 2.8 - 2.9(FA)"/>
      <sheetName val="Note 2.12 to 2.16(BS)"/>
      <sheetName val="Note 2.17 to 2.19(BS)"/>
      <sheetName val="RESULTS (IND AS) "/>
      <sheetName val="Cash Flow "/>
      <sheetName val="BS"/>
      <sheetName val="Changes in equity"/>
      <sheetName val="Note 2.06 &amp; 2.21 (BS)1"/>
      <sheetName val="Investment"/>
      <sheetName val="Note 2.06 &amp; 2.21 (BS)"/>
      <sheetName val="Statement of P&amp;L"/>
      <sheetName val="Note 3.01 to 3.14(P&amp;L)"/>
      <sheetName val="Grouping"/>
      <sheetName val="Adjustment Entry"/>
      <sheetName val="Trial 16-17"/>
      <sheetName val="Trial Balance"/>
      <sheetName val="SAP TB"/>
      <sheetName val="Com-YTD"/>
      <sheetName val="Details-YTD"/>
      <sheetName val="Qty Data15-16"/>
      <sheetName val="Qty Data16-17"/>
      <sheetName val="Note 4.08 to 4.11-NTA "/>
      <sheetName val="Note 4.12 to 4.13"/>
      <sheetName val="Note 4.14 to 4.21"/>
      <sheetName val="Note 4.22"/>
      <sheetName val="Note 4.23 to 4.29"/>
      <sheetName val="Guidance Notes"/>
      <sheetName val="Chk-AcctPly"/>
      <sheetName val="Wrk-ShrCAP"/>
      <sheetName val="Wrk-Invest"/>
      <sheetName val="Wrk-Inventory"/>
      <sheetName val="Wrk-Mov in Invent"/>
      <sheetName val="Wrk-Relparty"/>
      <sheetName val="Wrk-Forex"/>
      <sheetName val="Wrk-Def Tax"/>
      <sheetName val="Wrk-Income Tax"/>
      <sheetName val="Wrk-EmpBen"/>
      <sheetName val="Wrk-FinCost"/>
      <sheetName val="Wrk-AS4"/>
      <sheetName val="Wrkg-Cont Liab"/>
      <sheetName val="Wrk-6U 6W"/>
      <sheetName val="Control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at1"/>
      <sheetName val="Mumbai CATT"/>
      <sheetName val="Region"/>
      <sheetName val="Customer master 160701"/>
      <sheetName val="Rates"/>
      <sheetName val="BB"/>
      <sheetName val="20"/>
      <sheetName val="C"/>
      <sheetName val="NN"/>
      <sheetName val="30"/>
      <sheetName val="15"/>
      <sheetName val="UV"/>
    </sheetNames>
    <sheetDataSet>
      <sheetData sheetId="0" refreshError="1"/>
      <sheetData sheetId="1" refreshError="1"/>
      <sheetData sheetId="2" refreshError="1">
        <row r="2">
          <cell r="A2">
            <v>1</v>
          </cell>
          <cell r="B2" t="str">
            <v>Andra Pradesh</v>
          </cell>
          <cell r="C2" t="str">
            <v>C</v>
          </cell>
        </row>
        <row r="3">
          <cell r="A3">
            <v>2</v>
          </cell>
          <cell r="B3" t="str">
            <v>Arunachal Pradesh</v>
          </cell>
          <cell r="C3" t="str">
            <v>K</v>
          </cell>
        </row>
        <row r="4">
          <cell r="A4">
            <v>3</v>
          </cell>
          <cell r="B4" t="str">
            <v>Assam</v>
          </cell>
          <cell r="C4" t="str">
            <v>K</v>
          </cell>
        </row>
        <row r="5">
          <cell r="A5">
            <v>4</v>
          </cell>
          <cell r="B5" t="str">
            <v>Bihar</v>
          </cell>
          <cell r="C5" t="str">
            <v>K</v>
          </cell>
        </row>
        <row r="6">
          <cell r="A6">
            <v>5</v>
          </cell>
          <cell r="B6" t="str">
            <v>Goa</v>
          </cell>
          <cell r="C6" t="str">
            <v>M</v>
          </cell>
        </row>
        <row r="7">
          <cell r="A7">
            <v>6</v>
          </cell>
          <cell r="B7" t="str">
            <v>Gujarat</v>
          </cell>
          <cell r="C7" t="str">
            <v>M</v>
          </cell>
        </row>
        <row r="8">
          <cell r="A8">
            <v>7</v>
          </cell>
          <cell r="B8" t="str">
            <v>Haryana</v>
          </cell>
          <cell r="C8" t="str">
            <v>D</v>
          </cell>
        </row>
        <row r="9">
          <cell r="A9">
            <v>8</v>
          </cell>
          <cell r="B9" t="str">
            <v>Himachal Pradesh</v>
          </cell>
          <cell r="C9" t="str">
            <v>D</v>
          </cell>
        </row>
        <row r="10">
          <cell r="A10">
            <v>9</v>
          </cell>
          <cell r="B10" t="str">
            <v>Jammu und Kashmir</v>
          </cell>
          <cell r="C10" t="str">
            <v>D</v>
          </cell>
        </row>
        <row r="11">
          <cell r="A11">
            <v>10</v>
          </cell>
          <cell r="B11" t="str">
            <v>Karnataka</v>
          </cell>
          <cell r="C11" t="str">
            <v>C</v>
          </cell>
        </row>
        <row r="12">
          <cell r="A12">
            <v>11</v>
          </cell>
          <cell r="B12" t="str">
            <v>Kerala</v>
          </cell>
          <cell r="C12" t="str">
            <v>C</v>
          </cell>
        </row>
        <row r="13">
          <cell r="A13">
            <v>12</v>
          </cell>
          <cell r="B13" t="str">
            <v>Madhya Pradesh</v>
          </cell>
          <cell r="C13" t="str">
            <v>M</v>
          </cell>
        </row>
        <row r="14">
          <cell r="A14">
            <v>13</v>
          </cell>
          <cell r="B14" t="str">
            <v>Maharashtra</v>
          </cell>
          <cell r="C14" t="str">
            <v>M</v>
          </cell>
        </row>
        <row r="15">
          <cell r="A15">
            <v>14</v>
          </cell>
          <cell r="B15" t="str">
            <v>Manipur</v>
          </cell>
          <cell r="C15" t="str">
            <v>K</v>
          </cell>
        </row>
        <row r="16">
          <cell r="A16">
            <v>15</v>
          </cell>
          <cell r="B16" t="str">
            <v>Megalaya</v>
          </cell>
          <cell r="C16" t="str">
            <v>K</v>
          </cell>
        </row>
        <row r="17">
          <cell r="A17">
            <v>16</v>
          </cell>
          <cell r="B17" t="str">
            <v>Mizoram</v>
          </cell>
          <cell r="C17" t="str">
            <v>K</v>
          </cell>
        </row>
        <row r="18">
          <cell r="A18">
            <v>17</v>
          </cell>
          <cell r="B18" t="str">
            <v>Nagaland</v>
          </cell>
          <cell r="C18" t="str">
            <v>K</v>
          </cell>
        </row>
        <row r="19">
          <cell r="A19">
            <v>18</v>
          </cell>
          <cell r="B19" t="str">
            <v>Orissa</v>
          </cell>
          <cell r="C19" t="str">
            <v>K</v>
          </cell>
        </row>
        <row r="20">
          <cell r="A20">
            <v>19</v>
          </cell>
          <cell r="B20" t="str">
            <v>Punjab</v>
          </cell>
          <cell r="C20" t="str">
            <v>D</v>
          </cell>
        </row>
        <row r="21">
          <cell r="A21">
            <v>20</v>
          </cell>
          <cell r="B21" t="str">
            <v>Rajasthan</v>
          </cell>
          <cell r="C21" t="str">
            <v>D</v>
          </cell>
        </row>
        <row r="22">
          <cell r="A22">
            <v>21</v>
          </cell>
          <cell r="B22" t="str">
            <v>Sikkim</v>
          </cell>
          <cell r="C22" t="str">
            <v>K</v>
          </cell>
        </row>
        <row r="23">
          <cell r="A23">
            <v>22</v>
          </cell>
          <cell r="B23" t="str">
            <v>Tamil Nadu</v>
          </cell>
          <cell r="C23" t="str">
            <v>C</v>
          </cell>
        </row>
        <row r="24">
          <cell r="A24">
            <v>23</v>
          </cell>
          <cell r="B24" t="str">
            <v>Tripura</v>
          </cell>
          <cell r="C24" t="str">
            <v>K</v>
          </cell>
        </row>
        <row r="25">
          <cell r="A25">
            <v>24</v>
          </cell>
          <cell r="B25" t="str">
            <v>Uttar Pradesh</v>
          </cell>
          <cell r="C25" t="str">
            <v>D</v>
          </cell>
        </row>
        <row r="26">
          <cell r="A26">
            <v>25</v>
          </cell>
          <cell r="B26" t="str">
            <v>West Bengal</v>
          </cell>
          <cell r="C26" t="str">
            <v>K</v>
          </cell>
        </row>
        <row r="27">
          <cell r="A27">
            <v>26</v>
          </cell>
          <cell r="B27" t="str">
            <v>Andaman und Nico.In.</v>
          </cell>
          <cell r="C27" t="str">
            <v>C</v>
          </cell>
        </row>
        <row r="28">
          <cell r="A28">
            <v>27</v>
          </cell>
          <cell r="B28" t="str">
            <v>Chandigarh</v>
          </cell>
          <cell r="C28" t="str">
            <v>D</v>
          </cell>
        </row>
        <row r="29">
          <cell r="A29">
            <v>28</v>
          </cell>
          <cell r="B29" t="str">
            <v>Dadra und Nagar Hav.</v>
          </cell>
          <cell r="C29" t="str">
            <v>K</v>
          </cell>
        </row>
        <row r="30">
          <cell r="A30">
            <v>29</v>
          </cell>
          <cell r="B30" t="str">
            <v>Daman und Diu</v>
          </cell>
          <cell r="C30" t="str">
            <v>M</v>
          </cell>
        </row>
        <row r="31">
          <cell r="A31">
            <v>30</v>
          </cell>
          <cell r="B31" t="str">
            <v>Delhi</v>
          </cell>
          <cell r="C31" t="str">
            <v>D</v>
          </cell>
        </row>
        <row r="32">
          <cell r="A32">
            <v>31</v>
          </cell>
          <cell r="B32" t="str">
            <v>Lakshadweep</v>
          </cell>
          <cell r="C32" t="str">
            <v>C</v>
          </cell>
        </row>
        <row r="33">
          <cell r="A33">
            <v>32</v>
          </cell>
          <cell r="B33" t="str">
            <v>Pondicherry</v>
          </cell>
          <cell r="C33" t="str">
            <v>C</v>
          </cell>
        </row>
        <row r="34">
          <cell r="A34">
            <v>33</v>
          </cell>
          <cell r="B34" t="str">
            <v>Jharkhand</v>
          </cell>
          <cell r="C34" t="str">
            <v>K</v>
          </cell>
        </row>
        <row r="35">
          <cell r="A35">
            <v>34</v>
          </cell>
          <cell r="B35" t="str">
            <v>Uttaranchal</v>
          </cell>
          <cell r="C35" t="str">
            <v>D</v>
          </cell>
        </row>
        <row r="36">
          <cell r="A36">
            <v>35</v>
          </cell>
          <cell r="B36" t="str">
            <v>Chattisgarh</v>
          </cell>
          <cell r="C36" t="str">
            <v>M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PLANTS"/>
      <sheetName val="TALSTOCKVAL"/>
      <sheetName val="BKCSTOCKVAL"/>
      <sheetName val="MAHSTOCKVAL"/>
      <sheetName val="STOCKSEC145A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OW"/>
      <sheetName val="OPS_asia"/>
      <sheetName val="Production"/>
      <sheetName val="PRICE"/>
      <sheetName val="Data"/>
      <sheetName val="OPS_SIMPLIFIE"/>
      <sheetName val="CESSION"/>
      <sheetName val="ORDER"/>
      <sheetName val="income"/>
      <sheetName val="AP RA99-06"/>
      <sheetName val="HV RA99-06"/>
      <sheetName val="IN RA99-06"/>
      <sheetName val="CH RA99-06"/>
      <sheetName val="TH RA99-06"/>
      <sheetName val="HZ RA99-06"/>
      <sheetName val="Rate_dec02"/>
      <sheetName val="Params"/>
      <sheetName val="Masters"/>
      <sheetName val="IOPlan"/>
      <sheetName val="Total MG "/>
      <sheetName val="Trial Balance"/>
      <sheetName val="MAPPINGS"/>
      <sheetName val="Input schedule"/>
      <sheetName val="Op Plan Sales"/>
      <sheetName val="Consol"/>
      <sheetName val="Lists"/>
      <sheetName val="IT Only"/>
      <sheetName val="Sheet1"/>
      <sheetName val="Sales &amp; Marketing Dashboard"/>
      <sheetName val="Rates"/>
      <sheetName val="LIC"/>
      <sheetName val="PropertyList"/>
      <sheetName val="IT-accruals"/>
      <sheetName val="TPM Tot"/>
      <sheetName val="StdMarginRegQtr"/>
      <sheetName val="Sept '99"/>
      <sheetName val="TB"/>
      <sheetName val="Schedule"/>
      <sheetName val="Control"/>
      <sheetName val="M B-QtyRecn"/>
      <sheetName val="AP_RA99-06"/>
      <sheetName val="HV_RA99-06"/>
      <sheetName val="IN_RA99-06"/>
      <sheetName val="CH_RA99-06"/>
      <sheetName val="TH_RA99-06"/>
      <sheetName val="HZ_RA99-06"/>
      <sheetName val="Op_Plan_Sales"/>
      <sheetName val="M_B-QtyRecn"/>
      <sheetName val="RES"/>
      <sheetName val="FBT Full"/>
      <sheetName val="Comp"/>
      <sheetName val="COA-IPCL"/>
      <sheetName val="Chart of Accounts"/>
      <sheetName val="Risco-Accts"/>
      <sheetName val="Payroll_Statement"/>
      <sheetName val="Other"/>
      <sheetName val="Summary"/>
      <sheetName val="Rollup_Summary"/>
      <sheetName val="Other notes"/>
      <sheetName val="AP_RA99-061"/>
      <sheetName val="HV_RA99-061"/>
      <sheetName val="IN_RA99-061"/>
      <sheetName val="CH_RA99-061"/>
      <sheetName val="TH_RA99-061"/>
      <sheetName val="HZ_RA99-061"/>
      <sheetName val="Total_MG_"/>
      <sheetName val="Op_Plan_Sales1"/>
      <sheetName val="IT_Only"/>
      <sheetName val="Push Diag on Premise"/>
      <sheetName val="CChannel Attract Input"/>
      <sheetName val="FStratPlan"/>
      <sheetName val="Annexure"/>
      <sheetName val="Cash Flow.7"/>
      <sheetName val="MAIN"/>
      <sheetName val="POFG"/>
      <sheetName val="List"/>
      <sheetName val="Opening Balance"/>
      <sheetName val="Jodalli-P&amp;L"/>
      <sheetName val="Graphdata"/>
      <sheetName val="AP_RA99-062"/>
      <sheetName val="HV_RA99-062"/>
      <sheetName val="IN_RA99-062"/>
      <sheetName val="CH_RA99-062"/>
      <sheetName val="TH_RA99-062"/>
      <sheetName val="HZ_RA99-062"/>
      <sheetName val="Total_MG_1"/>
      <sheetName val="Op_Plan_Sales2"/>
      <sheetName val="IT_Only1"/>
      <sheetName val="Sales_&amp;_Marketing_Dashboard"/>
      <sheetName val="TPM_Tot"/>
      <sheetName val="Sept_'99"/>
      <sheetName val="3 Yr Revenue Analysis(old)"/>
      <sheetName val="Macro1"/>
      <sheetName val="consolidated Budget"/>
      <sheetName val="All Data"/>
      <sheetName val="Trial_Balance"/>
      <sheetName val="Input_schedule"/>
      <sheetName val="データシート"/>
      <sheetName val="Categ"/>
      <sheetName val="Amortization Table"/>
      <sheetName val="New form 3CD A"/>
      <sheetName val="EXPENSES"/>
      <sheetName val="IS"/>
      <sheetName val="May 09"/>
      <sheetName val="Price Testing - Used - 1"/>
      <sheetName val="Price_Testing_-_Used_-_11"/>
      <sheetName val="Price_Testing_-_Used_-_1"/>
      <sheetName val=""/>
      <sheetName val="Cover"/>
      <sheetName val="Financials"/>
      <sheetName val="BS"/>
      <sheetName val="未着品BALANCE"/>
      <sheetName val="BAL96-97"/>
      <sheetName val="d"/>
      <sheetName val="5Y_v2.14"/>
      <sheetName val="CRITERIA1"/>
      <sheetName val="Main-Material"/>
      <sheetName val="India"/>
      <sheetName val="2003"/>
      <sheetName val="Page1"/>
      <sheetName val="Rev"/>
      <sheetName val="riola don't know 9-26-99"/>
      <sheetName val="Spiltrates-Latest"/>
      <sheetName val="Consolidated"/>
      <sheetName val="FINAL SHEET"/>
      <sheetName val="Other_notes"/>
      <sheetName val="M_B-QtyRecn1"/>
      <sheetName val="FBT_Full"/>
      <sheetName val="Chart_of_Accounts"/>
      <sheetName val="consolidated_Budget"/>
      <sheetName val="Other_notes1"/>
      <sheetName val="M_B-QtyRecn2"/>
      <sheetName val="Sales_&amp;_Marketing_Dashboard1"/>
      <sheetName val="Trial_Balance1"/>
      <sheetName val="Input_schedule1"/>
      <sheetName val="TPM_Tot1"/>
      <sheetName val="Sept_'991"/>
      <sheetName val="FBT_Full1"/>
      <sheetName val="Chart_of_Accounts1"/>
      <sheetName val="consolidated_Budget1"/>
      <sheetName val="AP_RA99-063"/>
      <sheetName val="HV_RA99-063"/>
      <sheetName val="IN_RA99-063"/>
      <sheetName val="CH_RA99-063"/>
      <sheetName val="TH_RA99-063"/>
      <sheetName val="HZ_RA99-063"/>
      <sheetName val="Op_Plan_Sales3"/>
      <sheetName val="Other_notes2"/>
      <sheetName val="M_B-QtyRecn3"/>
      <sheetName val="IT_Only2"/>
      <sheetName val="Sales_&amp;_Marketing_Dashboard2"/>
      <sheetName val="Total_MG_2"/>
      <sheetName val="Trial_Balance2"/>
      <sheetName val="Input_schedule2"/>
      <sheetName val="TPM_Tot2"/>
      <sheetName val="Sept_'992"/>
      <sheetName val="FBT_Full2"/>
      <sheetName val="Chart_of_Accounts2"/>
      <sheetName val="consolidated_Budget2"/>
      <sheetName val="AP_RA99-064"/>
      <sheetName val="HV_RA99-064"/>
      <sheetName val="IN_RA99-064"/>
      <sheetName val="CH_RA99-064"/>
      <sheetName val="TH_RA99-064"/>
      <sheetName val="HZ_RA99-064"/>
      <sheetName val="Op_Plan_Sales4"/>
      <sheetName val="Other_notes3"/>
      <sheetName val="M_B-QtyRecn4"/>
      <sheetName val="IT_Only3"/>
      <sheetName val="Sales_&amp;_Marketing_Dashboard3"/>
      <sheetName val="Total_MG_3"/>
      <sheetName val="Trial_Balance3"/>
      <sheetName val="Input_schedule3"/>
      <sheetName val="TPM_Tot3"/>
      <sheetName val="Sept_'993"/>
      <sheetName val="FBT_Full3"/>
      <sheetName val="Chart_of_Accounts3"/>
      <sheetName val="consolidated_Budget3"/>
      <sheetName val="5Y_v2_14"/>
      <sheetName val="Price_Testing_-_Used_-_12"/>
      <sheetName val="Push_Diag_on_Premise"/>
      <sheetName val="CChannel_Attract_Input"/>
      <sheetName val="Cash_Flow_7"/>
      <sheetName val="Opening_Balance"/>
      <sheetName val="AP_RA99-065"/>
      <sheetName val="HV_RA99-065"/>
      <sheetName val="IN_RA99-065"/>
      <sheetName val="CH_RA99-065"/>
      <sheetName val="TH_RA99-065"/>
      <sheetName val="HZ_RA99-065"/>
      <sheetName val="Op_Plan_Sales5"/>
      <sheetName val="Other_notes4"/>
      <sheetName val="M_B-QtyRecn5"/>
      <sheetName val="IT_Only4"/>
      <sheetName val="Sales_&amp;_Marketing_Dashboard4"/>
      <sheetName val="Total_MG_4"/>
      <sheetName val="Trial_Balance4"/>
      <sheetName val="Input_schedule4"/>
      <sheetName val="TPM_Tot4"/>
      <sheetName val="Sept_'994"/>
      <sheetName val="FBT_Full4"/>
      <sheetName val="Chart_of_Accounts4"/>
      <sheetName val="consolidated_Budget4"/>
      <sheetName val="5Y_v2_141"/>
      <sheetName val="Price_Testing_-_Used_-_13"/>
      <sheetName val="Push_Diag_on_Premise1"/>
      <sheetName val="CChannel_Attract_Input1"/>
      <sheetName val="Cash_Flow_71"/>
      <sheetName val="Opening_Balance1"/>
      <sheetName val="AP_RA99-067"/>
      <sheetName val="HV_RA99-067"/>
      <sheetName val="IN_RA99-067"/>
      <sheetName val="CH_RA99-067"/>
      <sheetName val="TH_RA99-067"/>
      <sheetName val="HZ_RA99-067"/>
      <sheetName val="Op_Plan_Sales7"/>
      <sheetName val="Other_notes6"/>
      <sheetName val="M_B-QtyRecn7"/>
      <sheetName val="IT_Only6"/>
      <sheetName val="Sales_&amp;_Marketing_Dashboard6"/>
      <sheetName val="Total_MG_6"/>
      <sheetName val="Trial_Balance6"/>
      <sheetName val="Input_schedule6"/>
      <sheetName val="TPM_Tot6"/>
      <sheetName val="Sept_'996"/>
      <sheetName val="FBT_Full6"/>
      <sheetName val="Chart_of_Accounts6"/>
      <sheetName val="consolidated_Budget6"/>
      <sheetName val="5Y_v2_143"/>
      <sheetName val="Price_Testing_-_Used_-_15"/>
      <sheetName val="Push_Diag_on_Premise3"/>
      <sheetName val="CChannel_Attract_Input3"/>
      <sheetName val="Cash_Flow_73"/>
      <sheetName val="Opening_Balance3"/>
      <sheetName val="AP_RA99-066"/>
      <sheetName val="HV_RA99-066"/>
      <sheetName val="IN_RA99-066"/>
      <sheetName val="CH_RA99-066"/>
      <sheetName val="TH_RA99-066"/>
      <sheetName val="HZ_RA99-066"/>
      <sheetName val="Op_Plan_Sales6"/>
      <sheetName val="Other_notes5"/>
      <sheetName val="M_B-QtyRecn6"/>
      <sheetName val="IT_Only5"/>
      <sheetName val="Sales_&amp;_Marketing_Dashboard5"/>
      <sheetName val="Total_MG_5"/>
      <sheetName val="Trial_Balance5"/>
      <sheetName val="Input_schedule5"/>
      <sheetName val="TPM_Tot5"/>
      <sheetName val="Sept_'995"/>
      <sheetName val="FBT_Full5"/>
      <sheetName val="Chart_of_Accounts5"/>
      <sheetName val="consolidated_Budget5"/>
      <sheetName val="5Y_v2_142"/>
      <sheetName val="Price_Testing_-_Used_-_14"/>
      <sheetName val="Push_Diag_on_Premise2"/>
      <sheetName val="CChannel_Attract_Input2"/>
      <sheetName val="Cash_Flow_72"/>
      <sheetName val="Opening_Balance2"/>
      <sheetName val="AP_RA99-068"/>
      <sheetName val="HV_RA99-068"/>
      <sheetName val="IN_RA99-068"/>
      <sheetName val="CH_RA99-068"/>
      <sheetName val="TH_RA99-068"/>
      <sheetName val="HZ_RA99-068"/>
      <sheetName val="Op_Plan_Sales8"/>
      <sheetName val="Other_notes7"/>
      <sheetName val="M_B-QtyRecn8"/>
      <sheetName val="IT_Only7"/>
      <sheetName val="Sales_&amp;_Marketing_Dashboard7"/>
      <sheetName val="Total_MG_7"/>
      <sheetName val="Trial_Balance7"/>
      <sheetName val="Input_schedule7"/>
      <sheetName val="TPM_Tot7"/>
      <sheetName val="Sept_'997"/>
      <sheetName val="FBT_Full7"/>
      <sheetName val="Chart_of_Accounts7"/>
      <sheetName val="consolidated_Budget7"/>
      <sheetName val="5Y_v2_144"/>
      <sheetName val="Price_Testing_-_Used_-_16"/>
      <sheetName val="Push_Diag_on_Premise4"/>
      <sheetName val="CChannel_Attract_Input4"/>
      <sheetName val="Cash_Flow_74"/>
      <sheetName val="Opening_Balance4"/>
      <sheetName val="AP_RA99-069"/>
      <sheetName val="HV_RA99-069"/>
      <sheetName val="IN_RA99-069"/>
      <sheetName val="CH_RA99-069"/>
      <sheetName val="TH_RA99-069"/>
      <sheetName val="HZ_RA99-069"/>
      <sheetName val="Op_Plan_Sales9"/>
      <sheetName val="Other_notes8"/>
      <sheetName val="M_B-QtyRecn9"/>
      <sheetName val="IT_Only8"/>
      <sheetName val="Sales_&amp;_Marketing_Dashboard8"/>
      <sheetName val="Total_MG_8"/>
      <sheetName val="Trial_Balance8"/>
      <sheetName val="Input_schedule8"/>
      <sheetName val="TPM_Tot8"/>
      <sheetName val="Sept_'998"/>
      <sheetName val="FBT_Full8"/>
      <sheetName val="Chart_of_Accounts8"/>
      <sheetName val="consolidated_Budget8"/>
      <sheetName val="5Y_v2_145"/>
      <sheetName val="Price_Testing_-_Used_-_17"/>
      <sheetName val="Push_Diag_on_Premise5"/>
      <sheetName val="CChannel_Attract_Input5"/>
      <sheetName val="Cash_Flow_75"/>
      <sheetName val="Opening_Balance5"/>
      <sheetName val="AP_RA99-0610"/>
      <sheetName val="HV_RA99-0610"/>
      <sheetName val="IN_RA99-0610"/>
      <sheetName val="CH_RA99-0610"/>
      <sheetName val="TH_RA99-0610"/>
      <sheetName val="HZ_RA99-0610"/>
      <sheetName val="Op_Plan_Sales10"/>
      <sheetName val="Other_notes9"/>
      <sheetName val="M_B-QtyRecn10"/>
      <sheetName val="IT_Only9"/>
      <sheetName val="Sales_&amp;_Marketing_Dashboard9"/>
      <sheetName val="Total_MG_9"/>
      <sheetName val="Trial_Balance9"/>
      <sheetName val="Input_schedule9"/>
      <sheetName val="TPM_Tot9"/>
      <sheetName val="Sept_'999"/>
      <sheetName val="FBT_Full9"/>
      <sheetName val="Chart_of_Accounts9"/>
      <sheetName val="consolidated_Budget9"/>
      <sheetName val="5Y_v2_146"/>
      <sheetName val="Price_Testing_-_Used_-_18"/>
      <sheetName val="Push_Diag_on_Premise6"/>
      <sheetName val="CChannel_Attract_Input6"/>
      <sheetName val="Cash_Flow_76"/>
      <sheetName val="Opening_Balance6"/>
      <sheetName val="AP_RA99-0611"/>
      <sheetName val="HV_RA99-0611"/>
      <sheetName val="IN_RA99-0611"/>
      <sheetName val="CH_RA99-0611"/>
      <sheetName val="TH_RA99-0611"/>
      <sheetName val="HZ_RA99-0611"/>
      <sheetName val="Op_Plan_Sales11"/>
      <sheetName val="Other_notes10"/>
      <sheetName val="M_B-QtyRecn11"/>
      <sheetName val="IT_Only10"/>
      <sheetName val="Sales_&amp;_Marketing_Dashboard10"/>
      <sheetName val="Total_MG_10"/>
      <sheetName val="Trial_Balance10"/>
      <sheetName val="Input_schedule10"/>
      <sheetName val="TPM_Tot10"/>
      <sheetName val="Sept_'9910"/>
      <sheetName val="FBT_Full10"/>
      <sheetName val="Chart_of_Accounts10"/>
      <sheetName val="consolidated_Budget10"/>
      <sheetName val="5Y_v2_147"/>
      <sheetName val="Price_Testing_-_Used_-_19"/>
      <sheetName val="Push_Diag_on_Premise7"/>
      <sheetName val="CChannel_Attract_Input7"/>
      <sheetName val="Cash_Flow_77"/>
      <sheetName val="Opening_Balance7"/>
      <sheetName val="Notes"/>
      <sheetName val="Cash Flows"/>
      <sheetName val="Val &amp; Multp"/>
      <sheetName val="Options"/>
      <sheetName val="Heating Div"/>
      <sheetName val="All other Div's"/>
      <sheetName val="CoCapital"/>
      <sheetName val="EPS"/>
      <sheetName val="Mult"/>
      <sheetName val="Synergies"/>
      <sheetName val="Mkt Mult"/>
      <sheetName val="Trans Mult"/>
      <sheetName val="Module1"/>
      <sheetName val="1 - A (Narrative)"/>
      <sheetName val="Base Info"/>
      <sheetName val="RCC,Ret. Wall"/>
      <sheetName val="ValuationInput"/>
      <sheetName val="DebtInput"/>
      <sheetName val="Storage"/>
      <sheetName val="Valuation"/>
      <sheetName val="List_ratios"/>
      <sheetName val="Assum"/>
      <sheetName val="VARFCST"/>
      <sheetName val="BAL0301"/>
      <sheetName val="MPCP9899"/>
      <sheetName val="B0_111350"/>
      <sheetName val="A"/>
      <sheetName val="Travel Expense Report(1week)"/>
      <sheetName val="Results"/>
      <sheetName val="Links"/>
      <sheetName val="Occ, Other Rev, Exp, Dispo"/>
      <sheetName val="PREFACE"/>
      <sheetName val="AR JAN'02"/>
      <sheetName val="12-19-00"/>
      <sheetName val="exp-m"/>
      <sheetName val="NLD - Assum"/>
      <sheetName val="Rec"/>
      <sheetName val="Inputs"/>
      <sheetName val="Challan"/>
      <sheetName val="P1 RM"/>
      <sheetName val="5-F-PAR"/>
      <sheetName val="LEGAL GUJ"/>
      <sheetName val="AP_RA99-0612"/>
      <sheetName val="HV_RA99-0612"/>
      <sheetName val="IN_RA99-0612"/>
      <sheetName val="CH_RA99-0612"/>
      <sheetName val="TH_RA99-0612"/>
      <sheetName val="HZ_RA99-0612"/>
      <sheetName val="Op_Plan_Sales12"/>
      <sheetName val="Other_notes11"/>
      <sheetName val="M_B-QtyRecn12"/>
      <sheetName val="IT_Only11"/>
      <sheetName val="Sales_&amp;_Marketing_Dashboard11"/>
      <sheetName val="Total_MG_11"/>
      <sheetName val="Trial_Balance11"/>
      <sheetName val="Input_schedule11"/>
      <sheetName val="TPM_Tot11"/>
      <sheetName val="Sept_'9911"/>
      <sheetName val="FBT_Full11"/>
      <sheetName val="Chart_of_Accounts11"/>
      <sheetName val="consolidated_Budget11"/>
      <sheetName val="5Y_v2_148"/>
      <sheetName val="Price_Testing_-_Used_-_110"/>
      <sheetName val="Push_Diag_on_Premise8"/>
      <sheetName val="CChannel_Attract_Input8"/>
      <sheetName val="Cash_Flow_78"/>
      <sheetName val="Opening_Balance8"/>
      <sheetName val="Input Screen"/>
      <sheetName val="working"/>
      <sheetName val="PL"/>
      <sheetName val="Sch-PL"/>
      <sheetName val="Sch-FA"/>
      <sheetName val=".2 Reserve"/>
      <sheetName val="Maint Def Rev 03-04"/>
      <sheetName val="New-Growth Def Rev 03-04"/>
      <sheetName val="Perpetual Def Rev 03-04"/>
      <sheetName val="Renewal Def Rev 03-04"/>
      <sheetName val="Excess Calc"/>
      <sheetName val="SCH-A"/>
      <sheetName val="Balance Sheet "/>
      <sheetName val="P&amp;L Summary Page"/>
      <sheetName val="Axis Bank Cheques"/>
      <sheetName val="Payslip"/>
      <sheetName val="RESULTS-BLR-BB"/>
      <sheetName val="TARGET"/>
      <sheetName val="Master Sheet"/>
      <sheetName val="12.04.09"/>
      <sheetName val="Debtors Ageing"/>
      <sheetName val="PLAN-BLR-BB"/>
      <sheetName val="RESULTS-REALTY"/>
      <sheetName val="SME"/>
      <sheetName val="M.G.P-2010"/>
      <sheetName val="Listings 96-02"/>
      <sheetName val="PAP"/>
      <sheetName val="Keyratios"/>
      <sheetName val="Facility"/>
      <sheetName val="P L"/>
      <sheetName val="mdd &amp; co Fdr jan.02 "/>
      <sheetName val="Project Resource Details"/>
      <sheetName val="Assets"/>
      <sheetName val="Locked cell"/>
      <sheetName val="Sales &amp;Sale Cost"/>
      <sheetName val="cost centers"/>
      <sheetName val="MR08' Cost Manag"/>
      <sheetName val="Register"/>
      <sheetName val="Reclass BS 11"/>
      <sheetName val="Reclass PL 11"/>
      <sheetName val="AP_RA99-0613"/>
      <sheetName val="HV_RA99-0613"/>
      <sheetName val="IN_RA99-0613"/>
      <sheetName val="CH_RA99-0613"/>
      <sheetName val="TH_RA99-0613"/>
      <sheetName val="HZ_RA99-0613"/>
      <sheetName val="Op_Plan_Sales13"/>
      <sheetName val="Other_notes12"/>
      <sheetName val="M_B-QtyRecn13"/>
      <sheetName val="IT_Only12"/>
      <sheetName val="Sales_&amp;_Marketing_Dashboard12"/>
      <sheetName val="Total_MG_12"/>
      <sheetName val="Trial_Balance12"/>
      <sheetName val="Input_schedule12"/>
      <sheetName val="TPM_Tot12"/>
      <sheetName val="Sept_'9912"/>
      <sheetName val="FBT_Full12"/>
      <sheetName val="Chart_of_Accounts12"/>
      <sheetName val="consolidated_Budget12"/>
      <sheetName val="5Y_v2_149"/>
      <sheetName val="Price_Testing_-_Used_-_111"/>
      <sheetName val="Push_Diag_on_Premise9"/>
      <sheetName val="CChannel_Attract_Input9"/>
      <sheetName val="Cash_Flow_79"/>
      <sheetName val="Opening_Balance9"/>
      <sheetName val="New_form_3CD_A"/>
      <sheetName val="FINAL_SHEET"/>
      <sheetName val="May_09"/>
      <sheetName val="3_Yr_Revenue_Analysis(old)"/>
      <sheetName val="All_Data"/>
      <sheetName val="Amortization_Table"/>
      <sheetName val="Détails plans d'actions"/>
      <sheetName val="目录"/>
      <sheetName val="BKCSTOCKVAL"/>
      <sheetName val="MAHSTOCKVAL"/>
      <sheetName val="ENCL6"/>
      <sheetName val="COLUMN"/>
      <sheetName val="Aseet1998"/>
      <sheetName val="Debraj Sinha"/>
      <sheetName val="Parameter"/>
      <sheetName val="Please do not USE or DELETE"/>
      <sheetName val="LCGRAPH"/>
      <sheetName val="Intro"/>
      <sheetName val="Staff"/>
      <sheetName val="IT_FBT_DDTP"/>
      <sheetName val="MORE-MAR'2002"/>
      <sheetName val="SCHE-MARCH'2002"/>
      <sheetName val="98ordbkg"/>
      <sheetName val="Base Data"/>
      <sheetName val="Reference"/>
      <sheetName val="Balancesheet"/>
      <sheetName val="61750000 Consultancy Charges"/>
      <sheetName val="YTD"/>
      <sheetName val="Labour &amp; Plant"/>
      <sheetName val="Annexure B"/>
      <sheetName val="Clause16(b) PF"/>
      <sheetName val="TB Round"/>
      <sheetName val="P&amp;L February"/>
      <sheetName val="P&amp;L Feb 2001 cumulative"/>
      <sheetName val="SAP - Rightpak"/>
      <sheetName val="riola_don't_know_9-26-99"/>
      <sheetName val="_2_Reserve"/>
      <sheetName val="Listings_96-02"/>
      <sheetName val="P_L"/>
      <sheetName val="mdd_&amp;_co_Fdr_jan_02_"/>
      <sheetName val="Project_Resource_Details"/>
      <sheetName val="Balance_Sheet_"/>
      <sheetName val="P&amp;L_Summary_Page"/>
      <sheetName val="Axis_Bank_Cheques"/>
      <sheetName val="Master_Sheet"/>
      <sheetName val="12_04_09"/>
      <sheetName val="Debtors_Ageing"/>
      <sheetName val="Excess_Calc"/>
      <sheetName val="M_G_P-2010"/>
      <sheetName val="SAP_-_Rightpak"/>
      <sheetName val="Cash_Flows"/>
      <sheetName val="Val_&amp;_Multp"/>
      <sheetName val="Heating_Div"/>
      <sheetName val="All_other_Div's"/>
      <sheetName val="Mkt_Mult"/>
      <sheetName val="Trans_Mult"/>
      <sheetName val="Maint_Def_Rev_03-04"/>
      <sheetName val="New-Growth_Def_Rev_03-04"/>
      <sheetName val="Perpetual_Def_Rev_03-04"/>
      <sheetName val="Renewal_Def_Rev_03-04"/>
      <sheetName val="1_-_A_(Narrative)"/>
      <sheetName val="Resources"/>
      <sheetName val="May_091"/>
      <sheetName val="3_Yr_Revenue_Analysis(old)1"/>
      <sheetName val="Amortization_Table1"/>
      <sheetName val="New_form_3CD_A1"/>
      <sheetName val="riola_don't_know_9-26-991"/>
      <sheetName val="_2_Reserve1"/>
      <sheetName val="Listings_96-021"/>
      <sheetName val="All_Data1"/>
      <sheetName val="P_L1"/>
      <sheetName val="mdd_&amp;_co_Fdr_jan_02_1"/>
      <sheetName val="Project_Resource_Details1"/>
      <sheetName val="Balance_Sheet_1"/>
      <sheetName val="P&amp;L_Summary_Page1"/>
      <sheetName val="Axis_Bank_Cheques1"/>
      <sheetName val="Master_Sheet1"/>
      <sheetName val="12_04_091"/>
      <sheetName val="Debtors_Ageing1"/>
      <sheetName val="Excess_Calc1"/>
      <sheetName val="M_G_P-20101"/>
      <sheetName val="SAP_-_Rightpak1"/>
      <sheetName val="Cash_Flows1"/>
      <sheetName val="Val_&amp;_Multp1"/>
      <sheetName val="Heating_Div1"/>
      <sheetName val="All_other_Div's1"/>
      <sheetName val="Mkt_Mult1"/>
      <sheetName val="Trans_Mult1"/>
      <sheetName val="Maint_Def_Rev_03-041"/>
      <sheetName val="New-Growth_Def_Rev_03-041"/>
      <sheetName val="Perpetual_Def_Rev_03-041"/>
      <sheetName val="Renewal_Def_Rev_03-041"/>
      <sheetName val="1_-_A_(Narrative)1"/>
      <sheetName val="PARTY DETAILS"/>
      <sheetName val="Wavg RM"/>
      <sheetName val="COV"/>
      <sheetName val="Resource Type"/>
      <sheetName val="LAMINATION-NORDMECCANICA"/>
      <sheetName val="Year 2003-04 Plan"/>
      <sheetName val="Lic Rev Account Lookup Table"/>
      <sheetName val="PopCache"/>
      <sheetName val="Setup"/>
      <sheetName val="Revenue"/>
      <sheetName val="Tables"/>
      <sheetName val="Grouping TB"/>
      <sheetName val="Fx Rates"/>
      <sheetName val="Cheops BS"/>
      <sheetName val="Cash Flow-WSL Base Fcst"/>
      <sheetName val="CLP_Value_Driver (14) Dec Old"/>
      <sheetName val="BS-203"/>
      <sheetName val="QTY. PROV.LAB"/>
      <sheetName val="TAXPRO"/>
      <sheetName val="BSPL"/>
      <sheetName val="RUPEE"/>
      <sheetName val="RF2004_vs_OB2004"/>
      <sheetName val="Region"/>
      <sheetName val="STAFFSCHED "/>
      <sheetName val="Tools Rev"/>
      <sheetName val="Rayala"/>
      <sheetName val="Inflation"/>
      <sheetName val="deb"/>
      <sheetName val="AnnexIII"/>
      <sheetName val="PV"/>
      <sheetName val="IIL Payroll"/>
      <sheetName val="Nomenclature"/>
      <sheetName val="License Area"/>
      <sheetName val="Ipotesi"/>
      <sheetName val="Info on Rupee Cost"/>
      <sheetName val="LPERDAS"/>
      <sheetName val="Reports List"/>
      <sheetName val="Setup Variables"/>
      <sheetName val="Res_Area"/>
      <sheetName val="sept-plan"/>
      <sheetName val="Power"/>
      <sheetName val="mar rep rev"/>
      <sheetName val="CF SALE.W.OFF 01-02"/>
      <sheetName val="stock data"/>
      <sheetName val="Turnover"/>
      <sheetName val="Sheet2"/>
      <sheetName val="MR08'_Cost_Manag"/>
      <sheetName val="Wavg_RM"/>
      <sheetName val="Travel_Expense_Report(1week)"/>
      <sheetName val="NLD_-_Assum"/>
      <sheetName val="PARTY_DETAILS"/>
      <sheetName val="mar_rep_rev"/>
      <sheetName val="CF_SALE_W_OFF_01-02"/>
      <sheetName val="stock_data"/>
      <sheetName val="P&amp;L_February"/>
      <sheetName val="P&amp;L_Feb_2001_cumulative"/>
      <sheetName val="WO-List"/>
      <sheetName val="K-Summary"/>
      <sheetName val="BST"/>
      <sheetName val="Power Cost sheet"/>
      <sheetName val="Steam Cost Sheet"/>
      <sheetName val="Transaction Inputs"/>
      <sheetName val="May_092"/>
      <sheetName val="3_Yr_Revenue_Analysis(old)2"/>
      <sheetName val="Amortization_Table2"/>
      <sheetName val="New_form_3CD_A2"/>
      <sheetName val="riola_don't_know_9-26-992"/>
      <sheetName val="_2_Reserve2"/>
      <sheetName val="Listings_96-022"/>
      <sheetName val="All_Data2"/>
      <sheetName val="P_L2"/>
      <sheetName val="mdd_&amp;_co_Fdr_jan_02_2"/>
      <sheetName val="Project_Resource_Details2"/>
      <sheetName val="Balance_Sheet_2"/>
      <sheetName val="P&amp;L_Summary_Page2"/>
      <sheetName val="Axis_Bank_Cheques2"/>
      <sheetName val="Master_Sheet2"/>
      <sheetName val="12_04_092"/>
      <sheetName val="Debtors_Ageing2"/>
      <sheetName val="Excess_Calc2"/>
      <sheetName val="M_G_P-20102"/>
      <sheetName val="SAP_-_Rightpak2"/>
      <sheetName val="Cash_Flows2"/>
      <sheetName val="Val_&amp;_Multp2"/>
      <sheetName val="Heating_Div2"/>
      <sheetName val="All_other_Div's2"/>
      <sheetName val="Mkt_Mult2"/>
      <sheetName val="Trans_Mult2"/>
      <sheetName val="Maint_Def_Rev_03-042"/>
      <sheetName val="New-Growth_Def_Rev_03-042"/>
      <sheetName val="Perpetual_Def_Rev_03-042"/>
      <sheetName val="Renewal_Def_Rev_03-042"/>
      <sheetName val="1_-_A_(Narrative)2"/>
      <sheetName val="AR_JAN'02"/>
      <sheetName val="Locked_cell"/>
      <sheetName val="Base_Data"/>
      <sheetName val="Dim_New"/>
      <sheetName val="PBCLIST"/>
      <sheetName val="501frgmar"/>
      <sheetName val="AP_RA99-0614"/>
      <sheetName val="HV_RA99-0614"/>
      <sheetName val="IN_RA99-0614"/>
      <sheetName val="CH_RA99-0614"/>
      <sheetName val="TH_RA99-0614"/>
      <sheetName val="HZ_RA99-0614"/>
      <sheetName val="Trial_Balance13"/>
      <sheetName val="Total_MG_13"/>
      <sheetName val="Op_Plan_Sales14"/>
      <sheetName val="IT_Only13"/>
      <sheetName val="May_093"/>
      <sheetName val="Price_Testing_-_Used_-_112"/>
      <sheetName val="M_B-QtyRecn14"/>
      <sheetName val="Input_schedule13"/>
      <sheetName val="Sales_&amp;_Marketing_Dashboard13"/>
      <sheetName val="TPM_Tot13"/>
      <sheetName val="Sept_'9913"/>
      <sheetName val="Chart_of_Accounts13"/>
      <sheetName val="Opening_Balance10"/>
      <sheetName val="3_Yr_Revenue_Analysis(old)3"/>
      <sheetName val="Cash_Flow_710"/>
      <sheetName val="FBT_Full13"/>
      <sheetName val="Other_notes13"/>
      <sheetName val="consolidated_Budget13"/>
      <sheetName val="Push_Diag_on_Premise10"/>
      <sheetName val="CChannel_Attract_Input10"/>
      <sheetName val="Amortization_Table3"/>
      <sheetName val="New_form_3CD_A3"/>
      <sheetName val="riola_don't_know_9-26-993"/>
      <sheetName val="_2_Reserve3"/>
      <sheetName val="Listings_96-023"/>
      <sheetName val="5Y_v2_1410"/>
      <sheetName val="All_Data3"/>
      <sheetName val="P_L3"/>
      <sheetName val="mdd_&amp;_co_Fdr_jan_02_3"/>
      <sheetName val="Project_Resource_Details3"/>
      <sheetName val="Balance_Sheet_3"/>
      <sheetName val="P&amp;L_Summary_Page3"/>
      <sheetName val="Axis_Bank_Cheques3"/>
      <sheetName val="Master_Sheet3"/>
      <sheetName val="12_04_093"/>
      <sheetName val="Debtors_Ageing3"/>
      <sheetName val="Excess_Calc3"/>
      <sheetName val="M_G_P-20103"/>
      <sheetName val="SAP_-_Rightpak3"/>
      <sheetName val="Cash_Flows3"/>
      <sheetName val="Val_&amp;_Multp3"/>
      <sheetName val="Heating_Div3"/>
      <sheetName val="All_other_Div's3"/>
      <sheetName val="Mkt_Mult3"/>
      <sheetName val="Trans_Mult3"/>
      <sheetName val="Maint_Def_Rev_03-043"/>
      <sheetName val="New-Growth_Def_Rev_03-043"/>
      <sheetName val="Perpetual_Def_Rev_03-043"/>
      <sheetName val="Renewal_Def_Rev_03-043"/>
      <sheetName val="1_-_A_(Narrative)3"/>
      <sheetName val="P&amp;L_February1"/>
      <sheetName val="P&amp;L_Feb_2001_cumulative1"/>
      <sheetName val="AR_JAN'021"/>
      <sheetName val="NLD_-_Assum1"/>
      <sheetName val="Locked_cell1"/>
      <sheetName val="PARTY_DETAILS1"/>
      <sheetName val="FINAL_SHEET1"/>
      <sheetName val="Base_Data1"/>
      <sheetName val="экспорт"/>
      <sheetName val="Q1_Bookings_-_Pers_-_Attainment"/>
      <sheetName val="Q1 Bookings - Pers - Attainment"/>
      <sheetName val="XLR_NoRangeSheet"/>
      <sheetName val="DATABASE"/>
      <sheetName val="UK"/>
      <sheetName val="Transaction_Inputs"/>
      <sheetName val="Verification "/>
      <sheetName val="F.Assets"/>
      <sheetName val="F_Assets"/>
      <sheetName val="15"/>
      <sheetName val="#REF"/>
      <sheetName val="Model"/>
      <sheetName val="1.2 HDFC Collection"/>
      <sheetName val="PopCache_Sheet1"/>
      <sheetName val="AS21SchE - 9M0708"/>
      <sheetName val="Consolidation _Rs"/>
      <sheetName val="Lookups"/>
      <sheetName val="Query Results ALL"/>
      <sheetName val="MB51"/>
      <sheetName val="OpTrack"/>
      <sheetName val="PropertyPreop-Budget"/>
      <sheetName val="stat C (2)"/>
      <sheetName val="Bal Sheet"/>
      <sheetName val="Lead"/>
      <sheetName val="AR_PL"/>
      <sheetName val="P&amp;L"/>
      <sheetName val="SCH-A,B,C"/>
      <sheetName val="FORM-16"/>
      <sheetName val="11400&amp;11405-done"/>
      <sheetName val="TB-HK"/>
      <sheetName val="Non-Statistical Sampling Master"/>
      <sheetName val="Two Step Revenue Testing Master"/>
      <sheetName val="Global Data"/>
      <sheetName val="Employees"/>
      <sheetName val="Project Info"/>
      <sheetName val="FinMajestic"/>
      <sheetName val="PTRANGE"/>
      <sheetName val="Mktg"/>
      <sheetName val="AP_RA99-0615"/>
      <sheetName val="HV_RA99-0615"/>
      <sheetName val="IN_RA99-0615"/>
      <sheetName val="CH_RA99-0615"/>
      <sheetName val="TH_RA99-0615"/>
      <sheetName val="HZ_RA99-0615"/>
      <sheetName val="Trial_Balance14"/>
      <sheetName val="Total_MG_14"/>
      <sheetName val="Op_Plan_Sales15"/>
      <sheetName val="IT_Only14"/>
      <sheetName val="May_094"/>
      <sheetName val="Price_Testing_-_Used_-_113"/>
      <sheetName val="M_B-QtyRecn15"/>
      <sheetName val="Input_schedule14"/>
      <sheetName val="Sales_&amp;_Marketing_Dashboard14"/>
      <sheetName val="TPM_Tot14"/>
      <sheetName val="Sept_'9914"/>
      <sheetName val="Chart_of_Accounts14"/>
      <sheetName val="Opening_Balance11"/>
      <sheetName val="3_Yr_Revenue_Analysis(old)4"/>
      <sheetName val="Cash_Flow_711"/>
      <sheetName val="FBT_Full14"/>
      <sheetName val="Other_notes14"/>
      <sheetName val="consolidated_Budget14"/>
      <sheetName val="Push_Diag_on_Premise11"/>
      <sheetName val="CChannel_Attract_Input11"/>
      <sheetName val="Amortization_Table4"/>
      <sheetName val="New_form_3CD_A4"/>
      <sheetName val="riola_don't_know_9-26-994"/>
      <sheetName val="_2_Reserve4"/>
      <sheetName val="Listings_96-024"/>
      <sheetName val="5Y_v2_1411"/>
      <sheetName val="All_Data4"/>
      <sheetName val="P_L4"/>
      <sheetName val="mdd_&amp;_co_Fdr_jan_02_4"/>
      <sheetName val="Project_Resource_Details4"/>
      <sheetName val="Balance_Sheet_4"/>
      <sheetName val="P&amp;L_Summary_Page4"/>
      <sheetName val="Axis_Bank_Cheques4"/>
      <sheetName val="Master_Sheet4"/>
      <sheetName val="12_04_094"/>
      <sheetName val="Debtors_Ageing4"/>
      <sheetName val="Excess_Calc4"/>
      <sheetName val="M_G_P-20104"/>
      <sheetName val="SAP_-_Rightpak4"/>
      <sheetName val="Cash_Flows4"/>
      <sheetName val="Val_&amp;_Multp4"/>
      <sheetName val="Heating_Div4"/>
      <sheetName val="All_other_Div's4"/>
      <sheetName val="Mkt_Mult4"/>
      <sheetName val="Trans_Mult4"/>
      <sheetName val="Maint_Def_Rev_03-044"/>
      <sheetName val="New-Growth_Def_Rev_03-044"/>
      <sheetName val="Perpetual_Def_Rev_03-044"/>
      <sheetName val="Renewal_Def_Rev_03-044"/>
      <sheetName val="1_-_A_(Narrative)4"/>
      <sheetName val="P&amp;L_February2"/>
      <sheetName val="P&amp;L_Feb_2001_cumulative2"/>
      <sheetName val="AR_JAN'022"/>
      <sheetName val="NLD_-_Assum2"/>
      <sheetName val="Locked_cell2"/>
      <sheetName val="PARTY_DETAILS2"/>
      <sheetName val="FINAL_SHEET2"/>
      <sheetName val="Base_Data2"/>
      <sheetName val="hmax_2"/>
      <sheetName val="Asset_Data"/>
      <sheetName val="concrete"/>
      <sheetName val="SALES-BD"/>
      <sheetName val="C-21(b)"/>
      <sheetName val="Validation"/>
      <sheetName val="Presentation"/>
      <sheetName val="Rising Main"/>
      <sheetName val="RECAPITULATION"/>
      <sheetName val="Civil Boq"/>
      <sheetName val="comet cur act"/>
      <sheetName val="CABLE DATA"/>
      <sheetName val="ORIGINAL"/>
      <sheetName val="Output"/>
      <sheetName val="recast tb - mar'11"/>
      <sheetName val="ALL"/>
      <sheetName val="telephone deposits written off"/>
      <sheetName val="LINK GAP"/>
      <sheetName val="Trial Bal"/>
      <sheetName val="EXPLOT AGUA PVC"/>
      <sheetName val="36&quot;"/>
      <sheetName val="Macro2"/>
      <sheetName val="Parameters"/>
      <sheetName val="Master"/>
      <sheetName val="Consolidate Trial Dec 06"/>
      <sheetName val="PLFM01"/>
      <sheetName val="HCCE01"/>
      <sheetName val="QTY-00-01 (2)"/>
      <sheetName val="NSWSAGasElec_Jan"/>
      <sheetName val="OriginXsell_jan11"/>
      <sheetName val="GI 02"/>
      <sheetName val="PARAM (TLI Info)"/>
      <sheetName val="Horus B08"/>
      <sheetName val="Horus F07"/>
      <sheetName val="Invest"/>
      <sheetName val="1612.01AL - INT AM&amp;NIEP"/>
      <sheetName val="Detail"/>
      <sheetName val="JE"/>
      <sheetName val="ADVTAX"/>
      <sheetName val="List Box"/>
      <sheetName val="Classification"/>
      <sheetName val="DET0900"/>
      <sheetName val="Main Bs Cr"/>
      <sheetName val="Japan Reco"/>
      <sheetName val="TRIALBALANCE"/>
      <sheetName val="Sheet3"/>
      <sheetName val="Guide"/>
      <sheetName val="U1.6"/>
      <sheetName val="E"/>
      <sheetName val="Assumptions"/>
      <sheetName val="csp9597"/>
      <sheetName val="sent to HO"/>
      <sheetName val="STAFF "/>
      <sheetName val="Balance sheet"/>
      <sheetName val="LEAVEREC"/>
      <sheetName val="Travel_Expense_Report(1week)1"/>
      <sheetName val="Grouping_TB1"/>
      <sheetName val="Reports_List1"/>
      <sheetName val="Setup_Variables1"/>
      <sheetName val="MR08'_Cost_Manag1"/>
      <sheetName val="Wavg_RM1"/>
      <sheetName val="Grouping_TB"/>
      <sheetName val="Reports_List"/>
      <sheetName val="Setup_Variables"/>
      <sheetName val="Travel_Expense_Report(1week)2"/>
      <sheetName val="Grouping_TB2"/>
      <sheetName val="Reports_List2"/>
      <sheetName val="Setup_Variables2"/>
      <sheetName val="MR08'_Cost_Manag2"/>
      <sheetName val="Wavg_RM2"/>
      <sheetName val="Travel_Expense_Report(1week)3"/>
      <sheetName val="Grouping_TB3"/>
      <sheetName val="Reports_List3"/>
      <sheetName val="Setup_Variables3"/>
      <sheetName val="MR08'_Cost_Manag3"/>
      <sheetName val="Wavg_RM3"/>
      <sheetName val="Addition Ist &amp; IInd Half"/>
      <sheetName val="SysNavigation"/>
      <sheetName val="Amb - Working"/>
      <sheetName val="M00100"/>
      <sheetName val="CAPEX'00"/>
      <sheetName val="Sheet3 (2)"/>
      <sheetName val="Redelvery provision changed"/>
      <sheetName val="sum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0">
          <cell r="D10">
            <v>8.3000000000000007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 refreshError="1"/>
      <sheetData sheetId="95"/>
      <sheetData sheetId="96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/>
      <sheetData sheetId="398" refreshError="1"/>
      <sheetData sheetId="399" refreshError="1"/>
      <sheetData sheetId="400" refreshError="1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 refreshError="1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/>
      <sheetData sheetId="631"/>
      <sheetData sheetId="632"/>
      <sheetData sheetId="633" refreshError="1"/>
      <sheetData sheetId="634" refreshError="1"/>
      <sheetData sheetId="635"/>
      <sheetData sheetId="636"/>
      <sheetData sheetId="637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BCOPY (3)"/>
      <sheetName val="ORIGINAL"/>
      <sheetName val="INT.INV. "/>
      <sheetName val="BS"/>
      <sheetName val="PL"/>
      <sheetName val="Dep Sch"/>
      <sheetName val="BSSCH"/>
      <sheetName val="PLSCH"/>
      <sheetName val="Dep Cal"/>
      <sheetName val="Smry Dep"/>
      <sheetName val="Groupings"/>
      <sheetName val="Trial Bal HM 31-03-2004"/>
      <sheetName val="FA"/>
      <sheetName val="Summary"/>
      <sheetName val="Other"/>
      <sheetName val="Data"/>
      <sheetName val="TB-New"/>
      <sheetName val="Final Inc Tax computation"/>
      <sheetName val="RES"/>
      <sheetName val="P &amp; L"/>
      <sheetName val="Reserves &amp; Surplus"/>
      <sheetName val="Other Expenses"/>
      <sheetName val="200B"/>
      <sheetName val="Profit &amp; Loss Account"/>
      <sheetName val="Drilling"/>
      <sheetName val="Assum"/>
      <sheetName val="115JB"/>
      <sheetName val="Main"/>
      <sheetName val="TBCOPY_(3)"/>
      <sheetName val="INT_INV__"/>
      <sheetName val="Dep_Sch"/>
      <sheetName val="Dep_Cal"/>
      <sheetName val="Smry_Dep"/>
      <sheetName val="Trial_Bal_HM_31-03-2004"/>
      <sheetName val="INDORAMA Group June 02"/>
      <sheetName val="entitlements"/>
      <sheetName val="PGW"/>
      <sheetName val="BudgetVsActualFY2014"/>
      <sheetName val="HBI NCD"/>
      <sheetName val="tower"/>
      <sheetName val="Addi Jan - Dec 99"/>
      <sheetName val="sep01"/>
      <sheetName val="IG-fixed ROIC"/>
      <sheetName val="IG fixed RONIC"/>
      <sheetName val="CASH FLOW AND BALANCE SHEET"/>
      <sheetName val="DCF Analysis"/>
      <sheetName val="Invest"/>
      <sheetName val="#REF"/>
      <sheetName val="Grouping"/>
      <sheetName val="Ann IS"/>
      <sheetName val="2.Valuation"/>
      <sheetName val="3.Summary"/>
      <sheetName val="Occupancy &amp; Trade density wkng"/>
      <sheetName val="Parameter"/>
      <sheetName val="Agency BS"/>
      <sheetName val="Détails plans d'actions"/>
      <sheetName val="inve"/>
      <sheetName val="N-LIABIL"/>
      <sheetName val="KEY INPUTS"/>
      <sheetName val="TESORERIA"/>
      <sheetName val="Revenue-Invoicewise"/>
      <sheetName val="Sheet1"/>
      <sheetName val="Delhi"/>
      <sheetName val="Macro"/>
      <sheetName val="Base Info"/>
      <sheetName val="Vivarea"/>
      <sheetName val="DEL1"/>
      <sheetName val="TB"/>
      <sheetName val="Bal Sheet"/>
      <sheetName val="Rising Main"/>
      <sheetName val="CAPITAL ADV"/>
      <sheetName val="Esterlina TB 18"/>
      <sheetName val="Note 40"/>
      <sheetName val="Ind AS 115"/>
      <sheetName val="Key"/>
      <sheetName val="Detail Grouping"/>
      <sheetName val="Page 1"/>
      <sheetName val="Page 2"/>
      <sheetName val="sum"/>
      <sheetName val="Cover"/>
      <sheetName val="CUSTOMER STRATEGIES"/>
      <sheetName val="CustOrg"/>
      <sheetName val="a-4"/>
      <sheetName val="cell rel"/>
      <sheetName val="CockPit"/>
      <sheetName val="Depn chart"/>
      <sheetName val="COMBSCHEDULE"/>
      <sheetName val=""/>
      <sheetName val="BSG"/>
      <sheetName val="CRITERIA4"/>
      <sheetName val="DESTROY"/>
      <sheetName val="SysNavigation"/>
      <sheetName val="dec98"/>
      <sheetName val="SCH-5(1)"/>
      <sheetName val="XREF"/>
      <sheetName val="Fx Rates"/>
      <sheetName val="pcQueryData"/>
      <sheetName val="Turnover"/>
      <sheetName val="0399"/>
      <sheetName val="외화금융(97-03)"/>
      <sheetName val="Price Testing - Used - 1"/>
      <sheetName val="OC5-Push Diag"/>
      <sheetName val="Franchise Input"/>
      <sheetName val="Register"/>
      <sheetName val="STORE MANAGEMENT"/>
      <sheetName val="TBCOPY_(3)1"/>
      <sheetName val="INT_INV__1"/>
      <sheetName val="Dep_Sch1"/>
      <sheetName val="Dep_Cal1"/>
      <sheetName val="Smry_Dep1"/>
      <sheetName val="Trial_Bal_HM_31-03-20041"/>
      <sheetName val="Final_Inc_Tax_computation"/>
      <sheetName val="P_&amp;_L"/>
      <sheetName val="Reserves_&amp;_Surplus"/>
      <sheetName val="Other_Expenses"/>
      <sheetName val="Ann_IS"/>
      <sheetName val="2_Valuation"/>
      <sheetName val="3_Summary"/>
      <sheetName val="HBI_NCD"/>
      <sheetName val="Occupancy_&amp;_Trade_density_wkng"/>
      <sheetName val="Agency_BS"/>
      <sheetName val="Détails_plans_d'actions"/>
      <sheetName val="Profit_&amp;_Loss_Account"/>
      <sheetName val="Base_Info"/>
      <sheetName val="KEY_INPUTS"/>
      <sheetName val="Addi_Jan_-_Dec_99"/>
      <sheetName val="IG-fixed_ROIC"/>
      <sheetName val="IG_fixed_RONIC"/>
      <sheetName val="CASH_FLOW_AND_BALANCE_SHEET"/>
      <sheetName val="INDORAMA_Group_June_02"/>
      <sheetName val="Rising_Main"/>
      <sheetName val="Bal_Sheet"/>
      <sheetName val="CAPITAL_ADV"/>
      <sheetName val="trial bal"/>
      <sheetName val="Wrk-Mov in Invent"/>
      <sheetName val="Acc_wise_global"/>
      <sheetName val="Annexure _ 1"/>
      <sheetName val="Annexure _ 2"/>
      <sheetName val="old_serial no."/>
      <sheetName val="tot_ass_9697"/>
      <sheetName val="BS-oct-01-mar-03"/>
      <sheetName val="MIS premises"/>
      <sheetName val="Boq"/>
      <sheetName val="ANNEXURE-P&amp;L"/>
      <sheetName val="Sheet3 (2)"/>
      <sheetName val="Financials"/>
      <sheetName val="Other notes"/>
      <sheetName val="RT KAR F"/>
      <sheetName val="RT PDK F"/>
      <sheetName val="SBA AP P"/>
      <sheetName val="UP P"/>
      <sheetName val="WBA BG F"/>
      <sheetName val="EXCISE"/>
      <sheetName val="template"/>
      <sheetName val="Summary model"/>
      <sheetName val="14"/>
      <sheetName val="Year1"/>
      <sheetName val="ROCE"/>
      <sheetName val="PopCache"/>
      <sheetName val="Return to Provision"/>
      <sheetName val="MSPD Analysis"/>
      <sheetName val="Saurabh's Entries"/>
      <sheetName val="HRA"/>
      <sheetName val="Noryl"/>
      <sheetName val="SUMM"/>
      <sheetName val="P.Well( RCC)"/>
      <sheetName val="DCF_Analysis"/>
      <sheetName val="Detail_Grouping"/>
      <sheetName val="Page_1"/>
      <sheetName val="Page_2"/>
      <sheetName val="CUSTOMER_STRATEGIES"/>
      <sheetName val="Depn_chart"/>
      <sheetName val="Esterlina_TB_18"/>
      <sheetName val="Note_40"/>
      <sheetName val="Ind_AS_115"/>
      <sheetName val="cell_rel"/>
      <sheetName val="Fx_Rates"/>
      <sheetName val="Sheet3_(2)"/>
      <sheetName val="OC5-Push_Diag"/>
      <sheetName val="Franchise_Input"/>
      <sheetName val="STORE_MANAGEMENT"/>
      <sheetName val="MIS_premises"/>
      <sheetName val="Links"/>
      <sheetName val="NEW-PANEL"/>
      <sheetName val="Factors-overall"/>
      <sheetName val="List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 refreshError="1"/>
      <sheetData sheetId="185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EST"/>
      <sheetName val="Local Sales Tax &amp; CST"/>
      <sheetName val="SALE"/>
      <sheetName val="Calculationofinterest"/>
      <sheetName val="Sheet1"/>
      <sheetName val="Sheet2"/>
      <sheetName val="Sheet3"/>
      <sheetName val="ORIGINAL"/>
    </sheetNames>
    <sheetDataSet>
      <sheetData sheetId="0" refreshError="1"/>
      <sheetData sheetId="1" refreshError="1"/>
      <sheetData sheetId="2">
        <row r="4">
          <cell r="B4" t="str">
            <v>VEHICLE</v>
          </cell>
        </row>
        <row r="24">
          <cell r="A24">
            <v>2</v>
          </cell>
          <cell r="B24" t="str">
            <v>HR 26 D 9509 (P0124)</v>
          </cell>
        </row>
        <row r="25">
          <cell r="B25" t="str">
            <v>Original cost as on 6-12-95</v>
          </cell>
          <cell r="C25">
            <v>190259.26</v>
          </cell>
        </row>
        <row r="27">
          <cell r="B27" t="str">
            <v>Depreciation for 95-96</v>
          </cell>
          <cell r="D27">
            <v>6024.8765666666668</v>
          </cell>
        </row>
        <row r="28">
          <cell r="B28" t="str">
            <v>Depreciation for 96-97</v>
          </cell>
          <cell r="D28">
            <v>18074.629700000001</v>
          </cell>
        </row>
        <row r="29">
          <cell r="B29" t="str">
            <v>Depreciation for 97-98</v>
          </cell>
          <cell r="D29">
            <v>18074.629700000001</v>
          </cell>
        </row>
        <row r="30">
          <cell r="B30" t="str">
            <v>Depreciation for 98-99</v>
          </cell>
          <cell r="D30">
            <v>18074.629700000001</v>
          </cell>
        </row>
        <row r="31">
          <cell r="B31" t="str">
            <v>Depreciation for 99-00</v>
          </cell>
          <cell r="D31">
            <v>18074.629700000001</v>
          </cell>
        </row>
        <row r="32">
          <cell r="B32" t="str">
            <v>Depreciation for April 00</v>
          </cell>
          <cell r="D32">
            <v>1506.2191416666667</v>
          </cell>
        </row>
        <row r="33">
          <cell r="B33" t="str">
            <v>Total Depreciation</v>
          </cell>
          <cell r="D33">
            <v>79829.614508333339</v>
          </cell>
        </row>
        <row r="35">
          <cell r="B35" t="str">
            <v>WDV as on 13-4-00</v>
          </cell>
          <cell r="C35">
            <v>110429.64549166667</v>
          </cell>
        </row>
        <row r="36">
          <cell r="B36" t="str">
            <v>Less : Sold for</v>
          </cell>
          <cell r="C36">
            <v>24000</v>
          </cell>
        </row>
        <row r="37">
          <cell r="B37" t="str">
            <v>Loss on Sale of Car</v>
          </cell>
          <cell r="C37">
            <v>86429.64549166667</v>
          </cell>
        </row>
        <row r="39">
          <cell r="B39" t="str">
            <v>Entry to be passed</v>
          </cell>
        </row>
        <row r="40">
          <cell r="C40" t="str">
            <v>Debit</v>
          </cell>
          <cell r="D40" t="str">
            <v>Credit</v>
          </cell>
        </row>
        <row r="41">
          <cell r="B41" t="str">
            <v>Bank A/c Dr.</v>
          </cell>
          <cell r="C41">
            <v>24000</v>
          </cell>
        </row>
        <row r="42">
          <cell r="B42" t="str">
            <v>Acculumulated Depreciation</v>
          </cell>
          <cell r="C42">
            <v>79829.614508333339</v>
          </cell>
        </row>
        <row r="43">
          <cell r="B43" t="str">
            <v>Loss on sale of Asset</v>
          </cell>
          <cell r="C43">
            <v>86429.64549166667</v>
          </cell>
        </row>
        <row r="44">
          <cell r="B44" t="str">
            <v>To Fixed Asset</v>
          </cell>
          <cell r="D44">
            <v>190259.26</v>
          </cell>
        </row>
        <row r="46">
          <cell r="A46">
            <v>3</v>
          </cell>
          <cell r="B46" t="str">
            <v>DL 1CD 7223 (P1666)</v>
          </cell>
        </row>
        <row r="47">
          <cell r="B47" t="str">
            <v>original Cost as on 18.05.95</v>
          </cell>
          <cell r="C47">
            <v>274855</v>
          </cell>
        </row>
        <row r="49">
          <cell r="B49" t="str">
            <v>Depreciation for 95-96</v>
          </cell>
          <cell r="D49">
            <v>23935.289583333331</v>
          </cell>
        </row>
        <row r="50">
          <cell r="B50" t="str">
            <v>Depreciation for 96-97</v>
          </cell>
          <cell r="D50">
            <v>26111.224999999999</v>
          </cell>
        </row>
        <row r="51">
          <cell r="B51" t="str">
            <v>Depreciation for 97-98</v>
          </cell>
          <cell r="D51">
            <v>26111.224999999999</v>
          </cell>
        </row>
        <row r="52">
          <cell r="B52" t="str">
            <v>Depreciation for 98-99</v>
          </cell>
          <cell r="D52">
            <v>26111.224999999999</v>
          </cell>
        </row>
        <row r="53">
          <cell r="B53" t="str">
            <v>Depreciation for 99-00</v>
          </cell>
          <cell r="D53">
            <v>26111.224999999999</v>
          </cell>
        </row>
        <row r="54">
          <cell r="B54" t="str">
            <v>Depreciation till Dec' 00</v>
          </cell>
          <cell r="D54">
            <v>19583.418749999997</v>
          </cell>
        </row>
        <row r="55">
          <cell r="B55" t="str">
            <v>Total Depreciation</v>
          </cell>
          <cell r="D55">
            <v>147963.60833333334</v>
          </cell>
        </row>
        <row r="57">
          <cell r="B57" t="str">
            <v>WDV as on 6-12-00</v>
          </cell>
          <cell r="C57">
            <v>126891.39166666666</v>
          </cell>
        </row>
        <row r="58">
          <cell r="B58" t="str">
            <v>Less : Sold for</v>
          </cell>
          <cell r="C58">
            <v>33000</v>
          </cell>
        </row>
        <row r="59">
          <cell r="B59" t="str">
            <v>Loss on Sale of Car</v>
          </cell>
          <cell r="C59">
            <v>93891.391666666663</v>
          </cell>
        </row>
        <row r="61">
          <cell r="B61" t="str">
            <v>Entry to be passed</v>
          </cell>
        </row>
        <row r="62">
          <cell r="C62" t="str">
            <v>Debit</v>
          </cell>
          <cell r="D62" t="str">
            <v>Credit</v>
          </cell>
        </row>
        <row r="63">
          <cell r="B63" t="str">
            <v>Bank A/c                         Dr.</v>
          </cell>
          <cell r="C63">
            <v>33000</v>
          </cell>
        </row>
        <row r="64">
          <cell r="B64" t="str">
            <v>Acculumulated Depreciation</v>
          </cell>
          <cell r="C64">
            <v>147963.60833333334</v>
          </cell>
        </row>
        <row r="65">
          <cell r="B65" t="str">
            <v>Loss on Sale of Asset</v>
          </cell>
          <cell r="C65">
            <v>93891.391666666663</v>
          </cell>
        </row>
        <row r="66">
          <cell r="B66" t="str">
            <v>To Fixed Asset</v>
          </cell>
          <cell r="D66">
            <v>274855</v>
          </cell>
        </row>
        <row r="69">
          <cell r="A69">
            <v>4</v>
          </cell>
          <cell r="B69" t="str">
            <v>Car used by R.N.Shenoy(HH453)</v>
          </cell>
        </row>
        <row r="70">
          <cell r="B70" t="str">
            <v>original Cost as on 29.11.1994</v>
          </cell>
          <cell r="C70">
            <v>313645.95</v>
          </cell>
        </row>
      </sheetData>
      <sheetData sheetId="3" refreshError="1"/>
      <sheetData sheetId="4"/>
      <sheetData sheetId="5"/>
      <sheetData sheetId="6"/>
      <sheetData sheetId="7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.T.Dep"/>
      <sheetName val="Details of Ded"/>
      <sheetName val="Details of Add"/>
      <sheetName val="deftax"/>
      <sheetName val="Debtors Ageing"/>
      <sheetName val="BS"/>
      <sheetName val="P&amp;L"/>
      <sheetName val="Cash Flow"/>
      <sheetName val="SchBS"/>
      <sheetName val="FA "/>
      <sheetName val="inve"/>
      <sheetName val="SchP&amp;L"/>
      <sheetName val="TB"/>
      <sheetName val="Groupings"/>
      <sheetName val="ORIGINAL"/>
      <sheetName val="Depn chart"/>
      <sheetName val="Results PL"/>
      <sheetName val="Assumptions"/>
      <sheetName val="FY2002"/>
      <sheetName val="FY2004"/>
      <sheetName val="YTD2005"/>
      <sheetName val="DET0900"/>
      <sheetName val="Consolidated PL"/>
      <sheetName val="SCH 34"/>
      <sheetName val="adp-budget"/>
      <sheetName val="INPUT_CHECK UP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_and_CL_2002_proj_opn(2001-0)"/>
      <sheetName val="Sheet1"/>
      <sheetName val="CF-2002-03"/>
      <sheetName val="Details 01-02"/>
      <sheetName val="changes_working_20th_jun"/>
      <sheetName val="Sheet2"/>
      <sheetName val="CF (Prev year regroup)-FINAL"/>
      <sheetName val="Details 99-00 &amp; 00-01"/>
      <sheetName val="Inventory(2001-02)"/>
      <sheetName val="tbc-00-01"/>
      <sheetName val="profit_on_sale"/>
      <sheetName val="PopCache_Sheet1"/>
      <sheetName val="COMPS"/>
      <sheetName val="tbc"/>
      <sheetName val="Net"/>
      <sheetName val="RMC"/>
      <sheetName val="P &amp; L"/>
      <sheetName val="Details_01-02"/>
      <sheetName val="CF_(Prev_year_regroup)-FINAL"/>
      <sheetName val="Details_99-00_&amp;_00-01"/>
      <sheetName val="Ctrls"/>
      <sheetName val="Details_01-021"/>
      <sheetName val="CF_(Prev_year_regroup)-FINAL1"/>
      <sheetName val="Details_99-00_&amp;_00-011"/>
      <sheetName val="P_&amp;_L"/>
      <sheetName val="Copy of cashflow_31_3_2003_3may"/>
      <sheetName val="SUMM"/>
      <sheetName val="Details_01-022"/>
      <sheetName val="CF_(Prev_year_regroup)-FINAL2"/>
      <sheetName val="Details_99-00_&amp;_00-012"/>
      <sheetName val="P_&amp;_L1"/>
      <sheetName val="Copy_of_cashflow_31_3_2003_3may"/>
      <sheetName val="Details_01-023"/>
      <sheetName val="CF_(Prev_year_regroup)-FINAL3"/>
      <sheetName val="Details_99-00_&amp;_00-013"/>
      <sheetName val="P_&amp;_L2"/>
      <sheetName val="Copy_of_cashflow_31_3_2003_3ma1"/>
      <sheetName val="Sugar_BASIC ASSU."/>
      <sheetName val="Makro1"/>
      <sheetName val="mltc"/>
      <sheetName val="P&amp;L"/>
      <sheetName val="stores &amp; spa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ial Balance"/>
      <sheetName val="B S"/>
      <sheetName val="PL"/>
      <sheetName val="SCH 1-3"/>
      <sheetName val="SCH 4"/>
      <sheetName val="SCH 5-10"/>
      <sheetName val="Sch 11-15"/>
      <sheetName val="Sub-Sch"/>
      <sheetName val="CFS"/>
      <sheetName val="Dep"/>
      <sheetName val="NA"/>
      <sheetName val="Computation"/>
      <sheetName val="Salary"/>
      <sheetName val="DTA"/>
      <sheetName val="Sub(8)"/>
      <sheetName val="Sub (9)"/>
      <sheetName val="Sub(11)"/>
      <sheetName val="Sub(15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**01"/>
      <sheetName val="0000000"/>
      <sheetName val="LC CAL-SBBJ"/>
      <sheetName val="LC CAL-OTHERS"/>
      <sheetName val="LC CAL-ICICI"/>
      <sheetName val="sentini"/>
      <sheetName val="CAPE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 (2)"/>
      <sheetName val="Sheet1"/>
      <sheetName val="Sheet2"/>
      <sheetName val="Sheet3"/>
      <sheetName val="#REF"/>
      <sheetName val="_REF"/>
      <sheetName val="WACC_VDF"/>
      <sheetName val="STI"/>
      <sheetName val="DETAIL SHEET"/>
      <sheetName val="StaffWelfare"/>
      <sheetName val="tb"/>
      <sheetName val="CODELIST"/>
      <sheetName val="3CD-ANX"/>
      <sheetName val="wwww"/>
      <sheetName val="ANNEXURE -15."/>
      <sheetName val="TRIALBALANCE"/>
      <sheetName val="Input1"/>
      <sheetName val="tower"/>
      <sheetName val="COMPUTATION"/>
      <sheetName val="Pvt. Lable Master"/>
      <sheetName val="TB-03-06"/>
      <sheetName val="SUMMARY SHEET"/>
      <sheetName val="Rates"/>
      <sheetName val="FORM-16A ( MONTHLY DETAILED )"/>
      <sheetName val="WAC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pt08"/>
      <sheetName val="oct08"/>
      <sheetName val="Sheet1"/>
      <sheetName val="working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ck"/>
      <sheetName val="test (2)"/>
      <sheetName val="Sheet1"/>
      <sheetName val="test"/>
      <sheetName val="total fixed assets"/>
      <sheetName val="period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SERIAL</v>
          </cell>
          <cell r="B1" t="str">
            <v>TYPE</v>
          </cell>
          <cell r="C1" t="str">
            <v>BCODE</v>
          </cell>
          <cell r="D1" t="str">
            <v>ACODE</v>
          </cell>
          <cell r="E1" t="str">
            <v>LOC</v>
          </cell>
          <cell r="F1" t="str">
            <v>BRANCH</v>
          </cell>
          <cell r="G1" t="str">
            <v>LOC1</v>
          </cell>
          <cell r="H1" t="str">
            <v>STCODE</v>
          </cell>
          <cell r="I1" t="str">
            <v>TCODE</v>
          </cell>
          <cell r="J1" t="str">
            <v>GROUPCODE</v>
          </cell>
          <cell r="K1" t="str">
            <v>FAMILYCODE</v>
          </cell>
          <cell r="L1" t="str">
            <v>TRUCKTYPE</v>
          </cell>
          <cell r="M1" t="str">
            <v>TRUCK_NO</v>
          </cell>
          <cell r="N1" t="str">
            <v>PO_NO</v>
          </cell>
          <cell r="O1" t="str">
            <v>DOC_NO</v>
          </cell>
          <cell r="P1" t="str">
            <v>TDOC_NO</v>
          </cell>
          <cell r="Q1" t="str">
            <v>DOC_DATE</v>
          </cell>
          <cell r="R1" t="str">
            <v>PCODE</v>
          </cell>
          <cell r="S1" t="str">
            <v>STATE</v>
          </cell>
          <cell r="T1" t="str">
            <v>TERR_CODE</v>
          </cell>
          <cell r="U1" t="str">
            <v>FDEST_CODE</v>
          </cell>
          <cell r="V1" t="str">
            <v>DEST_CODE</v>
          </cell>
          <cell r="W1" t="str">
            <v>CTYPE</v>
          </cell>
          <cell r="X1" t="str">
            <v>INV_AMT</v>
          </cell>
          <cell r="Y1" t="str">
            <v>INV_NO</v>
          </cell>
          <cell r="Z1" t="str">
            <v>INV_DATE</v>
          </cell>
          <cell r="AA1" t="str">
            <v>CHALLAN</v>
          </cell>
          <cell r="AB1" t="str">
            <v>STAX</v>
          </cell>
          <cell r="AC1" t="str">
            <v>RATE1</v>
          </cell>
          <cell r="AD1" t="str">
            <v>RATE2</v>
          </cell>
          <cell r="AE1" t="str">
            <v>RATE3</v>
          </cell>
          <cell r="AF1" t="str">
            <v>RATE4</v>
          </cell>
          <cell r="AG1" t="str">
            <v>PRATE1</v>
          </cell>
          <cell r="AH1" t="str">
            <v>PRATE2</v>
          </cell>
          <cell r="AI1" t="str">
            <v>PRATE3</v>
          </cell>
          <cell r="AJ1" t="str">
            <v>PRATE4</v>
          </cell>
          <cell r="AK1" t="str">
            <v>STOCK_NO</v>
          </cell>
          <cell r="AL1" t="str">
            <v>INVQTYUOM</v>
          </cell>
          <cell r="AM1" t="str">
            <v>INVQTYSUOM</v>
          </cell>
          <cell r="AN1" t="str">
            <v>RECQTYUOM</v>
          </cell>
          <cell r="AO1" t="str">
            <v>RECQTYSUOM</v>
          </cell>
          <cell r="AP1" t="str">
            <v>TRECQTYU</v>
          </cell>
          <cell r="AQ1" t="str">
            <v>TRECQTYS</v>
          </cell>
          <cell r="AR1" t="str">
            <v>SHTQTYUOM</v>
          </cell>
          <cell r="AS1" t="str">
            <v>SHTQTYSUOM</v>
          </cell>
          <cell r="AT1" t="str">
            <v>DAMQTYUOM</v>
          </cell>
          <cell r="AU1" t="str">
            <v>DAMQTYSUOM</v>
          </cell>
          <cell r="AV1" t="str">
            <v>TDAMQTYU</v>
          </cell>
          <cell r="AW1" t="str">
            <v>TDAMQTYS</v>
          </cell>
          <cell r="AX1" t="str">
            <v>REJQTYUOM</v>
          </cell>
          <cell r="AY1" t="str">
            <v>REJQTYSUOM</v>
          </cell>
          <cell r="AZ1" t="str">
            <v>TREJQTYU</v>
          </cell>
          <cell r="BA1" t="str">
            <v>TREJQTYS</v>
          </cell>
          <cell r="BB1" t="str">
            <v>RATEIND</v>
          </cell>
          <cell r="BC1" t="str">
            <v>CIRCULAR</v>
          </cell>
          <cell r="BD1" t="str">
            <v>RATE</v>
          </cell>
          <cell r="BE1" t="str">
            <v>MFGDATE</v>
          </cell>
          <cell r="BF1" t="str">
            <v>PODATE</v>
          </cell>
          <cell r="BG1" t="str">
            <v>EXPDATE</v>
          </cell>
          <cell r="BH1" t="str">
            <v>SYSDATE</v>
          </cell>
          <cell r="BI1" t="str">
            <v>ADDUID</v>
          </cell>
          <cell r="BJ1" t="str">
            <v>ADDUIDTIME</v>
          </cell>
          <cell r="BK1" t="str">
            <v>EDTUID</v>
          </cell>
          <cell r="BL1" t="str">
            <v>EDTUIDTIME</v>
          </cell>
          <cell r="BM1" t="str">
            <v>CFMUID</v>
          </cell>
          <cell r="BN1" t="str">
            <v>CFMUIDTIME</v>
          </cell>
          <cell r="BO1" t="str">
            <v>CONFIRM</v>
          </cell>
          <cell r="BP1" t="str">
            <v>HASH</v>
          </cell>
          <cell r="BQ1" t="str">
            <v>AQTYUOM</v>
          </cell>
          <cell r="BR1" t="str">
            <v>AQTYSUOM</v>
          </cell>
          <cell r="BS1" t="str">
            <v>EXPORT</v>
          </cell>
          <cell r="BT1" t="str">
            <v>CNT</v>
          </cell>
          <cell r="BU1" t="str">
            <v>CAT</v>
          </cell>
          <cell r="BV1" t="str">
            <v>VCODE</v>
          </cell>
          <cell r="BW1" t="str">
            <v>DISCOUNT</v>
          </cell>
          <cell r="BX1" t="str">
            <v>FREIGHT</v>
          </cell>
          <cell r="BY1" t="str">
            <v>TOT</v>
          </cell>
          <cell r="BZ1" t="str">
            <v>EXCISE</v>
          </cell>
          <cell r="CA1" t="str">
            <v>OCTROI</v>
          </cell>
          <cell r="CB1" t="str">
            <v>OCT_APPLY</v>
          </cell>
          <cell r="CC1" t="str">
            <v>LOAD</v>
          </cell>
          <cell r="CD1" t="str">
            <v>INV_VALUE</v>
          </cell>
          <cell r="CE1" t="str">
            <v>DIS_VALUE</v>
          </cell>
          <cell r="CF1" t="str">
            <v>RATE1_VAL</v>
          </cell>
          <cell r="CG1" t="str">
            <v>RATE2_VAL</v>
          </cell>
          <cell r="CH1" t="str">
            <v>RATE3_VAL</v>
          </cell>
          <cell r="CI1" t="str">
            <v>RATE4_VAL</v>
          </cell>
          <cell r="CJ1" t="str">
            <v>FR_VALUE</v>
          </cell>
          <cell r="CK1" t="str">
            <v>TT_VALUE</v>
          </cell>
          <cell r="CL1" t="str">
            <v>EX_VALUE</v>
          </cell>
          <cell r="CM1" t="str">
            <v>OC_VALUE</v>
          </cell>
          <cell r="CN1" t="str">
            <v>ROUND</v>
          </cell>
          <cell r="CO1" t="str">
            <v>CTIME</v>
          </cell>
        </row>
        <row r="2">
          <cell r="A2">
            <v>1</v>
          </cell>
          <cell r="B2" t="str">
            <v>PAD</v>
          </cell>
          <cell r="C2" t="str">
            <v>35</v>
          </cell>
          <cell r="D2" t="str">
            <v>35</v>
          </cell>
          <cell r="E2" t="str">
            <v>XXX</v>
          </cell>
          <cell r="F2" t="str">
            <v>30</v>
          </cell>
          <cell r="O2" t="str">
            <v>35-00003</v>
          </cell>
          <cell r="P2" t="str">
            <v>TM-00003</v>
          </cell>
          <cell r="Q2">
            <v>37098</v>
          </cell>
          <cell r="U2" t="str">
            <v>829</v>
          </cell>
          <cell r="AK2" t="str">
            <v>XXX</v>
          </cell>
          <cell r="BH2">
            <v>37098</v>
          </cell>
          <cell r="BI2" t="str">
            <v>DEPOT</v>
          </cell>
          <cell r="BJ2" t="str">
            <v>26/07/2001 12:41:45</v>
          </cell>
          <cell r="BM2" t="str">
            <v>DEPOT</v>
          </cell>
          <cell r="BN2" t="str">
            <v>26/07/2001 12:44:37</v>
          </cell>
          <cell r="BO2" t="str">
            <v>Y</v>
          </cell>
          <cell r="BP2">
            <v>2507212</v>
          </cell>
          <cell r="BS2" t="str">
            <v>35260701</v>
          </cell>
          <cell r="CO2" t="str">
            <v>12:44:37</v>
          </cell>
        </row>
        <row r="3">
          <cell r="A3">
            <v>2</v>
          </cell>
          <cell r="B3" t="str">
            <v>PAD</v>
          </cell>
          <cell r="C3" t="str">
            <v>35</v>
          </cell>
          <cell r="D3" t="str">
            <v>35</v>
          </cell>
          <cell r="E3" t="str">
            <v>001</v>
          </cell>
          <cell r="F3" t="str">
            <v>30</v>
          </cell>
          <cell r="O3" t="str">
            <v>35-00003</v>
          </cell>
          <cell r="P3" t="str">
            <v>TM-00003</v>
          </cell>
          <cell r="Q3">
            <v>37098</v>
          </cell>
          <cell r="U3" t="str">
            <v>829</v>
          </cell>
          <cell r="AK3" t="str">
            <v>41039102</v>
          </cell>
          <cell r="AN3">
            <v>-35</v>
          </cell>
          <cell r="AO3">
            <v>-17</v>
          </cell>
          <cell r="BH3">
            <v>37098</v>
          </cell>
          <cell r="BI3" t="str">
            <v>DEPOT</v>
          </cell>
          <cell r="BJ3" t="str">
            <v>26/07/2001 12:41:47</v>
          </cell>
          <cell r="BM3" t="str">
            <v>DEPOT</v>
          </cell>
          <cell r="BN3" t="str">
            <v>26/07/2001 12:44:37</v>
          </cell>
          <cell r="BO3" t="str">
            <v>Y</v>
          </cell>
          <cell r="BP3">
            <v>2507160</v>
          </cell>
          <cell r="BS3" t="str">
            <v>35260701</v>
          </cell>
          <cell r="CO3" t="str">
            <v>12:44:37</v>
          </cell>
        </row>
        <row r="4">
          <cell r="A4">
            <v>3</v>
          </cell>
          <cell r="B4" t="str">
            <v>PAD</v>
          </cell>
          <cell r="C4" t="str">
            <v>35</v>
          </cell>
          <cell r="D4" t="str">
            <v>35</v>
          </cell>
          <cell r="E4" t="str">
            <v>001</v>
          </cell>
          <cell r="F4" t="str">
            <v>30</v>
          </cell>
          <cell r="O4" t="str">
            <v>35-00003</v>
          </cell>
          <cell r="P4" t="str">
            <v>TM-00003</v>
          </cell>
          <cell r="Q4">
            <v>37098</v>
          </cell>
          <cell r="U4" t="str">
            <v>829</v>
          </cell>
          <cell r="AK4" t="str">
            <v>41049102</v>
          </cell>
          <cell r="AN4">
            <v>-59</v>
          </cell>
          <cell r="AO4">
            <v>-22</v>
          </cell>
          <cell r="BI4" t="str">
            <v>DEPOT</v>
          </cell>
          <cell r="BJ4" t="str">
            <v>26/07/2001 12:42:32</v>
          </cell>
          <cell r="BM4" t="str">
            <v>DEPOT</v>
          </cell>
          <cell r="BN4" t="str">
            <v>26/07/2001 12:44:37</v>
          </cell>
          <cell r="BO4" t="str">
            <v>Y</v>
          </cell>
          <cell r="BP4">
            <v>2507131</v>
          </cell>
          <cell r="BS4" t="str">
            <v>35260701</v>
          </cell>
          <cell r="CO4" t="str">
            <v>12:44:37</v>
          </cell>
        </row>
        <row r="5">
          <cell r="A5">
            <v>4</v>
          </cell>
          <cell r="B5" t="str">
            <v>PAD</v>
          </cell>
          <cell r="C5" t="str">
            <v>35</v>
          </cell>
          <cell r="D5" t="str">
            <v>35</v>
          </cell>
          <cell r="E5" t="str">
            <v>001</v>
          </cell>
          <cell r="F5" t="str">
            <v>30</v>
          </cell>
          <cell r="O5" t="str">
            <v>35-00003</v>
          </cell>
          <cell r="P5" t="str">
            <v>TM-00003</v>
          </cell>
          <cell r="Q5">
            <v>37098</v>
          </cell>
          <cell r="U5" t="str">
            <v>829</v>
          </cell>
          <cell r="AK5" t="str">
            <v>41069102</v>
          </cell>
          <cell r="AN5">
            <v>-10</v>
          </cell>
          <cell r="BI5" t="str">
            <v>DEPOT</v>
          </cell>
          <cell r="BJ5" t="str">
            <v>26/07/2001 12:43:18</v>
          </cell>
          <cell r="BM5" t="str">
            <v>DEPOT</v>
          </cell>
          <cell r="BN5" t="str">
            <v>26/07/2001 12:44:37</v>
          </cell>
          <cell r="BO5" t="str">
            <v>Y</v>
          </cell>
          <cell r="BP5">
            <v>2507202</v>
          </cell>
          <cell r="BS5" t="str">
            <v>35260701</v>
          </cell>
          <cell r="CO5" t="str">
            <v>12:44:37</v>
          </cell>
        </row>
        <row r="6">
          <cell r="A6">
            <v>1</v>
          </cell>
          <cell r="B6" t="str">
            <v>PAD</v>
          </cell>
          <cell r="C6" t="str">
            <v>52</v>
          </cell>
          <cell r="D6" t="str">
            <v>52</v>
          </cell>
          <cell r="E6" t="str">
            <v>XXX</v>
          </cell>
          <cell r="F6" t="str">
            <v>30</v>
          </cell>
          <cell r="O6" t="str">
            <v>52-00002</v>
          </cell>
          <cell r="P6" t="str">
            <v>TM-00002</v>
          </cell>
          <cell r="Q6">
            <v>37131</v>
          </cell>
          <cell r="AK6" t="str">
            <v>XXX</v>
          </cell>
          <cell r="BH6">
            <v>37131</v>
          </cell>
          <cell r="BI6" t="str">
            <v>DEPOT</v>
          </cell>
          <cell r="BJ6" t="str">
            <v>28/08/2001 18:46:07</v>
          </cell>
          <cell r="BM6" t="str">
            <v>DEPOT</v>
          </cell>
          <cell r="BN6" t="str">
            <v>28/08/2001 18:47:57</v>
          </cell>
          <cell r="BO6" t="str">
            <v>Y</v>
          </cell>
          <cell r="BP6">
            <v>2457529</v>
          </cell>
          <cell r="BS6" t="str">
            <v>52290801</v>
          </cell>
          <cell r="CO6" t="str">
            <v>18:47:57</v>
          </cell>
        </row>
        <row r="7">
          <cell r="A7">
            <v>2</v>
          </cell>
          <cell r="B7" t="str">
            <v>PAD</v>
          </cell>
          <cell r="C7" t="str">
            <v>52</v>
          </cell>
          <cell r="D7" t="str">
            <v>52</v>
          </cell>
          <cell r="E7" t="str">
            <v>001</v>
          </cell>
          <cell r="F7" t="str">
            <v>30</v>
          </cell>
          <cell r="O7" t="str">
            <v>52-00002</v>
          </cell>
          <cell r="P7" t="str">
            <v>TM-00002</v>
          </cell>
          <cell r="Q7">
            <v>37131</v>
          </cell>
          <cell r="AK7" t="str">
            <v>40169801</v>
          </cell>
          <cell r="AN7">
            <v>-1</v>
          </cell>
          <cell r="BH7">
            <v>37131</v>
          </cell>
          <cell r="BI7" t="str">
            <v>DEPOT</v>
          </cell>
          <cell r="BJ7" t="str">
            <v>28/08/2001 18:46:09</v>
          </cell>
          <cell r="BM7" t="str">
            <v>DEPOT</v>
          </cell>
          <cell r="BN7" t="str">
            <v>28/08/2001 18:47:57</v>
          </cell>
          <cell r="BO7" t="str">
            <v>Y</v>
          </cell>
          <cell r="BP7">
            <v>2457528</v>
          </cell>
          <cell r="BS7" t="str">
            <v>52290801</v>
          </cell>
          <cell r="CO7" t="str">
            <v>18:47:57</v>
          </cell>
        </row>
        <row r="8">
          <cell r="A8">
            <v>1</v>
          </cell>
          <cell r="B8" t="str">
            <v>PAD</v>
          </cell>
          <cell r="C8" t="str">
            <v>30</v>
          </cell>
          <cell r="D8" t="str">
            <v>30</v>
          </cell>
          <cell r="E8" t="str">
            <v>XXX</v>
          </cell>
          <cell r="F8" t="str">
            <v>30</v>
          </cell>
          <cell r="O8" t="str">
            <v>30-00004</v>
          </cell>
          <cell r="P8" t="str">
            <v>TM-00004</v>
          </cell>
          <cell r="Q8">
            <v>37134</v>
          </cell>
          <cell r="U8" t="str">
            <v>827</v>
          </cell>
          <cell r="AK8" t="str">
            <v>XXX</v>
          </cell>
          <cell r="BH8">
            <v>37135</v>
          </cell>
          <cell r="BI8" t="str">
            <v>DEPOT</v>
          </cell>
          <cell r="BJ8" t="str">
            <v>01/09/2001 19:42:37</v>
          </cell>
          <cell r="BM8" t="str">
            <v>DEPOT</v>
          </cell>
          <cell r="BN8" t="str">
            <v>01/09/2001 19:44:21</v>
          </cell>
          <cell r="BO8" t="str">
            <v>Y</v>
          </cell>
          <cell r="BP8">
            <v>2505384</v>
          </cell>
          <cell r="BS8" t="str">
            <v>30310801</v>
          </cell>
          <cell r="CO8" t="str">
            <v>19:44:21</v>
          </cell>
        </row>
        <row r="9">
          <cell r="A9">
            <v>2</v>
          </cell>
          <cell r="B9" t="str">
            <v>PAD</v>
          </cell>
          <cell r="C9" t="str">
            <v>30</v>
          </cell>
          <cell r="D9" t="str">
            <v>30</v>
          </cell>
          <cell r="E9" t="str">
            <v>001</v>
          </cell>
          <cell r="F9" t="str">
            <v>30</v>
          </cell>
          <cell r="O9" t="str">
            <v>30-00004</v>
          </cell>
          <cell r="P9" t="str">
            <v>TM-00004</v>
          </cell>
          <cell r="Q9">
            <v>37134</v>
          </cell>
          <cell r="U9" t="str">
            <v>827</v>
          </cell>
          <cell r="AK9" t="str">
            <v>41039102</v>
          </cell>
          <cell r="AN9">
            <v>-3</v>
          </cell>
          <cell r="AO9">
            <v>0</v>
          </cell>
          <cell r="BH9">
            <v>37135</v>
          </cell>
          <cell r="BI9" t="str">
            <v>DEPOT</v>
          </cell>
          <cell r="BJ9" t="str">
            <v>01/09/2001 19:42:40</v>
          </cell>
          <cell r="BM9" t="str">
            <v>DEPOT</v>
          </cell>
          <cell r="BN9" t="str">
            <v>01/09/2001 19:44:21</v>
          </cell>
          <cell r="BO9" t="str">
            <v>Y</v>
          </cell>
          <cell r="BP9">
            <v>2505381</v>
          </cell>
          <cell r="BS9" t="str">
            <v>30310801</v>
          </cell>
          <cell r="CO9" t="str">
            <v>19:44:21</v>
          </cell>
        </row>
        <row r="10">
          <cell r="A10">
            <v>3</v>
          </cell>
          <cell r="B10" t="str">
            <v>PAD</v>
          </cell>
          <cell r="C10" t="str">
            <v>30</v>
          </cell>
          <cell r="D10" t="str">
            <v>30</v>
          </cell>
          <cell r="E10" t="str">
            <v>001</v>
          </cell>
          <cell r="F10" t="str">
            <v>30</v>
          </cell>
          <cell r="O10" t="str">
            <v>30-00004</v>
          </cell>
          <cell r="P10" t="str">
            <v>TM-00004</v>
          </cell>
          <cell r="Q10">
            <v>37134</v>
          </cell>
          <cell r="U10" t="str">
            <v>827</v>
          </cell>
          <cell r="AK10" t="str">
            <v>41049102</v>
          </cell>
          <cell r="AN10">
            <v>-2</v>
          </cell>
          <cell r="BI10" t="str">
            <v>DEPOT</v>
          </cell>
          <cell r="BJ10" t="str">
            <v>01/09/2001 19:43:20</v>
          </cell>
          <cell r="BM10" t="str">
            <v>DEPOT</v>
          </cell>
          <cell r="BN10" t="str">
            <v>01/09/2001 19:44:21</v>
          </cell>
          <cell r="BO10" t="str">
            <v>Y</v>
          </cell>
          <cell r="BP10">
            <v>2505382</v>
          </cell>
          <cell r="BS10" t="str">
            <v>30310801</v>
          </cell>
          <cell r="CO10" t="str">
            <v>19:44:21</v>
          </cell>
        </row>
        <row r="11">
          <cell r="A11">
            <v>1</v>
          </cell>
          <cell r="B11" t="str">
            <v>PAD</v>
          </cell>
          <cell r="C11" t="str">
            <v>70</v>
          </cell>
          <cell r="D11" t="str">
            <v>70</v>
          </cell>
          <cell r="E11" t="str">
            <v>XXX</v>
          </cell>
          <cell r="F11" t="str">
            <v>30</v>
          </cell>
          <cell r="O11" t="str">
            <v>70-00001</v>
          </cell>
          <cell r="P11" t="str">
            <v>TM-00001</v>
          </cell>
          <cell r="Q11">
            <v>37133</v>
          </cell>
          <cell r="AK11" t="str">
            <v>XXX</v>
          </cell>
          <cell r="BH11">
            <v>37133</v>
          </cell>
          <cell r="BI11" t="str">
            <v>DEPOT</v>
          </cell>
          <cell r="BJ11" t="str">
            <v>30/08/2001 13:48:51</v>
          </cell>
          <cell r="BM11" t="str">
            <v>DEPOT</v>
          </cell>
          <cell r="BN11" t="str">
            <v>30/08/2001 13:49:46</v>
          </cell>
          <cell r="BO11" t="str">
            <v>Y</v>
          </cell>
          <cell r="BP11">
            <v>2509342</v>
          </cell>
          <cell r="BS11" t="str">
            <v>70300801</v>
          </cell>
          <cell r="CO11" t="str">
            <v>13:49:46</v>
          </cell>
        </row>
        <row r="12">
          <cell r="A12">
            <v>2</v>
          </cell>
          <cell r="B12" t="str">
            <v>PAD</v>
          </cell>
          <cell r="C12" t="str">
            <v>70</v>
          </cell>
          <cell r="D12" t="str">
            <v>70</v>
          </cell>
          <cell r="E12" t="str">
            <v>001</v>
          </cell>
          <cell r="F12" t="str">
            <v>30</v>
          </cell>
          <cell r="O12" t="str">
            <v>70-00001</v>
          </cell>
          <cell r="P12" t="str">
            <v>TM-00001</v>
          </cell>
          <cell r="Q12">
            <v>37133</v>
          </cell>
          <cell r="AK12" t="str">
            <v>20047001</v>
          </cell>
          <cell r="AN12">
            <v>-1</v>
          </cell>
          <cell r="BH12">
            <v>37133</v>
          </cell>
          <cell r="BI12" t="str">
            <v>DEPOT</v>
          </cell>
          <cell r="BJ12" t="str">
            <v>30/08/2001 13:48:53</v>
          </cell>
          <cell r="BM12" t="str">
            <v>DEPOT</v>
          </cell>
          <cell r="BN12" t="str">
            <v>30/08/2001 13:49:46</v>
          </cell>
          <cell r="BO12" t="str">
            <v>Y</v>
          </cell>
          <cell r="BP12">
            <v>2509341</v>
          </cell>
          <cell r="BS12" t="str">
            <v>70300801</v>
          </cell>
          <cell r="CO12" t="str">
            <v>13:49:46</v>
          </cell>
        </row>
        <row r="13">
          <cell r="A13">
            <v>3</v>
          </cell>
          <cell r="B13" t="str">
            <v>PAD</v>
          </cell>
          <cell r="C13" t="str">
            <v>70</v>
          </cell>
          <cell r="D13" t="str">
            <v>70</v>
          </cell>
          <cell r="E13" t="str">
            <v>001</v>
          </cell>
          <cell r="F13" t="str">
            <v>30</v>
          </cell>
          <cell r="O13" t="str">
            <v>70-00001</v>
          </cell>
          <cell r="P13" t="str">
            <v>TM-00001</v>
          </cell>
          <cell r="Q13">
            <v>37133</v>
          </cell>
          <cell r="AK13" t="str">
            <v>20117001</v>
          </cell>
          <cell r="AN13">
            <v>-1</v>
          </cell>
          <cell r="BI13" t="str">
            <v>DEPOT</v>
          </cell>
          <cell r="BJ13" t="str">
            <v>30/08/2001 13:49:07</v>
          </cell>
          <cell r="BM13" t="str">
            <v>DEPOT</v>
          </cell>
          <cell r="BN13" t="str">
            <v>30/08/2001 13:49:46</v>
          </cell>
          <cell r="BO13" t="str">
            <v>Y</v>
          </cell>
          <cell r="BP13">
            <v>2509341</v>
          </cell>
          <cell r="BS13" t="str">
            <v>70300801</v>
          </cell>
          <cell r="CO13" t="str">
            <v>13:49:46</v>
          </cell>
        </row>
        <row r="14">
          <cell r="A14">
            <v>4</v>
          </cell>
          <cell r="B14" t="str">
            <v>PAD</v>
          </cell>
          <cell r="C14" t="str">
            <v>70</v>
          </cell>
          <cell r="D14" t="str">
            <v>70</v>
          </cell>
          <cell r="E14" t="str">
            <v>001</v>
          </cell>
          <cell r="F14" t="str">
            <v>30</v>
          </cell>
          <cell r="O14" t="str">
            <v>70-00001</v>
          </cell>
          <cell r="P14" t="str">
            <v>TM-00001</v>
          </cell>
          <cell r="Q14">
            <v>37133</v>
          </cell>
          <cell r="AK14" t="str">
            <v>20087001</v>
          </cell>
          <cell r="AN14">
            <v>2</v>
          </cell>
          <cell r="BI14" t="str">
            <v>DEPOT</v>
          </cell>
          <cell r="BJ14" t="str">
            <v>30/08/2001 13:49:17</v>
          </cell>
          <cell r="BM14" t="str">
            <v>DEPOT</v>
          </cell>
          <cell r="BN14" t="str">
            <v>30/08/2001 13:49:46</v>
          </cell>
          <cell r="BO14" t="str">
            <v>Y</v>
          </cell>
          <cell r="BP14">
            <v>2509344</v>
          </cell>
          <cell r="BS14" t="str">
            <v>70300801</v>
          </cell>
          <cell r="CO14" t="str">
            <v>13:49:46</v>
          </cell>
        </row>
        <row r="15">
          <cell r="A15">
            <v>1</v>
          </cell>
          <cell r="B15" t="str">
            <v>PAD</v>
          </cell>
          <cell r="C15" t="str">
            <v>70</v>
          </cell>
          <cell r="D15" t="str">
            <v>70</v>
          </cell>
          <cell r="E15" t="str">
            <v>XXX</v>
          </cell>
          <cell r="F15" t="str">
            <v>30</v>
          </cell>
          <cell r="O15" t="str">
            <v>70-00002</v>
          </cell>
          <cell r="P15" t="str">
            <v>TM-00002</v>
          </cell>
          <cell r="Q15">
            <v>37133</v>
          </cell>
          <cell r="AK15" t="str">
            <v>XXX</v>
          </cell>
          <cell r="BH15">
            <v>37133</v>
          </cell>
          <cell r="BI15" t="str">
            <v>DEPOT</v>
          </cell>
          <cell r="BJ15" t="str">
            <v>30/08/2001 13:53:05</v>
          </cell>
          <cell r="BM15" t="str">
            <v>DEPOT</v>
          </cell>
          <cell r="BN15" t="str">
            <v>30/08/2001 13:53:36</v>
          </cell>
          <cell r="BO15" t="str">
            <v>Y</v>
          </cell>
          <cell r="BP15">
            <v>2485955</v>
          </cell>
          <cell r="BS15" t="str">
            <v>70300801</v>
          </cell>
          <cell r="CO15" t="str">
            <v>13:53:36</v>
          </cell>
        </row>
        <row r="16">
          <cell r="A16">
            <v>2</v>
          </cell>
          <cell r="B16" t="str">
            <v>PAD</v>
          </cell>
          <cell r="C16" t="str">
            <v>70</v>
          </cell>
          <cell r="D16" t="str">
            <v>70</v>
          </cell>
          <cell r="E16" t="str">
            <v>001</v>
          </cell>
          <cell r="F16" t="str">
            <v>30</v>
          </cell>
          <cell r="O16" t="str">
            <v>70-00002</v>
          </cell>
          <cell r="P16" t="str">
            <v>TM-00002</v>
          </cell>
          <cell r="Q16">
            <v>37133</v>
          </cell>
          <cell r="AK16" t="str">
            <v>30221807</v>
          </cell>
          <cell r="AN16">
            <v>-1</v>
          </cell>
          <cell r="BH16">
            <v>37133</v>
          </cell>
          <cell r="BI16" t="str">
            <v>DEPOT</v>
          </cell>
          <cell r="BJ16" t="str">
            <v>30/08/2001 13:53:06</v>
          </cell>
          <cell r="BM16" t="str">
            <v>DEPOT</v>
          </cell>
          <cell r="BN16" t="str">
            <v>30/08/2001 13:53:36</v>
          </cell>
          <cell r="BO16" t="str">
            <v>Y</v>
          </cell>
          <cell r="BP16">
            <v>2485954</v>
          </cell>
          <cell r="BS16" t="str">
            <v>70300801</v>
          </cell>
          <cell r="CO16" t="str">
            <v>13:53:36</v>
          </cell>
        </row>
        <row r="17">
          <cell r="A17">
            <v>1</v>
          </cell>
          <cell r="B17" t="str">
            <v>PAD</v>
          </cell>
          <cell r="C17" t="str">
            <v>33</v>
          </cell>
          <cell r="D17" t="str">
            <v>33</v>
          </cell>
          <cell r="E17" t="str">
            <v>XXX</v>
          </cell>
          <cell r="F17" t="str">
            <v>30</v>
          </cell>
          <cell r="O17" t="str">
            <v>33-00004</v>
          </cell>
          <cell r="P17" t="str">
            <v>TM-00004</v>
          </cell>
          <cell r="Q17">
            <v>37131</v>
          </cell>
          <cell r="AK17" t="str">
            <v>XXX</v>
          </cell>
          <cell r="BH17">
            <v>37131</v>
          </cell>
          <cell r="BI17" t="str">
            <v>DEPOT</v>
          </cell>
          <cell r="BJ17" t="str">
            <v>28/08/2001 17:29:15</v>
          </cell>
          <cell r="BM17" t="str">
            <v>DEPOT</v>
          </cell>
          <cell r="BN17" t="str">
            <v>28/08/2001 17:34:40</v>
          </cell>
          <cell r="BO17" t="str">
            <v>Y</v>
          </cell>
          <cell r="BP17">
            <v>2460394</v>
          </cell>
          <cell r="BS17" t="str">
            <v>33280801</v>
          </cell>
          <cell r="CO17" t="str">
            <v>17:34:40</v>
          </cell>
        </row>
        <row r="18">
          <cell r="A18">
            <v>2</v>
          </cell>
          <cell r="B18" t="str">
            <v>PAD</v>
          </cell>
          <cell r="C18" t="str">
            <v>33</v>
          </cell>
          <cell r="D18" t="str">
            <v>33</v>
          </cell>
          <cell r="E18" t="str">
            <v>001</v>
          </cell>
          <cell r="F18" t="str">
            <v>30</v>
          </cell>
          <cell r="O18" t="str">
            <v>33-00004</v>
          </cell>
          <cell r="P18" t="str">
            <v>TM-00004</v>
          </cell>
          <cell r="Q18">
            <v>37131</v>
          </cell>
          <cell r="AK18" t="str">
            <v>41049102</v>
          </cell>
          <cell r="AN18">
            <v>-90</v>
          </cell>
          <cell r="AO18">
            <v>-1</v>
          </cell>
          <cell r="AT18">
            <v>0</v>
          </cell>
          <cell r="BH18">
            <v>37131</v>
          </cell>
          <cell r="BI18" t="str">
            <v>DEPOT</v>
          </cell>
          <cell r="BJ18" t="str">
            <v>28/08/2001 17:29:15</v>
          </cell>
          <cell r="BM18" t="str">
            <v>DEPOT</v>
          </cell>
          <cell r="BN18" t="str">
            <v>28/08/2001 17:34:40</v>
          </cell>
          <cell r="BO18" t="str">
            <v>Y</v>
          </cell>
          <cell r="BP18">
            <v>2460303</v>
          </cell>
          <cell r="BS18" t="str">
            <v>33280801</v>
          </cell>
          <cell r="CO18" t="str">
            <v>17:34:40</v>
          </cell>
        </row>
        <row r="19">
          <cell r="A19">
            <v>3</v>
          </cell>
          <cell r="B19" t="str">
            <v>PAD</v>
          </cell>
          <cell r="C19" t="str">
            <v>33</v>
          </cell>
          <cell r="D19" t="str">
            <v>33</v>
          </cell>
          <cell r="E19" t="str">
            <v>001</v>
          </cell>
          <cell r="F19" t="str">
            <v>30</v>
          </cell>
          <cell r="O19" t="str">
            <v>33-00004</v>
          </cell>
          <cell r="P19" t="str">
            <v>TM-00004</v>
          </cell>
          <cell r="Q19">
            <v>37131</v>
          </cell>
          <cell r="AK19" t="str">
            <v>41039102</v>
          </cell>
          <cell r="AN19">
            <v>-64</v>
          </cell>
          <cell r="AO19">
            <v>-22</v>
          </cell>
          <cell r="BI19" t="str">
            <v>DEPOT</v>
          </cell>
          <cell r="BJ19" t="str">
            <v>28/08/2001 17:31:37</v>
          </cell>
          <cell r="BM19" t="str">
            <v>DEPOT</v>
          </cell>
          <cell r="BN19" t="str">
            <v>28/08/2001 17:34:40</v>
          </cell>
          <cell r="BO19" t="str">
            <v>Y</v>
          </cell>
          <cell r="BP19">
            <v>2460308</v>
          </cell>
          <cell r="BS19" t="str">
            <v>33280801</v>
          </cell>
          <cell r="CO19" t="str">
            <v>17:34:40</v>
          </cell>
        </row>
        <row r="20">
          <cell r="A20">
            <v>4</v>
          </cell>
          <cell r="B20" t="str">
            <v>PAD</v>
          </cell>
          <cell r="C20" t="str">
            <v>33</v>
          </cell>
          <cell r="D20" t="str">
            <v>33</v>
          </cell>
          <cell r="E20" t="str">
            <v>001</v>
          </cell>
          <cell r="F20" t="str">
            <v>30</v>
          </cell>
          <cell r="O20" t="str">
            <v>33-00004</v>
          </cell>
          <cell r="P20" t="str">
            <v>TM-00004</v>
          </cell>
          <cell r="Q20">
            <v>37131</v>
          </cell>
          <cell r="AK20" t="str">
            <v>41069102</v>
          </cell>
          <cell r="AN20">
            <v>-3</v>
          </cell>
          <cell r="AO20">
            <v>-16</v>
          </cell>
          <cell r="BI20" t="str">
            <v>DEPOT</v>
          </cell>
          <cell r="BJ20" t="str">
            <v>28/08/2001 17:32:11</v>
          </cell>
          <cell r="BM20" t="str">
            <v>DEPOT</v>
          </cell>
          <cell r="BN20" t="str">
            <v>28/08/2001 17:34:40</v>
          </cell>
          <cell r="BO20" t="str">
            <v>Y</v>
          </cell>
          <cell r="BP20">
            <v>2460375</v>
          </cell>
          <cell r="BS20" t="str">
            <v>33280801</v>
          </cell>
          <cell r="CO20" t="str">
            <v>17:34:40</v>
          </cell>
        </row>
        <row r="21">
          <cell r="A21">
            <v>1</v>
          </cell>
          <cell r="B21" t="str">
            <v>PAD</v>
          </cell>
          <cell r="C21" t="str">
            <v>03</v>
          </cell>
          <cell r="D21" t="str">
            <v>03</v>
          </cell>
          <cell r="E21" t="str">
            <v>XXX</v>
          </cell>
          <cell r="F21" t="str">
            <v>30</v>
          </cell>
          <cell r="O21" t="str">
            <v>03-00001</v>
          </cell>
          <cell r="P21" t="str">
            <v>TM-00001</v>
          </cell>
          <cell r="Q21">
            <v>37133</v>
          </cell>
          <cell r="U21" t="str">
            <v>803</v>
          </cell>
          <cell r="AK21" t="str">
            <v>XXX</v>
          </cell>
          <cell r="BH21">
            <v>37133</v>
          </cell>
          <cell r="BI21" t="str">
            <v>DEPOT</v>
          </cell>
          <cell r="BJ21" t="str">
            <v>30/08/2001 15:25:43</v>
          </cell>
          <cell r="BM21" t="str">
            <v>DEPOT</v>
          </cell>
          <cell r="BN21" t="str">
            <v>30/08/2001 16:04:42</v>
          </cell>
          <cell r="BO21" t="str">
            <v>Y</v>
          </cell>
          <cell r="BP21">
            <v>2474365</v>
          </cell>
          <cell r="BS21" t="str">
            <v>03300801</v>
          </cell>
          <cell r="CO21" t="str">
            <v>16:04:42</v>
          </cell>
        </row>
        <row r="22">
          <cell r="A22">
            <v>2</v>
          </cell>
          <cell r="B22" t="str">
            <v>PAD</v>
          </cell>
          <cell r="C22" t="str">
            <v>03</v>
          </cell>
          <cell r="D22" t="str">
            <v>03</v>
          </cell>
          <cell r="E22" t="str">
            <v>001</v>
          </cell>
          <cell r="F22" t="str">
            <v>30</v>
          </cell>
          <cell r="O22" t="str">
            <v>03-00001</v>
          </cell>
          <cell r="P22" t="str">
            <v>TM-00001</v>
          </cell>
          <cell r="Q22">
            <v>37133</v>
          </cell>
          <cell r="U22" t="str">
            <v>803</v>
          </cell>
          <cell r="AK22" t="str">
            <v>40019503</v>
          </cell>
          <cell r="AN22">
            <v>-7</v>
          </cell>
          <cell r="BH22">
            <v>37133</v>
          </cell>
          <cell r="BI22" t="str">
            <v>DEPOT</v>
          </cell>
          <cell r="BJ22" t="str">
            <v>30/08/2001 15:25:44</v>
          </cell>
          <cell r="BM22" t="str">
            <v>DEPOT</v>
          </cell>
          <cell r="BN22" t="str">
            <v>30/08/2001 16:04:42</v>
          </cell>
          <cell r="BO22" t="str">
            <v>Y</v>
          </cell>
          <cell r="BP22">
            <v>2474358</v>
          </cell>
          <cell r="BS22" t="str">
            <v>03300801</v>
          </cell>
          <cell r="CO22" t="str">
            <v>16:04:42</v>
          </cell>
        </row>
        <row r="23">
          <cell r="A23">
            <v>3</v>
          </cell>
          <cell r="B23" t="str">
            <v>PAD</v>
          </cell>
          <cell r="C23" t="str">
            <v>03</v>
          </cell>
          <cell r="D23" t="str">
            <v>03</v>
          </cell>
          <cell r="E23" t="str">
            <v>001</v>
          </cell>
          <cell r="F23" t="str">
            <v>30</v>
          </cell>
          <cell r="O23" t="str">
            <v>03-00001</v>
          </cell>
          <cell r="P23" t="str">
            <v>TM-00001</v>
          </cell>
          <cell r="Q23">
            <v>37133</v>
          </cell>
          <cell r="U23" t="str">
            <v>803</v>
          </cell>
          <cell r="AK23" t="str">
            <v>40015201</v>
          </cell>
          <cell r="AN23">
            <v>-4</v>
          </cell>
          <cell r="BI23" t="str">
            <v>DEPOT</v>
          </cell>
          <cell r="BJ23" t="str">
            <v>30/08/2001 15:27:30</v>
          </cell>
          <cell r="BM23" t="str">
            <v>DEPOT</v>
          </cell>
          <cell r="BN23" t="str">
            <v>30/08/2001 16:04:42</v>
          </cell>
          <cell r="BO23" t="str">
            <v>Y</v>
          </cell>
          <cell r="BP23">
            <v>2474361</v>
          </cell>
          <cell r="BS23" t="str">
            <v>03300801</v>
          </cell>
          <cell r="CO23" t="str">
            <v>16:04:42</v>
          </cell>
        </row>
        <row r="24">
          <cell r="A24">
            <v>4</v>
          </cell>
          <cell r="B24" t="str">
            <v>PAD</v>
          </cell>
          <cell r="C24" t="str">
            <v>03</v>
          </cell>
          <cell r="D24" t="str">
            <v>03</v>
          </cell>
          <cell r="E24" t="str">
            <v>001</v>
          </cell>
          <cell r="F24" t="str">
            <v>30</v>
          </cell>
          <cell r="O24" t="str">
            <v>03-00001</v>
          </cell>
          <cell r="P24" t="str">
            <v>TM-00001</v>
          </cell>
          <cell r="Q24">
            <v>37133</v>
          </cell>
          <cell r="U24" t="str">
            <v>803</v>
          </cell>
          <cell r="AK24" t="str">
            <v>41039101</v>
          </cell>
          <cell r="AN24">
            <v>-2</v>
          </cell>
          <cell r="AO24">
            <v>-7</v>
          </cell>
          <cell r="BI24" t="str">
            <v>DEPOT</v>
          </cell>
          <cell r="BJ24" t="str">
            <v>30/08/2001 15:27:58</v>
          </cell>
          <cell r="BM24" t="str">
            <v>DEPOT</v>
          </cell>
          <cell r="BN24" t="str">
            <v>30/08/2001 16:04:42</v>
          </cell>
          <cell r="BO24" t="str">
            <v>Y</v>
          </cell>
          <cell r="BP24">
            <v>2474356</v>
          </cell>
          <cell r="BS24" t="str">
            <v>03300801</v>
          </cell>
          <cell r="CO24" t="str">
            <v>16:04:42</v>
          </cell>
        </row>
        <row r="25">
          <cell r="A25">
            <v>5</v>
          </cell>
          <cell r="B25" t="str">
            <v>PAD</v>
          </cell>
          <cell r="C25" t="str">
            <v>03</v>
          </cell>
          <cell r="D25" t="str">
            <v>03</v>
          </cell>
          <cell r="E25" t="str">
            <v>001</v>
          </cell>
          <cell r="F25" t="str">
            <v>30</v>
          </cell>
          <cell r="O25" t="str">
            <v>03-00001</v>
          </cell>
          <cell r="P25" t="str">
            <v>TM-00001</v>
          </cell>
          <cell r="Q25">
            <v>37133</v>
          </cell>
          <cell r="U25" t="str">
            <v>803</v>
          </cell>
          <cell r="AK25" t="str">
            <v>41049101</v>
          </cell>
          <cell r="AN25">
            <v>-27</v>
          </cell>
          <cell r="AO25">
            <v>-10</v>
          </cell>
          <cell r="BI25" t="str">
            <v>DEPOT</v>
          </cell>
          <cell r="BJ25" t="str">
            <v>30/08/2001 15:33:21</v>
          </cell>
          <cell r="BM25" t="str">
            <v>DEPOT</v>
          </cell>
          <cell r="BN25" t="str">
            <v>30/08/2001 16:04:42</v>
          </cell>
          <cell r="BO25" t="str">
            <v>Y</v>
          </cell>
          <cell r="BP25">
            <v>2474328</v>
          </cell>
          <cell r="BS25" t="str">
            <v>03300801</v>
          </cell>
          <cell r="CO25" t="str">
            <v>16:04:42</v>
          </cell>
        </row>
        <row r="26">
          <cell r="A26">
            <v>6</v>
          </cell>
          <cell r="B26" t="str">
            <v>PAD</v>
          </cell>
          <cell r="C26" t="str">
            <v>03</v>
          </cell>
          <cell r="D26" t="str">
            <v>03</v>
          </cell>
          <cell r="E26" t="str">
            <v>001</v>
          </cell>
          <cell r="F26" t="str">
            <v>30</v>
          </cell>
          <cell r="O26" t="str">
            <v>03-00001</v>
          </cell>
          <cell r="P26" t="str">
            <v>TM-00001</v>
          </cell>
          <cell r="Q26">
            <v>37133</v>
          </cell>
          <cell r="U26" t="str">
            <v>803</v>
          </cell>
          <cell r="AK26" t="str">
            <v>41039102</v>
          </cell>
          <cell r="AN26">
            <v>-2</v>
          </cell>
          <cell r="BI26" t="str">
            <v>DEPOT</v>
          </cell>
          <cell r="BJ26" t="str">
            <v>30/08/2001 15:33:46</v>
          </cell>
          <cell r="BM26" t="str">
            <v>DEPOT</v>
          </cell>
          <cell r="BN26" t="str">
            <v>30/08/2001 16:04:42</v>
          </cell>
          <cell r="BO26" t="str">
            <v>Y</v>
          </cell>
          <cell r="BP26">
            <v>2474363</v>
          </cell>
          <cell r="BS26" t="str">
            <v>03300801</v>
          </cell>
          <cell r="CO26" t="str">
            <v>16:04:42</v>
          </cell>
        </row>
        <row r="27">
          <cell r="A27">
            <v>1</v>
          </cell>
          <cell r="B27" t="str">
            <v>PAD</v>
          </cell>
          <cell r="C27" t="str">
            <v>03</v>
          </cell>
          <cell r="D27" t="str">
            <v>03</v>
          </cell>
          <cell r="E27" t="str">
            <v>XXX</v>
          </cell>
          <cell r="F27" t="str">
            <v>30</v>
          </cell>
          <cell r="O27" t="str">
            <v>03-00002</v>
          </cell>
          <cell r="P27" t="str">
            <v>TM-00002</v>
          </cell>
          <cell r="Q27">
            <v>37134</v>
          </cell>
          <cell r="U27" t="str">
            <v>803</v>
          </cell>
          <cell r="AK27" t="str">
            <v>XXX</v>
          </cell>
          <cell r="BH27">
            <v>37134</v>
          </cell>
          <cell r="BI27" t="str">
            <v>DEPOT</v>
          </cell>
          <cell r="BJ27" t="str">
            <v>31/08/2001 14:33:30</v>
          </cell>
          <cell r="BM27" t="str">
            <v>DEPOT</v>
          </cell>
          <cell r="BN27" t="str">
            <v>31/08/2001 14:34:37</v>
          </cell>
          <cell r="BO27" t="str">
            <v>Y</v>
          </cell>
          <cell r="BP27">
            <v>2456703</v>
          </cell>
          <cell r="BS27" t="str">
            <v>03310801</v>
          </cell>
          <cell r="CO27" t="str">
            <v>14:34:37</v>
          </cell>
        </row>
        <row r="28">
          <cell r="A28">
            <v>2</v>
          </cell>
          <cell r="B28" t="str">
            <v>PAD</v>
          </cell>
          <cell r="C28" t="str">
            <v>03</v>
          </cell>
          <cell r="D28" t="str">
            <v>03</v>
          </cell>
          <cell r="E28" t="str">
            <v>001</v>
          </cell>
          <cell r="F28" t="str">
            <v>30</v>
          </cell>
          <cell r="O28" t="str">
            <v>03-00002</v>
          </cell>
          <cell r="P28" t="str">
            <v>TM-00002</v>
          </cell>
          <cell r="Q28">
            <v>37134</v>
          </cell>
          <cell r="U28" t="str">
            <v>803</v>
          </cell>
          <cell r="AK28" t="str">
            <v>20047001</v>
          </cell>
          <cell r="AN28">
            <v>-15</v>
          </cell>
          <cell r="BH28">
            <v>37134</v>
          </cell>
          <cell r="BI28" t="str">
            <v>DEPOT</v>
          </cell>
          <cell r="BJ28" t="str">
            <v>31/08/2001 14:33:32</v>
          </cell>
          <cell r="BM28" t="str">
            <v>DEPOT</v>
          </cell>
          <cell r="BN28" t="str">
            <v>31/08/2001 14:34:37</v>
          </cell>
          <cell r="BO28" t="str">
            <v>Y</v>
          </cell>
          <cell r="BP28">
            <v>2456688</v>
          </cell>
          <cell r="BS28" t="str">
            <v>03310801</v>
          </cell>
          <cell r="CO28" t="str">
            <v>14:34:37</v>
          </cell>
        </row>
        <row r="29">
          <cell r="A29">
            <v>1</v>
          </cell>
          <cell r="B29" t="str">
            <v>PAD</v>
          </cell>
          <cell r="C29" t="str">
            <v>37</v>
          </cell>
          <cell r="D29" t="str">
            <v>37</v>
          </cell>
          <cell r="E29" t="str">
            <v>XXX</v>
          </cell>
          <cell r="F29" t="str">
            <v>30</v>
          </cell>
          <cell r="O29" t="str">
            <v>37-00001</v>
          </cell>
          <cell r="P29" t="str">
            <v>TM-00001</v>
          </cell>
          <cell r="Q29">
            <v>37132</v>
          </cell>
          <cell r="AK29" t="str">
            <v>XXX</v>
          </cell>
          <cell r="BH29">
            <v>37132</v>
          </cell>
          <cell r="BI29" t="str">
            <v>DEPOT</v>
          </cell>
          <cell r="BJ29" t="str">
            <v>29/08/2001 20:41:27</v>
          </cell>
          <cell r="BM29" t="str">
            <v>DEPOT</v>
          </cell>
          <cell r="BN29" t="str">
            <v>29/08/2001 20:43:19</v>
          </cell>
          <cell r="BO29" t="str">
            <v>Y</v>
          </cell>
          <cell r="BP29">
            <v>2495447</v>
          </cell>
          <cell r="BS29" t="str">
            <v>37290801</v>
          </cell>
          <cell r="CO29" t="str">
            <v>20:43:19</v>
          </cell>
        </row>
        <row r="30">
          <cell r="A30">
            <v>2</v>
          </cell>
          <cell r="B30" t="str">
            <v>PAD</v>
          </cell>
          <cell r="C30" t="str">
            <v>37</v>
          </cell>
          <cell r="D30" t="str">
            <v>37</v>
          </cell>
          <cell r="E30" t="str">
            <v>001</v>
          </cell>
          <cell r="F30" t="str">
            <v>30</v>
          </cell>
          <cell r="O30" t="str">
            <v>37-00001</v>
          </cell>
          <cell r="P30" t="str">
            <v>TM-00001</v>
          </cell>
          <cell r="Q30">
            <v>37132</v>
          </cell>
          <cell r="AK30" t="str">
            <v>41039102</v>
          </cell>
          <cell r="AU30">
            <v>6</v>
          </cell>
          <cell r="BH30">
            <v>37132</v>
          </cell>
          <cell r="BI30" t="str">
            <v>DEPOT</v>
          </cell>
          <cell r="BJ30" t="str">
            <v>29/08/2001 20:41:28</v>
          </cell>
          <cell r="BM30" t="str">
            <v>DEPOT</v>
          </cell>
          <cell r="BN30" t="str">
            <v>29/08/2001 20:43:19</v>
          </cell>
          <cell r="BO30" t="str">
            <v>Y</v>
          </cell>
          <cell r="BP30">
            <v>2495459</v>
          </cell>
          <cell r="BS30" t="str">
            <v>37290801</v>
          </cell>
          <cell r="CO30" t="str">
            <v>20:43:19</v>
          </cell>
        </row>
        <row r="31">
          <cell r="A31">
            <v>1</v>
          </cell>
          <cell r="B31" t="str">
            <v>PAD</v>
          </cell>
          <cell r="C31" t="str">
            <v>35</v>
          </cell>
          <cell r="D31" t="str">
            <v>35</v>
          </cell>
          <cell r="E31" t="str">
            <v>XXX</v>
          </cell>
          <cell r="F31" t="str">
            <v>30</v>
          </cell>
          <cell r="O31" t="str">
            <v>35-00004</v>
          </cell>
          <cell r="P31" t="str">
            <v>TM-00004</v>
          </cell>
          <cell r="Q31">
            <v>37130</v>
          </cell>
          <cell r="U31" t="str">
            <v>829</v>
          </cell>
          <cell r="AK31" t="str">
            <v>XXX</v>
          </cell>
          <cell r="BH31">
            <v>37131</v>
          </cell>
          <cell r="BI31" t="str">
            <v>DEPOT</v>
          </cell>
          <cell r="BJ31" t="str">
            <v>28/08/2001 12:13:04</v>
          </cell>
          <cell r="BM31" t="str">
            <v>DEPOT</v>
          </cell>
          <cell r="BN31" t="str">
            <v>28/08/2001 12:13:59</v>
          </cell>
          <cell r="BO31" t="str">
            <v>Y</v>
          </cell>
          <cell r="BP31">
            <v>2513114</v>
          </cell>
          <cell r="BS31" t="str">
            <v>35270801</v>
          </cell>
          <cell r="CO31" t="str">
            <v>12:13:59</v>
          </cell>
        </row>
        <row r="32">
          <cell r="A32">
            <v>2</v>
          </cell>
          <cell r="B32" t="str">
            <v>PAD</v>
          </cell>
          <cell r="C32" t="str">
            <v>35</v>
          </cell>
          <cell r="D32" t="str">
            <v>35</v>
          </cell>
          <cell r="E32" t="str">
            <v>001</v>
          </cell>
          <cell r="F32" t="str">
            <v>30</v>
          </cell>
          <cell r="O32" t="str">
            <v>35-00004</v>
          </cell>
          <cell r="P32" t="str">
            <v>TM-00004</v>
          </cell>
          <cell r="Q32">
            <v>37130</v>
          </cell>
          <cell r="U32" t="str">
            <v>829</v>
          </cell>
          <cell r="AK32" t="str">
            <v>40028402</v>
          </cell>
          <cell r="AN32">
            <v>20</v>
          </cell>
          <cell r="BH32">
            <v>37131</v>
          </cell>
          <cell r="BI32" t="str">
            <v>DEPOT</v>
          </cell>
          <cell r="BJ32" t="str">
            <v>28/08/2001 12:13:05</v>
          </cell>
          <cell r="BM32" t="str">
            <v>DEPOT</v>
          </cell>
          <cell r="BN32" t="str">
            <v>28/08/2001 12:13:59</v>
          </cell>
          <cell r="BO32" t="str">
            <v>Y</v>
          </cell>
          <cell r="BP32">
            <v>2513134</v>
          </cell>
          <cell r="BS32" t="str">
            <v>35270801</v>
          </cell>
          <cell r="CO32" t="str">
            <v>12:13:59</v>
          </cell>
        </row>
        <row r="33">
          <cell r="A33">
            <v>3</v>
          </cell>
          <cell r="B33" t="str">
            <v>PAD</v>
          </cell>
          <cell r="C33" t="str">
            <v>35</v>
          </cell>
          <cell r="D33" t="str">
            <v>35</v>
          </cell>
          <cell r="E33" t="str">
            <v>001</v>
          </cell>
          <cell r="F33" t="str">
            <v>30</v>
          </cell>
          <cell r="O33" t="str">
            <v>35-00004</v>
          </cell>
          <cell r="P33" t="str">
            <v>TM-00004</v>
          </cell>
          <cell r="Q33">
            <v>37130</v>
          </cell>
          <cell r="U33" t="str">
            <v>829</v>
          </cell>
          <cell r="AK33" t="str">
            <v>40028504</v>
          </cell>
          <cell r="AN33">
            <v>32</v>
          </cell>
          <cell r="BI33" t="str">
            <v>DEPOT</v>
          </cell>
          <cell r="BJ33" t="str">
            <v>28/08/2001 12:13:20</v>
          </cell>
          <cell r="BM33" t="str">
            <v>DEPOT</v>
          </cell>
          <cell r="BN33" t="str">
            <v>28/08/2001 12:13:59</v>
          </cell>
          <cell r="BO33" t="str">
            <v>Y</v>
          </cell>
          <cell r="BP33">
            <v>2513146</v>
          </cell>
          <cell r="BS33" t="str">
            <v>35270801</v>
          </cell>
          <cell r="CO33" t="str">
            <v>12:13:59</v>
          </cell>
        </row>
        <row r="34">
          <cell r="A34">
            <v>1</v>
          </cell>
          <cell r="B34" t="str">
            <v>PAD</v>
          </cell>
          <cell r="C34" t="str">
            <v>35</v>
          </cell>
          <cell r="D34" t="str">
            <v>35</v>
          </cell>
          <cell r="E34" t="str">
            <v>XXX</v>
          </cell>
          <cell r="F34" t="str">
            <v>30</v>
          </cell>
          <cell r="O34" t="str">
            <v>35-00005</v>
          </cell>
          <cell r="P34" t="str">
            <v>TM-00005</v>
          </cell>
          <cell r="Q34">
            <v>37132</v>
          </cell>
          <cell r="U34" t="str">
            <v>829</v>
          </cell>
          <cell r="AK34" t="str">
            <v>XXX</v>
          </cell>
          <cell r="BH34">
            <v>37132</v>
          </cell>
          <cell r="BI34" t="str">
            <v>DEPOT</v>
          </cell>
          <cell r="BJ34" t="str">
            <v>29/08/2001 18:54:52</v>
          </cell>
          <cell r="BM34" t="str">
            <v>DEPOT</v>
          </cell>
          <cell r="BN34" t="str">
            <v>29/08/2001 18:58:20</v>
          </cell>
          <cell r="BO34" t="str">
            <v>Y</v>
          </cell>
          <cell r="BP34">
            <v>2485635</v>
          </cell>
          <cell r="BS34" t="str">
            <v>35290801</v>
          </cell>
          <cell r="CO34" t="str">
            <v>18:58:20</v>
          </cell>
        </row>
        <row r="35">
          <cell r="A35">
            <v>2</v>
          </cell>
          <cell r="B35" t="str">
            <v>PAD</v>
          </cell>
          <cell r="C35" t="str">
            <v>35</v>
          </cell>
          <cell r="D35" t="str">
            <v>35</v>
          </cell>
          <cell r="E35" t="str">
            <v>001</v>
          </cell>
          <cell r="F35" t="str">
            <v>30</v>
          </cell>
          <cell r="O35" t="str">
            <v>35-00005</v>
          </cell>
          <cell r="P35" t="str">
            <v>TM-00005</v>
          </cell>
          <cell r="Q35">
            <v>37132</v>
          </cell>
          <cell r="U35" t="str">
            <v>829</v>
          </cell>
          <cell r="AK35" t="str">
            <v>41039102</v>
          </cell>
          <cell r="AN35">
            <v>-2</v>
          </cell>
          <cell r="BH35">
            <v>37132</v>
          </cell>
          <cell r="BI35" t="str">
            <v>DEPOT</v>
          </cell>
          <cell r="BJ35" t="str">
            <v>29/08/2001 18:54:53</v>
          </cell>
          <cell r="BM35" t="str">
            <v>DEPOT</v>
          </cell>
          <cell r="BN35" t="str">
            <v>29/08/2001 18:58:20</v>
          </cell>
          <cell r="BO35" t="str">
            <v>Y</v>
          </cell>
          <cell r="BP35">
            <v>2485633</v>
          </cell>
          <cell r="BS35" t="str">
            <v>35290801</v>
          </cell>
          <cell r="CO35" t="str">
            <v>18:58:20</v>
          </cell>
        </row>
        <row r="36">
          <cell r="A36">
            <v>3</v>
          </cell>
          <cell r="B36" t="str">
            <v>PAD</v>
          </cell>
          <cell r="C36" t="str">
            <v>35</v>
          </cell>
          <cell r="D36" t="str">
            <v>35</v>
          </cell>
          <cell r="E36" t="str">
            <v>001</v>
          </cell>
          <cell r="F36" t="str">
            <v>30</v>
          </cell>
          <cell r="O36" t="str">
            <v>35-00005</v>
          </cell>
          <cell r="P36" t="str">
            <v>TM-00005</v>
          </cell>
          <cell r="Q36">
            <v>37132</v>
          </cell>
          <cell r="U36" t="str">
            <v>829</v>
          </cell>
          <cell r="AK36" t="str">
            <v>41069102</v>
          </cell>
          <cell r="AN36">
            <v>-80</v>
          </cell>
          <cell r="BI36" t="str">
            <v>DEPOT</v>
          </cell>
          <cell r="BJ36" t="str">
            <v>29/08/2001 18:56:03</v>
          </cell>
          <cell r="BM36" t="str">
            <v>DEPOT</v>
          </cell>
          <cell r="BN36" t="str">
            <v>29/08/2001 18:58:20</v>
          </cell>
          <cell r="BO36" t="str">
            <v>Y</v>
          </cell>
          <cell r="BP36">
            <v>2485555</v>
          </cell>
          <cell r="BS36" t="str">
            <v>35290801</v>
          </cell>
          <cell r="CO36" t="str">
            <v>18:58:20</v>
          </cell>
        </row>
        <row r="37">
          <cell r="A37">
            <v>4</v>
          </cell>
          <cell r="B37" t="str">
            <v>PAD</v>
          </cell>
          <cell r="C37" t="str">
            <v>35</v>
          </cell>
          <cell r="D37" t="str">
            <v>35</v>
          </cell>
          <cell r="E37" t="str">
            <v>001</v>
          </cell>
          <cell r="F37" t="str">
            <v>30</v>
          </cell>
          <cell r="O37" t="str">
            <v>35-00005</v>
          </cell>
          <cell r="P37" t="str">
            <v>TM-00005</v>
          </cell>
          <cell r="Q37">
            <v>37132</v>
          </cell>
          <cell r="U37" t="str">
            <v>829</v>
          </cell>
          <cell r="AK37" t="str">
            <v>41079101</v>
          </cell>
          <cell r="AN37">
            <v>-113</v>
          </cell>
          <cell r="BI37" t="str">
            <v>DEPOT</v>
          </cell>
          <cell r="BJ37" t="str">
            <v>29/08/2001 18:56:33</v>
          </cell>
          <cell r="BM37" t="str">
            <v>DEPOT</v>
          </cell>
          <cell r="BN37" t="str">
            <v>29/08/2001 18:58:20</v>
          </cell>
          <cell r="BO37" t="str">
            <v>Y</v>
          </cell>
          <cell r="BP37">
            <v>2485522</v>
          </cell>
          <cell r="BS37" t="str">
            <v>35290801</v>
          </cell>
          <cell r="CO37" t="str">
            <v>18:58:20</v>
          </cell>
        </row>
        <row r="38">
          <cell r="A38">
            <v>1</v>
          </cell>
          <cell r="B38" t="str">
            <v>PAD</v>
          </cell>
          <cell r="C38" t="str">
            <v>48</v>
          </cell>
          <cell r="D38" t="str">
            <v>48</v>
          </cell>
          <cell r="E38" t="str">
            <v>XXX</v>
          </cell>
          <cell r="F38" t="str">
            <v>30</v>
          </cell>
          <cell r="O38" t="str">
            <v>48-00001</v>
          </cell>
          <cell r="P38" t="str">
            <v>TM-00001</v>
          </cell>
          <cell r="Q38">
            <v>37132</v>
          </cell>
          <cell r="AK38" t="str">
            <v>XXX</v>
          </cell>
          <cell r="BH38">
            <v>37132</v>
          </cell>
          <cell r="BI38" t="str">
            <v>DEPOT</v>
          </cell>
          <cell r="BJ38" t="str">
            <v>29/08/2001 20:49:21</v>
          </cell>
          <cell r="BM38" t="str">
            <v>DEPOT</v>
          </cell>
          <cell r="BN38" t="str">
            <v>29/08/2001 21:01:36</v>
          </cell>
          <cell r="BO38" t="str">
            <v>Y</v>
          </cell>
          <cell r="BP38">
            <v>2510169</v>
          </cell>
          <cell r="BS38" t="str">
            <v>48290801</v>
          </cell>
          <cell r="CO38" t="str">
            <v>21:01:36</v>
          </cell>
        </row>
        <row r="39">
          <cell r="A39">
            <v>2</v>
          </cell>
          <cell r="B39" t="str">
            <v>PAD</v>
          </cell>
          <cell r="C39" t="str">
            <v>48</v>
          </cell>
          <cell r="D39" t="str">
            <v>48</v>
          </cell>
          <cell r="E39" t="str">
            <v>001</v>
          </cell>
          <cell r="F39" t="str">
            <v>30</v>
          </cell>
          <cell r="O39" t="str">
            <v>48-00001</v>
          </cell>
          <cell r="P39" t="str">
            <v>TM-00001</v>
          </cell>
          <cell r="Q39">
            <v>37132</v>
          </cell>
          <cell r="AK39" t="str">
            <v>41049102</v>
          </cell>
          <cell r="AN39">
            <v>-1</v>
          </cell>
          <cell r="AT39">
            <v>0</v>
          </cell>
          <cell r="AU39">
            <v>0</v>
          </cell>
          <cell r="BH39">
            <v>37132</v>
          </cell>
          <cell r="BI39" t="str">
            <v>DEPOT</v>
          </cell>
          <cell r="BJ39" t="str">
            <v>29/08/2001 20:49:23</v>
          </cell>
          <cell r="BM39" t="str">
            <v>DEPOT</v>
          </cell>
          <cell r="BN39" t="str">
            <v>29/08/2001 21:01:36</v>
          </cell>
          <cell r="BO39" t="str">
            <v>Y</v>
          </cell>
          <cell r="BP39">
            <v>2510168</v>
          </cell>
          <cell r="BS39" t="str">
            <v>48290801</v>
          </cell>
          <cell r="CO39" t="str">
            <v>21:01:36</v>
          </cell>
        </row>
        <row r="40">
          <cell r="A40">
            <v>3</v>
          </cell>
          <cell r="B40" t="str">
            <v>PAD</v>
          </cell>
          <cell r="C40" t="str">
            <v>48</v>
          </cell>
          <cell r="D40" t="str">
            <v>48</v>
          </cell>
          <cell r="E40" t="str">
            <v>001</v>
          </cell>
          <cell r="F40" t="str">
            <v>30</v>
          </cell>
          <cell r="O40" t="str">
            <v>48-00001</v>
          </cell>
          <cell r="P40" t="str">
            <v>TM-00001</v>
          </cell>
          <cell r="Q40">
            <v>37132</v>
          </cell>
          <cell r="AK40" t="str">
            <v>41039102</v>
          </cell>
          <cell r="AN40">
            <v>-1</v>
          </cell>
          <cell r="AT40">
            <v>0</v>
          </cell>
          <cell r="BI40" t="str">
            <v>DEPOT</v>
          </cell>
          <cell r="BJ40" t="str">
            <v>29/08/2001 20:51:45</v>
          </cell>
          <cell r="BM40" t="str">
            <v>DEPOT</v>
          </cell>
          <cell r="BN40" t="str">
            <v>29/08/2001 21:01:36</v>
          </cell>
          <cell r="BO40" t="str">
            <v>Y</v>
          </cell>
          <cell r="BP40">
            <v>2510168</v>
          </cell>
          <cell r="BS40" t="str">
            <v>48290801</v>
          </cell>
          <cell r="CO40" t="str">
            <v>21:01:36</v>
          </cell>
        </row>
        <row r="41">
          <cell r="A41">
            <v>1</v>
          </cell>
          <cell r="B41" t="str">
            <v>PAD</v>
          </cell>
          <cell r="C41" t="str">
            <v>02</v>
          </cell>
          <cell r="D41" t="str">
            <v>02</v>
          </cell>
          <cell r="E41" t="str">
            <v>XXX</v>
          </cell>
          <cell r="F41" t="str">
            <v>30</v>
          </cell>
          <cell r="O41" t="str">
            <v>02-00005</v>
          </cell>
          <cell r="P41" t="str">
            <v>TM-00005</v>
          </cell>
          <cell r="Q41">
            <v>37133</v>
          </cell>
          <cell r="AK41" t="str">
            <v>XXX</v>
          </cell>
          <cell r="BH41">
            <v>37133</v>
          </cell>
          <cell r="BI41" t="str">
            <v>DEPOT</v>
          </cell>
          <cell r="BJ41" t="str">
            <v>30/08/2001 14:59:48</v>
          </cell>
          <cell r="BM41" t="str">
            <v>DEPOT</v>
          </cell>
          <cell r="BN41" t="str">
            <v>30/08/2001 15:00:16</v>
          </cell>
          <cell r="BO41" t="str">
            <v>Y</v>
          </cell>
          <cell r="BP41">
            <v>2516607</v>
          </cell>
          <cell r="BS41" t="str">
            <v>02300801</v>
          </cell>
          <cell r="CO41" t="str">
            <v>15:00:16</v>
          </cell>
        </row>
        <row r="42">
          <cell r="A42">
            <v>2</v>
          </cell>
          <cell r="B42" t="str">
            <v>PAD</v>
          </cell>
          <cell r="C42" t="str">
            <v>02</v>
          </cell>
          <cell r="D42" t="str">
            <v>02</v>
          </cell>
          <cell r="E42" t="str">
            <v>001</v>
          </cell>
          <cell r="F42" t="str">
            <v>30</v>
          </cell>
          <cell r="O42" t="str">
            <v>02-00005</v>
          </cell>
          <cell r="P42" t="str">
            <v>TM-00005</v>
          </cell>
          <cell r="Q42">
            <v>37133</v>
          </cell>
          <cell r="AK42" t="str">
            <v>41079102</v>
          </cell>
          <cell r="AN42">
            <v>-2</v>
          </cell>
          <cell r="BH42">
            <v>37133</v>
          </cell>
          <cell r="BI42" t="str">
            <v>DEPOT</v>
          </cell>
          <cell r="BJ42" t="str">
            <v>30/08/2001 14:59:49</v>
          </cell>
          <cell r="BM42" t="str">
            <v>DEPOT</v>
          </cell>
          <cell r="BN42" t="str">
            <v>30/08/2001 15:00:16</v>
          </cell>
          <cell r="BO42" t="str">
            <v>Y</v>
          </cell>
          <cell r="BP42">
            <v>2516605</v>
          </cell>
          <cell r="BS42" t="str">
            <v>02300801</v>
          </cell>
          <cell r="CO42" t="str">
            <v>15:00:16</v>
          </cell>
        </row>
        <row r="43">
          <cell r="A43">
            <v>1</v>
          </cell>
          <cell r="B43" t="str">
            <v>PAD</v>
          </cell>
          <cell r="C43" t="str">
            <v>02</v>
          </cell>
          <cell r="D43" t="str">
            <v>02</v>
          </cell>
          <cell r="E43" t="str">
            <v>XXX</v>
          </cell>
          <cell r="F43" t="str">
            <v>30</v>
          </cell>
          <cell r="O43" t="str">
            <v>02-00006</v>
          </cell>
          <cell r="P43" t="str">
            <v>TM-00006</v>
          </cell>
          <cell r="Q43">
            <v>37133</v>
          </cell>
          <cell r="AK43" t="str">
            <v>XXX</v>
          </cell>
          <cell r="BH43">
            <v>37133</v>
          </cell>
          <cell r="BI43" t="str">
            <v>DEPOT</v>
          </cell>
          <cell r="BJ43" t="str">
            <v>30/08/2001 15:00:43</v>
          </cell>
          <cell r="BM43" t="str">
            <v>DEPOT</v>
          </cell>
          <cell r="BN43" t="str">
            <v>30/08/2001 15:01:06</v>
          </cell>
          <cell r="BO43" t="str">
            <v>Y</v>
          </cell>
          <cell r="BP43">
            <v>2500858</v>
          </cell>
          <cell r="BS43" t="str">
            <v>02300801</v>
          </cell>
          <cell r="CO43" t="str">
            <v>15:01:06</v>
          </cell>
        </row>
        <row r="44">
          <cell r="A44">
            <v>2</v>
          </cell>
          <cell r="B44" t="str">
            <v>PAD</v>
          </cell>
          <cell r="C44" t="str">
            <v>02</v>
          </cell>
          <cell r="D44" t="str">
            <v>02</v>
          </cell>
          <cell r="E44" t="str">
            <v>001</v>
          </cell>
          <cell r="F44" t="str">
            <v>30</v>
          </cell>
          <cell r="O44" t="str">
            <v>02-00006</v>
          </cell>
          <cell r="P44" t="str">
            <v>TM-00006</v>
          </cell>
          <cell r="Q44">
            <v>37133</v>
          </cell>
          <cell r="AK44" t="str">
            <v>41049102</v>
          </cell>
          <cell r="AN44">
            <v>-16</v>
          </cell>
          <cell r="BH44">
            <v>37133</v>
          </cell>
          <cell r="BI44" t="str">
            <v>DEPOT</v>
          </cell>
          <cell r="BJ44" t="str">
            <v>30/08/2001 15:00:43</v>
          </cell>
          <cell r="BM44" t="str">
            <v>DEPOT</v>
          </cell>
          <cell r="BN44" t="str">
            <v>30/08/2001 15:01:06</v>
          </cell>
          <cell r="BO44" t="str">
            <v>Y</v>
          </cell>
          <cell r="BP44">
            <v>2500842</v>
          </cell>
          <cell r="BS44" t="str">
            <v>02300801</v>
          </cell>
          <cell r="CO44" t="str">
            <v>15:01:06</v>
          </cell>
        </row>
        <row r="45">
          <cell r="A45">
            <v>1</v>
          </cell>
          <cell r="B45" t="str">
            <v>PAD</v>
          </cell>
          <cell r="C45" t="str">
            <v>09</v>
          </cell>
          <cell r="D45" t="str">
            <v>09</v>
          </cell>
          <cell r="E45" t="str">
            <v>XXX</v>
          </cell>
          <cell r="F45" t="str">
            <v>30</v>
          </cell>
          <cell r="O45" t="str">
            <v>09-00003</v>
          </cell>
          <cell r="P45" t="str">
            <v>TM-00003</v>
          </cell>
          <cell r="Q45">
            <v>37121</v>
          </cell>
          <cell r="U45" t="str">
            <v>809</v>
          </cell>
          <cell r="AK45" t="str">
            <v>XXX</v>
          </cell>
          <cell r="BH45">
            <v>37121</v>
          </cell>
          <cell r="BI45" t="str">
            <v>DEPOT</v>
          </cell>
          <cell r="BJ45" t="str">
            <v>18/08/2001 09:42:16</v>
          </cell>
          <cell r="BM45" t="str">
            <v>DEPOT</v>
          </cell>
          <cell r="BN45" t="str">
            <v>18/08/2001 09:42:48</v>
          </cell>
          <cell r="BO45" t="str">
            <v>Y</v>
          </cell>
          <cell r="BP45">
            <v>2490070</v>
          </cell>
          <cell r="BS45" t="str">
            <v>09180801</v>
          </cell>
          <cell r="CO45" t="str">
            <v>09:42:48</v>
          </cell>
        </row>
        <row r="46">
          <cell r="A46">
            <v>2</v>
          </cell>
          <cell r="B46" t="str">
            <v>PAD</v>
          </cell>
          <cell r="C46" t="str">
            <v>09</v>
          </cell>
          <cell r="D46" t="str">
            <v>09</v>
          </cell>
          <cell r="E46" t="str">
            <v>001</v>
          </cell>
          <cell r="F46" t="str">
            <v>30</v>
          </cell>
          <cell r="O46" t="str">
            <v>09-00003</v>
          </cell>
          <cell r="P46" t="str">
            <v>TM-00003</v>
          </cell>
          <cell r="Q46">
            <v>37121</v>
          </cell>
          <cell r="U46" t="str">
            <v>809</v>
          </cell>
          <cell r="AK46" t="str">
            <v>40018101</v>
          </cell>
          <cell r="AN46">
            <v>1</v>
          </cell>
          <cell r="BH46">
            <v>37121</v>
          </cell>
          <cell r="BI46" t="str">
            <v>DEPOT</v>
          </cell>
          <cell r="BJ46" t="str">
            <v>18/08/2001 09:42:17</v>
          </cell>
          <cell r="BM46" t="str">
            <v>DEPOT</v>
          </cell>
          <cell r="BN46" t="str">
            <v>18/08/2001 09:42:48</v>
          </cell>
          <cell r="BO46" t="str">
            <v>Y</v>
          </cell>
          <cell r="BP46">
            <v>2490071</v>
          </cell>
          <cell r="BS46" t="str">
            <v>09180801</v>
          </cell>
          <cell r="CO46" t="str">
            <v>09:42:48</v>
          </cell>
        </row>
        <row r="47">
          <cell r="A47">
            <v>1</v>
          </cell>
          <cell r="B47" t="str">
            <v>PAD</v>
          </cell>
          <cell r="C47" t="str">
            <v>09</v>
          </cell>
          <cell r="D47" t="str">
            <v>09</v>
          </cell>
          <cell r="E47" t="str">
            <v>XXX</v>
          </cell>
          <cell r="F47" t="str">
            <v>30</v>
          </cell>
          <cell r="O47" t="str">
            <v>09-00004</v>
          </cell>
          <cell r="P47" t="str">
            <v>TM-00004</v>
          </cell>
          <cell r="Q47">
            <v>37131</v>
          </cell>
          <cell r="U47" t="str">
            <v>809</v>
          </cell>
          <cell r="AK47" t="str">
            <v>XXX</v>
          </cell>
          <cell r="BH47">
            <v>37131</v>
          </cell>
          <cell r="BI47" t="str">
            <v>DEPOT</v>
          </cell>
          <cell r="BJ47" t="str">
            <v>28/08/2001 10:01:47</v>
          </cell>
          <cell r="BM47" t="str">
            <v>DEPOT</v>
          </cell>
          <cell r="BN47" t="str">
            <v>28/08/2001 10:02:38</v>
          </cell>
          <cell r="BO47" t="str">
            <v>Y</v>
          </cell>
          <cell r="BP47">
            <v>2511706</v>
          </cell>
          <cell r="BS47" t="str">
            <v>09300801</v>
          </cell>
          <cell r="CO47" t="str">
            <v>10:02:38</v>
          </cell>
        </row>
        <row r="48">
          <cell r="A48">
            <v>2</v>
          </cell>
          <cell r="B48" t="str">
            <v>PAD</v>
          </cell>
          <cell r="C48" t="str">
            <v>09</v>
          </cell>
          <cell r="D48" t="str">
            <v>09</v>
          </cell>
          <cell r="E48" t="str">
            <v>001</v>
          </cell>
          <cell r="F48" t="str">
            <v>30</v>
          </cell>
          <cell r="O48" t="str">
            <v>09-00004</v>
          </cell>
          <cell r="P48" t="str">
            <v>TM-00004</v>
          </cell>
          <cell r="Q48">
            <v>37131</v>
          </cell>
          <cell r="U48" t="str">
            <v>809</v>
          </cell>
          <cell r="AK48" t="str">
            <v>40139801</v>
          </cell>
          <cell r="AN48">
            <v>1</v>
          </cell>
          <cell r="AT48">
            <v>-1</v>
          </cell>
          <cell r="BH48">
            <v>37131</v>
          </cell>
          <cell r="BI48" t="str">
            <v>DEPOT</v>
          </cell>
          <cell r="BJ48" t="str">
            <v>28/08/2001 10:01:48</v>
          </cell>
          <cell r="BM48" t="str">
            <v>DEPOT</v>
          </cell>
          <cell r="BN48" t="str">
            <v>28/08/2001 10:02:38</v>
          </cell>
          <cell r="BO48" t="str">
            <v>Y</v>
          </cell>
          <cell r="BP48">
            <v>2511705</v>
          </cell>
          <cell r="BS48" t="str">
            <v>09300801</v>
          </cell>
          <cell r="CO48" t="str">
            <v>10:02:38</v>
          </cell>
        </row>
        <row r="49">
          <cell r="A49">
            <v>1</v>
          </cell>
          <cell r="B49" t="str">
            <v>PAD</v>
          </cell>
          <cell r="C49" t="str">
            <v>09</v>
          </cell>
          <cell r="D49" t="str">
            <v>09</v>
          </cell>
          <cell r="E49" t="str">
            <v>XXX</v>
          </cell>
          <cell r="F49" t="str">
            <v>30</v>
          </cell>
          <cell r="O49" t="str">
            <v>09-00005</v>
          </cell>
          <cell r="P49" t="str">
            <v>TM-00005</v>
          </cell>
          <cell r="Q49">
            <v>37133</v>
          </cell>
          <cell r="U49" t="str">
            <v>809</v>
          </cell>
          <cell r="AK49" t="str">
            <v>XXX</v>
          </cell>
          <cell r="BH49">
            <v>37133</v>
          </cell>
          <cell r="BI49" t="str">
            <v>DEPOT</v>
          </cell>
          <cell r="BJ49" t="str">
            <v>30/08/2001 12:55:25</v>
          </cell>
          <cell r="BM49" t="str">
            <v>DEPOT</v>
          </cell>
          <cell r="BN49" t="str">
            <v>30/08/2001 12:56:36</v>
          </cell>
          <cell r="BO49" t="str">
            <v>Y</v>
          </cell>
          <cell r="BP49">
            <v>2484967</v>
          </cell>
          <cell r="BS49" t="str">
            <v>09300801</v>
          </cell>
          <cell r="CO49" t="str">
            <v>12:56:36</v>
          </cell>
        </row>
        <row r="50">
          <cell r="A50">
            <v>2</v>
          </cell>
          <cell r="B50" t="str">
            <v>PAD</v>
          </cell>
          <cell r="C50" t="str">
            <v>09</v>
          </cell>
          <cell r="D50" t="str">
            <v>09</v>
          </cell>
          <cell r="E50" t="str">
            <v>001</v>
          </cell>
          <cell r="F50" t="str">
            <v>30</v>
          </cell>
          <cell r="O50" t="str">
            <v>09-00005</v>
          </cell>
          <cell r="P50" t="str">
            <v>TM-00005</v>
          </cell>
          <cell r="Q50">
            <v>37133</v>
          </cell>
          <cell r="U50" t="str">
            <v>809</v>
          </cell>
          <cell r="AK50" t="str">
            <v>50096301</v>
          </cell>
          <cell r="AN50">
            <v>1</v>
          </cell>
          <cell r="AO50">
            <v>0</v>
          </cell>
          <cell r="AT50">
            <v>-1</v>
          </cell>
          <cell r="AU50">
            <v>0</v>
          </cell>
          <cell r="AX50">
            <v>0</v>
          </cell>
          <cell r="BH50">
            <v>37133</v>
          </cell>
          <cell r="BI50" t="str">
            <v>DEPOT</v>
          </cell>
          <cell r="BJ50" t="str">
            <v>30/08/2001 12:55:25</v>
          </cell>
          <cell r="BM50" t="str">
            <v>DEPOT</v>
          </cell>
          <cell r="BN50" t="str">
            <v>30/08/2001 12:56:36</v>
          </cell>
          <cell r="BO50" t="str">
            <v>Y</v>
          </cell>
          <cell r="BP50">
            <v>2484966</v>
          </cell>
          <cell r="BS50" t="str">
            <v>09300801</v>
          </cell>
          <cell r="CO50" t="str">
            <v>12:56:36</v>
          </cell>
        </row>
        <row r="51">
          <cell r="A51">
            <v>1</v>
          </cell>
          <cell r="B51" t="str">
            <v>PAD</v>
          </cell>
          <cell r="C51" t="str">
            <v>09</v>
          </cell>
          <cell r="D51" t="str">
            <v>09</v>
          </cell>
          <cell r="E51" t="str">
            <v>XXX</v>
          </cell>
          <cell r="F51" t="str">
            <v>30</v>
          </cell>
          <cell r="O51" t="str">
            <v>09-00006</v>
          </cell>
          <cell r="P51" t="str">
            <v>TM-00006</v>
          </cell>
          <cell r="Q51">
            <v>37134</v>
          </cell>
          <cell r="U51" t="str">
            <v>809</v>
          </cell>
          <cell r="AK51" t="str">
            <v>XXX</v>
          </cell>
          <cell r="BH51">
            <v>37135</v>
          </cell>
          <cell r="BI51" t="str">
            <v>DEPOT</v>
          </cell>
          <cell r="BJ51" t="str">
            <v>01/09/2001 16:19:43</v>
          </cell>
          <cell r="BM51" t="str">
            <v>DEPOT</v>
          </cell>
          <cell r="BN51" t="str">
            <v>01/09/2001 17:09:42</v>
          </cell>
          <cell r="BO51" t="str">
            <v>Y</v>
          </cell>
          <cell r="BP51">
            <v>2507227</v>
          </cell>
          <cell r="BS51" t="str">
            <v>09310801</v>
          </cell>
          <cell r="CO51" t="str">
            <v>17:09:42</v>
          </cell>
        </row>
        <row r="52">
          <cell r="A52">
            <v>2</v>
          </cell>
          <cell r="B52" t="str">
            <v>PAD</v>
          </cell>
          <cell r="C52" t="str">
            <v>09</v>
          </cell>
          <cell r="D52" t="str">
            <v>09</v>
          </cell>
          <cell r="E52" t="str">
            <v>001</v>
          </cell>
          <cell r="F52" t="str">
            <v>30</v>
          </cell>
          <cell r="O52" t="str">
            <v>09-00006</v>
          </cell>
          <cell r="P52" t="str">
            <v>TM-00006</v>
          </cell>
          <cell r="Q52">
            <v>37134</v>
          </cell>
          <cell r="U52" t="str">
            <v>809</v>
          </cell>
          <cell r="AK52" t="str">
            <v>50086201</v>
          </cell>
          <cell r="AN52">
            <v>0</v>
          </cell>
          <cell r="AO52">
            <v>37</v>
          </cell>
          <cell r="AU52">
            <v>-35</v>
          </cell>
          <cell r="BH52">
            <v>37135</v>
          </cell>
          <cell r="BI52" t="str">
            <v>DEPOT</v>
          </cell>
          <cell r="BJ52" t="str">
            <v>01/09/2001 16:19:44</v>
          </cell>
          <cell r="BM52" t="str">
            <v>DEPOT</v>
          </cell>
          <cell r="BN52" t="str">
            <v>01/09/2001 17:09:42</v>
          </cell>
          <cell r="BO52" t="str">
            <v>Y</v>
          </cell>
          <cell r="BP52">
            <v>2507194</v>
          </cell>
          <cell r="BS52" t="str">
            <v>09310801</v>
          </cell>
          <cell r="CO52" t="str">
            <v>17:09:42</v>
          </cell>
        </row>
        <row r="53">
          <cell r="A53">
            <v>3</v>
          </cell>
          <cell r="B53" t="str">
            <v>PAD</v>
          </cell>
          <cell r="C53" t="str">
            <v>09</v>
          </cell>
          <cell r="D53" t="str">
            <v>09</v>
          </cell>
          <cell r="E53" t="str">
            <v>001</v>
          </cell>
          <cell r="F53" t="str">
            <v>30</v>
          </cell>
          <cell r="O53" t="str">
            <v>09-00006</v>
          </cell>
          <cell r="P53" t="str">
            <v>TM-00006</v>
          </cell>
          <cell r="Q53">
            <v>37134</v>
          </cell>
          <cell r="U53" t="str">
            <v>809</v>
          </cell>
          <cell r="AK53" t="str">
            <v>50126501</v>
          </cell>
          <cell r="AN53">
            <v>1</v>
          </cell>
          <cell r="AO53">
            <v>49</v>
          </cell>
          <cell r="AT53">
            <v>-1</v>
          </cell>
          <cell r="AU53">
            <v>-45</v>
          </cell>
          <cell r="BI53" t="str">
            <v>DEPOT</v>
          </cell>
          <cell r="BJ53" t="str">
            <v>01/09/2001 16:21:32</v>
          </cell>
          <cell r="BM53" t="str">
            <v>DEPOT</v>
          </cell>
          <cell r="BN53" t="str">
            <v>01/09/2001 17:09:42</v>
          </cell>
          <cell r="BO53" t="str">
            <v>Y</v>
          </cell>
          <cell r="BP53">
            <v>2507185</v>
          </cell>
          <cell r="BS53" t="str">
            <v>09310801</v>
          </cell>
          <cell r="CO53" t="str">
            <v>17:09:42</v>
          </cell>
        </row>
        <row r="54">
          <cell r="A54">
            <v>4</v>
          </cell>
          <cell r="B54" t="str">
            <v>PAD</v>
          </cell>
          <cell r="C54" t="str">
            <v>09</v>
          </cell>
          <cell r="D54" t="str">
            <v>09</v>
          </cell>
          <cell r="E54" t="str">
            <v>001</v>
          </cell>
          <cell r="F54" t="str">
            <v>30</v>
          </cell>
          <cell r="O54" t="str">
            <v>09-00006</v>
          </cell>
          <cell r="P54" t="str">
            <v>TM-00006</v>
          </cell>
          <cell r="Q54">
            <v>37134</v>
          </cell>
          <cell r="U54" t="str">
            <v>809</v>
          </cell>
          <cell r="AK54" t="str">
            <v>50076101</v>
          </cell>
          <cell r="AO54">
            <v>12</v>
          </cell>
          <cell r="AU54">
            <v>-12</v>
          </cell>
          <cell r="BI54" t="str">
            <v>DEPOT</v>
          </cell>
          <cell r="BJ54" t="str">
            <v>01/09/2001 16:25:08</v>
          </cell>
          <cell r="BM54" t="str">
            <v>DEPOT</v>
          </cell>
          <cell r="BN54" t="str">
            <v>01/09/2001 17:09:42</v>
          </cell>
          <cell r="BO54" t="str">
            <v>Y</v>
          </cell>
          <cell r="BP54">
            <v>2507215</v>
          </cell>
          <cell r="BS54" t="str">
            <v>09310801</v>
          </cell>
          <cell r="CO54" t="str">
            <v>17:09:42</v>
          </cell>
        </row>
        <row r="55">
          <cell r="A55">
            <v>5</v>
          </cell>
          <cell r="B55" t="str">
            <v>PAD</v>
          </cell>
          <cell r="C55" t="str">
            <v>09</v>
          </cell>
          <cell r="D55" t="str">
            <v>09</v>
          </cell>
          <cell r="E55" t="str">
            <v>001</v>
          </cell>
          <cell r="F55" t="str">
            <v>30</v>
          </cell>
          <cell r="O55" t="str">
            <v>09-00006</v>
          </cell>
          <cell r="P55" t="str">
            <v>TM-00006</v>
          </cell>
          <cell r="Q55">
            <v>37134</v>
          </cell>
          <cell r="U55" t="str">
            <v>809</v>
          </cell>
          <cell r="AK55" t="str">
            <v>50096301</v>
          </cell>
          <cell r="AO55">
            <v>23</v>
          </cell>
          <cell r="AU55">
            <v>-8</v>
          </cell>
          <cell r="BI55" t="str">
            <v>DEPOT</v>
          </cell>
          <cell r="BJ55" t="str">
            <v>01/09/2001 16:28:16</v>
          </cell>
          <cell r="BM55" t="str">
            <v>DEPOT</v>
          </cell>
          <cell r="BN55" t="str">
            <v>01/09/2001 17:09:42</v>
          </cell>
          <cell r="BO55" t="str">
            <v>Y</v>
          </cell>
          <cell r="BP55">
            <v>2507234</v>
          </cell>
          <cell r="BS55" t="str">
            <v>09310801</v>
          </cell>
          <cell r="CO55" t="str">
            <v>17:09:42</v>
          </cell>
        </row>
        <row r="56">
          <cell r="A56">
            <v>6</v>
          </cell>
          <cell r="B56" t="str">
            <v>PAD</v>
          </cell>
          <cell r="C56" t="str">
            <v>09</v>
          </cell>
          <cell r="D56" t="str">
            <v>09</v>
          </cell>
          <cell r="E56" t="str">
            <v>001</v>
          </cell>
          <cell r="F56" t="str">
            <v>30</v>
          </cell>
          <cell r="O56" t="str">
            <v>09-00006</v>
          </cell>
          <cell r="P56" t="str">
            <v>TM-00006</v>
          </cell>
          <cell r="Q56">
            <v>37134</v>
          </cell>
          <cell r="U56" t="str">
            <v>809</v>
          </cell>
          <cell r="AK56" t="str">
            <v>41039102</v>
          </cell>
          <cell r="AN56">
            <v>-26</v>
          </cell>
          <cell r="AO56">
            <v>18</v>
          </cell>
          <cell r="AT56">
            <v>26</v>
          </cell>
          <cell r="AU56">
            <v>-5</v>
          </cell>
          <cell r="BI56" t="str">
            <v>DEPOT</v>
          </cell>
          <cell r="BJ56" t="str">
            <v>01/09/2001 16:29:55</v>
          </cell>
          <cell r="BM56" t="str">
            <v>DEPOT</v>
          </cell>
          <cell r="BN56" t="str">
            <v>01/09/2001 17:09:42</v>
          </cell>
          <cell r="BO56" t="str">
            <v>Y</v>
          </cell>
          <cell r="BP56">
            <v>2507261</v>
          </cell>
          <cell r="BS56" t="str">
            <v>09310801</v>
          </cell>
          <cell r="CO56" t="str">
            <v>17:09:42</v>
          </cell>
        </row>
        <row r="57">
          <cell r="A57">
            <v>7</v>
          </cell>
          <cell r="B57" t="str">
            <v>PAD</v>
          </cell>
          <cell r="C57" t="str">
            <v>09</v>
          </cell>
          <cell r="D57" t="str">
            <v>09</v>
          </cell>
          <cell r="E57" t="str">
            <v>001</v>
          </cell>
          <cell r="F57" t="str">
            <v>30</v>
          </cell>
          <cell r="O57" t="str">
            <v>09-00006</v>
          </cell>
          <cell r="P57" t="str">
            <v>TM-00006</v>
          </cell>
          <cell r="Q57">
            <v>37134</v>
          </cell>
          <cell r="U57" t="str">
            <v>809</v>
          </cell>
          <cell r="AK57" t="str">
            <v>41049102</v>
          </cell>
          <cell r="AN57">
            <v>-36</v>
          </cell>
          <cell r="AO57">
            <v>8</v>
          </cell>
          <cell r="AT57">
            <v>36</v>
          </cell>
          <cell r="AU57">
            <v>-8</v>
          </cell>
          <cell r="BI57" t="str">
            <v>DEPOT</v>
          </cell>
          <cell r="BJ57" t="str">
            <v>01/09/2001 16:34:19</v>
          </cell>
          <cell r="BM57" t="str">
            <v>DEPOT</v>
          </cell>
          <cell r="BN57" t="str">
            <v>01/09/2001 17:09:42</v>
          </cell>
          <cell r="BO57" t="str">
            <v>Y</v>
          </cell>
          <cell r="BP57">
            <v>2507255</v>
          </cell>
          <cell r="BS57" t="str">
            <v>09310801</v>
          </cell>
          <cell r="CO57" t="str">
            <v>17:09:42</v>
          </cell>
        </row>
        <row r="58">
          <cell r="A58">
            <v>8</v>
          </cell>
          <cell r="B58" t="str">
            <v>PAD</v>
          </cell>
          <cell r="C58" t="str">
            <v>09</v>
          </cell>
          <cell r="D58" t="str">
            <v>09</v>
          </cell>
          <cell r="E58" t="str">
            <v>001</v>
          </cell>
          <cell r="F58" t="str">
            <v>30</v>
          </cell>
          <cell r="O58" t="str">
            <v>09-00006</v>
          </cell>
          <cell r="P58" t="str">
            <v>TM-00006</v>
          </cell>
          <cell r="Q58">
            <v>37134</v>
          </cell>
          <cell r="U58" t="str">
            <v>809</v>
          </cell>
          <cell r="AK58" t="str">
            <v>41069102</v>
          </cell>
          <cell r="AN58">
            <v>-12</v>
          </cell>
          <cell r="AO58">
            <v>-11</v>
          </cell>
          <cell r="AT58">
            <v>12</v>
          </cell>
          <cell r="AU58">
            <v>11</v>
          </cell>
          <cell r="BI58" t="str">
            <v>DEPOT</v>
          </cell>
          <cell r="BJ58" t="str">
            <v>01/09/2001 16:35:57</v>
          </cell>
          <cell r="BM58" t="str">
            <v>DEPOT</v>
          </cell>
          <cell r="BN58" t="str">
            <v>01/09/2001 17:09:42</v>
          </cell>
          <cell r="BO58" t="str">
            <v>Y</v>
          </cell>
          <cell r="BP58">
            <v>2507250</v>
          </cell>
          <cell r="BS58" t="str">
            <v>09310801</v>
          </cell>
          <cell r="CO58" t="str">
            <v>17:09:42</v>
          </cell>
        </row>
        <row r="59">
          <cell r="A59">
            <v>9</v>
          </cell>
          <cell r="B59" t="str">
            <v>PAD</v>
          </cell>
          <cell r="C59" t="str">
            <v>09</v>
          </cell>
          <cell r="D59" t="str">
            <v>09</v>
          </cell>
          <cell r="E59" t="str">
            <v>001</v>
          </cell>
          <cell r="F59" t="str">
            <v>30</v>
          </cell>
          <cell r="O59" t="str">
            <v>09-00006</v>
          </cell>
          <cell r="P59" t="str">
            <v>TM-00006</v>
          </cell>
          <cell r="Q59">
            <v>37134</v>
          </cell>
          <cell r="U59" t="str">
            <v>809</v>
          </cell>
          <cell r="AK59" t="str">
            <v>41079102</v>
          </cell>
          <cell r="AN59">
            <v>-9</v>
          </cell>
          <cell r="AO59">
            <v>-8</v>
          </cell>
          <cell r="AT59">
            <v>9</v>
          </cell>
          <cell r="AU59">
            <v>8</v>
          </cell>
          <cell r="BI59" t="str">
            <v>DEPOT</v>
          </cell>
          <cell r="BJ59" t="str">
            <v>01/09/2001 16:41:05</v>
          </cell>
          <cell r="BM59" t="str">
            <v>DEPOT</v>
          </cell>
          <cell r="BN59" t="str">
            <v>01/09/2001 17:09:42</v>
          </cell>
          <cell r="BO59" t="str">
            <v>Y</v>
          </cell>
          <cell r="BP59">
            <v>2507244</v>
          </cell>
          <cell r="BS59" t="str">
            <v>09310801</v>
          </cell>
          <cell r="CO59" t="str">
            <v>17:09:42</v>
          </cell>
        </row>
        <row r="60">
          <cell r="A60">
            <v>10</v>
          </cell>
          <cell r="B60" t="str">
            <v>PAD</v>
          </cell>
          <cell r="C60" t="str">
            <v>09</v>
          </cell>
          <cell r="D60" t="str">
            <v>09</v>
          </cell>
          <cell r="E60" t="str">
            <v>001</v>
          </cell>
          <cell r="F60" t="str">
            <v>30</v>
          </cell>
          <cell r="O60" t="str">
            <v>09-00006</v>
          </cell>
          <cell r="P60" t="str">
            <v>TM-00006</v>
          </cell>
          <cell r="Q60">
            <v>37134</v>
          </cell>
          <cell r="U60" t="str">
            <v>809</v>
          </cell>
          <cell r="AK60" t="str">
            <v>41039101</v>
          </cell>
          <cell r="AN60">
            <v>-29</v>
          </cell>
          <cell r="AO60">
            <v>-8</v>
          </cell>
          <cell r="AT60">
            <v>29</v>
          </cell>
          <cell r="AU60">
            <v>8</v>
          </cell>
          <cell r="BI60" t="str">
            <v>DEPOT</v>
          </cell>
          <cell r="BJ60" t="str">
            <v>01/09/2001 16:42:14</v>
          </cell>
          <cell r="BM60" t="str">
            <v>DEPOT</v>
          </cell>
          <cell r="BN60" t="str">
            <v>01/09/2001 17:09:42</v>
          </cell>
          <cell r="BO60" t="str">
            <v>Y</v>
          </cell>
          <cell r="BP60">
            <v>2507264</v>
          </cell>
          <cell r="BS60" t="str">
            <v>09310801</v>
          </cell>
          <cell r="CO60" t="str">
            <v>17:09:42</v>
          </cell>
        </row>
        <row r="61">
          <cell r="A61">
            <v>11</v>
          </cell>
          <cell r="B61" t="str">
            <v>PAD</v>
          </cell>
          <cell r="C61" t="str">
            <v>09</v>
          </cell>
          <cell r="D61" t="str">
            <v>09</v>
          </cell>
          <cell r="E61" t="str">
            <v>001</v>
          </cell>
          <cell r="F61" t="str">
            <v>30</v>
          </cell>
          <cell r="O61" t="str">
            <v>09-00006</v>
          </cell>
          <cell r="P61" t="str">
            <v>TM-00006</v>
          </cell>
          <cell r="Q61">
            <v>37134</v>
          </cell>
          <cell r="U61" t="str">
            <v>809</v>
          </cell>
          <cell r="AK61" t="str">
            <v>41079101</v>
          </cell>
          <cell r="AN61">
            <v>-44</v>
          </cell>
          <cell r="AO61">
            <v>-1</v>
          </cell>
          <cell r="AT61">
            <v>44</v>
          </cell>
          <cell r="AU61">
            <v>1</v>
          </cell>
          <cell r="BI61" t="str">
            <v>DEPOT</v>
          </cell>
          <cell r="BJ61" t="str">
            <v>01/09/2001 16:43:11</v>
          </cell>
          <cell r="BM61" t="str">
            <v>DEPOT</v>
          </cell>
          <cell r="BN61" t="str">
            <v>01/09/2001 17:09:42</v>
          </cell>
          <cell r="BO61" t="str">
            <v>Y</v>
          </cell>
          <cell r="BP61">
            <v>2507272</v>
          </cell>
          <cell r="BS61" t="str">
            <v>09310801</v>
          </cell>
          <cell r="CO61" t="str">
            <v>17:09:42</v>
          </cell>
        </row>
        <row r="62">
          <cell r="A62">
            <v>12</v>
          </cell>
          <cell r="B62" t="str">
            <v>PAD</v>
          </cell>
          <cell r="C62" t="str">
            <v>09</v>
          </cell>
          <cell r="D62" t="str">
            <v>09</v>
          </cell>
          <cell r="E62" t="str">
            <v>001</v>
          </cell>
          <cell r="F62" t="str">
            <v>30</v>
          </cell>
          <cell r="O62" t="str">
            <v>09-00006</v>
          </cell>
          <cell r="P62" t="str">
            <v>TM-00006</v>
          </cell>
          <cell r="Q62">
            <v>37134</v>
          </cell>
          <cell r="U62" t="str">
            <v>809</v>
          </cell>
          <cell r="AK62" t="str">
            <v>41069101</v>
          </cell>
          <cell r="AN62">
            <v>-30</v>
          </cell>
          <cell r="AO62">
            <v>-13</v>
          </cell>
          <cell r="AT62">
            <v>30</v>
          </cell>
          <cell r="AU62">
            <v>13</v>
          </cell>
          <cell r="BI62" t="str">
            <v>DEPOT</v>
          </cell>
          <cell r="BJ62" t="str">
            <v>01/09/2001 16:43:35</v>
          </cell>
          <cell r="BM62" t="str">
            <v>DEPOT</v>
          </cell>
          <cell r="BN62" t="str">
            <v>01/09/2001 17:09:42</v>
          </cell>
          <cell r="BO62" t="str">
            <v>Y</v>
          </cell>
          <cell r="BP62">
            <v>2507270</v>
          </cell>
          <cell r="BS62" t="str">
            <v>09310801</v>
          </cell>
          <cell r="CO62" t="str">
            <v>17:09:42</v>
          </cell>
        </row>
        <row r="63">
          <cell r="A63">
            <v>13</v>
          </cell>
          <cell r="B63" t="str">
            <v>PAD</v>
          </cell>
          <cell r="C63" t="str">
            <v>09</v>
          </cell>
          <cell r="D63" t="str">
            <v>09</v>
          </cell>
          <cell r="E63" t="str">
            <v>001</v>
          </cell>
          <cell r="F63" t="str">
            <v>30</v>
          </cell>
          <cell r="O63" t="str">
            <v>09-00006</v>
          </cell>
          <cell r="P63" t="str">
            <v>TM-00006</v>
          </cell>
          <cell r="Q63">
            <v>37134</v>
          </cell>
          <cell r="U63" t="str">
            <v>809</v>
          </cell>
          <cell r="AK63" t="str">
            <v>30221807</v>
          </cell>
          <cell r="AO63">
            <v>15</v>
          </cell>
          <cell r="BI63" t="str">
            <v>DEPOT</v>
          </cell>
          <cell r="BJ63" t="str">
            <v>01/09/2001 16:43:53</v>
          </cell>
          <cell r="BM63" t="str">
            <v>DEPOT</v>
          </cell>
          <cell r="BN63" t="str">
            <v>01/09/2001 17:09:42</v>
          </cell>
          <cell r="BO63" t="str">
            <v>Y</v>
          </cell>
          <cell r="BP63">
            <v>2507242</v>
          </cell>
          <cell r="BS63" t="str">
            <v>09310801</v>
          </cell>
          <cell r="CO63" t="str">
            <v>17:09:42</v>
          </cell>
        </row>
        <row r="64">
          <cell r="A64">
            <v>14</v>
          </cell>
          <cell r="B64" t="str">
            <v>PAD</v>
          </cell>
          <cell r="C64" t="str">
            <v>09</v>
          </cell>
          <cell r="D64" t="str">
            <v>09</v>
          </cell>
          <cell r="E64" t="str">
            <v>001</v>
          </cell>
          <cell r="F64" t="str">
            <v>30</v>
          </cell>
          <cell r="O64" t="str">
            <v>09-00006</v>
          </cell>
          <cell r="P64" t="str">
            <v>TM-00006</v>
          </cell>
          <cell r="Q64">
            <v>37134</v>
          </cell>
          <cell r="U64" t="str">
            <v>809</v>
          </cell>
          <cell r="AK64" t="str">
            <v>30221907</v>
          </cell>
          <cell r="AO64">
            <v>-15</v>
          </cell>
          <cell r="BI64" t="str">
            <v>DEPOT</v>
          </cell>
          <cell r="BJ64" t="str">
            <v>01/09/2001 16:44:49</v>
          </cell>
          <cell r="BM64" t="str">
            <v>DEPOT</v>
          </cell>
          <cell r="BN64" t="str">
            <v>01/09/2001 17:09:42</v>
          </cell>
          <cell r="BO64" t="str">
            <v>Y</v>
          </cell>
          <cell r="BP64">
            <v>2507212</v>
          </cell>
          <cell r="BS64" t="str">
            <v>09310801</v>
          </cell>
          <cell r="CO64" t="str">
            <v>17:09:42</v>
          </cell>
        </row>
        <row r="65">
          <cell r="A65">
            <v>15</v>
          </cell>
          <cell r="B65" t="str">
            <v>PAD</v>
          </cell>
          <cell r="C65" t="str">
            <v>09</v>
          </cell>
          <cell r="D65" t="str">
            <v>09</v>
          </cell>
          <cell r="E65" t="str">
            <v>001</v>
          </cell>
          <cell r="F65" t="str">
            <v>30</v>
          </cell>
          <cell r="O65" t="str">
            <v>09-00006</v>
          </cell>
          <cell r="P65" t="str">
            <v>TM-00006</v>
          </cell>
          <cell r="Q65">
            <v>37134</v>
          </cell>
          <cell r="U65" t="str">
            <v>809</v>
          </cell>
          <cell r="AK65" t="str">
            <v>40018101</v>
          </cell>
          <cell r="AO65">
            <v>-2</v>
          </cell>
          <cell r="AU65">
            <v>2</v>
          </cell>
          <cell r="BI65" t="str">
            <v>DEPOT</v>
          </cell>
          <cell r="BJ65" t="str">
            <v>01/09/2001 16:45:07</v>
          </cell>
          <cell r="BM65" t="str">
            <v>DEPOT</v>
          </cell>
          <cell r="BN65" t="str">
            <v>01/09/2001 17:09:42</v>
          </cell>
          <cell r="BO65" t="str">
            <v>Y</v>
          </cell>
          <cell r="BP65">
            <v>2507229</v>
          </cell>
          <cell r="BS65" t="str">
            <v>09310801</v>
          </cell>
          <cell r="CO65" t="str">
            <v>17:09:42</v>
          </cell>
        </row>
        <row r="66">
          <cell r="A66">
            <v>16</v>
          </cell>
          <cell r="B66" t="str">
            <v>PAD</v>
          </cell>
          <cell r="C66" t="str">
            <v>09</v>
          </cell>
          <cell r="D66" t="str">
            <v>09</v>
          </cell>
          <cell r="E66" t="str">
            <v>001</v>
          </cell>
          <cell r="F66" t="str">
            <v>30</v>
          </cell>
          <cell r="O66" t="str">
            <v>09-00006</v>
          </cell>
          <cell r="P66" t="str">
            <v>TM-00006</v>
          </cell>
          <cell r="Q66">
            <v>37134</v>
          </cell>
          <cell r="U66" t="str">
            <v>809</v>
          </cell>
          <cell r="AK66" t="str">
            <v>40028503</v>
          </cell>
          <cell r="AO66">
            <v>-4</v>
          </cell>
          <cell r="AU66">
            <v>4</v>
          </cell>
          <cell r="BI66" t="str">
            <v>DEPOT</v>
          </cell>
          <cell r="BJ66" t="str">
            <v>01/09/2001 16:45:28</v>
          </cell>
          <cell r="BM66" t="str">
            <v>DEPOT</v>
          </cell>
          <cell r="BN66" t="str">
            <v>01/09/2001 17:09:42</v>
          </cell>
          <cell r="BO66" t="str">
            <v>Y</v>
          </cell>
          <cell r="BP66">
            <v>2507231</v>
          </cell>
          <cell r="BS66" t="str">
            <v>09310801</v>
          </cell>
          <cell r="CO66" t="str">
            <v>17:09:42</v>
          </cell>
        </row>
        <row r="67">
          <cell r="A67">
            <v>1</v>
          </cell>
          <cell r="B67" t="str">
            <v>PAD</v>
          </cell>
          <cell r="C67" t="str">
            <v>09</v>
          </cell>
          <cell r="D67" t="str">
            <v>09</v>
          </cell>
          <cell r="E67" t="str">
            <v>XXX</v>
          </cell>
          <cell r="F67" t="str">
            <v>30</v>
          </cell>
          <cell r="O67" t="str">
            <v>09-00007</v>
          </cell>
          <cell r="P67" t="str">
            <v>TM-00007</v>
          </cell>
          <cell r="Q67">
            <v>37134</v>
          </cell>
          <cell r="U67" t="str">
            <v>809</v>
          </cell>
          <cell r="AK67" t="str">
            <v>XXX</v>
          </cell>
          <cell r="BH67">
            <v>37135</v>
          </cell>
          <cell r="BI67" t="str">
            <v>DEPOT</v>
          </cell>
          <cell r="BJ67" t="str">
            <v>01/09/2001 17:28:06</v>
          </cell>
          <cell r="BM67" t="str">
            <v>DEPOT</v>
          </cell>
          <cell r="BN67" t="str">
            <v>01/09/2001 17:30:20</v>
          </cell>
          <cell r="BO67" t="str">
            <v>Y</v>
          </cell>
          <cell r="BP67">
            <v>2468636</v>
          </cell>
          <cell r="BS67" t="str">
            <v>09310801</v>
          </cell>
          <cell r="CO67" t="str">
            <v>17:30:20</v>
          </cell>
        </row>
        <row r="68">
          <cell r="A68">
            <v>2</v>
          </cell>
          <cell r="B68" t="str">
            <v>PAD</v>
          </cell>
          <cell r="C68" t="str">
            <v>09</v>
          </cell>
          <cell r="D68" t="str">
            <v>09</v>
          </cell>
          <cell r="E68" t="str">
            <v>001</v>
          </cell>
          <cell r="F68" t="str">
            <v>30</v>
          </cell>
          <cell r="O68" t="str">
            <v>09-00007</v>
          </cell>
          <cell r="P68" t="str">
            <v>TM-00007</v>
          </cell>
          <cell r="Q68">
            <v>37134</v>
          </cell>
          <cell r="U68" t="str">
            <v>809</v>
          </cell>
          <cell r="AK68" t="str">
            <v>30221807</v>
          </cell>
          <cell r="AN68">
            <v>1</v>
          </cell>
          <cell r="AO68">
            <v>-150</v>
          </cell>
          <cell r="BH68">
            <v>37135</v>
          </cell>
          <cell r="BI68" t="str">
            <v>DEPOT</v>
          </cell>
          <cell r="BJ68" t="str">
            <v>01/09/2001 17:28:07</v>
          </cell>
          <cell r="BM68" t="str">
            <v>DEPOT</v>
          </cell>
          <cell r="BN68" t="str">
            <v>01/09/2001 17:30:20</v>
          </cell>
          <cell r="BO68" t="str">
            <v>Y</v>
          </cell>
          <cell r="BP68">
            <v>2468487</v>
          </cell>
          <cell r="BS68" t="str">
            <v>09310801</v>
          </cell>
          <cell r="CO68" t="str">
            <v>17:30:20</v>
          </cell>
        </row>
        <row r="69">
          <cell r="A69">
            <v>3</v>
          </cell>
          <cell r="B69" t="str">
            <v>PAD</v>
          </cell>
          <cell r="C69" t="str">
            <v>09</v>
          </cell>
          <cell r="D69" t="str">
            <v>09</v>
          </cell>
          <cell r="E69" t="str">
            <v>001</v>
          </cell>
          <cell r="F69" t="str">
            <v>30</v>
          </cell>
          <cell r="O69" t="str">
            <v>09-00007</v>
          </cell>
          <cell r="P69" t="str">
            <v>TM-00007</v>
          </cell>
          <cell r="Q69">
            <v>37134</v>
          </cell>
          <cell r="U69" t="str">
            <v>809</v>
          </cell>
          <cell r="AK69" t="str">
            <v>41069102</v>
          </cell>
          <cell r="AO69">
            <v>22</v>
          </cell>
          <cell r="AU69">
            <v>-11</v>
          </cell>
          <cell r="BI69" t="str">
            <v>DEPOT</v>
          </cell>
          <cell r="BJ69" t="str">
            <v>01/09/2001 17:28:18</v>
          </cell>
          <cell r="BM69" t="str">
            <v>DEPOT</v>
          </cell>
          <cell r="BN69" t="str">
            <v>01/09/2001 17:30:20</v>
          </cell>
          <cell r="BO69" t="str">
            <v>Y</v>
          </cell>
          <cell r="BP69">
            <v>2468636</v>
          </cell>
          <cell r="BS69" t="str">
            <v>09310801</v>
          </cell>
          <cell r="CO69" t="str">
            <v>17:30:20</v>
          </cell>
        </row>
        <row r="70">
          <cell r="A70">
            <v>4</v>
          </cell>
          <cell r="B70" t="str">
            <v>PAD</v>
          </cell>
          <cell r="C70" t="str">
            <v>09</v>
          </cell>
          <cell r="D70" t="str">
            <v>09</v>
          </cell>
          <cell r="E70" t="str">
            <v>001</v>
          </cell>
          <cell r="F70" t="str">
            <v>30</v>
          </cell>
          <cell r="O70" t="str">
            <v>09-00007</v>
          </cell>
          <cell r="P70" t="str">
            <v>TM-00007</v>
          </cell>
          <cell r="Q70">
            <v>37134</v>
          </cell>
          <cell r="U70" t="str">
            <v>809</v>
          </cell>
          <cell r="AK70" t="str">
            <v>50067301</v>
          </cell>
          <cell r="AN70">
            <v>-1</v>
          </cell>
          <cell r="BI70" t="str">
            <v>DEPOT</v>
          </cell>
          <cell r="BJ70" t="str">
            <v>01/09/2001 17:28:28</v>
          </cell>
          <cell r="BM70" t="str">
            <v>DEPOT</v>
          </cell>
          <cell r="BN70" t="str">
            <v>01/09/2001 17:30:20</v>
          </cell>
          <cell r="BO70" t="str">
            <v>Y</v>
          </cell>
          <cell r="BP70">
            <v>2468635</v>
          </cell>
          <cell r="BS70" t="str">
            <v>09310801</v>
          </cell>
          <cell r="CO70" t="str">
            <v>17:30:20</v>
          </cell>
        </row>
        <row r="71">
          <cell r="A71">
            <v>5</v>
          </cell>
          <cell r="B71" t="str">
            <v>PAD</v>
          </cell>
          <cell r="C71" t="str">
            <v>09</v>
          </cell>
          <cell r="D71" t="str">
            <v>09</v>
          </cell>
          <cell r="E71" t="str">
            <v>001</v>
          </cell>
          <cell r="F71" t="str">
            <v>30</v>
          </cell>
          <cell r="O71" t="str">
            <v>09-00007</v>
          </cell>
          <cell r="P71" t="str">
            <v>TM-00007</v>
          </cell>
          <cell r="Q71">
            <v>37134</v>
          </cell>
          <cell r="U71" t="str">
            <v>809</v>
          </cell>
          <cell r="AK71" t="str">
            <v>50126501</v>
          </cell>
          <cell r="AT71">
            <v>1</v>
          </cell>
          <cell r="BI71" t="str">
            <v>DEPOT</v>
          </cell>
          <cell r="BJ71" t="str">
            <v>01/09/2001 17:28:36</v>
          </cell>
          <cell r="BM71" t="str">
            <v>DEPOT</v>
          </cell>
          <cell r="BN71" t="str">
            <v>01/09/2001 17:30:20</v>
          </cell>
          <cell r="BO71" t="str">
            <v>Y</v>
          </cell>
          <cell r="BP71">
            <v>2468638</v>
          </cell>
          <cell r="BS71" t="str">
            <v>09310801</v>
          </cell>
          <cell r="CO71" t="str">
            <v>17:30:20</v>
          </cell>
        </row>
        <row r="72">
          <cell r="A72">
            <v>1</v>
          </cell>
          <cell r="B72" t="str">
            <v>PAD</v>
          </cell>
          <cell r="C72" t="str">
            <v>09</v>
          </cell>
          <cell r="D72" t="str">
            <v>09</v>
          </cell>
          <cell r="E72" t="str">
            <v>XXX</v>
          </cell>
          <cell r="F72" t="str">
            <v>30</v>
          </cell>
          <cell r="O72" t="str">
            <v>09-00008</v>
          </cell>
          <cell r="P72" t="str">
            <v>TM-00008</v>
          </cell>
          <cell r="Q72">
            <v>37134</v>
          </cell>
          <cell r="U72" t="str">
            <v>809</v>
          </cell>
          <cell r="AK72" t="str">
            <v>XXX</v>
          </cell>
          <cell r="BH72">
            <v>37135</v>
          </cell>
          <cell r="BI72" t="str">
            <v>DEPOT</v>
          </cell>
          <cell r="BJ72" t="str">
            <v>01/09/2001 17:43:44</v>
          </cell>
          <cell r="BM72" t="str">
            <v>DEPOT</v>
          </cell>
          <cell r="BN72" t="str">
            <v>01/09/2001 17:44:41</v>
          </cell>
          <cell r="BO72" t="str">
            <v>Y</v>
          </cell>
          <cell r="BP72">
            <v>2474618</v>
          </cell>
          <cell r="BS72" t="str">
            <v>09310801</v>
          </cell>
          <cell r="CO72" t="str">
            <v>17:44:41</v>
          </cell>
        </row>
        <row r="73">
          <cell r="A73">
            <v>2</v>
          </cell>
          <cell r="B73" t="str">
            <v>PAD</v>
          </cell>
          <cell r="C73" t="str">
            <v>09</v>
          </cell>
          <cell r="D73" t="str">
            <v>09</v>
          </cell>
          <cell r="E73" t="str">
            <v>001</v>
          </cell>
          <cell r="F73" t="str">
            <v>30</v>
          </cell>
          <cell r="O73" t="str">
            <v>09-00008</v>
          </cell>
          <cell r="P73" t="str">
            <v>TM-00008</v>
          </cell>
          <cell r="Q73">
            <v>37134</v>
          </cell>
          <cell r="U73" t="str">
            <v>809</v>
          </cell>
          <cell r="AK73" t="str">
            <v>50096301</v>
          </cell>
          <cell r="AO73">
            <v>-14</v>
          </cell>
          <cell r="AU73">
            <v>14</v>
          </cell>
          <cell r="BH73">
            <v>37135</v>
          </cell>
          <cell r="BI73" t="str">
            <v>DEPOT</v>
          </cell>
          <cell r="BJ73" t="str">
            <v>01/09/2001 17:43:45</v>
          </cell>
          <cell r="BM73" t="str">
            <v>DEPOT</v>
          </cell>
          <cell r="BN73" t="str">
            <v>01/09/2001 17:44:41</v>
          </cell>
          <cell r="BO73" t="str">
            <v>Y</v>
          </cell>
          <cell r="BP73">
            <v>2474632</v>
          </cell>
          <cell r="BS73" t="str">
            <v>09310801</v>
          </cell>
          <cell r="CO73" t="str">
            <v>17:44:41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B157"/>
  <sheetViews>
    <sheetView zoomScale="88" zoomScaleNormal="100" workbookViewId="0">
      <pane xSplit="4" ySplit="2" topLeftCell="AC47" activePane="bottomRight" state="frozen"/>
      <selection activeCell="AI89" sqref="AI89"/>
      <selection pane="topRight" activeCell="AI89" sqref="AI89"/>
      <selection pane="bottomLeft" activeCell="AI89" sqref="AI89"/>
      <selection pane="bottomRight" activeCell="AJ156" sqref="AJ156"/>
    </sheetView>
  </sheetViews>
  <sheetFormatPr defaultColWidth="8.6640625" defaultRowHeight="14.4" x14ac:dyDescent="0.3"/>
  <cols>
    <col min="1" max="1" width="4" customWidth="1"/>
    <col min="2" max="2" width="35.6640625" customWidth="1"/>
    <col min="3" max="3" width="20" style="2" bestFit="1" customWidth="1"/>
    <col min="4" max="4" width="14.33203125" style="2" bestFit="1" customWidth="1"/>
    <col min="5" max="5" width="13.21875" style="3" bestFit="1" customWidth="1"/>
    <col min="6" max="12" width="11" style="3" bestFit="1" customWidth="1"/>
    <col min="13" max="13" width="11" style="2" bestFit="1" customWidth="1"/>
    <col min="14" max="26" width="11" style="3" bestFit="1" customWidth="1"/>
    <col min="27" max="29" width="10.6640625" style="3" customWidth="1"/>
    <col min="30" max="33" width="12.44140625" style="3" customWidth="1"/>
    <col min="34" max="34" width="13" style="3" customWidth="1"/>
    <col min="35" max="35" width="15" style="3" bestFit="1" customWidth="1"/>
    <col min="36" max="36" width="14.109375" bestFit="1" customWidth="1"/>
    <col min="37" max="37" width="16" customWidth="1"/>
  </cols>
  <sheetData>
    <row r="1" spans="1:252" ht="28.8" x14ac:dyDescent="0.55000000000000004">
      <c r="A1" s="1" t="s">
        <v>0</v>
      </c>
      <c r="N1"/>
      <c r="O1"/>
      <c r="P1"/>
      <c r="R1"/>
      <c r="S1"/>
      <c r="T1"/>
      <c r="U1"/>
    </row>
    <row r="2" spans="1:252" x14ac:dyDescent="0.3">
      <c r="A2" s="4" t="s">
        <v>1</v>
      </c>
      <c r="B2" s="5" t="s">
        <v>2</v>
      </c>
      <c r="C2" s="4" t="s">
        <v>3</v>
      </c>
      <c r="D2" s="4" t="s">
        <v>4</v>
      </c>
      <c r="E2" s="6">
        <v>45383</v>
      </c>
      <c r="F2" s="6">
        <v>45384</v>
      </c>
      <c r="G2" s="6">
        <v>45385</v>
      </c>
      <c r="H2" s="6">
        <v>45386</v>
      </c>
      <c r="I2" s="6">
        <v>45387</v>
      </c>
      <c r="J2" s="6">
        <v>45388</v>
      </c>
      <c r="K2" s="6">
        <v>45389</v>
      </c>
      <c r="L2" s="6">
        <v>45390</v>
      </c>
      <c r="M2" s="6">
        <v>45391</v>
      </c>
      <c r="N2" s="6">
        <v>45392</v>
      </c>
      <c r="O2" s="6">
        <v>45393</v>
      </c>
      <c r="P2" s="6">
        <v>45394</v>
      </c>
      <c r="Q2" s="6">
        <v>45395</v>
      </c>
      <c r="R2" s="6">
        <v>45396</v>
      </c>
      <c r="S2" s="6">
        <v>45397</v>
      </c>
      <c r="T2" s="6">
        <v>45398</v>
      </c>
      <c r="U2" s="6">
        <v>45399</v>
      </c>
      <c r="V2" s="6">
        <v>45400</v>
      </c>
      <c r="W2" s="6">
        <v>45401</v>
      </c>
      <c r="X2" s="6">
        <v>45402</v>
      </c>
      <c r="Y2" s="6">
        <v>45403</v>
      </c>
      <c r="Z2" s="6">
        <v>45404</v>
      </c>
      <c r="AA2" s="6">
        <v>45405</v>
      </c>
      <c r="AB2" s="6">
        <v>45406</v>
      </c>
      <c r="AC2" s="6">
        <v>45407</v>
      </c>
      <c r="AD2" s="6">
        <v>45408</v>
      </c>
      <c r="AE2" s="6">
        <v>45409</v>
      </c>
      <c r="AF2" s="6">
        <v>45410</v>
      </c>
      <c r="AG2" s="6">
        <v>45411</v>
      </c>
      <c r="AH2" s="6">
        <v>45412</v>
      </c>
      <c r="AI2" s="7">
        <v>45383</v>
      </c>
    </row>
    <row r="3" spans="1:252" x14ac:dyDescent="0.3">
      <c r="A3" s="8"/>
      <c r="B3" s="9" t="s">
        <v>5</v>
      </c>
      <c r="C3" s="10" t="s">
        <v>6</v>
      </c>
      <c r="D3" s="10" t="s">
        <v>7</v>
      </c>
      <c r="E3" s="10">
        <f>E96+E97+E101+E102</f>
        <v>4170</v>
      </c>
      <c r="F3" s="10">
        <f t="shared" ref="F3:AH3" si="0">F96+F97+F101+F102</f>
        <v>13443</v>
      </c>
      <c r="G3" s="10">
        <f t="shared" si="0"/>
        <v>10809</v>
      </c>
      <c r="H3" s="10">
        <f t="shared" si="0"/>
        <v>15913</v>
      </c>
      <c r="I3" s="10">
        <f t="shared" si="0"/>
        <v>8916</v>
      </c>
      <c r="J3" s="10">
        <f t="shared" si="0"/>
        <v>10697</v>
      </c>
      <c r="K3" s="10">
        <f t="shared" si="0"/>
        <v>12751</v>
      </c>
      <c r="L3" s="10">
        <f t="shared" si="0"/>
        <v>16073</v>
      </c>
      <c r="M3" s="10">
        <f t="shared" si="0"/>
        <v>12547</v>
      </c>
      <c r="N3" s="10">
        <f t="shared" si="0"/>
        <v>8870</v>
      </c>
      <c r="O3" s="10">
        <f t="shared" si="0"/>
        <v>14932</v>
      </c>
      <c r="P3" s="10">
        <f t="shared" si="0"/>
        <v>8612</v>
      </c>
      <c r="Q3" s="10">
        <f t="shared" si="0"/>
        <v>15149</v>
      </c>
      <c r="R3" s="10">
        <f t="shared" si="0"/>
        <v>8906</v>
      </c>
      <c r="S3" s="10">
        <f t="shared" si="0"/>
        <v>12285</v>
      </c>
      <c r="T3" s="10">
        <f t="shared" si="0"/>
        <v>8776</v>
      </c>
      <c r="U3" s="10">
        <f t="shared" si="0"/>
        <v>12928</v>
      </c>
      <c r="V3" s="10">
        <f t="shared" si="0"/>
        <v>11625</v>
      </c>
      <c r="W3" s="10">
        <f t="shared" si="0"/>
        <v>12625</v>
      </c>
      <c r="X3" s="10">
        <f t="shared" si="0"/>
        <v>10686</v>
      </c>
      <c r="Y3" s="10">
        <f t="shared" si="0"/>
        <v>12896</v>
      </c>
      <c r="Z3" s="10">
        <f t="shared" si="0"/>
        <v>4851</v>
      </c>
      <c r="AA3" s="10">
        <f t="shared" si="0"/>
        <v>13340</v>
      </c>
      <c r="AB3" s="10">
        <f t="shared" si="0"/>
        <v>9515</v>
      </c>
      <c r="AC3" s="10">
        <f t="shared" si="0"/>
        <v>10570</v>
      </c>
      <c r="AD3" s="10">
        <f t="shared" si="0"/>
        <v>11176</v>
      </c>
      <c r="AE3" s="10">
        <f t="shared" si="0"/>
        <v>8720</v>
      </c>
      <c r="AF3" s="10">
        <f t="shared" si="0"/>
        <v>11950</v>
      </c>
      <c r="AG3" s="10">
        <f t="shared" si="0"/>
        <v>6190</v>
      </c>
      <c r="AH3" s="10">
        <f t="shared" si="0"/>
        <v>8700</v>
      </c>
      <c r="AI3" s="11">
        <f>SUM(E3:AH3)</f>
        <v>328621</v>
      </c>
      <c r="AJ3" s="12"/>
    </row>
    <row r="4" spans="1:252" x14ac:dyDescent="0.3">
      <c r="A4" s="8"/>
      <c r="B4" s="9" t="s">
        <v>8</v>
      </c>
      <c r="C4" s="10" t="s">
        <v>6</v>
      </c>
      <c r="D4" s="10" t="s">
        <v>7</v>
      </c>
      <c r="E4" s="10">
        <f>E107+E108+E111+E112</f>
        <v>1399</v>
      </c>
      <c r="F4" s="10">
        <f t="shared" ref="F4:AH4" si="1">F107+F108+F111+F112</f>
        <v>4374</v>
      </c>
      <c r="G4" s="10">
        <f t="shared" si="1"/>
        <v>3624</v>
      </c>
      <c r="H4" s="10">
        <f t="shared" si="1"/>
        <v>5134</v>
      </c>
      <c r="I4" s="10">
        <f t="shared" si="1"/>
        <v>2879</v>
      </c>
      <c r="J4" s="10">
        <f t="shared" si="1"/>
        <v>3624</v>
      </c>
      <c r="K4" s="10">
        <f t="shared" si="1"/>
        <v>4245</v>
      </c>
      <c r="L4" s="10">
        <f t="shared" si="1"/>
        <v>5245</v>
      </c>
      <c r="M4" s="10">
        <f t="shared" si="1"/>
        <v>4107</v>
      </c>
      <c r="N4" s="10">
        <f t="shared" si="1"/>
        <v>2987</v>
      </c>
      <c r="O4" s="10">
        <f>O107+O108+O111+O112</f>
        <v>5020</v>
      </c>
      <c r="P4" s="10">
        <f>P107+P108+P111+P112</f>
        <v>2859</v>
      </c>
      <c r="Q4" s="10">
        <f>Q107+Q108+Q111+Q112</f>
        <v>4860</v>
      </c>
      <c r="R4" s="10">
        <f>R107+R108+R111+R112</f>
        <v>2998</v>
      </c>
      <c r="S4" s="10">
        <f t="shared" si="1"/>
        <v>4095</v>
      </c>
      <c r="T4" s="10">
        <f t="shared" si="1"/>
        <v>2882</v>
      </c>
      <c r="U4" s="10">
        <f t="shared" si="1"/>
        <v>4231</v>
      </c>
      <c r="V4" s="10">
        <f t="shared" si="1"/>
        <v>3634</v>
      </c>
      <c r="W4" s="10">
        <f t="shared" si="1"/>
        <v>3847</v>
      </c>
      <c r="X4" s="10">
        <f t="shared" si="1"/>
        <v>3267</v>
      </c>
      <c r="Y4" s="10">
        <f t="shared" si="1"/>
        <v>3920</v>
      </c>
      <c r="Z4" s="10">
        <f t="shared" si="1"/>
        <v>1589</v>
      </c>
      <c r="AA4" s="10">
        <f t="shared" si="1"/>
        <v>4213</v>
      </c>
      <c r="AB4" s="10">
        <f t="shared" si="1"/>
        <v>2938</v>
      </c>
      <c r="AC4" s="10">
        <f t="shared" si="1"/>
        <v>3303</v>
      </c>
      <c r="AD4" s="10">
        <f t="shared" si="1"/>
        <v>3456</v>
      </c>
      <c r="AE4" s="10">
        <f t="shared" si="1"/>
        <v>2843</v>
      </c>
      <c r="AF4" s="10">
        <f t="shared" si="1"/>
        <v>3770</v>
      </c>
      <c r="AG4" s="10">
        <f t="shared" si="1"/>
        <v>1980</v>
      </c>
      <c r="AH4" s="10">
        <f t="shared" si="1"/>
        <v>2673</v>
      </c>
      <c r="AI4" s="11">
        <f>SUM(E4:AH4)</f>
        <v>105996</v>
      </c>
      <c r="AJ4" s="12"/>
    </row>
    <row r="5" spans="1:252" s="19" customFormat="1" x14ac:dyDescent="0.3">
      <c r="A5" s="13">
        <v>1</v>
      </c>
      <c r="B5" s="14" t="s">
        <v>9</v>
      </c>
      <c r="C5" s="15" t="s">
        <v>6</v>
      </c>
      <c r="D5" s="15" t="s">
        <v>10</v>
      </c>
      <c r="E5" s="16">
        <f t="shared" ref="E5:AH5" si="2">E4/E3</f>
        <v>0.3354916067146283</v>
      </c>
      <c r="F5" s="16">
        <f t="shared" si="2"/>
        <v>0.32537380049096182</v>
      </c>
      <c r="G5" s="16">
        <f t="shared" si="2"/>
        <v>0.33527615875659172</v>
      </c>
      <c r="H5" s="16">
        <f t="shared" si="2"/>
        <v>0.32262929680135738</v>
      </c>
      <c r="I5" s="16">
        <f t="shared" si="2"/>
        <v>0.32290264692687304</v>
      </c>
      <c r="J5" s="16">
        <f t="shared" si="2"/>
        <v>0.33878657567542303</v>
      </c>
      <c r="K5" s="16">
        <f t="shared" si="2"/>
        <v>0.33291506548506</v>
      </c>
      <c r="L5" s="16">
        <f t="shared" si="2"/>
        <v>0.3263236483543831</v>
      </c>
      <c r="M5" s="17">
        <f t="shared" si="2"/>
        <v>0.32732924204989239</v>
      </c>
      <c r="N5" s="16">
        <f t="shared" si="2"/>
        <v>0.3367531003382187</v>
      </c>
      <c r="O5" s="16">
        <f t="shared" si="2"/>
        <v>0.33619073131529603</v>
      </c>
      <c r="P5" s="16">
        <f t="shared" si="2"/>
        <v>0.33197863446353926</v>
      </c>
      <c r="Q5" s="16">
        <f t="shared" si="2"/>
        <v>0.32081325500033003</v>
      </c>
      <c r="R5" s="16">
        <f t="shared" si="2"/>
        <v>0.3366269930384011</v>
      </c>
      <c r="S5" s="16">
        <f t="shared" si="2"/>
        <v>0.33333333333333331</v>
      </c>
      <c r="T5" s="16">
        <f t="shared" si="2"/>
        <v>0.32839562443026438</v>
      </c>
      <c r="U5" s="16">
        <f t="shared" si="2"/>
        <v>0.32727413366336633</v>
      </c>
      <c r="V5" s="16">
        <f t="shared" si="2"/>
        <v>0.3126021505376344</v>
      </c>
      <c r="W5" s="16">
        <f t="shared" si="2"/>
        <v>0.30471287128712871</v>
      </c>
      <c r="X5" s="16">
        <f t="shared" si="2"/>
        <v>0.30572711959573273</v>
      </c>
      <c r="Y5" s="16">
        <f t="shared" si="2"/>
        <v>0.30397022332506202</v>
      </c>
      <c r="Z5" s="16">
        <f t="shared" si="2"/>
        <v>0.32756132756132755</v>
      </c>
      <c r="AA5" s="16">
        <f t="shared" si="2"/>
        <v>0.31581709145427284</v>
      </c>
      <c r="AB5" s="16">
        <f t="shared" si="2"/>
        <v>0.30877561744613768</v>
      </c>
      <c r="AC5" s="16">
        <f t="shared" si="2"/>
        <v>0.31248817407757806</v>
      </c>
      <c r="AD5" s="16">
        <f t="shared" si="2"/>
        <v>0.30923407301360056</v>
      </c>
      <c r="AE5" s="16">
        <f t="shared" si="2"/>
        <v>0.3260321100917431</v>
      </c>
      <c r="AF5" s="16">
        <f t="shared" si="2"/>
        <v>0.31548117154811717</v>
      </c>
      <c r="AG5" s="16">
        <f t="shared" si="2"/>
        <v>0.31987075928917608</v>
      </c>
      <c r="AH5" s="16">
        <f t="shared" si="2"/>
        <v>0.30724137931034484</v>
      </c>
      <c r="AI5" s="18">
        <f>AI4/AI3</f>
        <v>0.32254785908386863</v>
      </c>
      <c r="AJ5" s="18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</row>
    <row r="6" spans="1:252" x14ac:dyDescent="0.3">
      <c r="A6" s="8"/>
      <c r="B6" s="9" t="s">
        <v>8</v>
      </c>
      <c r="C6" s="10" t="s">
        <v>6</v>
      </c>
      <c r="D6" s="10" t="s">
        <v>7</v>
      </c>
      <c r="E6" s="10">
        <f>E109</f>
        <v>298</v>
      </c>
      <c r="F6" s="10">
        <f t="shared" ref="F6:AH6" si="3">F109</f>
        <v>0</v>
      </c>
      <c r="G6" s="10">
        <f t="shared" si="3"/>
        <v>261</v>
      </c>
      <c r="H6" s="10">
        <f t="shared" si="3"/>
        <v>141</v>
      </c>
      <c r="I6" s="10">
        <f t="shared" si="3"/>
        <v>362</v>
      </c>
      <c r="J6" s="10">
        <f>J109</f>
        <v>0</v>
      </c>
      <c r="K6" s="10">
        <f t="shared" si="3"/>
        <v>183</v>
      </c>
      <c r="L6" s="10">
        <f t="shared" si="3"/>
        <v>427</v>
      </c>
      <c r="M6" s="10">
        <f t="shared" si="3"/>
        <v>265</v>
      </c>
      <c r="N6" s="10">
        <f t="shared" si="3"/>
        <v>277</v>
      </c>
      <c r="O6" s="10">
        <f>O109</f>
        <v>0</v>
      </c>
      <c r="P6" s="10">
        <f>P109</f>
        <v>0</v>
      </c>
      <c r="Q6" s="10">
        <f>Q109</f>
        <v>228</v>
      </c>
      <c r="R6" s="10">
        <f>R109</f>
        <v>482</v>
      </c>
      <c r="S6" s="10">
        <f t="shared" si="3"/>
        <v>189</v>
      </c>
      <c r="T6" s="10">
        <f t="shared" si="3"/>
        <v>0</v>
      </c>
      <c r="U6" s="10">
        <f t="shared" si="3"/>
        <v>383</v>
      </c>
      <c r="V6" s="10">
        <f t="shared" si="3"/>
        <v>231</v>
      </c>
      <c r="W6" s="10">
        <f t="shared" si="3"/>
        <v>0</v>
      </c>
      <c r="X6" s="10">
        <f t="shared" si="3"/>
        <v>256</v>
      </c>
      <c r="Y6" s="10">
        <f t="shared" si="3"/>
        <v>0</v>
      </c>
      <c r="Z6" s="10">
        <f t="shared" si="3"/>
        <v>304</v>
      </c>
      <c r="AA6" s="10">
        <f t="shared" si="3"/>
        <v>0</v>
      </c>
      <c r="AB6" s="10">
        <f t="shared" si="3"/>
        <v>0</v>
      </c>
      <c r="AC6" s="10">
        <f t="shared" si="3"/>
        <v>0</v>
      </c>
      <c r="AD6" s="10">
        <f t="shared" si="3"/>
        <v>461</v>
      </c>
      <c r="AE6" s="10">
        <f t="shared" si="3"/>
        <v>177</v>
      </c>
      <c r="AF6" s="10">
        <f t="shared" si="3"/>
        <v>0</v>
      </c>
      <c r="AG6" s="10">
        <f t="shared" si="3"/>
        <v>219</v>
      </c>
      <c r="AH6" s="10">
        <f t="shared" si="3"/>
        <v>153</v>
      </c>
      <c r="AI6" s="11">
        <f>SUM(E6:AH6)</f>
        <v>5297</v>
      </c>
      <c r="AJ6" s="20"/>
    </row>
    <row r="7" spans="1:252" x14ac:dyDescent="0.3">
      <c r="A7" s="8"/>
      <c r="B7" s="9" t="s">
        <v>11</v>
      </c>
      <c r="C7" s="10" t="s">
        <v>6</v>
      </c>
      <c r="D7" s="10" t="s">
        <v>7</v>
      </c>
      <c r="E7" s="10">
        <f>E98</f>
        <v>1085</v>
      </c>
      <c r="F7" s="10">
        <f t="shared" ref="F7:AH7" si="4">F98</f>
        <v>0</v>
      </c>
      <c r="G7" s="10">
        <f t="shared" si="4"/>
        <v>935</v>
      </c>
      <c r="H7" s="10">
        <f t="shared" si="4"/>
        <v>505</v>
      </c>
      <c r="I7" s="10">
        <f t="shared" si="4"/>
        <v>1279</v>
      </c>
      <c r="J7" s="10">
        <f t="shared" si="4"/>
        <v>0</v>
      </c>
      <c r="K7" s="10">
        <f t="shared" si="4"/>
        <v>673</v>
      </c>
      <c r="L7" s="10">
        <f t="shared" si="4"/>
        <v>1555</v>
      </c>
      <c r="M7" s="10">
        <f t="shared" si="4"/>
        <v>945</v>
      </c>
      <c r="N7" s="10">
        <f t="shared" si="4"/>
        <v>988</v>
      </c>
      <c r="O7" s="10">
        <f t="shared" si="4"/>
        <v>0</v>
      </c>
      <c r="P7" s="10">
        <f t="shared" si="4"/>
        <v>0</v>
      </c>
      <c r="Q7" s="10">
        <f t="shared" si="4"/>
        <v>823</v>
      </c>
      <c r="R7" s="10">
        <f t="shared" si="4"/>
        <v>1780</v>
      </c>
      <c r="S7" s="10">
        <f t="shared" si="4"/>
        <v>690</v>
      </c>
      <c r="T7" s="10">
        <f t="shared" si="4"/>
        <v>0</v>
      </c>
      <c r="U7" s="10">
        <f t="shared" si="4"/>
        <v>1383</v>
      </c>
      <c r="V7" s="10">
        <f t="shared" si="4"/>
        <v>840</v>
      </c>
      <c r="W7" s="10">
        <f t="shared" si="4"/>
        <v>0</v>
      </c>
      <c r="X7" s="10">
        <f t="shared" si="4"/>
        <v>947</v>
      </c>
      <c r="Y7" s="10">
        <f t="shared" si="4"/>
        <v>0</v>
      </c>
      <c r="Z7" s="10">
        <f t="shared" si="4"/>
        <v>1142</v>
      </c>
      <c r="AA7" s="10">
        <f t="shared" si="4"/>
        <v>0</v>
      </c>
      <c r="AB7" s="10">
        <f t="shared" si="4"/>
        <v>0</v>
      </c>
      <c r="AC7" s="10">
        <f t="shared" si="4"/>
        <v>0</v>
      </c>
      <c r="AD7" s="10">
        <f t="shared" si="4"/>
        <v>1645</v>
      </c>
      <c r="AE7" s="10">
        <f t="shared" si="4"/>
        <v>630</v>
      </c>
      <c r="AF7" s="10">
        <f t="shared" si="4"/>
        <v>0</v>
      </c>
      <c r="AG7" s="10">
        <f t="shared" si="4"/>
        <v>785</v>
      </c>
      <c r="AH7" s="10">
        <f t="shared" si="4"/>
        <v>600</v>
      </c>
      <c r="AI7" s="11">
        <f>SUM(E7:AH7)</f>
        <v>19230</v>
      </c>
      <c r="AJ7" s="20"/>
    </row>
    <row r="8" spans="1:252" s="19" customFormat="1" x14ac:dyDescent="0.3">
      <c r="A8" s="13">
        <v>2</v>
      </c>
      <c r="B8" s="14" t="s">
        <v>12</v>
      </c>
      <c r="C8" s="15" t="s">
        <v>6</v>
      </c>
      <c r="D8" s="15" t="s">
        <v>10</v>
      </c>
      <c r="E8" s="21">
        <f t="shared" ref="E8:AH8" si="5">IFERROR(E6/E7,"-")</f>
        <v>0.27465437788018432</v>
      </c>
      <c r="F8" s="21" t="str">
        <f t="shared" si="5"/>
        <v>-</v>
      </c>
      <c r="G8" s="21">
        <f t="shared" si="5"/>
        <v>0.279144385026738</v>
      </c>
      <c r="H8" s="21">
        <f t="shared" si="5"/>
        <v>0.27920792079207923</v>
      </c>
      <c r="I8" s="21">
        <f t="shared" si="5"/>
        <v>0.2830336200156372</v>
      </c>
      <c r="J8" s="21" t="str">
        <f t="shared" si="5"/>
        <v>-</v>
      </c>
      <c r="K8" s="21">
        <f t="shared" si="5"/>
        <v>0.27191679049034173</v>
      </c>
      <c r="L8" s="21">
        <f t="shared" si="5"/>
        <v>0.27459807073954984</v>
      </c>
      <c r="M8" s="21">
        <f t="shared" si="5"/>
        <v>0.28042328042328041</v>
      </c>
      <c r="N8" s="21">
        <f t="shared" si="5"/>
        <v>0.28036437246963564</v>
      </c>
      <c r="O8" s="21" t="str">
        <f t="shared" si="5"/>
        <v>-</v>
      </c>
      <c r="P8" s="21" t="str">
        <f t="shared" si="5"/>
        <v>-</v>
      </c>
      <c r="Q8" s="21">
        <f t="shared" si="5"/>
        <v>0.27703523693803161</v>
      </c>
      <c r="R8" s="21">
        <f t="shared" si="5"/>
        <v>0.27078651685393257</v>
      </c>
      <c r="S8" s="21">
        <f t="shared" si="5"/>
        <v>0.27391304347826084</v>
      </c>
      <c r="T8" s="21" t="str">
        <f t="shared" si="5"/>
        <v>-</v>
      </c>
      <c r="U8" s="21">
        <f t="shared" si="5"/>
        <v>0.2769342010122921</v>
      </c>
      <c r="V8" s="21">
        <f t="shared" si="5"/>
        <v>0.27500000000000002</v>
      </c>
      <c r="W8" s="21" t="str">
        <f t="shared" si="5"/>
        <v>-</v>
      </c>
      <c r="X8" s="21">
        <f t="shared" si="5"/>
        <v>0.27032734952481519</v>
      </c>
      <c r="Y8" s="21" t="str">
        <f t="shared" si="5"/>
        <v>-</v>
      </c>
      <c r="Z8" s="21">
        <f t="shared" si="5"/>
        <v>0.26619964973730298</v>
      </c>
      <c r="AA8" s="21" t="str">
        <f t="shared" si="5"/>
        <v>-</v>
      </c>
      <c r="AB8" s="21" t="str">
        <f t="shared" si="5"/>
        <v>-</v>
      </c>
      <c r="AC8" s="21" t="str">
        <f t="shared" si="5"/>
        <v>-</v>
      </c>
      <c r="AD8" s="21">
        <f t="shared" si="5"/>
        <v>0.28024316109422492</v>
      </c>
      <c r="AE8" s="21">
        <f t="shared" si="5"/>
        <v>0.28095238095238095</v>
      </c>
      <c r="AF8" s="21" t="str">
        <f t="shared" si="5"/>
        <v>-</v>
      </c>
      <c r="AG8" s="21">
        <f t="shared" si="5"/>
        <v>0.27898089171974522</v>
      </c>
      <c r="AH8" s="21">
        <f t="shared" si="5"/>
        <v>0.255</v>
      </c>
      <c r="AI8" s="18">
        <f>AI6/AI7</f>
        <v>0.27545501820072804</v>
      </c>
      <c r="AJ8" s="1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</row>
    <row r="9" spans="1:252" x14ac:dyDescent="0.3">
      <c r="A9" s="8"/>
      <c r="B9" s="9" t="s">
        <v>8</v>
      </c>
      <c r="C9" s="10" t="s">
        <v>6</v>
      </c>
      <c r="D9" s="10" t="s">
        <v>7</v>
      </c>
      <c r="E9" s="10">
        <f>E110</f>
        <v>378</v>
      </c>
      <c r="F9" s="10">
        <f t="shared" ref="F9:AH9" si="6">F110</f>
        <v>0</v>
      </c>
      <c r="G9" s="10">
        <f t="shared" si="6"/>
        <v>261</v>
      </c>
      <c r="H9" s="10">
        <f t="shared" si="6"/>
        <v>551</v>
      </c>
      <c r="I9" s="10">
        <f t="shared" si="6"/>
        <v>0</v>
      </c>
      <c r="J9" s="10">
        <f t="shared" si="6"/>
        <v>600</v>
      </c>
      <c r="K9" s="10">
        <f t="shared" si="6"/>
        <v>124</v>
      </c>
      <c r="L9" s="10">
        <f t="shared" si="6"/>
        <v>444</v>
      </c>
      <c r="M9" s="10">
        <f t="shared" si="6"/>
        <v>346</v>
      </c>
      <c r="N9" s="10">
        <f t="shared" si="6"/>
        <v>626</v>
      </c>
      <c r="O9" s="10">
        <f t="shared" si="6"/>
        <v>0</v>
      </c>
      <c r="P9" s="10">
        <f t="shared" si="6"/>
        <v>0</v>
      </c>
      <c r="Q9" s="10">
        <f t="shared" si="6"/>
        <v>488</v>
      </c>
      <c r="R9" s="10">
        <f t="shared" si="6"/>
        <v>341</v>
      </c>
      <c r="S9" s="10">
        <f t="shared" si="6"/>
        <v>331</v>
      </c>
      <c r="T9" s="10">
        <f t="shared" si="6"/>
        <v>0</v>
      </c>
      <c r="U9" s="10">
        <f t="shared" si="6"/>
        <v>0</v>
      </c>
      <c r="V9" s="10">
        <f t="shared" si="6"/>
        <v>606</v>
      </c>
      <c r="W9" s="10">
        <f t="shared" si="6"/>
        <v>796</v>
      </c>
      <c r="X9" s="10">
        <f t="shared" si="6"/>
        <v>0</v>
      </c>
      <c r="Y9" s="10">
        <f t="shared" si="6"/>
        <v>372</v>
      </c>
      <c r="Z9" s="10">
        <f t="shared" si="6"/>
        <v>0</v>
      </c>
      <c r="AA9" s="10">
        <f t="shared" si="6"/>
        <v>244</v>
      </c>
      <c r="AB9" s="10">
        <f t="shared" si="6"/>
        <v>0</v>
      </c>
      <c r="AC9" s="10">
        <f t="shared" si="6"/>
        <v>437</v>
      </c>
      <c r="AD9" s="10">
        <f t="shared" si="6"/>
        <v>423</v>
      </c>
      <c r="AE9" s="10">
        <f t="shared" si="6"/>
        <v>0</v>
      </c>
      <c r="AF9" s="10">
        <f t="shared" si="6"/>
        <v>430</v>
      </c>
      <c r="AG9" s="10">
        <f t="shared" si="6"/>
        <v>0</v>
      </c>
      <c r="AH9" s="10">
        <f t="shared" si="6"/>
        <v>0</v>
      </c>
      <c r="AI9" s="69">
        <f>SUM(E9:AH9)</f>
        <v>7798</v>
      </c>
      <c r="AJ9" s="222"/>
    </row>
    <row r="10" spans="1:252" x14ac:dyDescent="0.3">
      <c r="A10" s="8"/>
      <c r="B10" s="9" t="s">
        <v>207</v>
      </c>
      <c r="C10" s="10" t="s">
        <v>6</v>
      </c>
      <c r="D10" s="10" t="s">
        <v>7</v>
      </c>
      <c r="E10" s="10">
        <f>E99</f>
        <v>1280</v>
      </c>
      <c r="F10" s="10">
        <f t="shared" ref="F10:AH10" si="7">F99</f>
        <v>0</v>
      </c>
      <c r="G10" s="10">
        <f t="shared" si="7"/>
        <v>865</v>
      </c>
      <c r="H10" s="10">
        <f t="shared" si="7"/>
        <v>1795</v>
      </c>
      <c r="I10" s="10">
        <f t="shared" si="7"/>
        <v>0</v>
      </c>
      <c r="J10" s="10">
        <f t="shared" si="7"/>
        <v>2000</v>
      </c>
      <c r="K10" s="10">
        <f t="shared" si="7"/>
        <v>408</v>
      </c>
      <c r="L10" s="10">
        <f t="shared" si="7"/>
        <v>1458</v>
      </c>
      <c r="M10" s="10">
        <f t="shared" si="7"/>
        <v>1146</v>
      </c>
      <c r="N10" s="10">
        <f t="shared" si="7"/>
        <v>2078</v>
      </c>
      <c r="O10" s="10">
        <f t="shared" si="7"/>
        <v>0</v>
      </c>
      <c r="P10" s="10">
        <f t="shared" si="7"/>
        <v>0</v>
      </c>
      <c r="Q10" s="10">
        <f t="shared" si="7"/>
        <v>1581</v>
      </c>
      <c r="R10" s="10">
        <f t="shared" si="7"/>
        <v>1110</v>
      </c>
      <c r="S10" s="10">
        <f t="shared" si="7"/>
        <v>1078</v>
      </c>
      <c r="T10" s="10">
        <f t="shared" si="7"/>
        <v>0</v>
      </c>
      <c r="U10" s="10">
        <f t="shared" si="7"/>
        <v>0</v>
      </c>
      <c r="V10" s="10">
        <f t="shared" si="7"/>
        <v>1995</v>
      </c>
      <c r="W10" s="10">
        <f t="shared" si="7"/>
        <v>2678</v>
      </c>
      <c r="X10" s="10">
        <f t="shared" si="7"/>
        <v>0</v>
      </c>
      <c r="Y10" s="10">
        <f t="shared" si="7"/>
        <v>1260</v>
      </c>
      <c r="Z10" s="10">
        <f t="shared" si="7"/>
        <v>0</v>
      </c>
      <c r="AA10" s="10">
        <f t="shared" si="7"/>
        <v>825</v>
      </c>
      <c r="AB10" s="10">
        <f t="shared" si="7"/>
        <v>0</v>
      </c>
      <c r="AC10" s="10">
        <f t="shared" si="7"/>
        <v>1480</v>
      </c>
      <c r="AD10" s="10">
        <f t="shared" si="7"/>
        <v>1400</v>
      </c>
      <c r="AE10" s="10">
        <f t="shared" si="7"/>
        <v>0</v>
      </c>
      <c r="AF10" s="10">
        <f t="shared" si="7"/>
        <v>1415</v>
      </c>
      <c r="AG10" s="10">
        <f t="shared" si="7"/>
        <v>0</v>
      </c>
      <c r="AH10" s="10">
        <f t="shared" si="7"/>
        <v>0</v>
      </c>
      <c r="AI10" s="69">
        <f>SUM(E10:AH10)</f>
        <v>25852</v>
      </c>
      <c r="AJ10" s="222"/>
    </row>
    <row r="11" spans="1:252" x14ac:dyDescent="0.3">
      <c r="A11" s="13">
        <v>3</v>
      </c>
      <c r="B11" s="14" t="s">
        <v>206</v>
      </c>
      <c r="C11" s="15" t="s">
        <v>6</v>
      </c>
      <c r="D11" s="15" t="s">
        <v>10</v>
      </c>
      <c r="E11" s="21">
        <f>IFERROR(E9/E10,"-")</f>
        <v>0.29531249999999998</v>
      </c>
      <c r="F11" s="21" t="str">
        <f t="shared" ref="F11:AH11" si="8">IFERROR(F9/F10,"-")</f>
        <v>-</v>
      </c>
      <c r="G11" s="21">
        <f t="shared" si="8"/>
        <v>0.30173410404624279</v>
      </c>
      <c r="H11" s="21">
        <f t="shared" si="8"/>
        <v>0.30696378830083565</v>
      </c>
      <c r="I11" s="21" t="str">
        <f t="shared" si="8"/>
        <v>-</v>
      </c>
      <c r="J11" s="21">
        <f t="shared" si="8"/>
        <v>0.3</v>
      </c>
      <c r="K11" s="21">
        <f t="shared" si="8"/>
        <v>0.30392156862745096</v>
      </c>
      <c r="L11" s="21">
        <f t="shared" si="8"/>
        <v>0.30452674897119342</v>
      </c>
      <c r="M11" s="21">
        <f t="shared" si="8"/>
        <v>0.30191972076788831</v>
      </c>
      <c r="N11" s="21">
        <f t="shared" si="8"/>
        <v>0.30125120307988451</v>
      </c>
      <c r="O11" s="21" t="str">
        <f t="shared" si="8"/>
        <v>-</v>
      </c>
      <c r="P11" s="21" t="str">
        <f t="shared" si="8"/>
        <v>-</v>
      </c>
      <c r="Q11" s="21">
        <f t="shared" si="8"/>
        <v>0.30866540164452877</v>
      </c>
      <c r="R11" s="21">
        <f t="shared" si="8"/>
        <v>0.30720720720720723</v>
      </c>
      <c r="S11" s="21">
        <f t="shared" si="8"/>
        <v>0.3070500927643785</v>
      </c>
      <c r="T11" s="21" t="str">
        <f t="shared" si="8"/>
        <v>-</v>
      </c>
      <c r="U11" s="21" t="str">
        <f t="shared" si="8"/>
        <v>-</v>
      </c>
      <c r="V11" s="21">
        <f t="shared" si="8"/>
        <v>0.30375939849624062</v>
      </c>
      <c r="W11" s="21">
        <f t="shared" si="8"/>
        <v>0.29723674383868559</v>
      </c>
      <c r="X11" s="21" t="str">
        <f t="shared" si="8"/>
        <v>-</v>
      </c>
      <c r="Y11" s="21">
        <f t="shared" si="8"/>
        <v>0.29523809523809524</v>
      </c>
      <c r="Z11" s="21" t="str">
        <f t="shared" si="8"/>
        <v>-</v>
      </c>
      <c r="AA11" s="21">
        <f t="shared" si="8"/>
        <v>0.29575757575757577</v>
      </c>
      <c r="AB11" s="21" t="str">
        <f t="shared" si="8"/>
        <v>-</v>
      </c>
      <c r="AC11" s="21">
        <f t="shared" si="8"/>
        <v>0.29527027027027025</v>
      </c>
      <c r="AD11" s="21">
        <f t="shared" si="8"/>
        <v>0.30214285714285716</v>
      </c>
      <c r="AE11" s="21" t="str">
        <f t="shared" si="8"/>
        <v>-</v>
      </c>
      <c r="AF11" s="21">
        <f t="shared" si="8"/>
        <v>0.303886925795053</v>
      </c>
      <c r="AG11" s="21" t="str">
        <f t="shared" si="8"/>
        <v>-</v>
      </c>
      <c r="AH11" s="21" t="str">
        <f t="shared" si="8"/>
        <v>-</v>
      </c>
      <c r="AI11" s="223">
        <f>AI9/AI10</f>
        <v>0.30164010521429674</v>
      </c>
      <c r="AJ11" s="222"/>
    </row>
    <row r="12" spans="1:252" x14ac:dyDescent="0.3">
      <c r="A12" s="8"/>
      <c r="B12" s="9" t="s">
        <v>13</v>
      </c>
      <c r="C12" s="10" t="s">
        <v>14</v>
      </c>
      <c r="D12" s="10" t="s">
        <v>15</v>
      </c>
      <c r="E12" s="22">
        <v>951.95</v>
      </c>
      <c r="F12" s="22">
        <v>994.66</v>
      </c>
      <c r="G12" s="22">
        <v>949.37</v>
      </c>
      <c r="H12" s="23">
        <v>969.2</v>
      </c>
      <c r="I12" s="23">
        <v>1064.7</v>
      </c>
      <c r="J12" s="23">
        <v>1081.2</v>
      </c>
      <c r="K12" s="23">
        <v>1104.73</v>
      </c>
      <c r="L12" s="22">
        <v>1052.03</v>
      </c>
      <c r="M12" s="22">
        <v>997.63</v>
      </c>
      <c r="N12" s="22">
        <v>1038.69</v>
      </c>
      <c r="O12" s="22">
        <v>1096.2</v>
      </c>
      <c r="P12" s="22">
        <v>1111.9000000000001</v>
      </c>
      <c r="Q12" s="22">
        <v>966.31</v>
      </c>
      <c r="R12" s="22">
        <v>1062.1099999999999</v>
      </c>
      <c r="S12" s="22">
        <v>1117.1099999999999</v>
      </c>
      <c r="T12" s="22">
        <v>1068.1600000000001</v>
      </c>
      <c r="U12" s="22">
        <v>1141.06</v>
      </c>
      <c r="V12" s="22">
        <v>1126.08</v>
      </c>
      <c r="W12" s="22">
        <v>1100.68</v>
      </c>
      <c r="X12" s="22">
        <v>935.26</v>
      </c>
      <c r="Y12" s="22">
        <v>960.81</v>
      </c>
      <c r="Z12" s="22">
        <v>1085.51</v>
      </c>
      <c r="AA12" s="22">
        <v>1087.54</v>
      </c>
      <c r="AB12" s="22">
        <v>1081.96</v>
      </c>
      <c r="AC12" s="22">
        <v>1049.2</v>
      </c>
      <c r="AD12" s="22">
        <v>978.01</v>
      </c>
      <c r="AE12" s="22">
        <v>1036.55</v>
      </c>
      <c r="AF12" s="22">
        <v>933.35</v>
      </c>
      <c r="AG12" s="22">
        <v>1072.57</v>
      </c>
      <c r="AH12" s="22">
        <v>1160.01</v>
      </c>
      <c r="AI12" s="22"/>
    </row>
    <row r="13" spans="1:252" x14ac:dyDescent="0.3">
      <c r="A13" s="8"/>
      <c r="B13" s="24" t="s">
        <v>16</v>
      </c>
      <c r="C13" s="10" t="s">
        <v>14</v>
      </c>
      <c r="D13" s="10" t="s">
        <v>17</v>
      </c>
      <c r="E13" s="26">
        <v>5.79</v>
      </c>
      <c r="F13" s="26">
        <v>5.54</v>
      </c>
      <c r="G13" s="26">
        <v>5.35</v>
      </c>
      <c r="H13" s="26">
        <v>5.43</v>
      </c>
      <c r="I13" s="26">
        <v>5.28</v>
      </c>
      <c r="J13" s="26">
        <v>5.34</v>
      </c>
      <c r="K13" s="25">
        <v>5.35</v>
      </c>
      <c r="L13" s="25">
        <v>5.38</v>
      </c>
      <c r="M13" s="25">
        <v>5.48</v>
      </c>
      <c r="N13" s="26">
        <v>5.37</v>
      </c>
      <c r="O13" s="26">
        <v>5.38</v>
      </c>
      <c r="P13" s="26">
        <v>5.5</v>
      </c>
      <c r="Q13" s="26">
        <v>5.56</v>
      </c>
      <c r="R13" s="26">
        <v>5.42</v>
      </c>
      <c r="S13" s="26">
        <v>5.3</v>
      </c>
      <c r="T13" s="22">
        <v>5.49</v>
      </c>
      <c r="U13" s="22">
        <v>5.27</v>
      </c>
      <c r="V13" s="22">
        <v>5.36</v>
      </c>
      <c r="W13" s="22">
        <v>5.78</v>
      </c>
      <c r="X13" s="22">
        <v>5.77</v>
      </c>
      <c r="Y13" s="22">
        <v>5.25</v>
      </c>
      <c r="Z13" s="22">
        <v>5.27</v>
      </c>
      <c r="AA13" s="22">
        <v>5.27</v>
      </c>
      <c r="AB13" s="22">
        <v>5.25</v>
      </c>
      <c r="AC13" s="22">
        <v>5.31</v>
      </c>
      <c r="AD13" s="22">
        <v>5.35</v>
      </c>
      <c r="AE13" s="26">
        <v>5.28</v>
      </c>
      <c r="AF13" s="26">
        <v>5.32</v>
      </c>
      <c r="AG13" s="26">
        <v>5.28</v>
      </c>
      <c r="AH13" s="26">
        <v>5.24</v>
      </c>
      <c r="AI13" s="27"/>
    </row>
    <row r="14" spans="1:252" x14ac:dyDescent="0.3">
      <c r="A14" s="8"/>
      <c r="B14" s="24" t="s">
        <v>18</v>
      </c>
      <c r="C14" s="10" t="s">
        <v>14</v>
      </c>
      <c r="D14" s="10" t="s">
        <v>19</v>
      </c>
      <c r="E14" s="23">
        <f>E12/E13*1000</f>
        <v>164412.78065630398</v>
      </c>
      <c r="F14" s="23">
        <f>F12/F13*1000</f>
        <v>179541.51624548735</v>
      </c>
      <c r="G14" s="23">
        <f>G12/G13*1000</f>
        <v>177452.33644859816</v>
      </c>
      <c r="H14" s="23">
        <f>H12/H13*1000</f>
        <v>178489.87108655617</v>
      </c>
      <c r="I14" s="23">
        <f t="shared" ref="I14:AH14" si="9">I12/I13*1000</f>
        <v>201647.72727272729</v>
      </c>
      <c r="J14" s="23">
        <f t="shared" si="9"/>
        <v>202471.91011235956</v>
      </c>
      <c r="K14" s="23">
        <f t="shared" si="9"/>
        <v>206491.58878504677</v>
      </c>
      <c r="L14" s="23">
        <f t="shared" si="9"/>
        <v>195544.6096654275</v>
      </c>
      <c r="M14" s="23">
        <f t="shared" si="9"/>
        <v>182049.27007299269</v>
      </c>
      <c r="N14" s="23">
        <f t="shared" si="9"/>
        <v>193424.5810055866</v>
      </c>
      <c r="O14" s="23">
        <f t="shared" si="9"/>
        <v>203754.64684014872</v>
      </c>
      <c r="P14" s="23">
        <f t="shared" si="9"/>
        <v>202163.63636363638</v>
      </c>
      <c r="Q14" s="23">
        <f t="shared" si="9"/>
        <v>173796.76258992805</v>
      </c>
      <c r="R14" s="23">
        <f>R12/R13*1000</f>
        <v>195961.25461254609</v>
      </c>
      <c r="S14" s="23">
        <f>S12/S13*1000</f>
        <v>210775.47169811319</v>
      </c>
      <c r="T14" s="23">
        <f t="shared" si="9"/>
        <v>194564.66302367943</v>
      </c>
      <c r="U14" s="23">
        <f t="shared" si="9"/>
        <v>216519.92409867173</v>
      </c>
      <c r="V14" s="23">
        <f t="shared" si="9"/>
        <v>210089.55223880595</v>
      </c>
      <c r="W14" s="23">
        <f>W12/W13*1000</f>
        <v>190429.06574394464</v>
      </c>
      <c r="X14" s="23">
        <f t="shared" si="9"/>
        <v>162090.12131715773</v>
      </c>
      <c r="Y14" s="23">
        <f t="shared" si="9"/>
        <v>183011.42857142855</v>
      </c>
      <c r="Z14" s="23">
        <f t="shared" si="9"/>
        <v>205979.12713472487</v>
      </c>
      <c r="AA14" s="23">
        <f t="shared" si="9"/>
        <v>206364.32637571159</v>
      </c>
      <c r="AB14" s="23">
        <f t="shared" si="9"/>
        <v>206087.61904761905</v>
      </c>
      <c r="AC14" s="23">
        <f t="shared" si="9"/>
        <v>197589.45386064032</v>
      </c>
      <c r="AD14" s="23">
        <f t="shared" si="9"/>
        <v>182805.60747663552</v>
      </c>
      <c r="AE14" s="23">
        <f t="shared" si="9"/>
        <v>196316.28787878784</v>
      </c>
      <c r="AF14" s="23">
        <f t="shared" si="9"/>
        <v>175441.72932330827</v>
      </c>
      <c r="AG14" s="23">
        <f t="shared" si="9"/>
        <v>203138.25757575757</v>
      </c>
      <c r="AH14" s="23">
        <f t="shared" si="9"/>
        <v>221375.95419847328</v>
      </c>
      <c r="AI14" s="28">
        <f>SUMIF(E15:AH15,"&gt;5950",E14:AH14)</f>
        <v>5819781.0813208064</v>
      </c>
    </row>
    <row r="15" spans="1:252" x14ac:dyDescent="0.3">
      <c r="A15" s="8"/>
      <c r="B15" s="9" t="s">
        <v>20</v>
      </c>
      <c r="C15" s="10" t="s">
        <v>14</v>
      </c>
      <c r="D15" s="10" t="s">
        <v>15</v>
      </c>
      <c r="E15" s="29">
        <f>E89</f>
        <v>6913</v>
      </c>
      <c r="F15" s="29">
        <f t="shared" ref="F15:AH15" si="10">F89</f>
        <v>7008</v>
      </c>
      <c r="G15" s="29">
        <f t="shared" si="10"/>
        <v>7061</v>
      </c>
      <c r="H15" s="29">
        <f t="shared" si="10"/>
        <v>7030</v>
      </c>
      <c r="I15" s="29">
        <f t="shared" si="10"/>
        <v>7246</v>
      </c>
      <c r="J15" s="29">
        <f t="shared" si="10"/>
        <v>7302</v>
      </c>
      <c r="K15" s="29">
        <f t="shared" si="10"/>
        <v>7028</v>
      </c>
      <c r="L15" s="29">
        <f t="shared" si="10"/>
        <v>7042</v>
      </c>
      <c r="M15" s="29">
        <f t="shared" si="10"/>
        <v>7216</v>
      </c>
      <c r="N15" s="29">
        <f t="shared" si="10"/>
        <v>6990</v>
      </c>
      <c r="O15" s="29">
        <f t="shared" si="10"/>
        <v>7295</v>
      </c>
      <c r="P15" s="29">
        <f t="shared" si="10"/>
        <v>7324</v>
      </c>
      <c r="Q15" s="29">
        <f t="shared" si="10"/>
        <v>7207</v>
      </c>
      <c r="R15" s="29">
        <f t="shared" si="10"/>
        <v>7336</v>
      </c>
      <c r="S15" s="29">
        <f t="shared" si="10"/>
        <v>7344</v>
      </c>
      <c r="T15" s="29">
        <f t="shared" si="10"/>
        <v>7252</v>
      </c>
      <c r="U15" s="29">
        <f t="shared" si="10"/>
        <v>7207</v>
      </c>
      <c r="V15" s="29">
        <f t="shared" si="10"/>
        <v>7440</v>
      </c>
      <c r="W15" s="29">
        <f t="shared" si="10"/>
        <v>7404</v>
      </c>
      <c r="X15" s="29">
        <f t="shared" si="10"/>
        <v>6163</v>
      </c>
      <c r="Y15" s="29">
        <f t="shared" si="10"/>
        <v>7210</v>
      </c>
      <c r="Z15" s="29">
        <f t="shared" si="10"/>
        <v>7265</v>
      </c>
      <c r="AA15" s="29">
        <f t="shared" si="10"/>
        <v>7334</v>
      </c>
      <c r="AB15" s="29">
        <f t="shared" si="10"/>
        <v>7342</v>
      </c>
      <c r="AC15" s="29">
        <f t="shared" si="10"/>
        <v>7314</v>
      </c>
      <c r="AD15" s="29">
        <f t="shared" si="10"/>
        <v>7211</v>
      </c>
      <c r="AE15" s="29">
        <f t="shared" si="10"/>
        <v>7054</v>
      </c>
      <c r="AF15" s="29">
        <f t="shared" si="10"/>
        <v>6246</v>
      </c>
      <c r="AG15" s="29">
        <f t="shared" si="10"/>
        <v>7213</v>
      </c>
      <c r="AH15" s="29">
        <f t="shared" si="10"/>
        <v>7318</v>
      </c>
      <c r="AI15" s="30">
        <f>SUM(E15:AH15)</f>
        <v>214315</v>
      </c>
      <c r="AJ15" s="31"/>
    </row>
    <row r="16" spans="1:252" s="19" customFormat="1" x14ac:dyDescent="0.3">
      <c r="A16" s="13">
        <v>4</v>
      </c>
      <c r="B16" s="14" t="s">
        <v>21</v>
      </c>
      <c r="C16" s="15" t="s">
        <v>14</v>
      </c>
      <c r="D16" s="15" t="s">
        <v>22</v>
      </c>
      <c r="E16" s="32">
        <f>E14/E15</f>
        <v>23.783130429090697</v>
      </c>
      <c r="F16" s="32">
        <f>F14/F15</f>
        <v>25.619508596673423</v>
      </c>
      <c r="G16" s="32">
        <f t="shared" ref="G16:AH16" si="11">G14/G15</f>
        <v>25.131332169465821</v>
      </c>
      <c r="H16" s="32">
        <f t="shared" si="11"/>
        <v>25.389739841615388</v>
      </c>
      <c r="I16" s="32">
        <f t="shared" si="11"/>
        <v>27.828833462976441</v>
      </c>
      <c r="J16" s="32">
        <f t="shared" si="11"/>
        <v>27.728281308183998</v>
      </c>
      <c r="K16" s="32">
        <f t="shared" si="11"/>
        <v>29.381273304645244</v>
      </c>
      <c r="L16" s="32">
        <f t="shared" si="11"/>
        <v>27.768334232523078</v>
      </c>
      <c r="M16" s="32">
        <f t="shared" si="11"/>
        <v>25.228557382620938</v>
      </c>
      <c r="N16" s="32">
        <f t="shared" si="11"/>
        <v>27.671613877766323</v>
      </c>
      <c r="O16" s="32">
        <f t="shared" si="11"/>
        <v>27.930726091864116</v>
      </c>
      <c r="P16" s="32">
        <f t="shared" si="11"/>
        <v>27.60289955811529</v>
      </c>
      <c r="Q16" s="32">
        <f t="shared" si="11"/>
        <v>24.114994115433337</v>
      </c>
      <c r="R16" s="32">
        <f t="shared" si="11"/>
        <v>26.712275710543359</v>
      </c>
      <c r="S16" s="32">
        <f t="shared" si="11"/>
        <v>28.700363793316068</v>
      </c>
      <c r="T16" s="32">
        <f t="shared" si="11"/>
        <v>26.829104112476479</v>
      </c>
      <c r="U16" s="32">
        <f t="shared" si="11"/>
        <v>30.043003205032846</v>
      </c>
      <c r="V16" s="32">
        <f t="shared" si="11"/>
        <v>28.237843042850262</v>
      </c>
      <c r="W16" s="32">
        <f>W14/W15</f>
        <v>25.719754962715374</v>
      </c>
      <c r="X16" s="32">
        <f t="shared" si="11"/>
        <v>26.3005226865419</v>
      </c>
      <c r="Y16" s="32">
        <f t="shared" si="11"/>
        <v>25.382999801862489</v>
      </c>
      <c r="Z16" s="32">
        <f t="shared" si="11"/>
        <v>28.352254251166535</v>
      </c>
      <c r="AA16" s="32">
        <f t="shared" si="11"/>
        <v>28.138031957419088</v>
      </c>
      <c r="AB16" s="32">
        <f t="shared" si="11"/>
        <v>28.069683880089766</v>
      </c>
      <c r="AC16" s="32">
        <f t="shared" si="11"/>
        <v>27.015238427760504</v>
      </c>
      <c r="AD16" s="32">
        <f t="shared" si="11"/>
        <v>25.350937106730761</v>
      </c>
      <c r="AE16" s="32">
        <f t="shared" si="11"/>
        <v>27.83049161876777</v>
      </c>
      <c r="AF16" s="32">
        <f t="shared" si="11"/>
        <v>28.088653429924477</v>
      </c>
      <c r="AG16" s="32">
        <f t="shared" si="11"/>
        <v>28.162797390233962</v>
      </c>
      <c r="AH16" s="32">
        <f t="shared" si="11"/>
        <v>30.250881962076154</v>
      </c>
      <c r="AI16" s="33">
        <f>AI14/AI15</f>
        <v>27.155267159651945</v>
      </c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</row>
    <row r="17" spans="1:252" x14ac:dyDescent="0.3">
      <c r="A17" s="8"/>
      <c r="B17" s="9" t="s">
        <v>23</v>
      </c>
      <c r="C17" s="10" t="s">
        <v>14</v>
      </c>
      <c r="D17" s="10" t="s">
        <v>15</v>
      </c>
      <c r="E17" s="22">
        <v>830.48</v>
      </c>
      <c r="F17" s="22">
        <v>1104.81</v>
      </c>
      <c r="G17" s="22">
        <v>1263.26</v>
      </c>
      <c r="H17" s="22">
        <v>1137.82</v>
      </c>
      <c r="I17" s="22">
        <v>1229.4000000000001</v>
      </c>
      <c r="J17" s="22">
        <v>1221.5</v>
      </c>
      <c r="K17" s="22">
        <v>1213.8499999999999</v>
      </c>
      <c r="L17" s="22">
        <v>1205.24</v>
      </c>
      <c r="M17" s="22">
        <v>1181.53</v>
      </c>
      <c r="N17" s="22">
        <v>1189.8399999999999</v>
      </c>
      <c r="O17" s="22">
        <v>1156.06</v>
      </c>
      <c r="P17" s="22">
        <v>1047.7</v>
      </c>
      <c r="Q17" s="22">
        <v>1076.73</v>
      </c>
      <c r="R17" s="22">
        <v>1136.42</v>
      </c>
      <c r="S17" s="22">
        <v>1106.3800000000001</v>
      </c>
      <c r="T17" s="22">
        <v>1125.3800000000001</v>
      </c>
      <c r="U17" s="22">
        <v>1172.77</v>
      </c>
      <c r="V17" s="22">
        <v>855.2</v>
      </c>
      <c r="W17" s="22">
        <v>0</v>
      </c>
      <c r="X17" s="22">
        <v>394.37</v>
      </c>
      <c r="Y17" s="22">
        <v>1231.7</v>
      </c>
      <c r="Z17" s="22">
        <v>1251.95</v>
      </c>
      <c r="AA17" s="22">
        <v>1233.21</v>
      </c>
      <c r="AB17" s="22">
        <v>1293.4100000000001</v>
      </c>
      <c r="AC17" s="22">
        <v>1260.9000000000001</v>
      </c>
      <c r="AD17" s="22">
        <v>1290.43</v>
      </c>
      <c r="AE17" s="22">
        <v>1282.55</v>
      </c>
      <c r="AF17" s="22">
        <v>1296.3699999999999</v>
      </c>
      <c r="AG17" s="22">
        <v>1304.93</v>
      </c>
      <c r="AH17" s="22">
        <v>1292.99</v>
      </c>
      <c r="AI17" s="11"/>
    </row>
    <row r="18" spans="1:252" x14ac:dyDescent="0.3">
      <c r="A18" s="8"/>
      <c r="B18" s="9" t="s">
        <v>24</v>
      </c>
      <c r="C18" s="10" t="s">
        <v>14</v>
      </c>
      <c r="D18" s="10" t="s">
        <v>15</v>
      </c>
      <c r="E18" s="22">
        <v>121.33</v>
      </c>
      <c r="F18" s="22">
        <v>139.82</v>
      </c>
      <c r="G18" s="22">
        <v>135.44999999999999</v>
      </c>
      <c r="H18" s="22">
        <v>134.85</v>
      </c>
      <c r="I18" s="22">
        <v>133.4</v>
      </c>
      <c r="J18" s="22">
        <v>137.5</v>
      </c>
      <c r="K18" s="22">
        <v>137.69999999999999</v>
      </c>
      <c r="L18" s="22">
        <v>138.4</v>
      </c>
      <c r="M18" s="22">
        <v>138.01</v>
      </c>
      <c r="N18" s="22">
        <v>136.91</v>
      </c>
      <c r="O18" s="22">
        <v>138.81</v>
      </c>
      <c r="P18" s="22">
        <v>136.80000000000001</v>
      </c>
      <c r="Q18" s="23">
        <v>130.59</v>
      </c>
      <c r="R18" s="22">
        <v>130.59</v>
      </c>
      <c r="S18" s="22">
        <v>125.41</v>
      </c>
      <c r="T18" s="22">
        <v>142.91999999999999</v>
      </c>
      <c r="U18" s="22">
        <v>134.71</v>
      </c>
      <c r="V18" s="22">
        <v>99.27</v>
      </c>
      <c r="W18" s="22">
        <v>0</v>
      </c>
      <c r="X18" s="22">
        <v>49.98</v>
      </c>
      <c r="Y18" s="22">
        <v>131.34</v>
      </c>
      <c r="Z18" s="22">
        <v>140</v>
      </c>
      <c r="AA18" s="22">
        <v>138.69</v>
      </c>
      <c r="AB18" s="22">
        <v>137.63999999999999</v>
      </c>
      <c r="AC18" s="22">
        <v>132.63999999999999</v>
      </c>
      <c r="AD18" s="22">
        <v>136.99</v>
      </c>
      <c r="AE18" s="22">
        <v>138.01</v>
      </c>
      <c r="AF18" s="22">
        <v>137.03</v>
      </c>
      <c r="AG18" s="22">
        <v>136.02000000000001</v>
      </c>
      <c r="AH18" s="22">
        <v>135.44</v>
      </c>
      <c r="AI18" s="11"/>
    </row>
    <row r="19" spans="1:252" x14ac:dyDescent="0.3">
      <c r="A19" s="8"/>
      <c r="B19" s="9" t="s">
        <v>16</v>
      </c>
      <c r="C19" s="10" t="s">
        <v>14</v>
      </c>
      <c r="D19" s="10" t="s">
        <v>17</v>
      </c>
      <c r="E19" s="26">
        <f t="shared" ref="E19:J19" si="12">E13</f>
        <v>5.79</v>
      </c>
      <c r="F19" s="26">
        <f t="shared" si="12"/>
        <v>5.54</v>
      </c>
      <c r="G19" s="26">
        <f t="shared" si="12"/>
        <v>5.35</v>
      </c>
      <c r="H19" s="26">
        <f t="shared" si="12"/>
        <v>5.43</v>
      </c>
      <c r="I19" s="26">
        <f t="shared" si="12"/>
        <v>5.28</v>
      </c>
      <c r="J19" s="26">
        <f t="shared" si="12"/>
        <v>5.34</v>
      </c>
      <c r="K19" s="26">
        <f t="shared" ref="K19:AH19" si="13">K13</f>
        <v>5.35</v>
      </c>
      <c r="L19" s="26">
        <f t="shared" si="13"/>
        <v>5.38</v>
      </c>
      <c r="M19" s="26">
        <f t="shared" si="13"/>
        <v>5.48</v>
      </c>
      <c r="N19" s="26">
        <f t="shared" si="13"/>
        <v>5.37</v>
      </c>
      <c r="O19" s="26">
        <f t="shared" si="13"/>
        <v>5.38</v>
      </c>
      <c r="P19" s="26">
        <f t="shared" si="13"/>
        <v>5.5</v>
      </c>
      <c r="Q19" s="26">
        <f t="shared" si="13"/>
        <v>5.56</v>
      </c>
      <c r="R19" s="26">
        <f>R13</f>
        <v>5.42</v>
      </c>
      <c r="S19" s="26">
        <f>S13</f>
        <v>5.3</v>
      </c>
      <c r="T19" s="26">
        <f t="shared" si="13"/>
        <v>5.49</v>
      </c>
      <c r="U19" s="26">
        <f t="shared" si="13"/>
        <v>5.27</v>
      </c>
      <c r="V19" s="26">
        <f t="shared" si="13"/>
        <v>5.36</v>
      </c>
      <c r="W19" s="26">
        <f t="shared" si="13"/>
        <v>5.78</v>
      </c>
      <c r="X19" s="26">
        <f t="shared" si="13"/>
        <v>5.77</v>
      </c>
      <c r="Y19" s="26">
        <f t="shared" si="13"/>
        <v>5.25</v>
      </c>
      <c r="Z19" s="26">
        <f t="shared" si="13"/>
        <v>5.27</v>
      </c>
      <c r="AA19" s="26">
        <f t="shared" si="13"/>
        <v>5.27</v>
      </c>
      <c r="AB19" s="26">
        <f t="shared" si="13"/>
        <v>5.25</v>
      </c>
      <c r="AC19" s="26">
        <f t="shared" si="13"/>
        <v>5.31</v>
      </c>
      <c r="AD19" s="26">
        <f t="shared" si="13"/>
        <v>5.35</v>
      </c>
      <c r="AE19" s="26">
        <f t="shared" si="13"/>
        <v>5.28</v>
      </c>
      <c r="AF19" s="26">
        <f t="shared" si="13"/>
        <v>5.32</v>
      </c>
      <c r="AG19" s="26">
        <f t="shared" si="13"/>
        <v>5.28</v>
      </c>
      <c r="AH19" s="26">
        <f t="shared" si="13"/>
        <v>5.24</v>
      </c>
      <c r="AI19" s="11"/>
    </row>
    <row r="20" spans="1:252" x14ac:dyDescent="0.3">
      <c r="A20" s="8"/>
      <c r="B20" s="24" t="s">
        <v>25</v>
      </c>
      <c r="C20" s="10" t="s">
        <v>14</v>
      </c>
      <c r="D20" s="10" t="s">
        <v>19</v>
      </c>
      <c r="E20" s="23">
        <f t="shared" ref="E20:AH20" si="14">(E17+E18)/E19*1000</f>
        <v>164388.60103626945</v>
      </c>
      <c r="F20" s="23">
        <f t="shared" si="14"/>
        <v>224662.4548736462</v>
      </c>
      <c r="G20" s="23">
        <f t="shared" si="14"/>
        <v>261441.12149532713</v>
      </c>
      <c r="H20" s="23">
        <f t="shared" si="14"/>
        <v>234377.53222836094</v>
      </c>
      <c r="I20" s="23">
        <f t="shared" si="14"/>
        <v>258106.06060606064</v>
      </c>
      <c r="J20" s="23">
        <f t="shared" si="14"/>
        <v>254494.38202247192</v>
      </c>
      <c r="K20" s="23">
        <f t="shared" si="14"/>
        <v>252626.16822429906</v>
      </c>
      <c r="L20" s="23">
        <f t="shared" si="14"/>
        <v>249747.21189591079</v>
      </c>
      <c r="M20" s="23">
        <f t="shared" si="14"/>
        <v>240791.97080291968</v>
      </c>
      <c r="N20" s="23">
        <f t="shared" si="14"/>
        <v>247067.03910614524</v>
      </c>
      <c r="O20" s="23">
        <f t="shared" si="14"/>
        <v>240682.15613382898</v>
      </c>
      <c r="P20" s="23">
        <f t="shared" si="14"/>
        <v>215363.63636363638</v>
      </c>
      <c r="Q20" s="23">
        <f t="shared" si="14"/>
        <v>217143.88489208632</v>
      </c>
      <c r="R20" s="23">
        <f t="shared" si="14"/>
        <v>233765.68265682657</v>
      </c>
      <c r="S20" s="23">
        <f t="shared" si="14"/>
        <v>232413.20754716985</v>
      </c>
      <c r="T20" s="23">
        <f t="shared" si="14"/>
        <v>231020.03642987253</v>
      </c>
      <c r="U20" s="23">
        <f t="shared" si="14"/>
        <v>248098.67172675524</v>
      </c>
      <c r="V20" s="23">
        <f t="shared" si="14"/>
        <v>178072.76119402985</v>
      </c>
      <c r="W20" s="23">
        <f t="shared" si="14"/>
        <v>0</v>
      </c>
      <c r="X20" s="23">
        <f t="shared" si="14"/>
        <v>77010.398613518206</v>
      </c>
      <c r="Y20" s="23">
        <f t="shared" si="14"/>
        <v>259626.66666666666</v>
      </c>
      <c r="Z20" s="23">
        <f t="shared" si="14"/>
        <v>264127.13472485775</v>
      </c>
      <c r="AA20" s="23">
        <f t="shared" si="14"/>
        <v>260322.58064516133</v>
      </c>
      <c r="AB20" s="23">
        <f t="shared" si="14"/>
        <v>272580.95238095243</v>
      </c>
      <c r="AC20" s="23">
        <f t="shared" si="14"/>
        <v>262436.91148775897</v>
      </c>
      <c r="AD20" s="23">
        <f t="shared" si="14"/>
        <v>266807.47663551406</v>
      </c>
      <c r="AE20" s="23">
        <f t="shared" si="14"/>
        <v>269045.45454545453</v>
      </c>
      <c r="AF20" s="23">
        <f t="shared" si="14"/>
        <v>269436.09022556385</v>
      </c>
      <c r="AG20" s="23">
        <f t="shared" si="14"/>
        <v>272907.19696969696</v>
      </c>
      <c r="AH20" s="23">
        <f t="shared" si="14"/>
        <v>272601.14503816795</v>
      </c>
      <c r="AI20" s="28">
        <f>SUMIF(E21:AH21,"&gt;7905",E20:AH20)</f>
        <v>6511692.826325112</v>
      </c>
    </row>
    <row r="21" spans="1:252" x14ac:dyDescent="0.3">
      <c r="A21" s="8"/>
      <c r="B21" s="9" t="s">
        <v>20</v>
      </c>
      <c r="C21" s="10" t="s">
        <v>14</v>
      </c>
      <c r="D21" s="10" t="s">
        <v>15</v>
      </c>
      <c r="E21" s="34">
        <f>E90</f>
        <v>7585</v>
      </c>
      <c r="F21" s="34">
        <f t="shared" ref="F21:AH21" si="15">F90</f>
        <v>8507</v>
      </c>
      <c r="G21" s="34">
        <f t="shared" si="15"/>
        <v>9202</v>
      </c>
      <c r="H21" s="34">
        <f t="shared" si="15"/>
        <v>9187</v>
      </c>
      <c r="I21" s="34">
        <f t="shared" si="15"/>
        <v>9132</v>
      </c>
      <c r="J21" s="34">
        <f t="shared" si="15"/>
        <v>9353</v>
      </c>
      <c r="K21" s="34">
        <f t="shared" si="15"/>
        <v>9353</v>
      </c>
      <c r="L21" s="34">
        <f t="shared" si="15"/>
        <v>9308</v>
      </c>
      <c r="M21" s="34">
        <f t="shared" si="15"/>
        <v>9282</v>
      </c>
      <c r="N21" s="34">
        <f t="shared" si="15"/>
        <v>9173</v>
      </c>
      <c r="O21" s="34">
        <f t="shared" si="15"/>
        <v>9068</v>
      </c>
      <c r="P21" s="34">
        <f t="shared" si="15"/>
        <v>8129</v>
      </c>
      <c r="Q21" s="34">
        <f t="shared" si="15"/>
        <v>8541</v>
      </c>
      <c r="R21" s="34">
        <f t="shared" si="15"/>
        <v>8589</v>
      </c>
      <c r="S21" s="34">
        <f t="shared" si="15"/>
        <v>8551</v>
      </c>
      <c r="T21" s="34">
        <f t="shared" si="15"/>
        <v>8525</v>
      </c>
      <c r="U21" s="34">
        <f t="shared" si="15"/>
        <v>8805</v>
      </c>
      <c r="V21" s="34">
        <f t="shared" si="15"/>
        <v>6984</v>
      </c>
      <c r="W21" s="34">
        <f t="shared" si="15"/>
        <v>0</v>
      </c>
      <c r="X21" s="34">
        <f t="shared" si="15"/>
        <v>4424</v>
      </c>
      <c r="Y21" s="34">
        <f t="shared" si="15"/>
        <v>9301</v>
      </c>
      <c r="Z21" s="34">
        <f t="shared" si="15"/>
        <v>9451</v>
      </c>
      <c r="AA21" s="34">
        <f t="shared" si="15"/>
        <v>9223</v>
      </c>
      <c r="AB21" s="34">
        <f t="shared" si="15"/>
        <v>9351</v>
      </c>
      <c r="AC21" s="34">
        <f t="shared" si="15"/>
        <v>9215</v>
      </c>
      <c r="AD21" s="34">
        <f t="shared" si="15"/>
        <v>9128</v>
      </c>
      <c r="AE21" s="34">
        <f t="shared" si="15"/>
        <v>9327</v>
      </c>
      <c r="AF21" s="34">
        <f t="shared" si="15"/>
        <v>9349</v>
      </c>
      <c r="AG21" s="34">
        <f t="shared" si="15"/>
        <v>9255</v>
      </c>
      <c r="AH21" s="34">
        <f t="shared" si="15"/>
        <v>9369</v>
      </c>
      <c r="AI21" s="30">
        <f>SUM(,E21:AH21)</f>
        <v>254667</v>
      </c>
      <c r="AJ21" s="31"/>
    </row>
    <row r="22" spans="1:252" s="19" customFormat="1" x14ac:dyDescent="0.3">
      <c r="A22" s="13">
        <v>5</v>
      </c>
      <c r="B22" s="14" t="s">
        <v>26</v>
      </c>
      <c r="C22" s="15" t="s">
        <v>14</v>
      </c>
      <c r="D22" s="15" t="s">
        <v>22</v>
      </c>
      <c r="E22" s="32">
        <f>E20/E21</f>
        <v>21.672854454353256</v>
      </c>
      <c r="F22" s="32">
        <f>F20/F21</f>
        <v>26.409128350023064</v>
      </c>
      <c r="G22" s="32">
        <f>G20/G21</f>
        <v>28.411336828442419</v>
      </c>
      <c r="H22" s="32">
        <f t="shared" ref="H22:AH22" si="16">H20/H21</f>
        <v>25.511868099309996</v>
      </c>
      <c r="I22" s="32">
        <f t="shared" si="16"/>
        <v>28.263913776397352</v>
      </c>
      <c r="J22" s="32">
        <f t="shared" si="16"/>
        <v>27.209920028062861</v>
      </c>
      <c r="K22" s="32">
        <f t="shared" si="16"/>
        <v>27.01017515495553</v>
      </c>
      <c r="L22" s="32">
        <f t="shared" si="16"/>
        <v>26.831458089375889</v>
      </c>
      <c r="M22" s="35">
        <f t="shared" si="16"/>
        <v>25.941819737440174</v>
      </c>
      <c r="N22" s="32">
        <f t="shared" si="16"/>
        <v>26.934158847284994</v>
      </c>
      <c r="O22" s="32">
        <f t="shared" si="16"/>
        <v>26.541922820228162</v>
      </c>
      <c r="P22" s="32">
        <f t="shared" si="16"/>
        <v>26.493250875093661</v>
      </c>
      <c r="Q22" s="32">
        <f t="shared" si="16"/>
        <v>25.423707398675369</v>
      </c>
      <c r="R22" s="32">
        <f t="shared" si="16"/>
        <v>27.216868396417112</v>
      </c>
      <c r="S22" s="32">
        <f t="shared" si="16"/>
        <v>27.179652385354913</v>
      </c>
      <c r="T22" s="32">
        <f t="shared" si="16"/>
        <v>27.099124507902935</v>
      </c>
      <c r="U22" s="32">
        <f t="shared" si="16"/>
        <v>28.177021206900086</v>
      </c>
      <c r="V22" s="32">
        <f t="shared" si="16"/>
        <v>25.497245302696143</v>
      </c>
      <c r="W22" s="32" t="e">
        <f t="shared" si="16"/>
        <v>#DIV/0!</v>
      </c>
      <c r="X22" s="32">
        <f t="shared" si="16"/>
        <v>17.407413791482416</v>
      </c>
      <c r="Y22" s="32">
        <f t="shared" si="16"/>
        <v>27.913844389492169</v>
      </c>
      <c r="Z22" s="32">
        <f t="shared" si="16"/>
        <v>27.947003991626044</v>
      </c>
      <c r="AA22" s="32">
        <f>AA20/AA21</f>
        <v>28.225369255682676</v>
      </c>
      <c r="AB22" s="32">
        <f t="shared" si="16"/>
        <v>29.14992539631616</v>
      </c>
      <c r="AC22" s="32">
        <f t="shared" si="16"/>
        <v>28.479317578704176</v>
      </c>
      <c r="AD22" s="32">
        <f t="shared" si="16"/>
        <v>29.229565801436685</v>
      </c>
      <c r="AE22" s="32">
        <f t="shared" si="16"/>
        <v>28.845872686335856</v>
      </c>
      <c r="AF22" s="32">
        <f t="shared" si="16"/>
        <v>28.819776470805845</v>
      </c>
      <c r="AG22" s="32">
        <f t="shared" si="16"/>
        <v>29.487541541836517</v>
      </c>
      <c r="AH22" s="32">
        <f t="shared" si="16"/>
        <v>29.09607695999231</v>
      </c>
      <c r="AI22" s="36">
        <f>AI20/AI21</f>
        <v>25.56944098106591</v>
      </c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</row>
    <row r="23" spans="1:252" s="19" customFormat="1" x14ac:dyDescent="0.3">
      <c r="A23" s="13"/>
      <c r="B23" s="14" t="s">
        <v>27</v>
      </c>
      <c r="C23" s="15" t="s">
        <v>14</v>
      </c>
      <c r="D23" s="15" t="s">
        <v>19</v>
      </c>
      <c r="E23" s="32">
        <v>327010</v>
      </c>
      <c r="F23" s="32">
        <v>402650</v>
      </c>
      <c r="G23" s="32">
        <v>436470</v>
      </c>
      <c r="H23" s="32">
        <v>410980</v>
      </c>
      <c r="I23" s="32">
        <v>458240</v>
      </c>
      <c r="J23" s="32">
        <v>455450</v>
      </c>
      <c r="K23" s="32">
        <v>457280</v>
      </c>
      <c r="L23" s="32">
        <v>443360</v>
      </c>
      <c r="M23" s="35">
        <v>420500</v>
      </c>
      <c r="N23" s="32">
        <v>438090</v>
      </c>
      <c r="O23" s="32">
        <v>442760</v>
      </c>
      <c r="P23" s="32">
        <v>416510</v>
      </c>
      <c r="Q23" s="32">
        <v>388730</v>
      </c>
      <c r="R23" s="32">
        <v>429090</v>
      </c>
      <c r="S23" s="32">
        <v>442020</v>
      </c>
      <c r="T23" s="32">
        <v>424230</v>
      </c>
      <c r="U23" s="32">
        <v>462530</v>
      </c>
      <c r="V23" s="32">
        <v>386570</v>
      </c>
      <c r="W23" s="32">
        <v>189410</v>
      </c>
      <c r="X23" s="32">
        <v>237070</v>
      </c>
      <c r="Y23" s="32">
        <v>440040</v>
      </c>
      <c r="Z23" s="32">
        <v>468180</v>
      </c>
      <c r="AA23" s="32">
        <v>464560</v>
      </c>
      <c r="AB23" s="32">
        <v>476460</v>
      </c>
      <c r="AC23" s="32">
        <v>458310</v>
      </c>
      <c r="AD23" s="32">
        <v>446920</v>
      </c>
      <c r="AE23" s="32">
        <v>463340</v>
      </c>
      <c r="AF23" s="32">
        <v>441310</v>
      </c>
      <c r="AG23" s="32">
        <v>473620</v>
      </c>
      <c r="AH23" s="32">
        <v>492390</v>
      </c>
      <c r="AI23" s="28">
        <f>SUM(E23:AH23)</f>
        <v>12694080</v>
      </c>
      <c r="AJ23" s="12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</row>
    <row r="24" spans="1:252" s="19" customFormat="1" x14ac:dyDescent="0.3">
      <c r="A24" s="13">
        <v>6</v>
      </c>
      <c r="B24" s="14" t="s">
        <v>28</v>
      </c>
      <c r="C24" s="15" t="s">
        <v>14</v>
      </c>
      <c r="D24" s="15" t="s">
        <v>22</v>
      </c>
      <c r="E24" s="32">
        <f t="shared" ref="E24:AD24" si="17">E23/(E89+E90)</f>
        <v>22.555524899986207</v>
      </c>
      <c r="F24" s="32">
        <f t="shared" si="17"/>
        <v>25.952304221720915</v>
      </c>
      <c r="G24" s="32">
        <f t="shared" si="17"/>
        <v>26.83822173030806</v>
      </c>
      <c r="H24" s="32">
        <f t="shared" si="17"/>
        <v>25.342541777147439</v>
      </c>
      <c r="I24" s="32">
        <f>I23/(I89+I90)</f>
        <v>27.978996214433998</v>
      </c>
      <c r="J24" s="32">
        <f t="shared" si="17"/>
        <v>27.346142299609728</v>
      </c>
      <c r="K24" s="32">
        <f t="shared" si="17"/>
        <v>27.915267688175327</v>
      </c>
      <c r="L24" s="32">
        <f t="shared" si="17"/>
        <v>27.116819571865442</v>
      </c>
      <c r="M24" s="35">
        <f t="shared" si="17"/>
        <v>25.48793793187053</v>
      </c>
      <c r="N24" s="32">
        <f t="shared" si="17"/>
        <v>27.104497927364971</v>
      </c>
      <c r="O24" s="32">
        <f t="shared" si="17"/>
        <v>27.058607834749129</v>
      </c>
      <c r="P24" s="32">
        <f t="shared" si="17"/>
        <v>26.953342393062837</v>
      </c>
      <c r="Q24" s="32">
        <f t="shared" si="17"/>
        <v>24.684404368808739</v>
      </c>
      <c r="R24" s="32">
        <f>R23/(R89+R90)</f>
        <v>26.94442700156986</v>
      </c>
      <c r="S24" s="32">
        <f t="shared" si="17"/>
        <v>27.808744888329663</v>
      </c>
      <c r="T24" s="32">
        <f t="shared" si="17"/>
        <v>26.889142422513785</v>
      </c>
      <c r="U24" s="32">
        <f t="shared" si="17"/>
        <v>28.886460154883839</v>
      </c>
      <c r="V24" s="32">
        <f t="shared" si="17"/>
        <v>26.800471436494732</v>
      </c>
      <c r="W24" s="32">
        <f t="shared" si="17"/>
        <v>25.582117774176123</v>
      </c>
      <c r="X24" s="32">
        <f t="shared" si="17"/>
        <v>22.392556909417209</v>
      </c>
      <c r="Y24" s="32">
        <f t="shared" si="17"/>
        <v>26.651323360184119</v>
      </c>
      <c r="Z24" s="32">
        <f t="shared" si="17"/>
        <v>28.00789662598708</v>
      </c>
      <c r="AA24" s="32">
        <f t="shared" si="17"/>
        <v>28.058223108050974</v>
      </c>
      <c r="AB24" s="32">
        <f t="shared" si="17"/>
        <v>28.542502845504103</v>
      </c>
      <c r="AC24" s="32">
        <f t="shared" si="17"/>
        <v>27.727630225663983</v>
      </c>
      <c r="AD24" s="32">
        <f t="shared" si="17"/>
        <v>27.352959177428239</v>
      </c>
      <c r="AE24" s="32">
        <f>IFERROR(AE23/(AE89+AE90),"-")</f>
        <v>28.285208473231183</v>
      </c>
      <c r="AF24" s="32">
        <f>AF23/(AF89+AF90)</f>
        <v>28.29817249118307</v>
      </c>
      <c r="AG24" s="32">
        <f>AG23/(AG89+AG90)</f>
        <v>28.760019431624968</v>
      </c>
      <c r="AH24" s="32">
        <f>AH23/(AH89+AH90)</f>
        <v>29.507400970815606</v>
      </c>
      <c r="AI24" s="33">
        <f>AI23/(AI15+AI21)</f>
        <v>27.06730748728096</v>
      </c>
      <c r="AJ24" s="37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</row>
    <row r="25" spans="1:252" x14ac:dyDescent="0.3">
      <c r="A25" s="8"/>
      <c r="B25" s="9" t="s">
        <v>29</v>
      </c>
      <c r="C25" s="10" t="s">
        <v>30</v>
      </c>
      <c r="D25" s="10" t="s">
        <v>31</v>
      </c>
      <c r="E25" s="38"/>
      <c r="F25" s="38"/>
      <c r="G25" s="38"/>
      <c r="H25" s="38"/>
      <c r="I25" s="38"/>
      <c r="J25" s="38"/>
      <c r="K25" s="38"/>
      <c r="L25" s="38"/>
      <c r="M25" s="39"/>
      <c r="N25" s="40"/>
      <c r="O25" s="40"/>
      <c r="P25" s="40"/>
      <c r="Q25" s="39"/>
      <c r="R25" s="40"/>
      <c r="S25" s="40"/>
      <c r="T25" s="40"/>
      <c r="U25" s="40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8"/>
    </row>
    <row r="26" spans="1:252" x14ac:dyDescent="0.3">
      <c r="A26" s="8"/>
      <c r="B26" s="9" t="s">
        <v>32</v>
      </c>
      <c r="C26" s="10" t="s">
        <v>30</v>
      </c>
      <c r="D26" s="10" t="s">
        <v>31</v>
      </c>
      <c r="E26" s="38"/>
      <c r="F26" s="38"/>
      <c r="G26" s="38"/>
      <c r="H26" s="38"/>
      <c r="I26" s="38"/>
      <c r="J26" s="38"/>
      <c r="K26" s="38"/>
      <c r="L26" s="38"/>
      <c r="M26" s="39"/>
      <c r="N26" s="40"/>
      <c r="O26" s="40"/>
      <c r="P26" s="40"/>
      <c r="Q26" s="39"/>
      <c r="R26" s="40"/>
      <c r="S26" s="40"/>
      <c r="T26" s="40"/>
      <c r="U26" s="40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8"/>
    </row>
    <row r="27" spans="1:252" s="19" customFormat="1" x14ac:dyDescent="0.3">
      <c r="A27" s="13">
        <v>7</v>
      </c>
      <c r="B27" s="14" t="s">
        <v>33</v>
      </c>
      <c r="C27" s="15" t="s">
        <v>30</v>
      </c>
      <c r="D27" s="15" t="s">
        <v>34</v>
      </c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28" t="e">
        <f>(AVERAGE(E27:AH27)*31)/1000</f>
        <v>#DIV/0!</v>
      </c>
      <c r="AJ27" s="12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</row>
    <row r="28" spans="1:252" x14ac:dyDescent="0.3">
      <c r="A28" s="24"/>
      <c r="B28" s="9" t="s">
        <v>35</v>
      </c>
      <c r="C28" s="10" t="s">
        <v>36</v>
      </c>
      <c r="D28" s="10" t="s">
        <v>7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49</v>
      </c>
      <c r="S28" s="10">
        <v>49</v>
      </c>
      <c r="T28" s="10">
        <v>46</v>
      </c>
      <c r="U28" s="10">
        <v>58</v>
      </c>
      <c r="V28" s="10">
        <v>63</v>
      </c>
      <c r="W28" s="10">
        <v>75</v>
      </c>
      <c r="X28" s="10">
        <v>57</v>
      </c>
      <c r="Y28" s="10">
        <v>77</v>
      </c>
      <c r="Z28" s="10">
        <v>29</v>
      </c>
      <c r="AA28" s="10">
        <v>57</v>
      </c>
      <c r="AB28" s="10">
        <v>44</v>
      </c>
      <c r="AC28" s="10">
        <v>39</v>
      </c>
      <c r="AD28" s="10">
        <v>58</v>
      </c>
      <c r="AE28" s="10">
        <v>43</v>
      </c>
      <c r="AF28" s="10">
        <v>59</v>
      </c>
      <c r="AG28" s="10">
        <v>33</v>
      </c>
      <c r="AH28" s="10">
        <v>44</v>
      </c>
      <c r="AI28" s="28">
        <f t="shared" ref="AI28:AI32" si="18">SUM(E28:AH28)</f>
        <v>880</v>
      </c>
      <c r="AJ28" s="12"/>
    </row>
    <row r="29" spans="1:252" x14ac:dyDescent="0.3">
      <c r="A29" s="24"/>
      <c r="B29" s="9" t="s">
        <v>37</v>
      </c>
      <c r="C29" s="10" t="s">
        <v>36</v>
      </c>
      <c r="D29" s="10" t="s">
        <v>7</v>
      </c>
      <c r="E29" s="10">
        <v>48</v>
      </c>
      <c r="F29" s="10">
        <v>31</v>
      </c>
      <c r="G29" s="10">
        <v>0</v>
      </c>
      <c r="H29" s="10">
        <v>17</v>
      </c>
      <c r="I29" s="10">
        <v>39</v>
      </c>
      <c r="J29" s="10">
        <v>109</v>
      </c>
      <c r="K29" s="10">
        <v>87</v>
      </c>
      <c r="L29" s="10">
        <v>31</v>
      </c>
      <c r="M29" s="10">
        <v>0</v>
      </c>
      <c r="N29" s="10">
        <v>97</v>
      </c>
      <c r="O29" s="10">
        <v>41</v>
      </c>
      <c r="P29" s="10">
        <v>84</v>
      </c>
      <c r="Q29" s="10">
        <v>0</v>
      </c>
      <c r="R29" s="10">
        <v>111</v>
      </c>
      <c r="S29" s="10">
        <v>33</v>
      </c>
      <c r="T29" s="22">
        <v>53</v>
      </c>
      <c r="U29" s="10">
        <v>61</v>
      </c>
      <c r="V29" s="10">
        <v>18</v>
      </c>
      <c r="W29" s="10">
        <v>0</v>
      </c>
      <c r="X29" s="10">
        <v>101</v>
      </c>
      <c r="Y29" s="10">
        <v>48</v>
      </c>
      <c r="Z29" s="10">
        <v>68</v>
      </c>
      <c r="AA29" s="10">
        <v>24</v>
      </c>
      <c r="AB29" s="10">
        <v>47</v>
      </c>
      <c r="AC29" s="10">
        <v>0</v>
      </c>
      <c r="AD29" s="10">
        <v>28</v>
      </c>
      <c r="AE29" s="10">
        <v>0</v>
      </c>
      <c r="AF29" s="10">
        <v>64</v>
      </c>
      <c r="AG29" s="10">
        <v>83</v>
      </c>
      <c r="AH29" s="10">
        <v>0</v>
      </c>
      <c r="AI29" s="28">
        <f t="shared" si="18"/>
        <v>1323</v>
      </c>
      <c r="AJ29" s="12"/>
      <c r="AK29" s="12">
        <f>AI29+AI30</f>
        <v>2776</v>
      </c>
    </row>
    <row r="30" spans="1:252" x14ac:dyDescent="0.3">
      <c r="A30" s="24"/>
      <c r="B30" s="9" t="s">
        <v>38</v>
      </c>
      <c r="C30" s="10" t="s">
        <v>36</v>
      </c>
      <c r="D30" s="10" t="s">
        <v>7</v>
      </c>
      <c r="E30" s="10">
        <v>89</v>
      </c>
      <c r="F30" s="10">
        <v>0</v>
      </c>
      <c r="G30" s="10">
        <v>75</v>
      </c>
      <c r="H30" s="10">
        <v>0</v>
      </c>
      <c r="I30" s="10">
        <v>59</v>
      </c>
      <c r="J30" s="10">
        <v>34</v>
      </c>
      <c r="K30" s="10">
        <v>76</v>
      </c>
      <c r="L30" s="10">
        <v>41</v>
      </c>
      <c r="M30" s="10">
        <v>64</v>
      </c>
      <c r="N30" s="10">
        <v>0</v>
      </c>
      <c r="O30" s="10">
        <v>88</v>
      </c>
      <c r="P30" s="10">
        <v>0</v>
      </c>
      <c r="Q30" s="10">
        <v>0</v>
      </c>
      <c r="R30" s="10">
        <v>0</v>
      </c>
      <c r="S30" s="10">
        <v>42</v>
      </c>
      <c r="T30" s="22">
        <v>40</v>
      </c>
      <c r="U30" s="10">
        <v>0</v>
      </c>
      <c r="V30" s="10">
        <v>52</v>
      </c>
      <c r="W30" s="10">
        <v>69</v>
      </c>
      <c r="X30" s="10">
        <v>130</v>
      </c>
      <c r="Y30" s="10">
        <v>58</v>
      </c>
      <c r="Z30" s="10">
        <v>86</v>
      </c>
      <c r="AA30" s="10">
        <v>97</v>
      </c>
      <c r="AB30" s="10">
        <v>24</v>
      </c>
      <c r="AC30" s="10">
        <v>54</v>
      </c>
      <c r="AD30" s="10">
        <v>43</v>
      </c>
      <c r="AE30" s="10">
        <v>43</v>
      </c>
      <c r="AF30" s="10">
        <v>34</v>
      </c>
      <c r="AG30" s="10">
        <v>95</v>
      </c>
      <c r="AH30" s="10">
        <v>60</v>
      </c>
      <c r="AI30" s="28">
        <f t="shared" si="18"/>
        <v>1453</v>
      </c>
      <c r="AJ30" s="54">
        <f>AI32/AK33</f>
        <v>1.8803702405386095E-2</v>
      </c>
      <c r="AK30">
        <f>AI100+AI103</f>
        <v>97665</v>
      </c>
    </row>
    <row r="31" spans="1:252" x14ac:dyDescent="0.3">
      <c r="A31" s="24"/>
      <c r="B31" s="9" t="s">
        <v>39</v>
      </c>
      <c r="C31" s="10" t="s">
        <v>36</v>
      </c>
      <c r="D31" s="10" t="s">
        <v>7</v>
      </c>
      <c r="E31" s="42">
        <f t="shared" ref="E31:AH32" si="19">E135+E137</f>
        <v>222</v>
      </c>
      <c r="F31" s="42">
        <f t="shared" si="19"/>
        <v>457</v>
      </c>
      <c r="G31" s="42">
        <f>G135+G137</f>
        <v>429</v>
      </c>
      <c r="H31" s="42">
        <f t="shared" si="19"/>
        <v>620</v>
      </c>
      <c r="I31" s="42">
        <f t="shared" si="19"/>
        <v>347</v>
      </c>
      <c r="J31" s="42">
        <f t="shared" si="19"/>
        <v>432</v>
      </c>
      <c r="K31" s="42">
        <f t="shared" si="19"/>
        <v>471</v>
      </c>
      <c r="L31" s="42">
        <f t="shared" si="19"/>
        <v>649</v>
      </c>
      <c r="M31" s="42">
        <f t="shared" si="19"/>
        <v>498</v>
      </c>
      <c r="N31" s="42">
        <f t="shared" si="19"/>
        <v>406</v>
      </c>
      <c r="O31" s="42">
        <f t="shared" si="19"/>
        <v>508</v>
      </c>
      <c r="P31" s="42">
        <f t="shared" si="19"/>
        <v>284</v>
      </c>
      <c r="Q31" s="42">
        <f t="shared" si="19"/>
        <v>579</v>
      </c>
      <c r="R31" s="42">
        <f>R135+R137</f>
        <v>341</v>
      </c>
      <c r="S31" s="42">
        <f t="shared" si="19"/>
        <v>415</v>
      </c>
      <c r="T31" s="42">
        <f t="shared" si="19"/>
        <v>196</v>
      </c>
      <c r="U31" s="42">
        <f t="shared" si="19"/>
        <v>358</v>
      </c>
      <c r="V31" s="42">
        <f t="shared" si="19"/>
        <v>415</v>
      </c>
      <c r="W31" s="42">
        <f t="shared" si="19"/>
        <v>430</v>
      </c>
      <c r="X31" s="42">
        <f t="shared" si="19"/>
        <v>327</v>
      </c>
      <c r="Y31" s="42">
        <f t="shared" si="19"/>
        <v>390</v>
      </c>
      <c r="Z31" s="42">
        <f t="shared" si="19"/>
        <v>169</v>
      </c>
      <c r="AA31" s="42">
        <f t="shared" si="19"/>
        <v>410</v>
      </c>
      <c r="AB31" s="42">
        <f t="shared" si="19"/>
        <v>270</v>
      </c>
      <c r="AC31" s="42">
        <f t="shared" si="19"/>
        <v>359</v>
      </c>
      <c r="AD31" s="42">
        <f t="shared" si="19"/>
        <v>411</v>
      </c>
      <c r="AE31" s="42">
        <f t="shared" si="19"/>
        <v>265</v>
      </c>
      <c r="AF31" s="42">
        <f t="shared" si="19"/>
        <v>382</v>
      </c>
      <c r="AG31" s="42">
        <f t="shared" si="19"/>
        <v>197</v>
      </c>
      <c r="AH31" s="42">
        <f t="shared" si="19"/>
        <v>263</v>
      </c>
      <c r="AI31" s="28">
        <f t="shared" si="18"/>
        <v>11500</v>
      </c>
      <c r="AJ31" s="12"/>
      <c r="AK31" s="100">
        <f>AK29/AK30</f>
        <v>2.8423693237085958E-2</v>
      </c>
      <c r="AL31" t="s">
        <v>275</v>
      </c>
    </row>
    <row r="32" spans="1:252" x14ac:dyDescent="0.3">
      <c r="A32" s="24"/>
      <c r="B32" s="9" t="s">
        <v>40</v>
      </c>
      <c r="C32" s="10" t="s">
        <v>36</v>
      </c>
      <c r="D32" s="10" t="s">
        <v>7</v>
      </c>
      <c r="E32" s="10">
        <f t="shared" si="19"/>
        <v>107</v>
      </c>
      <c r="F32" s="10">
        <f t="shared" si="19"/>
        <v>269</v>
      </c>
      <c r="G32" s="10">
        <f t="shared" si="19"/>
        <v>234</v>
      </c>
      <c r="H32" s="10">
        <f t="shared" si="19"/>
        <v>341</v>
      </c>
      <c r="I32" s="10">
        <f t="shared" si="19"/>
        <v>191</v>
      </c>
      <c r="J32" s="10">
        <f t="shared" si="19"/>
        <v>234</v>
      </c>
      <c r="K32" s="10">
        <f t="shared" si="19"/>
        <v>267</v>
      </c>
      <c r="L32" s="10">
        <f t="shared" si="19"/>
        <v>351</v>
      </c>
      <c r="M32" s="10">
        <f t="shared" si="19"/>
        <v>272</v>
      </c>
      <c r="N32" s="10">
        <f t="shared" si="19"/>
        <v>208</v>
      </c>
      <c r="O32" s="10">
        <f t="shared" si="19"/>
        <v>298</v>
      </c>
      <c r="P32" s="10">
        <f t="shared" si="19"/>
        <v>172</v>
      </c>
      <c r="Q32" s="10">
        <f t="shared" si="19"/>
        <v>327</v>
      </c>
      <c r="R32" s="10">
        <f t="shared" si="19"/>
        <v>207</v>
      </c>
      <c r="S32" s="10">
        <f t="shared" si="19"/>
        <v>264</v>
      </c>
      <c r="T32" s="10">
        <f t="shared" si="19"/>
        <v>176</v>
      </c>
      <c r="U32" s="10">
        <f t="shared" si="19"/>
        <v>273</v>
      </c>
      <c r="V32" s="10">
        <f t="shared" si="19"/>
        <v>260</v>
      </c>
      <c r="W32" s="10">
        <f t="shared" si="19"/>
        <v>280</v>
      </c>
      <c r="X32" s="10">
        <f t="shared" si="19"/>
        <v>223</v>
      </c>
      <c r="Y32" s="10">
        <f t="shared" si="19"/>
        <v>271</v>
      </c>
      <c r="Z32" s="10">
        <f t="shared" si="19"/>
        <v>108</v>
      </c>
      <c r="AA32" s="10">
        <f t="shared" si="19"/>
        <v>275</v>
      </c>
      <c r="AB32" s="10">
        <f t="shared" si="19"/>
        <v>190</v>
      </c>
      <c r="AC32" s="10">
        <f t="shared" si="19"/>
        <v>226</v>
      </c>
      <c r="AD32" s="10">
        <f t="shared" si="19"/>
        <v>253</v>
      </c>
      <c r="AE32" s="10">
        <f t="shared" si="19"/>
        <v>180</v>
      </c>
      <c r="AF32" s="10">
        <f t="shared" si="19"/>
        <v>252</v>
      </c>
      <c r="AG32" s="10">
        <f t="shared" si="19"/>
        <v>132</v>
      </c>
      <c r="AH32" s="10">
        <f t="shared" si="19"/>
        <v>186</v>
      </c>
      <c r="AI32" s="28">
        <f t="shared" si="18"/>
        <v>7027</v>
      </c>
      <c r="AJ32" s="12"/>
      <c r="AK32" s="12">
        <f>SUM(AI28,AI31)</f>
        <v>12380</v>
      </c>
    </row>
    <row r="33" spans="1:252" x14ac:dyDescent="0.3">
      <c r="A33" s="24"/>
      <c r="B33" s="9" t="s">
        <v>41</v>
      </c>
      <c r="C33" s="10" t="s">
        <v>36</v>
      </c>
      <c r="D33" s="10" t="s">
        <v>7</v>
      </c>
      <c r="E33" s="43">
        <f>SUM(E28:E32)</f>
        <v>466</v>
      </c>
      <c r="F33" s="43">
        <f t="shared" ref="F33:AG33" si="20">SUM(F28:F32)</f>
        <v>757</v>
      </c>
      <c r="G33" s="43">
        <f t="shared" si="20"/>
        <v>738</v>
      </c>
      <c r="H33" s="43">
        <f t="shared" si="20"/>
        <v>978</v>
      </c>
      <c r="I33" s="43">
        <f t="shared" si="20"/>
        <v>636</v>
      </c>
      <c r="J33" s="43">
        <f t="shared" si="20"/>
        <v>809</v>
      </c>
      <c r="K33" s="43">
        <f t="shared" si="20"/>
        <v>901</v>
      </c>
      <c r="L33" s="43">
        <f t="shared" si="20"/>
        <v>1072</v>
      </c>
      <c r="M33" s="43">
        <f t="shared" si="20"/>
        <v>834</v>
      </c>
      <c r="N33" s="43">
        <f t="shared" si="20"/>
        <v>711</v>
      </c>
      <c r="O33" s="43">
        <f t="shared" si="20"/>
        <v>935</v>
      </c>
      <c r="P33" s="43">
        <f t="shared" si="20"/>
        <v>540</v>
      </c>
      <c r="Q33" s="43">
        <f t="shared" si="20"/>
        <v>906</v>
      </c>
      <c r="R33" s="43">
        <f>SUM(R28:R32)</f>
        <v>708</v>
      </c>
      <c r="S33" s="43">
        <f t="shared" si="20"/>
        <v>803</v>
      </c>
      <c r="T33" s="43">
        <f t="shared" si="20"/>
        <v>511</v>
      </c>
      <c r="U33" s="43">
        <f t="shared" si="20"/>
        <v>750</v>
      </c>
      <c r="V33" s="43">
        <f t="shared" si="20"/>
        <v>808</v>
      </c>
      <c r="W33" s="43">
        <f t="shared" si="20"/>
        <v>854</v>
      </c>
      <c r="X33" s="43">
        <f t="shared" si="20"/>
        <v>838</v>
      </c>
      <c r="Y33" s="43">
        <f t="shared" si="20"/>
        <v>844</v>
      </c>
      <c r="Z33" s="43">
        <f t="shared" si="20"/>
        <v>460</v>
      </c>
      <c r="AA33" s="43">
        <f t="shared" si="20"/>
        <v>863</v>
      </c>
      <c r="AB33" s="43">
        <f t="shared" si="20"/>
        <v>575</v>
      </c>
      <c r="AC33" s="43">
        <f t="shared" si="20"/>
        <v>678</v>
      </c>
      <c r="AD33" s="43">
        <f t="shared" si="20"/>
        <v>793</v>
      </c>
      <c r="AE33" s="43">
        <f t="shared" si="20"/>
        <v>531</v>
      </c>
      <c r="AF33" s="43">
        <f t="shared" si="20"/>
        <v>791</v>
      </c>
      <c r="AG33" s="43">
        <f t="shared" si="20"/>
        <v>540</v>
      </c>
      <c r="AH33" s="43">
        <f>SUM(AH28:AH32)</f>
        <v>553</v>
      </c>
      <c r="AI33" s="28">
        <f>SUM(E33:AH33)</f>
        <v>22183</v>
      </c>
      <c r="AJ33" s="12"/>
      <c r="AK33">
        <f>SUM(AI96:AI99,AI101:AI102)</f>
        <v>373703</v>
      </c>
    </row>
    <row r="34" spans="1:252" s="19" customFormat="1" x14ac:dyDescent="0.3">
      <c r="A34" s="44">
        <v>8</v>
      </c>
      <c r="B34" s="44" t="s">
        <v>42</v>
      </c>
      <c r="C34" s="15" t="s">
        <v>36</v>
      </c>
      <c r="D34" s="15" t="s">
        <v>43</v>
      </c>
      <c r="E34" s="16">
        <f>(E28+E32)/E33</f>
        <v>0.2296137339055794</v>
      </c>
      <c r="F34" s="16">
        <f t="shared" ref="F34:AA34" si="21">(F28+F32)/F33</f>
        <v>0.35535006605019814</v>
      </c>
      <c r="G34" s="16">
        <f t="shared" si="21"/>
        <v>0.31707317073170732</v>
      </c>
      <c r="H34" s="16">
        <f t="shared" si="21"/>
        <v>0.34867075664621677</v>
      </c>
      <c r="I34" s="16">
        <f t="shared" si="21"/>
        <v>0.30031446540880502</v>
      </c>
      <c r="J34" s="16">
        <f t="shared" si="21"/>
        <v>0.28924598269468482</v>
      </c>
      <c r="K34" s="16">
        <f t="shared" si="21"/>
        <v>0.29633740288568255</v>
      </c>
      <c r="L34" s="16">
        <f t="shared" si="21"/>
        <v>0.32742537313432835</v>
      </c>
      <c r="M34" s="16">
        <f t="shared" si="21"/>
        <v>0.32613908872901681</v>
      </c>
      <c r="N34" s="16">
        <f t="shared" si="21"/>
        <v>0.29254571026722925</v>
      </c>
      <c r="O34" s="16">
        <f t="shared" si="21"/>
        <v>0.31871657754010696</v>
      </c>
      <c r="P34" s="16">
        <f t="shared" si="21"/>
        <v>0.31851851851851853</v>
      </c>
      <c r="Q34" s="16">
        <f t="shared" si="21"/>
        <v>0.36092715231788081</v>
      </c>
      <c r="R34" s="16">
        <f t="shared" si="21"/>
        <v>0.3615819209039548</v>
      </c>
      <c r="S34" s="16">
        <f t="shared" si="21"/>
        <v>0.38978829389788294</v>
      </c>
      <c r="T34" s="16">
        <f t="shared" si="21"/>
        <v>0.43444227005870839</v>
      </c>
      <c r="U34" s="16">
        <f t="shared" si="21"/>
        <v>0.44133333333333336</v>
      </c>
      <c r="V34" s="16">
        <f t="shared" si="21"/>
        <v>0.39975247524752477</v>
      </c>
      <c r="W34" s="16">
        <f t="shared" si="21"/>
        <v>0.41569086651053866</v>
      </c>
      <c r="X34" s="16">
        <f t="shared" si="21"/>
        <v>0.33412887828162291</v>
      </c>
      <c r="Y34" s="16">
        <f t="shared" si="21"/>
        <v>0.41232227488151657</v>
      </c>
      <c r="Z34" s="16">
        <f t="shared" si="21"/>
        <v>0.29782608695652174</v>
      </c>
      <c r="AA34" s="16">
        <f t="shared" si="21"/>
        <v>0.38470451911935111</v>
      </c>
      <c r="AB34" s="21">
        <f t="shared" ref="AB34:AH34" si="22">(AB28+AB32)/AB33</f>
        <v>0.40695652173913044</v>
      </c>
      <c r="AC34" s="21">
        <f t="shared" si="22"/>
        <v>0.39085545722713866</v>
      </c>
      <c r="AD34" s="21">
        <f t="shared" si="22"/>
        <v>0.39218158890290039</v>
      </c>
      <c r="AE34" s="21">
        <f t="shared" si="22"/>
        <v>0.4199623352165725</v>
      </c>
      <c r="AF34" s="21">
        <f t="shared" si="22"/>
        <v>0.39317319848293297</v>
      </c>
      <c r="AG34" s="21">
        <f t="shared" si="22"/>
        <v>0.30555555555555558</v>
      </c>
      <c r="AH34" s="21">
        <f t="shared" si="22"/>
        <v>0.41591320072332733</v>
      </c>
      <c r="AI34" s="21">
        <f>(AI28+AI32)/AI33</f>
        <v>0.35644412387864582</v>
      </c>
      <c r="AJ34" s="16"/>
      <c r="AK34" s="294">
        <f>AK32/AK33</f>
        <v>3.3127911737395738E-2</v>
      </c>
      <c r="AL34" t="s">
        <v>274</v>
      </c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</row>
    <row r="35" spans="1:252" x14ac:dyDescent="0.3">
      <c r="A35" s="24"/>
      <c r="B35" s="24" t="s">
        <v>44</v>
      </c>
      <c r="C35" s="10" t="s">
        <v>36</v>
      </c>
      <c r="D35" s="10" t="s">
        <v>7</v>
      </c>
      <c r="E35" s="45">
        <f t="shared" ref="E35:AH35" si="23">E140+E142</f>
        <v>420</v>
      </c>
      <c r="F35" s="45">
        <f t="shared" si="23"/>
        <v>1236</v>
      </c>
      <c r="G35" s="45">
        <f t="shared" si="23"/>
        <v>833</v>
      </c>
      <c r="H35" s="45">
        <f t="shared" si="23"/>
        <v>888</v>
      </c>
      <c r="I35" s="45">
        <f t="shared" si="23"/>
        <v>744</v>
      </c>
      <c r="J35" s="45">
        <f t="shared" si="23"/>
        <v>893</v>
      </c>
      <c r="K35" s="45">
        <f t="shared" si="23"/>
        <v>948</v>
      </c>
      <c r="L35" s="45">
        <f t="shared" si="23"/>
        <v>1346</v>
      </c>
      <c r="M35" s="45">
        <f t="shared" si="23"/>
        <v>1196</v>
      </c>
      <c r="N35" s="45">
        <f t="shared" si="23"/>
        <v>300</v>
      </c>
      <c r="O35" s="45">
        <f t="shared" si="23"/>
        <v>927</v>
      </c>
      <c r="P35" s="45">
        <f t="shared" si="23"/>
        <v>635</v>
      </c>
      <c r="Q35" s="45">
        <f t="shared" si="23"/>
        <v>1094</v>
      </c>
      <c r="R35" s="45">
        <f t="shared" si="23"/>
        <v>578</v>
      </c>
      <c r="S35" s="45">
        <f t="shared" si="23"/>
        <v>1373</v>
      </c>
      <c r="T35" s="45">
        <f t="shared" si="23"/>
        <v>965</v>
      </c>
      <c r="U35" s="45">
        <f t="shared" si="23"/>
        <v>1390</v>
      </c>
      <c r="V35" s="45">
        <f t="shared" si="23"/>
        <v>1245</v>
      </c>
      <c r="W35" s="45">
        <f t="shared" si="23"/>
        <v>1099</v>
      </c>
      <c r="X35" s="45">
        <f t="shared" si="23"/>
        <v>1009</v>
      </c>
      <c r="Y35" s="45">
        <f t="shared" si="23"/>
        <v>1210</v>
      </c>
      <c r="Z35" s="45">
        <f>Z140+Z142</f>
        <v>820</v>
      </c>
      <c r="AA35" s="45">
        <f t="shared" si="23"/>
        <v>751</v>
      </c>
      <c r="AB35" s="45">
        <f t="shared" si="23"/>
        <v>250</v>
      </c>
      <c r="AC35" s="45">
        <f t="shared" si="23"/>
        <v>935</v>
      </c>
      <c r="AD35" s="45">
        <f t="shared" si="23"/>
        <v>1175</v>
      </c>
      <c r="AE35" s="45">
        <f t="shared" si="23"/>
        <v>785</v>
      </c>
      <c r="AF35" s="45">
        <f t="shared" si="23"/>
        <v>1240</v>
      </c>
      <c r="AG35" s="45">
        <f t="shared" si="23"/>
        <v>985</v>
      </c>
      <c r="AH35" s="45">
        <f t="shared" si="23"/>
        <v>788</v>
      </c>
      <c r="AI35" s="11">
        <f>SUM(E35:AH35)</f>
        <v>28058</v>
      </c>
      <c r="AJ35" s="46"/>
    </row>
    <row r="36" spans="1:252" x14ac:dyDescent="0.3">
      <c r="A36" s="24"/>
      <c r="B36" s="24" t="s">
        <v>45</v>
      </c>
      <c r="C36" s="10" t="s">
        <v>36</v>
      </c>
      <c r="D36" s="10" t="s">
        <v>7</v>
      </c>
      <c r="E36" s="45">
        <f t="shared" ref="E36:AH36" si="24">SUM(E140:E143)</f>
        <v>2075</v>
      </c>
      <c r="F36" s="45">
        <f t="shared" si="24"/>
        <v>4374</v>
      </c>
      <c r="G36" s="45">
        <f t="shared" si="24"/>
        <v>4146</v>
      </c>
      <c r="H36" s="45">
        <f t="shared" si="24"/>
        <v>5826</v>
      </c>
      <c r="I36" s="45">
        <f t="shared" si="24"/>
        <v>3241</v>
      </c>
      <c r="J36" s="45">
        <f t="shared" si="24"/>
        <v>4224</v>
      </c>
      <c r="K36" s="45">
        <f t="shared" si="24"/>
        <v>4552</v>
      </c>
      <c r="L36" s="45">
        <f t="shared" si="24"/>
        <v>6116</v>
      </c>
      <c r="M36" s="45">
        <f t="shared" si="24"/>
        <v>4718</v>
      </c>
      <c r="N36" s="45">
        <f t="shared" si="24"/>
        <v>3890</v>
      </c>
      <c r="O36" s="45">
        <f t="shared" si="24"/>
        <v>5020</v>
      </c>
      <c r="P36" s="45">
        <f t="shared" si="24"/>
        <v>2859</v>
      </c>
      <c r="Q36" s="45">
        <f t="shared" si="24"/>
        <v>5576</v>
      </c>
      <c r="R36" s="45">
        <f t="shared" si="24"/>
        <v>3821</v>
      </c>
      <c r="S36" s="45">
        <f t="shared" si="24"/>
        <v>4615</v>
      </c>
      <c r="T36" s="45">
        <f t="shared" si="24"/>
        <v>2882</v>
      </c>
      <c r="U36" s="45">
        <f t="shared" si="24"/>
        <v>4614</v>
      </c>
      <c r="V36" s="45">
        <f t="shared" si="24"/>
        <v>4471</v>
      </c>
      <c r="W36" s="45">
        <f t="shared" si="24"/>
        <v>4643</v>
      </c>
      <c r="X36" s="45">
        <f t="shared" si="24"/>
        <v>3523</v>
      </c>
      <c r="Y36" s="45">
        <f t="shared" si="24"/>
        <v>4292</v>
      </c>
      <c r="Z36" s="45">
        <f t="shared" si="24"/>
        <v>1893</v>
      </c>
      <c r="AA36" s="45">
        <f t="shared" si="24"/>
        <v>4457</v>
      </c>
      <c r="AB36" s="45">
        <f t="shared" si="24"/>
        <v>2938</v>
      </c>
      <c r="AC36" s="45">
        <f t="shared" si="24"/>
        <v>3740</v>
      </c>
      <c r="AD36" s="45">
        <f t="shared" si="24"/>
        <v>4340</v>
      </c>
      <c r="AE36" s="45">
        <f t="shared" si="24"/>
        <v>3020</v>
      </c>
      <c r="AF36" s="45">
        <f t="shared" si="24"/>
        <v>4200</v>
      </c>
      <c r="AG36" s="45">
        <f t="shared" si="24"/>
        <v>2199</v>
      </c>
      <c r="AH36" s="45">
        <f t="shared" si="24"/>
        <v>2826</v>
      </c>
      <c r="AI36" s="11">
        <f>SUM(E36:AH36)</f>
        <v>119091</v>
      </c>
      <c r="AJ36" s="47"/>
    </row>
    <row r="37" spans="1:252" x14ac:dyDescent="0.3">
      <c r="A37" s="44">
        <v>9</v>
      </c>
      <c r="B37" s="44" t="s">
        <v>46</v>
      </c>
      <c r="C37" s="15" t="s">
        <v>36</v>
      </c>
      <c r="D37" s="15" t="s">
        <v>43</v>
      </c>
      <c r="E37" s="48">
        <f t="shared" ref="E37:AI37" si="25">E35/E36</f>
        <v>0.20240963855421687</v>
      </c>
      <c r="F37" s="48">
        <f t="shared" si="25"/>
        <v>0.28257887517146779</v>
      </c>
      <c r="G37" s="48">
        <f t="shared" si="25"/>
        <v>0.20091654606849976</v>
      </c>
      <c r="H37" s="48">
        <f t="shared" si="25"/>
        <v>0.15242018537590113</v>
      </c>
      <c r="I37" s="48">
        <f t="shared" si="25"/>
        <v>0.22955877815489045</v>
      </c>
      <c r="J37" s="48">
        <f t="shared" si="25"/>
        <v>0.21141098484848486</v>
      </c>
      <c r="K37" s="48">
        <f t="shared" si="25"/>
        <v>0.20826010544815465</v>
      </c>
      <c r="L37" s="48">
        <f t="shared" si="25"/>
        <v>0.22007848266841074</v>
      </c>
      <c r="M37" s="49">
        <f t="shared" si="25"/>
        <v>0.25349724459516743</v>
      </c>
      <c r="N37" s="48">
        <f t="shared" si="25"/>
        <v>7.7120822622107968E-2</v>
      </c>
      <c r="O37" s="48">
        <f t="shared" si="25"/>
        <v>0.18466135458167332</v>
      </c>
      <c r="P37" s="48">
        <f t="shared" si="25"/>
        <v>0.22210563133962924</v>
      </c>
      <c r="Q37" s="48">
        <f t="shared" si="25"/>
        <v>0.19619799139167862</v>
      </c>
      <c r="R37" s="48">
        <f t="shared" si="25"/>
        <v>0.15126930123004448</v>
      </c>
      <c r="S37" s="48">
        <f t="shared" si="25"/>
        <v>0.29750812567713975</v>
      </c>
      <c r="T37" s="48">
        <f t="shared" si="25"/>
        <v>0.33483691880638444</v>
      </c>
      <c r="U37" s="48">
        <f t="shared" si="25"/>
        <v>0.30125704377980062</v>
      </c>
      <c r="V37" s="48">
        <f t="shared" si="25"/>
        <v>0.27846119436367706</v>
      </c>
      <c r="W37" s="48">
        <f t="shared" si="25"/>
        <v>0.23670040921817789</v>
      </c>
      <c r="X37" s="48">
        <f t="shared" si="25"/>
        <v>0.28640363326710189</v>
      </c>
      <c r="Y37" s="48">
        <f t="shared" si="25"/>
        <v>0.28191985088536814</v>
      </c>
      <c r="Z37" s="48">
        <f>Z35/Z36</f>
        <v>0.43317485472794504</v>
      </c>
      <c r="AA37" s="48">
        <f t="shared" si="25"/>
        <v>0.16849899035225488</v>
      </c>
      <c r="AB37" s="48">
        <f t="shared" si="25"/>
        <v>8.5091899251191289E-2</v>
      </c>
      <c r="AC37" s="48">
        <f t="shared" si="25"/>
        <v>0.25</v>
      </c>
      <c r="AD37" s="48">
        <f t="shared" si="25"/>
        <v>0.27073732718894011</v>
      </c>
      <c r="AE37" s="48">
        <f t="shared" si="25"/>
        <v>0.25993377483443708</v>
      </c>
      <c r="AF37" s="48">
        <f t="shared" si="25"/>
        <v>0.29523809523809524</v>
      </c>
      <c r="AG37" s="48">
        <f t="shared" si="25"/>
        <v>0.44793087767166895</v>
      </c>
      <c r="AH37" s="48">
        <f t="shared" si="25"/>
        <v>0.27883934890304318</v>
      </c>
      <c r="AI37" s="48">
        <f t="shared" si="25"/>
        <v>0.23560134686920087</v>
      </c>
      <c r="AJ37" s="50"/>
    </row>
    <row r="38" spans="1:252" x14ac:dyDescent="0.3">
      <c r="A38" s="24"/>
      <c r="B38" s="24" t="s">
        <v>47</v>
      </c>
      <c r="C38" s="10" t="s">
        <v>6</v>
      </c>
      <c r="D38" s="10" t="s">
        <v>7</v>
      </c>
      <c r="E38" s="45">
        <f t="shared" ref="E38:AH38" si="26">E100+E103</f>
        <v>4730</v>
      </c>
      <c r="F38" s="45">
        <f t="shared" si="26"/>
        <v>1081</v>
      </c>
      <c r="G38" s="45">
        <f t="shared" si="26"/>
        <v>2570</v>
      </c>
      <c r="H38" s="45">
        <f t="shared" si="26"/>
        <v>590</v>
      </c>
      <c r="I38" s="45">
        <f t="shared" si="26"/>
        <v>3370</v>
      </c>
      <c r="J38" s="45">
        <f t="shared" si="26"/>
        <v>4933</v>
      </c>
      <c r="K38" s="45">
        <f t="shared" si="26"/>
        <v>5641</v>
      </c>
      <c r="L38" s="45">
        <f t="shared" si="26"/>
        <v>2490</v>
      </c>
      <c r="M38" s="45">
        <f t="shared" si="26"/>
        <v>2193</v>
      </c>
      <c r="N38" s="45">
        <f t="shared" si="26"/>
        <v>3333</v>
      </c>
      <c r="O38" s="45">
        <f t="shared" si="26"/>
        <v>4214</v>
      </c>
      <c r="P38" s="45">
        <f t="shared" si="26"/>
        <v>2995</v>
      </c>
      <c r="Q38" s="45">
        <f t="shared" si="26"/>
        <v>0</v>
      </c>
      <c r="R38" s="45">
        <f t="shared" si="26"/>
        <v>3960</v>
      </c>
      <c r="S38" s="45">
        <f>S100+S103</f>
        <v>2685</v>
      </c>
      <c r="T38" s="45">
        <f t="shared" si="26"/>
        <v>3300</v>
      </c>
      <c r="U38" s="45">
        <f t="shared" si="26"/>
        <v>2174</v>
      </c>
      <c r="V38" s="45">
        <f t="shared" si="26"/>
        <v>2520</v>
      </c>
      <c r="W38" s="45">
        <f t="shared" si="26"/>
        <v>2455</v>
      </c>
      <c r="X38" s="45">
        <f t="shared" si="26"/>
        <v>8274</v>
      </c>
      <c r="Y38" s="45">
        <f t="shared" si="26"/>
        <v>3790</v>
      </c>
      <c r="Z38" s="45">
        <f t="shared" si="26"/>
        <v>5500</v>
      </c>
      <c r="AA38" s="45">
        <f t="shared" si="26"/>
        <v>4320</v>
      </c>
      <c r="AB38" s="45">
        <f t="shared" si="26"/>
        <v>2515</v>
      </c>
      <c r="AC38" s="45">
        <f t="shared" si="26"/>
        <v>1920</v>
      </c>
      <c r="AD38" s="45">
        <f t="shared" si="26"/>
        <v>2530</v>
      </c>
      <c r="AE38" s="45">
        <f t="shared" si="26"/>
        <v>1545</v>
      </c>
      <c r="AF38" s="45">
        <f t="shared" si="26"/>
        <v>3518</v>
      </c>
      <c r="AG38" s="45">
        <f t="shared" si="26"/>
        <v>6379</v>
      </c>
      <c r="AH38" s="45">
        <f t="shared" si="26"/>
        <v>2140</v>
      </c>
      <c r="AI38" s="28">
        <f>SUM(E38:AH38)</f>
        <v>97665</v>
      </c>
      <c r="AJ38" s="12"/>
    </row>
    <row r="39" spans="1:252" x14ac:dyDescent="0.3">
      <c r="A39" s="24"/>
      <c r="B39" s="24" t="s">
        <v>48</v>
      </c>
      <c r="C39" s="10" t="s">
        <v>6</v>
      </c>
      <c r="D39" s="10" t="s">
        <v>7</v>
      </c>
      <c r="E39" s="45">
        <f>E113+E114</f>
        <v>232</v>
      </c>
      <c r="F39" s="45">
        <f t="shared" ref="F39:AH39" si="27">F113+F114</f>
        <v>53</v>
      </c>
      <c r="G39" s="45">
        <f t="shared" si="27"/>
        <v>126</v>
      </c>
      <c r="H39" s="45">
        <f t="shared" si="27"/>
        <v>29</v>
      </c>
      <c r="I39" s="45">
        <f t="shared" si="27"/>
        <v>165</v>
      </c>
      <c r="J39" s="45">
        <f t="shared" si="27"/>
        <v>242</v>
      </c>
      <c r="K39" s="45">
        <f t="shared" si="27"/>
        <v>276</v>
      </c>
      <c r="L39" s="45">
        <f t="shared" si="27"/>
        <v>122</v>
      </c>
      <c r="M39" s="45">
        <f t="shared" si="27"/>
        <v>107</v>
      </c>
      <c r="N39" s="45">
        <f t="shared" si="27"/>
        <v>163</v>
      </c>
      <c r="O39" s="45">
        <f>O113+O114</f>
        <v>207</v>
      </c>
      <c r="P39" s="45">
        <f>P113+P114</f>
        <v>147</v>
      </c>
      <c r="Q39" s="45">
        <f>Q113+Q114</f>
        <v>0</v>
      </c>
      <c r="R39" s="45">
        <f>R113+R114</f>
        <v>194</v>
      </c>
      <c r="S39" s="45">
        <f t="shared" si="27"/>
        <v>132</v>
      </c>
      <c r="T39" s="45">
        <f t="shared" si="27"/>
        <v>162</v>
      </c>
      <c r="U39" s="45">
        <f t="shared" si="27"/>
        <v>107</v>
      </c>
      <c r="V39" s="45">
        <f t="shared" si="27"/>
        <v>124</v>
      </c>
      <c r="W39" s="45">
        <f t="shared" si="27"/>
        <v>120</v>
      </c>
      <c r="X39" s="45">
        <f t="shared" si="27"/>
        <v>405</v>
      </c>
      <c r="Y39" s="45">
        <f t="shared" si="27"/>
        <v>186</v>
      </c>
      <c r="Z39" s="45">
        <f t="shared" si="27"/>
        <v>270</v>
      </c>
      <c r="AA39" s="45">
        <f t="shared" si="27"/>
        <v>212</v>
      </c>
      <c r="AB39" s="45">
        <f t="shared" si="27"/>
        <v>123</v>
      </c>
      <c r="AC39" s="45">
        <f t="shared" si="27"/>
        <v>94</v>
      </c>
      <c r="AD39" s="45">
        <f t="shared" si="27"/>
        <v>124</v>
      </c>
      <c r="AE39" s="45">
        <f t="shared" si="27"/>
        <v>76</v>
      </c>
      <c r="AF39" s="45">
        <f t="shared" si="27"/>
        <v>172</v>
      </c>
      <c r="AG39" s="45">
        <f t="shared" si="27"/>
        <v>313</v>
      </c>
      <c r="AH39" s="45">
        <f t="shared" si="27"/>
        <v>105</v>
      </c>
      <c r="AI39" s="11">
        <f>SUM(E39:AH39)</f>
        <v>4788</v>
      </c>
      <c r="AJ39" s="12"/>
    </row>
    <row r="40" spans="1:252" x14ac:dyDescent="0.3">
      <c r="A40" s="44">
        <v>10</v>
      </c>
      <c r="B40" s="44" t="s">
        <v>49</v>
      </c>
      <c r="C40" s="15" t="s">
        <v>36</v>
      </c>
      <c r="D40" s="15" t="s">
        <v>43</v>
      </c>
      <c r="E40" s="48">
        <f t="shared" ref="E40:AH40" si="28">IFERROR(E39/E38,"-")</f>
        <v>4.9048625792811842E-2</v>
      </c>
      <c r="F40" s="48">
        <f t="shared" si="28"/>
        <v>4.9028677150786307E-2</v>
      </c>
      <c r="G40" s="48">
        <f t="shared" si="28"/>
        <v>4.9027237354085602E-2</v>
      </c>
      <c r="H40" s="48">
        <f t="shared" si="28"/>
        <v>4.9152542372881358E-2</v>
      </c>
      <c r="I40" s="48">
        <f t="shared" si="28"/>
        <v>4.8961424332344211E-2</v>
      </c>
      <c r="J40" s="48">
        <f t="shared" si="28"/>
        <v>4.905736874113116E-2</v>
      </c>
      <c r="K40" s="48">
        <f t="shared" si="28"/>
        <v>4.8927495124977842E-2</v>
      </c>
      <c r="L40" s="48">
        <f t="shared" si="28"/>
        <v>4.8995983935742969E-2</v>
      </c>
      <c r="M40" s="48">
        <f t="shared" si="28"/>
        <v>4.8791609667122662E-2</v>
      </c>
      <c r="N40" s="48">
        <f t="shared" si="28"/>
        <v>4.8904890489048905E-2</v>
      </c>
      <c r="O40" s="48">
        <f t="shared" si="28"/>
        <v>4.9121974371143809E-2</v>
      </c>
      <c r="P40" s="48">
        <f t="shared" si="28"/>
        <v>4.9081803005008348E-2</v>
      </c>
      <c r="Q40" s="48" t="str">
        <f t="shared" si="28"/>
        <v>-</v>
      </c>
      <c r="R40" s="48">
        <f t="shared" si="28"/>
        <v>4.8989898989898993E-2</v>
      </c>
      <c r="S40" s="48">
        <f t="shared" si="28"/>
        <v>4.9162011173184354E-2</v>
      </c>
      <c r="T40" s="48">
        <f t="shared" si="28"/>
        <v>4.9090909090909088E-2</v>
      </c>
      <c r="U40" s="48">
        <f t="shared" si="28"/>
        <v>4.9218031278748853E-2</v>
      </c>
      <c r="V40" s="48">
        <f t="shared" si="28"/>
        <v>4.9206349206349205E-2</v>
      </c>
      <c r="W40" s="48">
        <f t="shared" si="28"/>
        <v>4.8879837067209775E-2</v>
      </c>
      <c r="X40" s="48">
        <f t="shared" si="28"/>
        <v>4.8948513415518494E-2</v>
      </c>
      <c r="Y40" s="48">
        <f t="shared" si="28"/>
        <v>4.9076517150395779E-2</v>
      </c>
      <c r="Z40" s="48">
        <f t="shared" si="28"/>
        <v>4.9090909090909088E-2</v>
      </c>
      <c r="AA40" s="48">
        <f t="shared" si="28"/>
        <v>4.9074074074074076E-2</v>
      </c>
      <c r="AB40" s="48">
        <f t="shared" si="28"/>
        <v>4.89065606361829E-2</v>
      </c>
      <c r="AC40" s="48">
        <f t="shared" si="28"/>
        <v>4.8958333333333333E-2</v>
      </c>
      <c r="AD40" s="48">
        <f t="shared" si="28"/>
        <v>4.9011857707509883E-2</v>
      </c>
      <c r="AE40" s="48">
        <f t="shared" si="28"/>
        <v>4.9190938511326859E-2</v>
      </c>
      <c r="AF40" s="48">
        <f t="shared" si="28"/>
        <v>4.8891415577032402E-2</v>
      </c>
      <c r="AG40" s="48">
        <f t="shared" si="28"/>
        <v>4.9067251920363694E-2</v>
      </c>
      <c r="AH40" s="48">
        <f t="shared" si="28"/>
        <v>4.9065420560747662E-2</v>
      </c>
      <c r="AI40" s="16">
        <f>AI39/AI38</f>
        <v>4.9024727384426356E-2</v>
      </c>
      <c r="AJ40" s="50"/>
    </row>
    <row r="41" spans="1:252" x14ac:dyDescent="0.3">
      <c r="A41" s="24"/>
      <c r="B41" s="24" t="s">
        <v>216</v>
      </c>
      <c r="C41" s="10" t="s">
        <v>51</v>
      </c>
      <c r="D41" s="10" t="s">
        <v>7</v>
      </c>
      <c r="E41" s="52">
        <v>405</v>
      </c>
      <c r="F41" s="52">
        <v>279</v>
      </c>
      <c r="G41" s="52">
        <v>338</v>
      </c>
      <c r="H41" s="52">
        <v>378</v>
      </c>
      <c r="I41" s="52">
        <v>359</v>
      </c>
      <c r="J41" s="52">
        <v>356</v>
      </c>
      <c r="K41" s="52">
        <v>339</v>
      </c>
      <c r="L41" s="52">
        <v>339</v>
      </c>
      <c r="M41" s="52">
        <v>348</v>
      </c>
      <c r="N41" s="52">
        <v>330</v>
      </c>
      <c r="O41" s="52">
        <v>428</v>
      </c>
      <c r="P41" s="52">
        <v>372</v>
      </c>
      <c r="Q41" s="52">
        <v>434</v>
      </c>
      <c r="R41" s="52">
        <v>390</v>
      </c>
      <c r="S41" s="42">
        <v>400</v>
      </c>
      <c r="T41" s="10">
        <v>316</v>
      </c>
      <c r="U41" s="10">
        <v>297</v>
      </c>
      <c r="V41" s="10">
        <v>243</v>
      </c>
      <c r="W41" s="10"/>
      <c r="X41" s="53">
        <v>170</v>
      </c>
      <c r="Y41" s="53">
        <v>344</v>
      </c>
      <c r="Z41" s="53">
        <v>345</v>
      </c>
      <c r="AA41" s="53">
        <v>315</v>
      </c>
      <c r="AB41" s="53">
        <v>343</v>
      </c>
      <c r="AC41" s="53">
        <v>325</v>
      </c>
      <c r="AD41" s="53">
        <v>334</v>
      </c>
      <c r="AE41" s="53">
        <v>313</v>
      </c>
      <c r="AF41" s="53">
        <v>300</v>
      </c>
      <c r="AG41" s="53">
        <v>290</v>
      </c>
      <c r="AH41" s="53">
        <v>341</v>
      </c>
      <c r="AI41" s="28">
        <f>SUM(E41:AH41)</f>
        <v>9771</v>
      </c>
      <c r="AK41" s="54">
        <f>AI44/AI43</f>
        <v>0.41883197609136014</v>
      </c>
    </row>
    <row r="42" spans="1:252" x14ac:dyDescent="0.3">
      <c r="A42" s="24"/>
      <c r="B42" s="24" t="s">
        <v>217</v>
      </c>
      <c r="C42" s="10" t="s">
        <v>51</v>
      </c>
      <c r="D42" s="10"/>
      <c r="E42" s="60">
        <v>8066.9795999999997</v>
      </c>
      <c r="F42" s="60">
        <v>8067.9795999999997</v>
      </c>
      <c r="G42" s="60">
        <v>8066.9795999999997</v>
      </c>
      <c r="H42" s="60">
        <v>8072.9795999999997</v>
      </c>
      <c r="I42" s="60">
        <v>8067.9795999999997</v>
      </c>
      <c r="J42" s="60">
        <v>8072.9795999999997</v>
      </c>
      <c r="K42" s="60">
        <v>8067.9795999999997</v>
      </c>
      <c r="L42" s="60">
        <v>8062.9795999999997</v>
      </c>
      <c r="M42" s="60">
        <v>8057.9795999999997</v>
      </c>
      <c r="N42" s="60">
        <v>8067.9795999999997</v>
      </c>
      <c r="O42" s="60">
        <v>8057.9795999999997</v>
      </c>
      <c r="P42" s="60">
        <v>8052.9795999999997</v>
      </c>
      <c r="Q42" s="60">
        <v>8047.9795999999997</v>
      </c>
      <c r="R42" s="60">
        <v>8042.9795999999997</v>
      </c>
      <c r="S42" s="23">
        <v>8067.9795999999997</v>
      </c>
      <c r="T42" s="23">
        <v>8062.9795999999997</v>
      </c>
      <c r="U42" s="23">
        <v>8067.9795999999997</v>
      </c>
      <c r="V42" s="23">
        <v>8062.9795999999997</v>
      </c>
      <c r="W42" s="23">
        <v>-192.0204</v>
      </c>
      <c r="X42" s="23">
        <v>8057.9795999999997</v>
      </c>
      <c r="Y42" s="23">
        <v>8052.9795999999997</v>
      </c>
      <c r="Z42" s="23">
        <v>8047.9795999999997</v>
      </c>
      <c r="AA42" s="23">
        <v>8042.9795999999997</v>
      </c>
      <c r="AB42" s="23">
        <v>8038</v>
      </c>
      <c r="AC42" s="23">
        <v>8033</v>
      </c>
      <c r="AD42" s="23">
        <v>8038</v>
      </c>
      <c r="AE42" s="23">
        <v>8043</v>
      </c>
      <c r="AF42" s="23">
        <v>8038</v>
      </c>
      <c r="AG42" s="23">
        <v>8033</v>
      </c>
      <c r="AH42" s="23">
        <v>8046</v>
      </c>
      <c r="AI42" s="28">
        <f>SUM(E42:AH42)</f>
        <v>233415.53079999998</v>
      </c>
    </row>
    <row r="43" spans="1:252" x14ac:dyDescent="0.3">
      <c r="A43" s="24"/>
      <c r="B43" s="24" t="s">
        <v>53</v>
      </c>
      <c r="C43" s="10" t="s">
        <v>51</v>
      </c>
      <c r="D43" s="10"/>
      <c r="E43" s="23">
        <f>E78*E84</f>
        <v>5574975</v>
      </c>
      <c r="F43" s="23">
        <f>F78*F84</f>
        <v>6290075.7999999998</v>
      </c>
      <c r="G43" s="23">
        <f t="shared" ref="G43:AH43" si="29">G78*G84</f>
        <v>6791076</v>
      </c>
      <c r="H43" s="23">
        <f t="shared" si="29"/>
        <v>6633014</v>
      </c>
      <c r="I43" s="23">
        <f t="shared" si="29"/>
        <v>6693756</v>
      </c>
      <c r="J43" s="23">
        <f t="shared" si="29"/>
        <v>6893161</v>
      </c>
      <c r="K43" s="23">
        <f>K78*K84</f>
        <v>6808984</v>
      </c>
      <c r="L43" s="23">
        <f t="shared" si="29"/>
        <v>6869304</v>
      </c>
      <c r="M43" s="42">
        <f t="shared" si="29"/>
        <v>6850116</v>
      </c>
      <c r="N43" s="23">
        <f>N78*N84</f>
        <v>6782516.2000000002</v>
      </c>
      <c r="O43" s="23">
        <f t="shared" si="29"/>
        <v>6701252</v>
      </c>
      <c r="P43" s="23">
        <f t="shared" si="29"/>
        <v>6012208.4000000004</v>
      </c>
      <c r="Q43" s="23">
        <f t="shared" si="29"/>
        <v>6303258</v>
      </c>
      <c r="R43" s="23">
        <f t="shared" si="29"/>
        <v>6364449</v>
      </c>
      <c r="S43" s="23">
        <f t="shared" si="29"/>
        <v>6336291</v>
      </c>
      <c r="T43" s="23">
        <f t="shared" si="29"/>
        <v>6287187.5</v>
      </c>
      <c r="U43" s="23">
        <f>U78*U84</f>
        <v>6493687.5</v>
      </c>
      <c r="V43" s="23">
        <f>V78*V84</f>
        <v>5147208</v>
      </c>
      <c r="W43" s="23">
        <f>W78*W84</f>
        <v>0</v>
      </c>
      <c r="X43" s="23">
        <f>X78*X84</f>
        <v>3282608</v>
      </c>
      <c r="Y43" s="23">
        <f t="shared" si="29"/>
        <v>6887390.5</v>
      </c>
      <c r="Z43" s="23">
        <f t="shared" si="29"/>
        <v>6997520.3999999994</v>
      </c>
      <c r="AA43" s="23">
        <f t="shared" si="29"/>
        <v>6852689</v>
      </c>
      <c r="AB43" s="23">
        <f>AB78*AB84</f>
        <v>6929091</v>
      </c>
      <c r="AC43" s="23">
        <f t="shared" si="29"/>
        <v>6773025</v>
      </c>
      <c r="AD43" s="23">
        <f t="shared" si="29"/>
        <v>6763848</v>
      </c>
      <c r="AE43" s="23">
        <f>AE78*AE84</f>
        <v>6929961</v>
      </c>
      <c r="AF43" s="23">
        <f t="shared" si="29"/>
        <v>6936958</v>
      </c>
      <c r="AG43" s="23">
        <f t="shared" si="29"/>
        <v>6830190</v>
      </c>
      <c r="AH43" s="23">
        <f t="shared" si="29"/>
        <v>6914322</v>
      </c>
      <c r="AI43" s="28">
        <f>SUM(E43:AH43)</f>
        <v>187930122.30000001</v>
      </c>
      <c r="AJ43" s="12"/>
    </row>
    <row r="44" spans="1:252" x14ac:dyDescent="0.3">
      <c r="A44" s="24"/>
      <c r="B44" s="24" t="s">
        <v>54</v>
      </c>
      <c r="C44" s="10" t="s">
        <v>51</v>
      </c>
      <c r="D44" s="10"/>
      <c r="E44" s="55">
        <f>E41*E42</f>
        <v>3267126.7379999999</v>
      </c>
      <c r="F44" s="55">
        <f>F41*F42</f>
        <v>2250966.3084</v>
      </c>
      <c r="G44" s="55">
        <f t="shared" ref="G44:AH44" si="30">G41*G42</f>
        <v>2726639.1047999999</v>
      </c>
      <c r="H44" s="55">
        <f t="shared" si="30"/>
        <v>3051586.2887999997</v>
      </c>
      <c r="I44" s="55">
        <f t="shared" si="30"/>
        <v>2896404.6763999998</v>
      </c>
      <c r="J44" s="55">
        <f t="shared" si="30"/>
        <v>2873980.7376000001</v>
      </c>
      <c r="K44" s="55">
        <f t="shared" si="30"/>
        <v>2735045.0844000001</v>
      </c>
      <c r="L44" s="55">
        <f t="shared" si="30"/>
        <v>2733350.0844000001</v>
      </c>
      <c r="M44" s="42">
        <f>M41*M42</f>
        <v>2804176.9007999999</v>
      </c>
      <c r="N44" s="55">
        <f t="shared" si="30"/>
        <v>2662433.2679999997</v>
      </c>
      <c r="O44" s="55">
        <f t="shared" si="30"/>
        <v>3448815.2687999997</v>
      </c>
      <c r="P44" s="55">
        <f t="shared" si="30"/>
        <v>2995708.4112</v>
      </c>
      <c r="Q44" s="55">
        <f t="shared" si="30"/>
        <v>3492823.1464</v>
      </c>
      <c r="R44" s="55">
        <f t="shared" si="30"/>
        <v>3136762.0439999998</v>
      </c>
      <c r="S44" s="55">
        <f t="shared" si="30"/>
        <v>3227191.84</v>
      </c>
      <c r="T44" s="55">
        <f t="shared" si="30"/>
        <v>2547901.5535999998</v>
      </c>
      <c r="U44" s="55">
        <f t="shared" si="30"/>
        <v>2396189.9411999998</v>
      </c>
      <c r="V44" s="55">
        <f t="shared" si="30"/>
        <v>1959304.0427999999</v>
      </c>
      <c r="W44" s="55">
        <f t="shared" si="30"/>
        <v>0</v>
      </c>
      <c r="X44" s="55">
        <f t="shared" si="30"/>
        <v>1369856.5319999999</v>
      </c>
      <c r="Y44" s="55">
        <f t="shared" si="30"/>
        <v>2770224.9824000001</v>
      </c>
      <c r="Z44" s="55">
        <f t="shared" si="30"/>
        <v>2776552.9619999998</v>
      </c>
      <c r="AA44" s="55">
        <f t="shared" si="30"/>
        <v>2533538.574</v>
      </c>
      <c r="AB44" s="55">
        <f t="shared" si="30"/>
        <v>2757034</v>
      </c>
      <c r="AC44" s="55">
        <f t="shared" si="30"/>
        <v>2610725</v>
      </c>
      <c r="AD44" s="55">
        <f t="shared" si="30"/>
        <v>2684692</v>
      </c>
      <c r="AE44" s="55">
        <f t="shared" si="30"/>
        <v>2517459</v>
      </c>
      <c r="AF44" s="55">
        <f t="shared" si="30"/>
        <v>2411400</v>
      </c>
      <c r="AG44" s="55">
        <f t="shared" si="30"/>
        <v>2329570</v>
      </c>
      <c r="AH44" s="55">
        <f t="shared" si="30"/>
        <v>2743686</v>
      </c>
      <c r="AI44" s="28">
        <f>SUM(E44:AH44)</f>
        <v>78711144.489999995</v>
      </c>
      <c r="AJ44" s="12"/>
    </row>
    <row r="45" spans="1:252" x14ac:dyDescent="0.3">
      <c r="A45" s="44"/>
      <c r="B45" s="44" t="s">
        <v>221</v>
      </c>
      <c r="C45" s="15"/>
      <c r="D45" s="15"/>
      <c r="E45" s="56">
        <f>E44/E43</f>
        <v>0.58603432984004411</v>
      </c>
      <c r="F45" s="56">
        <f t="shared" ref="F45:AH45" si="31">F44/F43</f>
        <v>0.3578599654395262</v>
      </c>
      <c r="G45" s="56">
        <f t="shared" si="31"/>
        <v>0.40150325291603273</v>
      </c>
      <c r="H45" s="56">
        <f t="shared" si="31"/>
        <v>0.46006028161556717</v>
      </c>
      <c r="I45" s="56">
        <f t="shared" si="31"/>
        <v>0.43270245829098042</v>
      </c>
      <c r="J45" s="56">
        <f t="shared" si="31"/>
        <v>0.41693219374971802</v>
      </c>
      <c r="K45" s="56">
        <f t="shared" si="31"/>
        <v>0.40168181984272544</v>
      </c>
      <c r="L45" s="56">
        <f t="shared" si="31"/>
        <v>0.39790786437752645</v>
      </c>
      <c r="M45" s="56">
        <f t="shared" si="31"/>
        <v>0.40936195836683642</v>
      </c>
      <c r="N45" s="56">
        <f t="shared" si="31"/>
        <v>0.3925435914181819</v>
      </c>
      <c r="O45" s="56">
        <f t="shared" si="31"/>
        <v>0.51465237672005171</v>
      </c>
      <c r="P45" s="56">
        <f t="shared" si="31"/>
        <v>0.49827088681756271</v>
      </c>
      <c r="Q45" s="56">
        <f t="shared" si="31"/>
        <v>0.55412980817221824</v>
      </c>
      <c r="R45" s="56">
        <f t="shared" si="31"/>
        <v>0.49285681195654168</v>
      </c>
      <c r="S45" s="56">
        <f t="shared" si="31"/>
        <v>0.50931875445745778</v>
      </c>
      <c r="T45" s="56">
        <f t="shared" si="31"/>
        <v>0.40525299326606684</v>
      </c>
      <c r="U45" s="56">
        <f t="shared" si="31"/>
        <v>0.36900296498715096</v>
      </c>
      <c r="V45" s="56">
        <f t="shared" si="31"/>
        <v>0.38065375302494087</v>
      </c>
      <c r="W45" s="56" t="e">
        <f t="shared" si="31"/>
        <v>#DIV/0!</v>
      </c>
      <c r="X45" s="56">
        <f t="shared" si="31"/>
        <v>0.41730737633004</v>
      </c>
      <c r="Y45" s="56">
        <f t="shared" si="31"/>
        <v>0.40221691835245876</v>
      </c>
      <c r="Z45" s="56">
        <f t="shared" si="31"/>
        <v>0.39679097784409462</v>
      </c>
      <c r="AA45" s="56">
        <f t="shared" si="31"/>
        <v>0.36971451265335403</v>
      </c>
      <c r="AB45" s="56">
        <f t="shared" si="31"/>
        <v>0.39789259514704023</v>
      </c>
      <c r="AC45" s="56">
        <f t="shared" si="31"/>
        <v>0.38545922981238073</v>
      </c>
      <c r="AD45" s="56">
        <f t="shared" si="31"/>
        <v>0.39691784912966704</v>
      </c>
      <c r="AE45" s="56">
        <f t="shared" si="31"/>
        <v>0.36327174135612017</v>
      </c>
      <c r="AF45" s="56">
        <f t="shared" si="31"/>
        <v>0.34761634710776684</v>
      </c>
      <c r="AG45" s="56">
        <f t="shared" si="31"/>
        <v>0.34106957493129769</v>
      </c>
      <c r="AH45" s="56">
        <f t="shared" si="31"/>
        <v>0.39681200846590597</v>
      </c>
      <c r="AI45" s="16">
        <f>AI44/AI43</f>
        <v>0.41883197609136014</v>
      </c>
      <c r="AJ45" s="57"/>
    </row>
    <row r="46" spans="1:252" s="51" customFormat="1" x14ac:dyDescent="0.3">
      <c r="B46" s="58" t="s">
        <v>215</v>
      </c>
      <c r="C46" s="59" t="s">
        <v>51</v>
      </c>
      <c r="D46" s="59" t="s">
        <v>7</v>
      </c>
      <c r="E46" s="53">
        <v>202</v>
      </c>
      <c r="F46" s="53">
        <v>279</v>
      </c>
      <c r="G46" s="53">
        <v>241</v>
      </c>
      <c r="H46" s="53">
        <v>270</v>
      </c>
      <c r="I46" s="53">
        <v>257</v>
      </c>
      <c r="J46" s="53">
        <v>255</v>
      </c>
      <c r="K46" s="53">
        <v>242</v>
      </c>
      <c r="L46" s="53">
        <v>242</v>
      </c>
      <c r="M46" s="53">
        <v>248</v>
      </c>
      <c r="N46" s="53">
        <v>235</v>
      </c>
      <c r="O46" s="53">
        <v>257</v>
      </c>
      <c r="P46" s="53">
        <v>223</v>
      </c>
      <c r="Q46" s="53">
        <v>261</v>
      </c>
      <c r="R46" s="53">
        <v>234</v>
      </c>
      <c r="S46" s="53">
        <v>240</v>
      </c>
      <c r="T46" s="10">
        <v>414</v>
      </c>
      <c r="U46" s="10">
        <v>388</v>
      </c>
      <c r="V46" s="10">
        <v>318</v>
      </c>
      <c r="W46" s="10"/>
      <c r="X46" s="10">
        <v>222</v>
      </c>
      <c r="Y46" s="10">
        <v>449</v>
      </c>
      <c r="Z46" s="53">
        <v>450</v>
      </c>
      <c r="AA46" s="22">
        <v>414</v>
      </c>
      <c r="AB46" s="22">
        <v>449</v>
      </c>
      <c r="AC46" s="22">
        <v>424</v>
      </c>
      <c r="AD46" s="22">
        <v>437</v>
      </c>
      <c r="AE46" s="22">
        <v>409</v>
      </c>
      <c r="AF46" s="22">
        <v>392</v>
      </c>
      <c r="AG46" s="22">
        <v>379</v>
      </c>
      <c r="AH46" s="22">
        <v>445</v>
      </c>
      <c r="AI46" s="61">
        <f>SUM(E46:AH46)</f>
        <v>9276</v>
      </c>
      <c r="AJ46"/>
      <c r="AK46" s="62">
        <f>AI48/AI43</f>
        <v>0.24926538710606691</v>
      </c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  <c r="BN46" s="62"/>
      <c r="BO46" s="62"/>
      <c r="BP46" s="62"/>
      <c r="BQ46" s="62"/>
      <c r="BR46" s="62"/>
      <c r="BS46" s="62"/>
      <c r="BT46" s="62"/>
      <c r="BU46" s="62"/>
      <c r="BV46" s="62"/>
      <c r="BW46" s="62"/>
      <c r="BX46" s="62"/>
      <c r="BY46" s="62"/>
      <c r="BZ46" s="62"/>
      <c r="CA46" s="62"/>
      <c r="CB46" s="62"/>
      <c r="CC46" s="62"/>
      <c r="CD46" s="62"/>
      <c r="CE46" s="62"/>
      <c r="CF46" s="62"/>
      <c r="CG46" s="62"/>
      <c r="CH46" s="62"/>
      <c r="CI46" s="62"/>
      <c r="CJ46" s="62"/>
      <c r="CK46" s="62"/>
      <c r="CL46" s="62"/>
      <c r="CM46" s="62"/>
      <c r="CN46" s="62"/>
      <c r="CO46" s="62"/>
      <c r="CP46" s="62"/>
      <c r="CQ46" s="62"/>
      <c r="CR46" s="62"/>
      <c r="CS46" s="62"/>
      <c r="CT46" s="62"/>
      <c r="CU46" s="62"/>
      <c r="CV46" s="62"/>
      <c r="CW46" s="62"/>
      <c r="CX46" s="62"/>
      <c r="CY46" s="62"/>
      <c r="CZ46" s="62"/>
      <c r="DA46" s="62"/>
      <c r="DB46" s="62"/>
      <c r="DC46" s="62"/>
      <c r="DD46" s="62"/>
      <c r="DE46" s="62"/>
      <c r="DF46" s="62"/>
      <c r="DG46" s="62"/>
      <c r="DH46" s="62"/>
      <c r="DI46" s="62"/>
      <c r="DJ46" s="62"/>
      <c r="DK46" s="62"/>
      <c r="DL46" s="62"/>
      <c r="DM46" s="62"/>
      <c r="DN46" s="62"/>
      <c r="DO46" s="62"/>
      <c r="DP46" s="62"/>
      <c r="DQ46" s="62"/>
      <c r="DR46" s="62"/>
      <c r="DS46" s="62"/>
      <c r="DT46" s="62"/>
      <c r="DU46" s="62"/>
      <c r="DV46" s="62"/>
      <c r="DW46" s="62"/>
      <c r="DX46" s="62"/>
      <c r="DY46" s="62"/>
      <c r="DZ46" s="62"/>
      <c r="EA46" s="62"/>
      <c r="EB46" s="62"/>
      <c r="EC46" s="62"/>
      <c r="ED46" s="62"/>
      <c r="EE46" s="62"/>
      <c r="EF46" s="62"/>
      <c r="EG46" s="62"/>
      <c r="EH46" s="62"/>
      <c r="EI46" s="62"/>
      <c r="EJ46" s="62"/>
      <c r="EK46" s="62"/>
      <c r="EL46" s="62"/>
      <c r="EM46" s="62"/>
      <c r="EN46" s="62"/>
      <c r="EO46" s="62"/>
      <c r="EP46" s="62"/>
      <c r="EQ46" s="62"/>
      <c r="ER46" s="62"/>
      <c r="ES46" s="62"/>
      <c r="ET46" s="62"/>
      <c r="EU46" s="62"/>
      <c r="EV46" s="62"/>
      <c r="EW46" s="62"/>
      <c r="EX46" s="62"/>
      <c r="EY46" s="62"/>
      <c r="EZ46" s="62"/>
      <c r="FA46" s="62"/>
      <c r="FB46" s="62"/>
      <c r="FC46" s="62"/>
      <c r="FD46" s="62"/>
      <c r="FE46" s="62"/>
      <c r="FF46" s="62"/>
      <c r="FG46" s="62"/>
      <c r="FH46" s="62"/>
      <c r="FI46" s="62"/>
      <c r="FJ46" s="62"/>
      <c r="FK46" s="62"/>
      <c r="FL46" s="62"/>
      <c r="FM46" s="62"/>
      <c r="FN46" s="62"/>
      <c r="FO46" s="62"/>
      <c r="FP46" s="62"/>
      <c r="FQ46" s="62"/>
      <c r="FR46" s="62"/>
      <c r="FS46" s="62"/>
      <c r="FT46" s="62"/>
      <c r="FU46" s="62"/>
      <c r="FV46" s="62"/>
      <c r="FW46" s="62"/>
      <c r="FX46" s="62"/>
      <c r="FY46" s="62"/>
      <c r="FZ46" s="62"/>
      <c r="GA46" s="62"/>
      <c r="GB46" s="62"/>
      <c r="GC46" s="62"/>
      <c r="GD46" s="62"/>
      <c r="GE46" s="62"/>
      <c r="GF46" s="62"/>
      <c r="GG46" s="62"/>
      <c r="GH46" s="62"/>
      <c r="GI46" s="62"/>
      <c r="GJ46" s="62"/>
      <c r="GK46" s="62"/>
      <c r="GL46" s="62"/>
      <c r="GM46" s="62"/>
      <c r="GN46" s="62"/>
      <c r="GO46" s="62"/>
      <c r="GP46" s="62"/>
      <c r="GQ46" s="62"/>
      <c r="GR46" s="62"/>
      <c r="GS46" s="62"/>
      <c r="GT46" s="62"/>
      <c r="GU46" s="62"/>
      <c r="GV46" s="62"/>
      <c r="GW46" s="62"/>
      <c r="GX46" s="62"/>
      <c r="GY46" s="62"/>
      <c r="GZ46" s="62"/>
      <c r="HA46" s="62"/>
      <c r="HB46" s="62"/>
      <c r="HC46" s="62"/>
      <c r="HD46" s="62"/>
      <c r="HE46" s="62"/>
      <c r="HF46" s="62"/>
      <c r="HG46" s="62"/>
      <c r="HH46" s="62"/>
      <c r="HI46" s="62"/>
      <c r="HJ46" s="62"/>
      <c r="HK46" s="62"/>
      <c r="HL46" s="62"/>
      <c r="HM46" s="62"/>
      <c r="HN46" s="62"/>
      <c r="HO46" s="62"/>
      <c r="HP46" s="62"/>
      <c r="HQ46" s="62"/>
      <c r="HR46" s="62"/>
      <c r="HS46" s="62"/>
      <c r="HT46" s="62"/>
      <c r="HU46" s="62"/>
      <c r="HV46" s="62"/>
      <c r="HW46" s="62"/>
      <c r="HX46" s="62"/>
      <c r="HY46" s="62"/>
      <c r="HZ46" s="62"/>
      <c r="IA46" s="62"/>
      <c r="IB46" s="62"/>
      <c r="IC46" s="62"/>
      <c r="ID46" s="62"/>
      <c r="IE46" s="62"/>
      <c r="IF46" s="62"/>
      <c r="IG46" s="62"/>
      <c r="IH46" s="62"/>
      <c r="II46" s="62"/>
      <c r="IJ46" s="62"/>
      <c r="IK46" s="62"/>
      <c r="IL46" s="62"/>
      <c r="IM46" s="62"/>
      <c r="IN46" s="62"/>
      <c r="IO46" s="62"/>
      <c r="IP46" s="62"/>
      <c r="IQ46" s="62"/>
      <c r="IR46" s="62"/>
    </row>
    <row r="47" spans="1:252" s="51" customFormat="1" x14ac:dyDescent="0.3">
      <c r="B47" s="58" t="s">
        <v>218</v>
      </c>
      <c r="C47" s="59" t="s">
        <v>51</v>
      </c>
      <c r="D47" s="59" t="s">
        <v>55</v>
      </c>
      <c r="E47" s="60">
        <v>5055.5240000000003</v>
      </c>
      <c r="F47" s="60">
        <v>5054.5240000000003</v>
      </c>
      <c r="G47" s="60">
        <v>5055.5240000000003</v>
      </c>
      <c r="H47" s="60">
        <v>5049.5240000000003</v>
      </c>
      <c r="I47" s="60">
        <v>5044.5240000000003</v>
      </c>
      <c r="J47" s="60">
        <v>5049.5240000000003</v>
      </c>
      <c r="K47" s="60">
        <v>5039.5240000000003</v>
      </c>
      <c r="L47" s="60">
        <v>5049.5240000000003</v>
      </c>
      <c r="M47" s="60">
        <v>5044.5240000000003</v>
      </c>
      <c r="N47" s="60">
        <v>5039.5240000000003</v>
      </c>
      <c r="O47" s="60">
        <v>5034.5240000000003</v>
      </c>
      <c r="P47" s="60">
        <v>5044.5240000000003</v>
      </c>
      <c r="Q47" s="60">
        <v>5039.5240000000003</v>
      </c>
      <c r="R47" s="60">
        <v>5044.5240000000003</v>
      </c>
      <c r="S47" s="60">
        <v>5059.5240000000003</v>
      </c>
      <c r="T47" s="60">
        <v>5044.5240000000003</v>
      </c>
      <c r="U47" s="23">
        <v>5049.5240000000003</v>
      </c>
      <c r="V47" s="23">
        <v>5054.5240000000003</v>
      </c>
      <c r="W47" s="23">
        <v>0</v>
      </c>
      <c r="X47" s="23">
        <v>5049.5240000000003</v>
      </c>
      <c r="Y47" s="23">
        <v>5074.5240000000003</v>
      </c>
      <c r="Z47" s="23">
        <v>5069.5240000000003</v>
      </c>
      <c r="AA47" s="23">
        <v>5064.5240000000003</v>
      </c>
      <c r="AB47" s="23">
        <v>5060</v>
      </c>
      <c r="AC47" s="22">
        <v>5055</v>
      </c>
      <c r="AD47" s="22">
        <v>5060</v>
      </c>
      <c r="AE47" s="22">
        <v>5065</v>
      </c>
      <c r="AF47" s="22">
        <v>5060</v>
      </c>
      <c r="AG47" s="22">
        <v>5055</v>
      </c>
      <c r="AH47" s="22">
        <v>4970</v>
      </c>
      <c r="AI47" s="61">
        <f>SUM(E47:AH47)</f>
        <v>146436.52800000005</v>
      </c>
      <c r="AJ47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62"/>
      <c r="BL47" s="62"/>
      <c r="BM47" s="62"/>
      <c r="BN47" s="62"/>
      <c r="BO47" s="62"/>
      <c r="BP47" s="62"/>
      <c r="BQ47" s="62"/>
      <c r="BR47" s="62"/>
      <c r="BS47" s="62"/>
      <c r="BT47" s="62"/>
      <c r="BU47" s="62"/>
      <c r="BV47" s="62"/>
      <c r="BW47" s="62"/>
      <c r="BX47" s="62"/>
      <c r="BY47" s="62"/>
      <c r="BZ47" s="62"/>
      <c r="CA47" s="62"/>
      <c r="CB47" s="62"/>
      <c r="CC47" s="62"/>
      <c r="CD47" s="62"/>
      <c r="CE47" s="62"/>
      <c r="CF47" s="62"/>
      <c r="CG47" s="62"/>
      <c r="CH47" s="62"/>
      <c r="CI47" s="62"/>
      <c r="CJ47" s="62"/>
      <c r="CK47" s="62"/>
      <c r="CL47" s="62"/>
      <c r="CM47" s="62"/>
      <c r="CN47" s="62"/>
      <c r="CO47" s="62"/>
      <c r="CP47" s="62"/>
      <c r="CQ47" s="62"/>
      <c r="CR47" s="62"/>
      <c r="CS47" s="62"/>
      <c r="CT47" s="62"/>
      <c r="CU47" s="62"/>
      <c r="CV47" s="62"/>
      <c r="CW47" s="62"/>
      <c r="CX47" s="62"/>
      <c r="CY47" s="62"/>
      <c r="CZ47" s="62"/>
      <c r="DA47" s="62"/>
      <c r="DB47" s="62"/>
      <c r="DC47" s="62"/>
      <c r="DD47" s="62"/>
      <c r="DE47" s="62"/>
      <c r="DF47" s="62"/>
      <c r="DG47" s="62"/>
      <c r="DH47" s="62"/>
      <c r="DI47" s="62"/>
      <c r="DJ47" s="62"/>
      <c r="DK47" s="62"/>
      <c r="DL47" s="62"/>
      <c r="DM47" s="62"/>
      <c r="DN47" s="62"/>
      <c r="DO47" s="62"/>
      <c r="DP47" s="62"/>
      <c r="DQ47" s="62"/>
      <c r="DR47" s="62"/>
      <c r="DS47" s="62"/>
      <c r="DT47" s="62"/>
      <c r="DU47" s="62"/>
      <c r="DV47" s="62"/>
      <c r="DW47" s="62"/>
      <c r="DX47" s="62"/>
      <c r="DY47" s="62"/>
      <c r="DZ47" s="62"/>
      <c r="EA47" s="62"/>
      <c r="EB47" s="62"/>
      <c r="EC47" s="62"/>
      <c r="ED47" s="62"/>
      <c r="EE47" s="62"/>
      <c r="EF47" s="62"/>
      <c r="EG47" s="62"/>
      <c r="EH47" s="62"/>
      <c r="EI47" s="62"/>
      <c r="EJ47" s="62"/>
      <c r="EK47" s="62"/>
      <c r="EL47" s="62"/>
      <c r="EM47" s="62"/>
      <c r="EN47" s="62"/>
      <c r="EO47" s="62"/>
      <c r="EP47" s="62"/>
      <c r="EQ47" s="62"/>
      <c r="ER47" s="62"/>
      <c r="ES47" s="62"/>
      <c r="ET47" s="62"/>
      <c r="EU47" s="62"/>
      <c r="EV47" s="62"/>
      <c r="EW47" s="62"/>
      <c r="EX47" s="62"/>
      <c r="EY47" s="62"/>
      <c r="EZ47" s="62"/>
      <c r="FA47" s="62"/>
      <c r="FB47" s="62"/>
      <c r="FC47" s="62"/>
      <c r="FD47" s="62"/>
      <c r="FE47" s="62"/>
      <c r="FF47" s="62"/>
      <c r="FG47" s="62"/>
      <c r="FH47" s="62"/>
      <c r="FI47" s="62"/>
      <c r="FJ47" s="62"/>
      <c r="FK47" s="62"/>
      <c r="FL47" s="62"/>
      <c r="FM47" s="62"/>
      <c r="FN47" s="62"/>
      <c r="FO47" s="62"/>
      <c r="FP47" s="62"/>
      <c r="FQ47" s="62"/>
      <c r="FR47" s="62"/>
      <c r="FS47" s="62"/>
      <c r="FT47" s="62"/>
      <c r="FU47" s="62"/>
      <c r="FV47" s="62"/>
      <c r="FW47" s="62"/>
      <c r="FX47" s="62"/>
      <c r="FY47" s="62"/>
      <c r="FZ47" s="62"/>
      <c r="GA47" s="62"/>
      <c r="GB47" s="62"/>
      <c r="GC47" s="62"/>
      <c r="GD47" s="62"/>
      <c r="GE47" s="62"/>
      <c r="GF47" s="62"/>
      <c r="GG47" s="62"/>
      <c r="GH47" s="62"/>
      <c r="GI47" s="62"/>
      <c r="GJ47" s="62"/>
      <c r="GK47" s="62"/>
      <c r="GL47" s="62"/>
      <c r="GM47" s="62"/>
      <c r="GN47" s="62"/>
      <c r="GO47" s="62"/>
      <c r="GP47" s="62"/>
      <c r="GQ47" s="62"/>
      <c r="GR47" s="62"/>
      <c r="GS47" s="62"/>
      <c r="GT47" s="62"/>
      <c r="GU47" s="62"/>
      <c r="GV47" s="62"/>
      <c r="GW47" s="62"/>
      <c r="GX47" s="62"/>
      <c r="GY47" s="62"/>
      <c r="GZ47" s="62"/>
      <c r="HA47" s="62"/>
      <c r="HB47" s="62"/>
      <c r="HC47" s="62"/>
      <c r="HD47" s="62"/>
      <c r="HE47" s="62"/>
      <c r="HF47" s="62"/>
      <c r="HG47" s="62"/>
      <c r="HH47" s="62"/>
      <c r="HI47" s="62"/>
      <c r="HJ47" s="62"/>
      <c r="HK47" s="62"/>
      <c r="HL47" s="62"/>
      <c r="HM47" s="62"/>
      <c r="HN47" s="62"/>
      <c r="HO47" s="62"/>
      <c r="HP47" s="62"/>
      <c r="HQ47" s="62"/>
      <c r="HR47" s="62"/>
      <c r="HS47" s="62"/>
      <c r="HT47" s="62"/>
      <c r="HU47" s="62"/>
      <c r="HV47" s="62"/>
      <c r="HW47" s="62"/>
      <c r="HX47" s="62"/>
      <c r="HY47" s="62"/>
      <c r="HZ47" s="62"/>
      <c r="IA47" s="62"/>
      <c r="IB47" s="62"/>
      <c r="IC47" s="62"/>
      <c r="ID47" s="62"/>
      <c r="IE47" s="62"/>
      <c r="IF47" s="62"/>
      <c r="IG47" s="62"/>
      <c r="IH47" s="62"/>
      <c r="II47" s="62"/>
      <c r="IJ47" s="62"/>
      <c r="IK47" s="62"/>
      <c r="IL47" s="62"/>
      <c r="IM47" s="62"/>
      <c r="IN47" s="62"/>
      <c r="IO47" s="62"/>
      <c r="IP47" s="62"/>
      <c r="IQ47" s="62"/>
      <c r="IR47" s="62"/>
    </row>
    <row r="48" spans="1:252" s="51" customFormat="1" x14ac:dyDescent="0.3">
      <c r="B48" s="58" t="s">
        <v>219</v>
      </c>
      <c r="C48" s="59" t="s">
        <v>51</v>
      </c>
      <c r="D48" s="59" t="s">
        <v>55</v>
      </c>
      <c r="E48" s="63">
        <f>E46*E47</f>
        <v>1021215.8480000001</v>
      </c>
      <c r="F48" s="63">
        <f>F46*F47</f>
        <v>1410212.196</v>
      </c>
      <c r="G48" s="63">
        <f t="shared" ref="G48:AH48" si="32">G46*G47</f>
        <v>1218381.284</v>
      </c>
      <c r="H48" s="63">
        <f t="shared" si="32"/>
        <v>1363371.48</v>
      </c>
      <c r="I48" s="63">
        <f t="shared" si="32"/>
        <v>1296442.6680000001</v>
      </c>
      <c r="J48" s="63">
        <f t="shared" si="32"/>
        <v>1287628.6200000001</v>
      </c>
      <c r="K48" s="63">
        <f t="shared" si="32"/>
        <v>1219564.8080000002</v>
      </c>
      <c r="L48" s="63">
        <f t="shared" si="32"/>
        <v>1221984.8080000002</v>
      </c>
      <c r="M48" s="63">
        <f>M46*M47</f>
        <v>1251041.952</v>
      </c>
      <c r="N48" s="63">
        <f t="shared" si="32"/>
        <v>1184288.1400000001</v>
      </c>
      <c r="O48" s="63">
        <f t="shared" si="32"/>
        <v>1293872.6680000001</v>
      </c>
      <c r="P48" s="63">
        <f t="shared" si="32"/>
        <v>1124928.8520000002</v>
      </c>
      <c r="Q48" s="63">
        <f t="shared" si="32"/>
        <v>1315315.7640000002</v>
      </c>
      <c r="R48" s="63">
        <f t="shared" si="32"/>
        <v>1180418.6160000002</v>
      </c>
      <c r="S48" s="63">
        <f t="shared" si="32"/>
        <v>1214285.76</v>
      </c>
      <c r="T48" s="63">
        <f t="shared" si="32"/>
        <v>2088432.9360000002</v>
      </c>
      <c r="U48" s="63">
        <f t="shared" si="32"/>
        <v>1959215.3120000002</v>
      </c>
      <c r="V48" s="23">
        <f t="shared" si="32"/>
        <v>1607338.6320000002</v>
      </c>
      <c r="W48" s="23">
        <f t="shared" si="32"/>
        <v>0</v>
      </c>
      <c r="X48" s="23">
        <f t="shared" si="32"/>
        <v>1120994.328</v>
      </c>
      <c r="Y48" s="23">
        <f t="shared" si="32"/>
        <v>2278461.2760000001</v>
      </c>
      <c r="Z48" s="23">
        <f t="shared" si="32"/>
        <v>2281285.8000000003</v>
      </c>
      <c r="AA48" s="23">
        <f t="shared" si="32"/>
        <v>2096712.9360000002</v>
      </c>
      <c r="AB48" s="23">
        <f t="shared" si="32"/>
        <v>2271940</v>
      </c>
      <c r="AC48" s="63">
        <f t="shared" si="32"/>
        <v>2143320</v>
      </c>
      <c r="AD48" s="63">
        <f t="shared" si="32"/>
        <v>2211220</v>
      </c>
      <c r="AE48" s="63">
        <f t="shared" si="32"/>
        <v>2071585</v>
      </c>
      <c r="AF48" s="63">
        <f t="shared" si="32"/>
        <v>1983520</v>
      </c>
      <c r="AG48" s="63">
        <f t="shared" si="32"/>
        <v>1915845</v>
      </c>
      <c r="AH48" s="63">
        <f t="shared" si="32"/>
        <v>2211650</v>
      </c>
      <c r="AI48" s="61">
        <f>SUM(E48:AH48)</f>
        <v>46844474.684</v>
      </c>
      <c r="AJ48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2"/>
      <c r="BH48" s="62"/>
      <c r="BI48" s="62"/>
      <c r="BJ48" s="62"/>
      <c r="BK48" s="62"/>
      <c r="BL48" s="62"/>
      <c r="BM48" s="62"/>
      <c r="BN48" s="62"/>
      <c r="BO48" s="62"/>
      <c r="BP48" s="62"/>
      <c r="BQ48" s="62"/>
      <c r="BR48" s="62"/>
      <c r="BS48" s="62"/>
      <c r="BT48" s="62"/>
      <c r="BU48" s="62"/>
      <c r="BV48" s="62"/>
      <c r="BW48" s="62"/>
      <c r="BX48" s="62"/>
      <c r="BY48" s="62"/>
      <c r="BZ48" s="62"/>
      <c r="CA48" s="62"/>
      <c r="CB48" s="62"/>
      <c r="CC48" s="62"/>
      <c r="CD48" s="62"/>
      <c r="CE48" s="62"/>
      <c r="CF48" s="62"/>
      <c r="CG48" s="62"/>
      <c r="CH48" s="62"/>
      <c r="CI48" s="62"/>
      <c r="CJ48" s="62"/>
      <c r="CK48" s="62"/>
      <c r="CL48" s="62"/>
      <c r="CM48" s="62"/>
      <c r="CN48" s="62"/>
      <c r="CO48" s="62"/>
      <c r="CP48" s="62"/>
      <c r="CQ48" s="62"/>
      <c r="CR48" s="62"/>
      <c r="CS48" s="62"/>
      <c r="CT48" s="62"/>
      <c r="CU48" s="62"/>
      <c r="CV48" s="62"/>
      <c r="CW48" s="62"/>
      <c r="CX48" s="62"/>
      <c r="CY48" s="62"/>
      <c r="CZ48" s="62"/>
      <c r="DA48" s="62"/>
      <c r="DB48" s="62"/>
      <c r="DC48" s="62"/>
      <c r="DD48" s="62"/>
      <c r="DE48" s="62"/>
      <c r="DF48" s="62"/>
      <c r="DG48" s="62"/>
      <c r="DH48" s="62"/>
      <c r="DI48" s="62"/>
      <c r="DJ48" s="62"/>
      <c r="DK48" s="62"/>
      <c r="DL48" s="62"/>
      <c r="DM48" s="62"/>
      <c r="DN48" s="62"/>
      <c r="DO48" s="62"/>
      <c r="DP48" s="62"/>
      <c r="DQ48" s="62"/>
      <c r="DR48" s="62"/>
      <c r="DS48" s="62"/>
      <c r="DT48" s="62"/>
      <c r="DU48" s="62"/>
      <c r="DV48" s="62"/>
      <c r="DW48" s="62"/>
      <c r="DX48" s="62"/>
      <c r="DY48" s="62"/>
      <c r="DZ48" s="62"/>
      <c r="EA48" s="62"/>
      <c r="EB48" s="62"/>
      <c r="EC48" s="62"/>
      <c r="ED48" s="62"/>
      <c r="EE48" s="62"/>
      <c r="EF48" s="62"/>
      <c r="EG48" s="62"/>
      <c r="EH48" s="62"/>
      <c r="EI48" s="62"/>
      <c r="EJ48" s="62"/>
      <c r="EK48" s="62"/>
      <c r="EL48" s="62"/>
      <c r="EM48" s="62"/>
      <c r="EN48" s="62"/>
      <c r="EO48" s="62"/>
      <c r="EP48" s="62"/>
      <c r="EQ48" s="62"/>
      <c r="ER48" s="62"/>
      <c r="ES48" s="62"/>
      <c r="ET48" s="62"/>
      <c r="EU48" s="62"/>
      <c r="EV48" s="62"/>
      <c r="EW48" s="62"/>
      <c r="EX48" s="62"/>
      <c r="EY48" s="62"/>
      <c r="EZ48" s="62"/>
      <c r="FA48" s="62"/>
      <c r="FB48" s="62"/>
      <c r="FC48" s="62"/>
      <c r="FD48" s="62"/>
      <c r="FE48" s="62"/>
      <c r="FF48" s="62"/>
      <c r="FG48" s="62"/>
      <c r="FH48" s="62"/>
      <c r="FI48" s="62"/>
      <c r="FJ48" s="62"/>
      <c r="FK48" s="62"/>
      <c r="FL48" s="62"/>
      <c r="FM48" s="62"/>
      <c r="FN48" s="62"/>
      <c r="FO48" s="62"/>
      <c r="FP48" s="62"/>
      <c r="FQ48" s="62"/>
      <c r="FR48" s="62"/>
      <c r="FS48" s="62"/>
      <c r="FT48" s="62"/>
      <c r="FU48" s="62"/>
      <c r="FV48" s="62"/>
      <c r="FW48" s="62"/>
      <c r="FX48" s="62"/>
      <c r="FY48" s="62"/>
      <c r="FZ48" s="62"/>
      <c r="GA48" s="62"/>
      <c r="GB48" s="62"/>
      <c r="GC48" s="62"/>
      <c r="GD48" s="62"/>
      <c r="GE48" s="62"/>
      <c r="GF48" s="62"/>
      <c r="GG48" s="62"/>
      <c r="GH48" s="62"/>
      <c r="GI48" s="62"/>
      <c r="GJ48" s="62"/>
      <c r="GK48" s="62"/>
      <c r="GL48" s="62"/>
      <c r="GM48" s="62"/>
      <c r="GN48" s="62"/>
      <c r="GO48" s="62"/>
      <c r="GP48" s="62"/>
      <c r="GQ48" s="62"/>
      <c r="GR48" s="62"/>
      <c r="GS48" s="62"/>
      <c r="GT48" s="62"/>
      <c r="GU48" s="62"/>
      <c r="GV48" s="62"/>
      <c r="GW48" s="62"/>
      <c r="GX48" s="62"/>
      <c r="GY48" s="62"/>
      <c r="GZ48" s="62"/>
      <c r="HA48" s="62"/>
      <c r="HB48" s="62"/>
      <c r="HC48" s="62"/>
      <c r="HD48" s="62"/>
      <c r="HE48" s="62"/>
      <c r="HF48" s="62"/>
      <c r="HG48" s="62"/>
      <c r="HH48" s="62"/>
      <c r="HI48" s="62"/>
      <c r="HJ48" s="62"/>
      <c r="HK48" s="62"/>
      <c r="HL48" s="62"/>
      <c r="HM48" s="62"/>
      <c r="HN48" s="62"/>
      <c r="HO48" s="62"/>
      <c r="HP48" s="62"/>
      <c r="HQ48" s="62"/>
      <c r="HR48" s="62"/>
      <c r="HS48" s="62"/>
      <c r="HT48" s="62"/>
      <c r="HU48" s="62"/>
      <c r="HV48" s="62"/>
      <c r="HW48" s="62"/>
      <c r="HX48" s="62"/>
      <c r="HY48" s="62"/>
      <c r="HZ48" s="62"/>
      <c r="IA48" s="62"/>
      <c r="IB48" s="62"/>
      <c r="IC48" s="62"/>
      <c r="ID48" s="62"/>
      <c r="IE48" s="62"/>
      <c r="IF48" s="62"/>
      <c r="IG48" s="62"/>
      <c r="IH48" s="62"/>
      <c r="II48" s="62"/>
      <c r="IJ48" s="62"/>
      <c r="IK48" s="62"/>
      <c r="IL48" s="62"/>
      <c r="IM48" s="62"/>
      <c r="IN48" s="62"/>
      <c r="IO48" s="62"/>
      <c r="IP48" s="62"/>
      <c r="IQ48" s="62"/>
      <c r="IR48" s="62"/>
    </row>
    <row r="49" spans="1:678" x14ac:dyDescent="0.3">
      <c r="A49" s="19">
        <v>11</v>
      </c>
      <c r="B49" s="44" t="s">
        <v>220</v>
      </c>
      <c r="C49" s="15"/>
      <c r="D49" s="15"/>
      <c r="E49" s="21">
        <f>E48/E43</f>
        <v>0.18317855201144401</v>
      </c>
      <c r="F49" s="21">
        <f>F48/F43</f>
        <v>0.22419637550313781</v>
      </c>
      <c r="G49" s="21">
        <f t="shared" ref="G49:AG49" si="33">G48/G43</f>
        <v>0.17940916638247018</v>
      </c>
      <c r="H49" s="21">
        <f t="shared" si="33"/>
        <v>0.20554328394301594</v>
      </c>
      <c r="I49" s="21">
        <f t="shared" si="33"/>
        <v>0.19367940331257968</v>
      </c>
      <c r="J49" s="21">
        <f t="shared" si="33"/>
        <v>0.18679799006580583</v>
      </c>
      <c r="K49" s="21">
        <f t="shared" si="33"/>
        <v>0.17911112847379287</v>
      </c>
      <c r="L49" s="21">
        <f t="shared" si="33"/>
        <v>0.17789062880315099</v>
      </c>
      <c r="M49" s="21">
        <f t="shared" si="33"/>
        <v>0.18263076888041022</v>
      </c>
      <c r="N49" s="21">
        <f t="shared" si="33"/>
        <v>0.17460896591739805</v>
      </c>
      <c r="O49" s="21">
        <f t="shared" si="33"/>
        <v>0.19307924369953555</v>
      </c>
      <c r="P49" s="21">
        <f t="shared" si="33"/>
        <v>0.18710742827876695</v>
      </c>
      <c r="Q49" s="21">
        <f t="shared" si="33"/>
        <v>0.20867236657614208</v>
      </c>
      <c r="R49" s="21">
        <f t="shared" si="33"/>
        <v>0.18547066933838266</v>
      </c>
      <c r="S49" s="21">
        <f t="shared" si="33"/>
        <v>0.19163983472349991</v>
      </c>
      <c r="T49" s="21">
        <f t="shared" si="33"/>
        <v>0.33217284135394409</v>
      </c>
      <c r="U49" s="21">
        <f t="shared" si="33"/>
        <v>0.30171074786090341</v>
      </c>
      <c r="V49" s="21">
        <f t="shared" si="33"/>
        <v>0.31227388362778424</v>
      </c>
      <c r="W49" s="21" t="e">
        <f t="shared" si="33"/>
        <v>#DIV/0!</v>
      </c>
      <c r="X49" s="21">
        <f t="shared" si="33"/>
        <v>0.34149503321749047</v>
      </c>
      <c r="Y49" s="21">
        <f t="shared" si="33"/>
        <v>0.33081633399471105</v>
      </c>
      <c r="Z49" s="21">
        <f t="shared" si="33"/>
        <v>0.32601345470889953</v>
      </c>
      <c r="AA49" s="21">
        <f t="shared" si="33"/>
        <v>0.305969369980164</v>
      </c>
      <c r="AB49" s="21">
        <f t="shared" si="33"/>
        <v>0.32788427803877884</v>
      </c>
      <c r="AC49" s="21">
        <f t="shared" si="33"/>
        <v>0.3164494446720631</v>
      </c>
      <c r="AD49" s="21">
        <f t="shared" si="33"/>
        <v>0.32691745881929929</v>
      </c>
      <c r="AE49" s="21">
        <f t="shared" si="33"/>
        <v>0.2989316967296064</v>
      </c>
      <c r="AF49" s="21">
        <f t="shared" si="33"/>
        <v>0.28593513179696345</v>
      </c>
      <c r="AG49" s="21">
        <f t="shared" si="33"/>
        <v>0.28049658940673683</v>
      </c>
      <c r="AH49" s="216">
        <f>AH48/AH43</f>
        <v>0.31986505690651956</v>
      </c>
      <c r="AI49" s="16">
        <f>AI48/AI43</f>
        <v>0.24926538710606691</v>
      </c>
    </row>
    <row r="50" spans="1:678" s="51" customFormat="1" x14ac:dyDescent="0.3">
      <c r="B50" s="24" t="s">
        <v>59</v>
      </c>
      <c r="C50" s="59" t="s">
        <v>51</v>
      </c>
      <c r="D50" s="59" t="s">
        <v>55</v>
      </c>
      <c r="E50" s="52">
        <v>202</v>
      </c>
      <c r="F50" s="52">
        <v>373</v>
      </c>
      <c r="G50" s="52">
        <v>386</v>
      </c>
      <c r="H50" s="52">
        <v>432</v>
      </c>
      <c r="I50" s="52">
        <v>411</v>
      </c>
      <c r="J50" s="52">
        <v>407</v>
      </c>
      <c r="K50" s="52">
        <v>388</v>
      </c>
      <c r="L50" s="52">
        <v>388</v>
      </c>
      <c r="M50" s="52">
        <v>397</v>
      </c>
      <c r="N50" s="52">
        <v>377</v>
      </c>
      <c r="O50" s="52">
        <v>171</v>
      </c>
      <c r="P50" s="52">
        <v>149</v>
      </c>
      <c r="Q50" s="52">
        <v>174</v>
      </c>
      <c r="R50" s="52">
        <v>156</v>
      </c>
      <c r="S50" s="53">
        <v>160</v>
      </c>
      <c r="T50" s="53">
        <v>150</v>
      </c>
      <c r="U50" s="53">
        <v>140</v>
      </c>
      <c r="V50" s="53">
        <v>115</v>
      </c>
      <c r="W50" s="53"/>
      <c r="X50" s="53">
        <v>80</v>
      </c>
      <c r="Y50" s="53">
        <v>162</v>
      </c>
      <c r="Z50" s="53">
        <v>163</v>
      </c>
      <c r="AA50" s="53">
        <v>149</v>
      </c>
      <c r="AB50" s="53">
        <v>162</v>
      </c>
      <c r="AC50" s="53">
        <v>153</v>
      </c>
      <c r="AD50" s="53">
        <v>158</v>
      </c>
      <c r="AE50" s="53">
        <v>148</v>
      </c>
      <c r="AF50" s="53">
        <v>142</v>
      </c>
      <c r="AG50" s="53">
        <v>137</v>
      </c>
      <c r="AH50" s="53">
        <v>161</v>
      </c>
      <c r="AI50" s="61">
        <f>SUM(E50:AH50)</f>
        <v>6591</v>
      </c>
      <c r="AJ50"/>
      <c r="AK50" s="62">
        <f>AI52/AI43</f>
        <v>0.17760631085376569</v>
      </c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2"/>
      <c r="BH50" s="62"/>
      <c r="BI50" s="62"/>
      <c r="BJ50" s="62"/>
      <c r="BK50" s="62"/>
      <c r="BL50" s="62"/>
      <c r="BM50" s="62"/>
      <c r="BN50" s="62"/>
      <c r="BO50" s="62"/>
      <c r="BP50" s="62"/>
      <c r="BQ50" s="62"/>
      <c r="BR50" s="62"/>
      <c r="BS50" s="62"/>
      <c r="BT50" s="62"/>
      <c r="BU50" s="62"/>
      <c r="BV50" s="62"/>
      <c r="BW50" s="62"/>
      <c r="BX50" s="62"/>
      <c r="BY50" s="62"/>
      <c r="BZ50" s="62"/>
      <c r="CA50" s="62"/>
      <c r="CB50" s="62"/>
      <c r="CC50" s="62"/>
      <c r="CD50" s="62"/>
      <c r="CE50" s="62"/>
      <c r="CF50" s="62"/>
      <c r="CG50" s="62"/>
      <c r="CH50" s="62"/>
      <c r="CI50" s="62"/>
      <c r="CJ50" s="62"/>
      <c r="CK50" s="62"/>
      <c r="CL50" s="62"/>
      <c r="CM50" s="62"/>
      <c r="CN50" s="62"/>
      <c r="CO50" s="62"/>
      <c r="CP50" s="62"/>
      <c r="CQ50" s="62"/>
      <c r="CR50" s="62"/>
      <c r="CS50" s="62"/>
      <c r="CT50" s="62"/>
      <c r="CU50" s="62"/>
      <c r="CV50" s="62"/>
      <c r="CW50" s="62"/>
      <c r="CX50" s="62"/>
      <c r="CY50" s="62"/>
      <c r="CZ50" s="62"/>
      <c r="DA50" s="62"/>
      <c r="DB50" s="62"/>
      <c r="DC50" s="62"/>
      <c r="DD50" s="62"/>
      <c r="DE50" s="62"/>
      <c r="DF50" s="62"/>
      <c r="DG50" s="62"/>
      <c r="DH50" s="62"/>
      <c r="DI50" s="62"/>
      <c r="DJ50" s="62"/>
      <c r="DK50" s="62"/>
      <c r="DL50" s="62"/>
      <c r="DM50" s="62"/>
      <c r="DN50" s="62"/>
      <c r="DO50" s="62"/>
      <c r="DP50" s="62"/>
      <c r="DQ50" s="62"/>
      <c r="DR50" s="62"/>
      <c r="DS50" s="62"/>
      <c r="DT50" s="62"/>
      <c r="DU50" s="62"/>
      <c r="DV50" s="62"/>
      <c r="DW50" s="62"/>
      <c r="DX50" s="62"/>
      <c r="DY50" s="62"/>
      <c r="DZ50" s="62"/>
      <c r="EA50" s="62"/>
      <c r="EB50" s="62"/>
      <c r="EC50" s="62"/>
      <c r="ED50" s="62"/>
      <c r="EE50" s="62"/>
      <c r="EF50" s="62"/>
      <c r="EG50" s="62"/>
      <c r="EH50" s="62"/>
      <c r="EI50" s="62"/>
      <c r="EJ50" s="62"/>
      <c r="EK50" s="62"/>
      <c r="EL50" s="62"/>
      <c r="EM50" s="62"/>
      <c r="EN50" s="62"/>
      <c r="EO50" s="62"/>
      <c r="EP50" s="62"/>
      <c r="EQ50" s="62"/>
      <c r="ER50" s="62"/>
      <c r="ES50" s="62"/>
      <c r="ET50" s="62"/>
      <c r="EU50" s="62"/>
      <c r="EV50" s="62"/>
      <c r="EW50" s="62"/>
      <c r="EX50" s="62"/>
      <c r="EY50" s="62"/>
      <c r="EZ50" s="62"/>
      <c r="FA50" s="62"/>
      <c r="FB50" s="62"/>
      <c r="FC50" s="62"/>
      <c r="FD50" s="62"/>
      <c r="FE50" s="62"/>
      <c r="FF50" s="62"/>
      <c r="FG50" s="62"/>
      <c r="FH50" s="62"/>
      <c r="FI50" s="62"/>
      <c r="FJ50" s="62"/>
      <c r="FK50" s="62"/>
      <c r="FL50" s="62"/>
      <c r="FM50" s="62"/>
      <c r="FN50" s="62"/>
      <c r="FO50" s="62"/>
      <c r="FP50" s="62"/>
      <c r="FQ50" s="62"/>
      <c r="FR50" s="62"/>
      <c r="FS50" s="62"/>
      <c r="FT50" s="62"/>
      <c r="FU50" s="62"/>
      <c r="FV50" s="62"/>
      <c r="FW50" s="62"/>
      <c r="FX50" s="62"/>
      <c r="FY50" s="62"/>
      <c r="FZ50" s="62"/>
      <c r="GA50" s="62"/>
      <c r="GB50" s="62"/>
      <c r="GC50" s="62"/>
      <c r="GD50" s="62"/>
      <c r="GE50" s="62"/>
      <c r="GF50" s="62"/>
      <c r="GG50" s="62"/>
      <c r="GH50" s="62"/>
      <c r="GI50" s="62"/>
      <c r="GJ50" s="62"/>
      <c r="GK50" s="62"/>
      <c r="GL50" s="62"/>
      <c r="GM50" s="62"/>
      <c r="GN50" s="62"/>
      <c r="GO50" s="62"/>
      <c r="GP50" s="62"/>
      <c r="GQ50" s="62"/>
      <c r="GR50" s="62"/>
      <c r="GS50" s="62"/>
      <c r="GT50" s="62"/>
      <c r="GU50" s="62"/>
      <c r="GV50" s="62"/>
      <c r="GW50" s="62"/>
      <c r="GX50" s="62"/>
      <c r="GY50" s="62"/>
      <c r="GZ50" s="62"/>
      <c r="HA50" s="62"/>
      <c r="HB50" s="62"/>
      <c r="HC50" s="62"/>
      <c r="HD50" s="62"/>
      <c r="HE50" s="62"/>
      <c r="HF50" s="62"/>
      <c r="HG50" s="62"/>
      <c r="HH50" s="62"/>
      <c r="HI50" s="62"/>
      <c r="HJ50" s="62"/>
      <c r="HK50" s="62"/>
      <c r="HL50" s="62"/>
      <c r="HM50" s="62"/>
      <c r="HN50" s="62"/>
      <c r="HO50" s="62"/>
      <c r="HP50" s="62"/>
      <c r="HQ50" s="62"/>
      <c r="HR50" s="62"/>
      <c r="HS50" s="62"/>
      <c r="HT50" s="62"/>
      <c r="HU50" s="62"/>
      <c r="HV50" s="62"/>
      <c r="HW50" s="62"/>
      <c r="HX50" s="62"/>
      <c r="HY50" s="62"/>
      <c r="HZ50" s="62"/>
      <c r="IA50" s="62"/>
      <c r="IB50" s="62"/>
      <c r="IC50" s="62"/>
      <c r="ID50" s="62"/>
      <c r="IE50" s="62"/>
      <c r="IF50" s="62"/>
      <c r="IG50" s="62"/>
      <c r="IH50" s="62"/>
      <c r="II50" s="62"/>
      <c r="IJ50" s="62"/>
      <c r="IK50" s="62"/>
      <c r="IL50" s="62"/>
      <c r="IM50" s="62"/>
      <c r="IN50" s="62"/>
      <c r="IO50" s="62"/>
      <c r="IP50" s="62"/>
      <c r="IQ50" s="62"/>
      <c r="IR50" s="62"/>
    </row>
    <row r="51" spans="1:678" s="51" customFormat="1" x14ac:dyDescent="0.3">
      <c r="B51" s="24" t="s">
        <v>60</v>
      </c>
      <c r="C51" s="59" t="s">
        <v>51</v>
      </c>
      <c r="D51" s="59" t="s">
        <v>55</v>
      </c>
      <c r="E51" s="60">
        <v>5132.5240000000003</v>
      </c>
      <c r="F51" s="60">
        <v>5134.5240000000003</v>
      </c>
      <c r="G51" s="60">
        <v>5132.5240000000003</v>
      </c>
      <c r="H51" s="60">
        <v>5129.5240000000003</v>
      </c>
      <c r="I51" s="60">
        <v>5134.5240000000003</v>
      </c>
      <c r="J51" s="60">
        <v>4376.5240000000003</v>
      </c>
      <c r="K51" s="60">
        <v>4759.5240000000003</v>
      </c>
      <c r="L51" s="60">
        <v>4764.5240000000003</v>
      </c>
      <c r="M51" s="60">
        <v>4754.5240000000003</v>
      </c>
      <c r="N51" s="60">
        <v>4764.5240000000003</v>
      </c>
      <c r="O51" s="60">
        <v>4743.5240000000003</v>
      </c>
      <c r="P51" s="60">
        <v>4638.5240000000003</v>
      </c>
      <c r="Q51" s="60">
        <v>4639.5240000000003</v>
      </c>
      <c r="R51" s="60">
        <v>5831.5240000000003</v>
      </c>
      <c r="S51" s="23">
        <v>4731.5240000000003</v>
      </c>
      <c r="T51" s="23">
        <v>5974.5240000000003</v>
      </c>
      <c r="U51" s="23">
        <v>5793.5240000000003</v>
      </c>
      <c r="V51" s="23">
        <v>5716.5240000000003</v>
      </c>
      <c r="W51" s="23">
        <v>0</v>
      </c>
      <c r="X51" s="23">
        <v>5716.5240000000003</v>
      </c>
      <c r="Y51" s="23">
        <v>5749.5240000000003</v>
      </c>
      <c r="Z51" s="23">
        <v>4706.5240000000003</v>
      </c>
      <c r="AA51" s="23">
        <v>4709.5240000000003</v>
      </c>
      <c r="AB51" s="23">
        <v>5566</v>
      </c>
      <c r="AC51" s="23">
        <v>5604</v>
      </c>
      <c r="AD51" s="23">
        <v>5237</v>
      </c>
      <c r="AE51" s="23">
        <v>5501</v>
      </c>
      <c r="AF51" s="23">
        <v>5531</v>
      </c>
      <c r="AG51" s="23">
        <v>5466</v>
      </c>
      <c r="AH51" s="23">
        <v>5120</v>
      </c>
      <c r="AI51" s="61">
        <f>SUM(E51:AH51)</f>
        <v>150059.52800000005</v>
      </c>
      <c r="AJ51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62"/>
      <c r="BJ51" s="62"/>
      <c r="BK51" s="62"/>
      <c r="BL51" s="62"/>
      <c r="BM51" s="62"/>
      <c r="BN51" s="62"/>
      <c r="BO51" s="62"/>
      <c r="BP51" s="62"/>
      <c r="BQ51" s="62"/>
      <c r="BR51" s="62"/>
      <c r="BS51" s="62"/>
      <c r="BT51" s="62"/>
      <c r="BU51" s="62"/>
      <c r="BV51" s="62"/>
      <c r="BW51" s="62"/>
      <c r="BX51" s="62"/>
      <c r="BY51" s="62"/>
      <c r="BZ51" s="62"/>
      <c r="CA51" s="62"/>
      <c r="CB51" s="62"/>
      <c r="CC51" s="62"/>
      <c r="CD51" s="62"/>
      <c r="CE51" s="62"/>
      <c r="CF51" s="62"/>
      <c r="CG51" s="62"/>
      <c r="CH51" s="62"/>
      <c r="CI51" s="62"/>
      <c r="CJ51" s="62"/>
      <c r="CK51" s="62"/>
      <c r="CL51" s="62"/>
      <c r="CM51" s="62"/>
      <c r="CN51" s="62"/>
      <c r="CO51" s="62"/>
      <c r="CP51" s="62"/>
      <c r="CQ51" s="62"/>
      <c r="CR51" s="62"/>
      <c r="CS51" s="62"/>
      <c r="CT51" s="62"/>
      <c r="CU51" s="62"/>
      <c r="CV51" s="62"/>
      <c r="CW51" s="62"/>
      <c r="CX51" s="62"/>
      <c r="CY51" s="62"/>
      <c r="CZ51" s="62"/>
      <c r="DA51" s="62"/>
      <c r="DB51" s="62"/>
      <c r="DC51" s="62"/>
      <c r="DD51" s="62"/>
      <c r="DE51" s="62"/>
      <c r="DF51" s="62"/>
      <c r="DG51" s="62"/>
      <c r="DH51" s="62"/>
      <c r="DI51" s="62"/>
      <c r="DJ51" s="62"/>
      <c r="DK51" s="62"/>
      <c r="DL51" s="62"/>
      <c r="DM51" s="62"/>
      <c r="DN51" s="62"/>
      <c r="DO51" s="62"/>
      <c r="DP51" s="62"/>
      <c r="DQ51" s="62"/>
      <c r="DR51" s="62"/>
      <c r="DS51" s="62"/>
      <c r="DT51" s="62"/>
      <c r="DU51" s="62"/>
      <c r="DV51" s="62"/>
      <c r="DW51" s="62"/>
      <c r="DX51" s="62"/>
      <c r="DY51" s="62"/>
      <c r="DZ51" s="62"/>
      <c r="EA51" s="62"/>
      <c r="EB51" s="62"/>
      <c r="EC51" s="62"/>
      <c r="ED51" s="62"/>
      <c r="EE51" s="62"/>
      <c r="EF51" s="62"/>
      <c r="EG51" s="62"/>
      <c r="EH51" s="62"/>
      <c r="EI51" s="62"/>
      <c r="EJ51" s="62"/>
      <c r="EK51" s="62"/>
      <c r="EL51" s="62"/>
      <c r="EM51" s="62"/>
      <c r="EN51" s="62"/>
      <c r="EO51" s="62"/>
      <c r="EP51" s="62"/>
      <c r="EQ51" s="62"/>
      <c r="ER51" s="62"/>
      <c r="ES51" s="62"/>
      <c r="ET51" s="62"/>
      <c r="EU51" s="62"/>
      <c r="EV51" s="62"/>
      <c r="EW51" s="62"/>
      <c r="EX51" s="62"/>
      <c r="EY51" s="62"/>
      <c r="EZ51" s="62"/>
      <c r="FA51" s="62"/>
      <c r="FB51" s="62"/>
      <c r="FC51" s="62"/>
      <c r="FD51" s="62"/>
      <c r="FE51" s="62"/>
      <c r="FF51" s="62"/>
      <c r="FG51" s="62"/>
      <c r="FH51" s="62"/>
      <c r="FI51" s="62"/>
      <c r="FJ51" s="62"/>
      <c r="FK51" s="62"/>
      <c r="FL51" s="62"/>
      <c r="FM51" s="62"/>
      <c r="FN51" s="62"/>
      <c r="FO51" s="62"/>
      <c r="FP51" s="62"/>
      <c r="FQ51" s="62"/>
      <c r="FR51" s="62"/>
      <c r="FS51" s="62"/>
      <c r="FT51" s="62"/>
      <c r="FU51" s="62"/>
      <c r="FV51" s="62"/>
      <c r="FW51" s="62"/>
      <c r="FX51" s="62"/>
      <c r="FY51" s="62"/>
      <c r="FZ51" s="62"/>
      <c r="GA51" s="62"/>
      <c r="GB51" s="62"/>
      <c r="GC51" s="62"/>
      <c r="GD51" s="62"/>
      <c r="GE51" s="62"/>
      <c r="GF51" s="62"/>
      <c r="GG51" s="62"/>
      <c r="GH51" s="62"/>
      <c r="GI51" s="62"/>
      <c r="GJ51" s="62"/>
      <c r="GK51" s="62"/>
      <c r="GL51" s="62"/>
      <c r="GM51" s="62"/>
      <c r="GN51" s="62"/>
      <c r="GO51" s="62"/>
      <c r="GP51" s="62"/>
      <c r="GQ51" s="62"/>
      <c r="GR51" s="62"/>
      <c r="GS51" s="62"/>
      <c r="GT51" s="62"/>
      <c r="GU51" s="62"/>
      <c r="GV51" s="62"/>
      <c r="GW51" s="62"/>
      <c r="GX51" s="62"/>
      <c r="GY51" s="62"/>
      <c r="GZ51" s="62"/>
      <c r="HA51" s="62"/>
      <c r="HB51" s="62"/>
      <c r="HC51" s="62"/>
      <c r="HD51" s="62"/>
      <c r="HE51" s="62"/>
      <c r="HF51" s="62"/>
      <c r="HG51" s="62"/>
      <c r="HH51" s="62"/>
      <c r="HI51" s="62"/>
      <c r="HJ51" s="62"/>
      <c r="HK51" s="62"/>
      <c r="HL51" s="62"/>
      <c r="HM51" s="62"/>
      <c r="HN51" s="62"/>
      <c r="HO51" s="62"/>
      <c r="HP51" s="62"/>
      <c r="HQ51" s="62"/>
      <c r="HR51" s="62"/>
      <c r="HS51" s="62"/>
      <c r="HT51" s="62"/>
      <c r="HU51" s="62"/>
      <c r="HV51" s="62"/>
      <c r="HW51" s="62"/>
      <c r="HX51" s="62"/>
      <c r="HY51" s="62"/>
      <c r="HZ51" s="62"/>
      <c r="IA51" s="62"/>
      <c r="IB51" s="62"/>
      <c r="IC51" s="62"/>
      <c r="ID51" s="62"/>
      <c r="IE51" s="62"/>
      <c r="IF51" s="62"/>
      <c r="IG51" s="62"/>
      <c r="IH51" s="62"/>
      <c r="II51" s="62"/>
      <c r="IJ51" s="62"/>
      <c r="IK51" s="62"/>
      <c r="IL51" s="62"/>
      <c r="IM51" s="62"/>
      <c r="IN51" s="62"/>
      <c r="IO51" s="62"/>
      <c r="IP51" s="62"/>
      <c r="IQ51" s="62"/>
      <c r="IR51" s="62"/>
    </row>
    <row r="52" spans="1:678" s="51" customFormat="1" x14ac:dyDescent="0.3">
      <c r="B52" s="24" t="s">
        <v>61</v>
      </c>
      <c r="C52" s="59" t="s">
        <v>51</v>
      </c>
      <c r="D52" s="59" t="s">
        <v>55</v>
      </c>
      <c r="E52" s="63">
        <f>E50*E51</f>
        <v>1036769.8480000001</v>
      </c>
      <c r="F52" s="63">
        <f>F50*F51</f>
        <v>1915177.452</v>
      </c>
      <c r="G52" s="63">
        <f t="shared" ref="G52:AH52" si="34">G50*G51</f>
        <v>1981154.2640000002</v>
      </c>
      <c r="H52" s="63">
        <f t="shared" si="34"/>
        <v>2215954.3680000002</v>
      </c>
      <c r="I52" s="63">
        <f t="shared" si="34"/>
        <v>2110289.3640000001</v>
      </c>
      <c r="J52" s="63">
        <f t="shared" si="34"/>
        <v>1781245.2680000002</v>
      </c>
      <c r="K52" s="63">
        <f t="shared" si="34"/>
        <v>1846695.3120000002</v>
      </c>
      <c r="L52" s="63">
        <f t="shared" si="34"/>
        <v>1848635.3120000002</v>
      </c>
      <c r="M52" s="64">
        <f t="shared" si="34"/>
        <v>1887546.0280000002</v>
      </c>
      <c r="N52" s="63">
        <f t="shared" si="34"/>
        <v>1796225.5480000002</v>
      </c>
      <c r="O52" s="63">
        <f t="shared" si="34"/>
        <v>811142.60400000005</v>
      </c>
      <c r="P52" s="63">
        <f t="shared" si="34"/>
        <v>691140.076</v>
      </c>
      <c r="Q52" s="63">
        <f t="shared" si="34"/>
        <v>807277.17600000009</v>
      </c>
      <c r="R52" s="63">
        <f>R50*R51</f>
        <v>909717.74400000006</v>
      </c>
      <c r="S52" s="63">
        <f>S50*S51</f>
        <v>757043.84000000008</v>
      </c>
      <c r="T52" s="63">
        <f>T50*T51</f>
        <v>896178.60000000009</v>
      </c>
      <c r="U52" s="63">
        <f>U50*U51</f>
        <v>811093.3600000001</v>
      </c>
      <c r="V52" s="63">
        <f t="shared" si="34"/>
        <v>657400.26</v>
      </c>
      <c r="W52" s="63">
        <f t="shared" si="34"/>
        <v>0</v>
      </c>
      <c r="X52" s="63">
        <f t="shared" si="34"/>
        <v>457321.92000000004</v>
      </c>
      <c r="Y52" s="63">
        <f t="shared" si="34"/>
        <v>931422.88800000004</v>
      </c>
      <c r="Z52" s="63">
        <f t="shared" si="34"/>
        <v>767163.41200000001</v>
      </c>
      <c r="AA52" s="63">
        <f t="shared" si="34"/>
        <v>701719.076</v>
      </c>
      <c r="AB52" s="63">
        <f t="shared" si="34"/>
        <v>901692</v>
      </c>
      <c r="AC52" s="63">
        <f t="shared" si="34"/>
        <v>857412</v>
      </c>
      <c r="AD52" s="63">
        <f t="shared" si="34"/>
        <v>827446</v>
      </c>
      <c r="AE52" s="63">
        <f t="shared" si="34"/>
        <v>814148</v>
      </c>
      <c r="AF52" s="63">
        <f t="shared" si="34"/>
        <v>785402</v>
      </c>
      <c r="AG52" s="63">
        <f t="shared" si="34"/>
        <v>748842</v>
      </c>
      <c r="AH52" s="63">
        <f t="shared" si="34"/>
        <v>824320</v>
      </c>
      <c r="AI52" s="61">
        <f>SUM(E52:AH52)</f>
        <v>33377575.720000006</v>
      </c>
      <c r="AJ5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2"/>
      <c r="BJ52" s="62"/>
      <c r="BK52" s="62"/>
      <c r="BL52" s="62"/>
      <c r="BM52" s="62"/>
      <c r="BN52" s="62"/>
      <c r="BO52" s="62"/>
      <c r="BP52" s="62"/>
      <c r="BQ52" s="62"/>
      <c r="BR52" s="62"/>
      <c r="BS52" s="62"/>
      <c r="BT52" s="62"/>
      <c r="BU52" s="62"/>
      <c r="BV52" s="62"/>
      <c r="BW52" s="62"/>
      <c r="BX52" s="62"/>
      <c r="BY52" s="62"/>
      <c r="BZ52" s="62"/>
      <c r="CA52" s="62"/>
      <c r="CB52" s="62"/>
      <c r="CC52" s="62"/>
      <c r="CD52" s="62"/>
      <c r="CE52" s="62"/>
      <c r="CF52" s="62"/>
      <c r="CG52" s="62"/>
      <c r="CH52" s="62"/>
      <c r="CI52" s="62"/>
      <c r="CJ52" s="62"/>
      <c r="CK52" s="62"/>
      <c r="CL52" s="62"/>
      <c r="CM52" s="62"/>
      <c r="CN52" s="62"/>
      <c r="CO52" s="62"/>
      <c r="CP52" s="62"/>
      <c r="CQ52" s="62"/>
      <c r="CR52" s="62"/>
      <c r="CS52" s="62"/>
      <c r="CT52" s="62"/>
      <c r="CU52" s="62"/>
      <c r="CV52" s="62"/>
      <c r="CW52" s="62"/>
      <c r="CX52" s="62"/>
      <c r="CY52" s="62"/>
      <c r="CZ52" s="62"/>
      <c r="DA52" s="62"/>
      <c r="DB52" s="62"/>
      <c r="DC52" s="62"/>
      <c r="DD52" s="62"/>
      <c r="DE52" s="62"/>
      <c r="DF52" s="62"/>
      <c r="DG52" s="62"/>
      <c r="DH52" s="62"/>
      <c r="DI52" s="62"/>
      <c r="DJ52" s="62"/>
      <c r="DK52" s="62"/>
      <c r="DL52" s="62"/>
      <c r="DM52" s="62"/>
      <c r="DN52" s="62"/>
      <c r="DO52" s="62"/>
      <c r="DP52" s="62"/>
      <c r="DQ52" s="62"/>
      <c r="DR52" s="62"/>
      <c r="DS52" s="62"/>
      <c r="DT52" s="62"/>
      <c r="DU52" s="62"/>
      <c r="DV52" s="62"/>
      <c r="DW52" s="62"/>
      <c r="DX52" s="62"/>
      <c r="DY52" s="62"/>
      <c r="DZ52" s="62"/>
      <c r="EA52" s="62"/>
      <c r="EB52" s="62"/>
      <c r="EC52" s="62"/>
      <c r="ED52" s="62"/>
      <c r="EE52" s="62"/>
      <c r="EF52" s="62"/>
      <c r="EG52" s="62"/>
      <c r="EH52" s="62"/>
      <c r="EI52" s="62"/>
      <c r="EJ52" s="62"/>
      <c r="EK52" s="62"/>
      <c r="EL52" s="62"/>
      <c r="EM52" s="62"/>
      <c r="EN52" s="62"/>
      <c r="EO52" s="62"/>
      <c r="EP52" s="62"/>
      <c r="EQ52" s="62"/>
      <c r="ER52" s="62"/>
      <c r="ES52" s="62"/>
      <c r="ET52" s="62"/>
      <c r="EU52" s="62"/>
      <c r="EV52" s="62"/>
      <c r="EW52" s="62"/>
      <c r="EX52" s="62"/>
      <c r="EY52" s="62"/>
      <c r="EZ52" s="62"/>
      <c r="FA52" s="62"/>
      <c r="FB52" s="62"/>
      <c r="FC52" s="62"/>
      <c r="FD52" s="62"/>
      <c r="FE52" s="62"/>
      <c r="FF52" s="62"/>
      <c r="FG52" s="62"/>
      <c r="FH52" s="62"/>
      <c r="FI52" s="62"/>
      <c r="FJ52" s="62"/>
      <c r="FK52" s="62"/>
      <c r="FL52" s="62"/>
      <c r="FM52" s="62"/>
      <c r="FN52" s="62"/>
      <c r="FO52" s="62"/>
      <c r="FP52" s="62"/>
      <c r="FQ52" s="62"/>
      <c r="FR52" s="62"/>
      <c r="FS52" s="62"/>
      <c r="FT52" s="62"/>
      <c r="FU52" s="62"/>
      <c r="FV52" s="62"/>
      <c r="FW52" s="62"/>
      <c r="FX52" s="62"/>
      <c r="FY52" s="62"/>
      <c r="FZ52" s="62"/>
      <c r="GA52" s="62"/>
      <c r="GB52" s="62"/>
      <c r="GC52" s="62"/>
      <c r="GD52" s="62"/>
      <c r="GE52" s="62"/>
      <c r="GF52" s="62"/>
      <c r="GG52" s="62"/>
      <c r="GH52" s="62"/>
      <c r="GI52" s="62"/>
      <c r="GJ52" s="62"/>
      <c r="GK52" s="62"/>
      <c r="GL52" s="62"/>
      <c r="GM52" s="62"/>
      <c r="GN52" s="62"/>
      <c r="GO52" s="62"/>
      <c r="GP52" s="62"/>
      <c r="GQ52" s="62"/>
      <c r="GR52" s="62"/>
      <c r="GS52" s="62"/>
      <c r="GT52" s="62"/>
      <c r="GU52" s="62"/>
      <c r="GV52" s="62"/>
      <c r="GW52" s="62"/>
      <c r="GX52" s="62"/>
      <c r="GY52" s="62"/>
      <c r="GZ52" s="62"/>
      <c r="HA52" s="62"/>
      <c r="HB52" s="62"/>
      <c r="HC52" s="62"/>
      <c r="HD52" s="62"/>
      <c r="HE52" s="62"/>
      <c r="HF52" s="62"/>
      <c r="HG52" s="62"/>
      <c r="HH52" s="62"/>
      <c r="HI52" s="62"/>
      <c r="HJ52" s="62"/>
      <c r="HK52" s="62"/>
      <c r="HL52" s="62"/>
      <c r="HM52" s="62"/>
      <c r="HN52" s="62"/>
      <c r="HO52" s="62"/>
      <c r="HP52" s="62"/>
      <c r="HQ52" s="62"/>
      <c r="HR52" s="62"/>
      <c r="HS52" s="62"/>
      <c r="HT52" s="62"/>
      <c r="HU52" s="62"/>
      <c r="HV52" s="62"/>
      <c r="HW52" s="62"/>
      <c r="HX52" s="62"/>
      <c r="HY52" s="62"/>
      <c r="HZ52" s="62"/>
      <c r="IA52" s="62"/>
      <c r="IB52" s="62"/>
      <c r="IC52" s="62"/>
      <c r="ID52" s="62"/>
      <c r="IE52" s="62"/>
      <c r="IF52" s="62"/>
      <c r="IG52" s="62"/>
      <c r="IH52" s="62"/>
      <c r="II52" s="62"/>
      <c r="IJ52" s="62"/>
      <c r="IK52" s="62"/>
      <c r="IL52" s="62"/>
      <c r="IM52" s="62"/>
      <c r="IN52" s="62"/>
      <c r="IO52" s="62"/>
      <c r="IP52" s="62"/>
      <c r="IQ52" s="62"/>
      <c r="IR52" s="62"/>
    </row>
    <row r="53" spans="1:678" x14ac:dyDescent="0.3">
      <c r="A53" s="19">
        <v>14</v>
      </c>
      <c r="B53" s="44" t="s">
        <v>62</v>
      </c>
      <c r="C53" s="15"/>
      <c r="D53" s="15"/>
      <c r="E53" s="21">
        <f>E52/E43</f>
        <v>0.18596851967946046</v>
      </c>
      <c r="F53" s="21">
        <f>F52/F43</f>
        <v>0.30447605289589674</v>
      </c>
      <c r="G53" s="21">
        <f>G52/G43</f>
        <v>0.29172906679295008</v>
      </c>
      <c r="H53" s="21">
        <f>H52/H43</f>
        <v>0.33407955538764134</v>
      </c>
      <c r="I53" s="21">
        <f>I52/I43</f>
        <v>0.31526236749591707</v>
      </c>
      <c r="J53" s="21">
        <f>J52/(J84*J78)</f>
        <v>0.25840761125411116</v>
      </c>
      <c r="K53" s="21">
        <f>K52/(K84*K78)</f>
        <v>0.2712145177606527</v>
      </c>
      <c r="L53" s="21">
        <f>L52/(L84*L78)</f>
        <v>0.26911537355167281</v>
      </c>
      <c r="M53" s="65">
        <f>M52/(M84*M78)</f>
        <v>0.27554949843185139</v>
      </c>
      <c r="N53" s="21">
        <f t="shared" ref="N53:AH53" si="35">N52/N43</f>
        <v>0.26483173722460113</v>
      </c>
      <c r="O53" s="21">
        <f t="shared" si="35"/>
        <v>0.12104344143452597</v>
      </c>
      <c r="P53" s="21">
        <f t="shared" si="35"/>
        <v>0.11495610764257605</v>
      </c>
      <c r="Q53" s="21">
        <f t="shared" si="35"/>
        <v>0.12807300224740922</v>
      </c>
      <c r="R53" s="21">
        <f t="shared" si="35"/>
        <v>0.14293739238070727</v>
      </c>
      <c r="S53" s="21">
        <f t="shared" si="35"/>
        <v>0.11947744192935585</v>
      </c>
      <c r="T53" s="21">
        <f>T52/T43</f>
        <v>0.14254046026144443</v>
      </c>
      <c r="U53" s="21">
        <f t="shared" si="35"/>
        <v>0.12490489571603193</v>
      </c>
      <c r="V53" s="21">
        <f t="shared" si="35"/>
        <v>0.12771977740165152</v>
      </c>
      <c r="W53" s="21" t="e">
        <f t="shared" si="35"/>
        <v>#DIV/0!</v>
      </c>
      <c r="X53" s="21">
        <f t="shared" si="35"/>
        <v>0.13931664091478485</v>
      </c>
      <c r="Y53" s="21">
        <f t="shared" si="35"/>
        <v>0.13523596317066675</v>
      </c>
      <c r="Z53" s="21">
        <f t="shared" si="35"/>
        <v>0.10963360849937645</v>
      </c>
      <c r="AA53" s="21">
        <f t="shared" si="35"/>
        <v>0.10240054320282155</v>
      </c>
      <c r="AB53" s="21">
        <f t="shared" si="35"/>
        <v>0.13013135489200531</v>
      </c>
      <c r="AC53" s="21">
        <f t="shared" si="35"/>
        <v>0.12659218000819428</v>
      </c>
      <c r="AD53" s="21">
        <f t="shared" si="35"/>
        <v>0.12233361837817763</v>
      </c>
      <c r="AE53" s="21">
        <f t="shared" si="35"/>
        <v>0.11748233503767193</v>
      </c>
      <c r="AF53" s="21">
        <f t="shared" si="35"/>
        <v>0.11321994453476582</v>
      </c>
      <c r="AG53" s="21">
        <f t="shared" si="35"/>
        <v>0.10963706719725221</v>
      </c>
      <c r="AH53" s="21">
        <f t="shared" si="35"/>
        <v>0.11921920905621694</v>
      </c>
      <c r="AI53" s="16">
        <f>AI52/AI43</f>
        <v>0.17760631085376569</v>
      </c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2"/>
      <c r="BH53" s="62"/>
      <c r="BI53" s="62"/>
      <c r="BJ53" s="62"/>
      <c r="BK53" s="62"/>
      <c r="BL53" s="62"/>
      <c r="BM53" s="62"/>
      <c r="BN53" s="62"/>
      <c r="BO53" s="62"/>
      <c r="BP53" s="62"/>
      <c r="BQ53" s="62"/>
      <c r="BR53" s="62"/>
      <c r="BS53" s="62"/>
      <c r="BT53" s="62"/>
      <c r="BU53" s="62"/>
      <c r="BV53" s="62"/>
      <c r="BW53" s="62"/>
      <c r="BX53" s="62"/>
      <c r="BY53" s="62"/>
      <c r="BZ53" s="62"/>
      <c r="CA53" s="62"/>
      <c r="CB53" s="62"/>
      <c r="CC53" s="62"/>
      <c r="CD53" s="62"/>
      <c r="CE53" s="62"/>
      <c r="CF53" s="62"/>
      <c r="CG53" s="62"/>
      <c r="CH53" s="62"/>
      <c r="CI53" s="62"/>
      <c r="CJ53" s="62"/>
      <c r="CK53" s="62"/>
      <c r="CL53" s="62"/>
      <c r="CM53" s="62"/>
      <c r="CN53" s="62"/>
      <c r="CO53" s="62"/>
      <c r="CP53" s="62"/>
      <c r="CQ53" s="62"/>
      <c r="CR53" s="62"/>
      <c r="CS53" s="62"/>
      <c r="CT53" s="62"/>
      <c r="CU53" s="62"/>
      <c r="CV53" s="62"/>
      <c r="CW53" s="62"/>
      <c r="CX53" s="62"/>
      <c r="CY53" s="62"/>
      <c r="CZ53" s="62"/>
      <c r="DA53" s="62"/>
      <c r="DB53" s="62"/>
      <c r="DC53" s="62"/>
      <c r="DD53" s="62"/>
      <c r="DE53" s="62"/>
      <c r="DF53" s="62"/>
      <c r="DG53" s="62"/>
      <c r="DH53" s="62"/>
      <c r="DI53" s="62"/>
      <c r="DJ53" s="62"/>
      <c r="DK53" s="62"/>
      <c r="DL53" s="62"/>
      <c r="DM53" s="62"/>
      <c r="DN53" s="62"/>
      <c r="DO53" s="62"/>
      <c r="DP53" s="62"/>
      <c r="DQ53" s="62"/>
      <c r="DR53" s="62"/>
      <c r="DS53" s="62"/>
      <c r="DT53" s="62"/>
      <c r="DU53" s="62"/>
      <c r="DV53" s="62"/>
      <c r="DW53" s="62"/>
      <c r="DX53" s="62"/>
      <c r="DY53" s="62"/>
      <c r="DZ53" s="62"/>
      <c r="EA53" s="62"/>
      <c r="EB53" s="62"/>
      <c r="EC53" s="62"/>
      <c r="ED53" s="62"/>
      <c r="EE53" s="62"/>
      <c r="EF53" s="62"/>
      <c r="EG53" s="62"/>
      <c r="EH53" s="62"/>
      <c r="EI53" s="62"/>
      <c r="EJ53" s="62"/>
      <c r="EK53" s="62"/>
      <c r="EL53" s="62"/>
      <c r="EM53" s="62"/>
      <c r="EN53" s="62"/>
      <c r="EO53" s="62"/>
      <c r="EP53" s="62"/>
      <c r="EQ53" s="62"/>
      <c r="ER53" s="62"/>
      <c r="ES53" s="62"/>
      <c r="ET53" s="62"/>
      <c r="EU53" s="62"/>
      <c r="EV53" s="62"/>
      <c r="EW53" s="62"/>
      <c r="EX53" s="62"/>
      <c r="EY53" s="62"/>
      <c r="EZ53" s="62"/>
      <c r="FA53" s="62"/>
      <c r="FB53" s="62"/>
      <c r="FC53" s="62"/>
      <c r="FD53" s="62"/>
      <c r="FE53" s="62"/>
      <c r="FF53" s="62"/>
      <c r="FG53" s="62"/>
      <c r="FH53" s="62"/>
      <c r="FI53" s="62"/>
      <c r="FJ53" s="62"/>
      <c r="FK53" s="62"/>
      <c r="FL53" s="62"/>
      <c r="FM53" s="62"/>
      <c r="FN53" s="62"/>
      <c r="FO53" s="62"/>
      <c r="FP53" s="62"/>
      <c r="FQ53" s="62"/>
      <c r="FR53" s="62"/>
      <c r="FS53" s="62"/>
      <c r="FT53" s="62"/>
      <c r="FU53" s="62"/>
      <c r="FV53" s="62"/>
      <c r="FW53" s="62"/>
      <c r="FX53" s="62"/>
      <c r="FY53" s="62"/>
      <c r="FZ53" s="62"/>
      <c r="GA53" s="62"/>
      <c r="GB53" s="62"/>
      <c r="GC53" s="62"/>
      <c r="GD53" s="62"/>
      <c r="GE53" s="62"/>
      <c r="GF53" s="62"/>
      <c r="GG53" s="62"/>
      <c r="GH53" s="62"/>
      <c r="GI53" s="62"/>
      <c r="GJ53" s="62"/>
      <c r="GK53" s="62"/>
      <c r="GL53" s="62"/>
      <c r="GM53" s="62"/>
      <c r="GN53" s="62"/>
      <c r="GO53" s="62"/>
      <c r="GP53" s="62"/>
      <c r="GQ53" s="62"/>
      <c r="GR53" s="62"/>
      <c r="GS53" s="62"/>
      <c r="GT53" s="62"/>
      <c r="GU53" s="62"/>
      <c r="GV53" s="62"/>
      <c r="GW53" s="62"/>
      <c r="GX53" s="62"/>
      <c r="GY53" s="62"/>
      <c r="GZ53" s="62"/>
      <c r="HA53" s="62"/>
      <c r="HB53" s="62"/>
      <c r="HC53" s="62"/>
      <c r="HD53" s="62"/>
      <c r="HE53" s="62"/>
      <c r="HF53" s="62"/>
      <c r="HG53" s="62"/>
      <c r="HH53" s="62"/>
      <c r="HI53" s="62"/>
      <c r="HJ53" s="62"/>
      <c r="HK53" s="62"/>
      <c r="HL53" s="62"/>
      <c r="HM53" s="62"/>
      <c r="HN53" s="62"/>
      <c r="HO53" s="62"/>
      <c r="HP53" s="62"/>
      <c r="HQ53" s="62"/>
      <c r="HR53" s="62"/>
      <c r="HS53" s="62"/>
      <c r="HT53" s="62"/>
      <c r="HU53" s="62"/>
      <c r="HV53" s="62"/>
      <c r="HW53" s="62"/>
      <c r="HX53" s="62"/>
      <c r="HY53" s="62"/>
      <c r="HZ53" s="62"/>
      <c r="IA53" s="62"/>
      <c r="IB53" s="62"/>
      <c r="IC53" s="62"/>
      <c r="ID53" s="62"/>
      <c r="IE53" s="62"/>
      <c r="IF53" s="62"/>
      <c r="IG53" s="62"/>
      <c r="IH53" s="62"/>
      <c r="II53" s="62"/>
      <c r="IJ53" s="62"/>
      <c r="IK53" s="62"/>
      <c r="IL53" s="62"/>
      <c r="IM53" s="62"/>
      <c r="IN53" s="62"/>
      <c r="IO53" s="62"/>
      <c r="IP53" s="62"/>
      <c r="IQ53" s="62"/>
      <c r="IR53" s="62"/>
    </row>
    <row r="54" spans="1:678" x14ac:dyDescent="0.3">
      <c r="A54" s="24"/>
      <c r="B54" s="24" t="s">
        <v>50</v>
      </c>
      <c r="C54" s="10" t="s">
        <v>51</v>
      </c>
      <c r="D54" s="10" t="s">
        <v>7</v>
      </c>
      <c r="E54" s="10">
        <v>174</v>
      </c>
      <c r="F54" s="10">
        <v>150</v>
      </c>
      <c r="G54" s="10">
        <v>172</v>
      </c>
      <c r="H54" s="10">
        <v>176</v>
      </c>
      <c r="I54" s="10">
        <v>92</v>
      </c>
      <c r="J54" s="10">
        <v>104</v>
      </c>
      <c r="K54" s="10">
        <v>99</v>
      </c>
      <c r="L54" s="10">
        <v>98</v>
      </c>
      <c r="M54" s="10">
        <v>100</v>
      </c>
      <c r="N54" s="55">
        <v>95</v>
      </c>
      <c r="O54" s="55">
        <v>102</v>
      </c>
      <c r="P54" s="55">
        <v>104</v>
      </c>
      <c r="Q54" s="55">
        <v>101</v>
      </c>
      <c r="R54" s="55">
        <v>104</v>
      </c>
      <c r="S54" s="55">
        <v>93</v>
      </c>
      <c r="T54" s="10">
        <v>102</v>
      </c>
      <c r="U54" s="10">
        <v>99</v>
      </c>
      <c r="V54" s="10">
        <v>103</v>
      </c>
      <c r="W54" s="10">
        <v>101</v>
      </c>
      <c r="X54" s="10">
        <v>86</v>
      </c>
      <c r="Y54" s="10">
        <v>90</v>
      </c>
      <c r="Z54" s="10">
        <v>102</v>
      </c>
      <c r="AA54" s="22">
        <v>103</v>
      </c>
      <c r="AB54" s="22">
        <v>103</v>
      </c>
      <c r="AC54" s="22">
        <v>103</v>
      </c>
      <c r="AD54" s="53">
        <v>98</v>
      </c>
      <c r="AE54" s="53">
        <v>99</v>
      </c>
      <c r="AF54" s="22">
        <v>90</v>
      </c>
      <c r="AG54" s="22">
        <v>102</v>
      </c>
      <c r="AH54" s="22">
        <v>98</v>
      </c>
      <c r="AI54" s="28">
        <f>SUM(E54:AH54)</f>
        <v>3243</v>
      </c>
    </row>
    <row r="55" spans="1:678" x14ac:dyDescent="0.3">
      <c r="A55" s="24"/>
      <c r="B55" s="24" t="s">
        <v>52</v>
      </c>
      <c r="C55" s="10" t="s">
        <v>51</v>
      </c>
      <c r="D55" s="10"/>
      <c r="E55" s="23">
        <v>8003.08</v>
      </c>
      <c r="F55" s="23">
        <v>8009.08</v>
      </c>
      <c r="G55" s="23">
        <v>7994.08</v>
      </c>
      <c r="H55" s="23">
        <v>8004.08</v>
      </c>
      <c r="I55" s="23">
        <v>7999.08</v>
      </c>
      <c r="J55" s="23">
        <v>8004.08</v>
      </c>
      <c r="K55" s="23">
        <v>8009.08</v>
      </c>
      <c r="L55" s="23">
        <v>7999.08</v>
      </c>
      <c r="M55" s="23">
        <v>7994.08</v>
      </c>
      <c r="N55" s="55">
        <v>8004.08</v>
      </c>
      <c r="O55" s="55">
        <v>7999.08</v>
      </c>
      <c r="P55" s="55">
        <v>8009.08</v>
      </c>
      <c r="Q55" s="23">
        <v>8004.08</v>
      </c>
      <c r="R55" s="23">
        <v>7999.08</v>
      </c>
      <c r="S55" s="23">
        <v>8004.08</v>
      </c>
      <c r="T55" s="23">
        <v>8003.08</v>
      </c>
      <c r="U55" s="23">
        <v>7999.08</v>
      </c>
      <c r="V55" s="23">
        <v>8004.08</v>
      </c>
      <c r="W55" s="23">
        <v>8009.08</v>
      </c>
      <c r="X55" s="23">
        <v>8004.08</v>
      </c>
      <c r="Y55" s="23">
        <v>7999.08</v>
      </c>
      <c r="Z55" s="23">
        <v>8004.08</v>
      </c>
      <c r="AA55" s="23">
        <v>8009.08</v>
      </c>
      <c r="AB55" s="22">
        <v>8004</v>
      </c>
      <c r="AC55" s="22">
        <v>8009</v>
      </c>
      <c r="AD55" s="53">
        <v>7994</v>
      </c>
      <c r="AE55" s="53">
        <v>8004</v>
      </c>
      <c r="AF55" s="22">
        <v>7999</v>
      </c>
      <c r="AG55" s="22">
        <v>8004</v>
      </c>
      <c r="AH55" s="22">
        <v>8003</v>
      </c>
      <c r="AI55" s="28">
        <f>SUM(E55:AH55)</f>
        <v>240083.83999999994</v>
      </c>
    </row>
    <row r="56" spans="1:678" x14ac:dyDescent="0.3">
      <c r="A56" s="24"/>
      <c r="B56" s="24" t="s">
        <v>53</v>
      </c>
      <c r="C56" s="10" t="s">
        <v>51</v>
      </c>
      <c r="D56" s="10"/>
      <c r="E56" s="23">
        <f>E77*E89</f>
        <v>4994642.5</v>
      </c>
      <c r="F56" s="23">
        <f>F77*F89</f>
        <v>5122848</v>
      </c>
      <c r="G56" s="23">
        <f t="shared" ref="G56:AH56" si="36">G77*G89</f>
        <v>5093805.3999999994</v>
      </c>
      <c r="H56" s="23">
        <f>H77*H89</f>
        <v>5064412</v>
      </c>
      <c r="I56" s="23">
        <f t="shared" si="36"/>
        <v>5231612</v>
      </c>
      <c r="J56" s="23">
        <f t="shared" si="36"/>
        <v>5274964.8</v>
      </c>
      <c r="K56" s="23">
        <f t="shared" si="36"/>
        <v>5071404.8</v>
      </c>
      <c r="L56" s="23">
        <f t="shared" si="36"/>
        <v>5087140.8</v>
      </c>
      <c r="M56" s="42">
        <f t="shared" si="36"/>
        <v>5206344</v>
      </c>
      <c r="N56" s="23">
        <f t="shared" si="36"/>
        <v>5045382</v>
      </c>
      <c r="O56" s="23">
        <f t="shared" si="36"/>
        <v>5266990</v>
      </c>
      <c r="P56" s="23">
        <f t="shared" si="36"/>
        <v>5287928</v>
      </c>
      <c r="Q56" s="23">
        <f t="shared" si="36"/>
        <v>5206336.8</v>
      </c>
      <c r="R56" s="23">
        <f t="shared" si="36"/>
        <v>5299526.3999999994</v>
      </c>
      <c r="S56" s="23">
        <f t="shared" si="36"/>
        <v>5287680</v>
      </c>
      <c r="T56" s="23">
        <f t="shared" si="36"/>
        <v>5246096.8</v>
      </c>
      <c r="U56" s="23">
        <f>U77*U89</f>
        <v>5203454</v>
      </c>
      <c r="V56" s="23">
        <f t="shared" si="36"/>
        <v>5364240</v>
      </c>
      <c r="W56" s="23">
        <f>W77*W89</f>
        <v>5334582</v>
      </c>
      <c r="X56" s="23">
        <f t="shared" si="36"/>
        <v>4529805</v>
      </c>
      <c r="Y56" s="23">
        <f t="shared" si="36"/>
        <v>5198410</v>
      </c>
      <c r="Z56" s="23">
        <f t="shared" si="36"/>
        <v>5252595</v>
      </c>
      <c r="AA56" s="23">
        <f t="shared" si="36"/>
        <v>5283413.5999999996</v>
      </c>
      <c r="AB56" s="23">
        <f t="shared" si="36"/>
        <v>5286240</v>
      </c>
      <c r="AC56" s="23">
        <f t="shared" si="36"/>
        <v>5266080</v>
      </c>
      <c r="AD56" s="23">
        <f t="shared" si="36"/>
        <v>5191920</v>
      </c>
      <c r="AE56" s="23">
        <f t="shared" si="36"/>
        <v>5085934</v>
      </c>
      <c r="AF56" s="23">
        <f t="shared" si="36"/>
        <v>4590810</v>
      </c>
      <c r="AG56" s="23">
        <f t="shared" si="36"/>
        <v>5200573</v>
      </c>
      <c r="AH56" s="23">
        <f t="shared" si="36"/>
        <v>5290914</v>
      </c>
      <c r="AI56" s="28">
        <f>SUM(E56:AH56)</f>
        <v>154866084.89999998</v>
      </c>
    </row>
    <row r="57" spans="1:678" s="51" customFormat="1" x14ac:dyDescent="0.3">
      <c r="A57" s="58"/>
      <c r="B57" s="58" t="s">
        <v>54</v>
      </c>
      <c r="C57" s="59" t="s">
        <v>51</v>
      </c>
      <c r="D57" s="59"/>
      <c r="E57" s="67">
        <f>E55*E54</f>
        <v>1392535.92</v>
      </c>
      <c r="F57" s="67">
        <f t="shared" ref="F57:AH57" si="37">F55*F54</f>
        <v>1201362</v>
      </c>
      <c r="G57" s="67">
        <f t="shared" si="37"/>
        <v>1374981.76</v>
      </c>
      <c r="H57" s="67">
        <f>H55*H54</f>
        <v>1408718.08</v>
      </c>
      <c r="I57" s="67">
        <f t="shared" si="37"/>
        <v>735915.36</v>
      </c>
      <c r="J57" s="67">
        <f t="shared" si="37"/>
        <v>832424.32</v>
      </c>
      <c r="K57" s="67">
        <f t="shared" si="37"/>
        <v>792898.92</v>
      </c>
      <c r="L57" s="67">
        <f t="shared" si="37"/>
        <v>783909.84</v>
      </c>
      <c r="M57" s="68">
        <f t="shared" si="37"/>
        <v>799408</v>
      </c>
      <c r="N57" s="68">
        <f t="shared" si="37"/>
        <v>760387.6</v>
      </c>
      <c r="O57" s="68">
        <f t="shared" si="37"/>
        <v>815906.16</v>
      </c>
      <c r="P57" s="68">
        <f t="shared" si="37"/>
        <v>832944.32</v>
      </c>
      <c r="Q57" s="68">
        <f t="shared" si="37"/>
        <v>808412.08</v>
      </c>
      <c r="R57" s="68">
        <f t="shared" si="37"/>
        <v>831904.32</v>
      </c>
      <c r="S57" s="68">
        <f t="shared" si="37"/>
        <v>744379.44</v>
      </c>
      <c r="T57" s="68">
        <f t="shared" si="37"/>
        <v>816314.16</v>
      </c>
      <c r="U57" s="68">
        <f t="shared" si="37"/>
        <v>791908.92</v>
      </c>
      <c r="V57" s="67">
        <f t="shared" si="37"/>
        <v>824420.24</v>
      </c>
      <c r="W57" s="67">
        <f t="shared" si="37"/>
        <v>808917.08</v>
      </c>
      <c r="X57" s="67">
        <f t="shared" si="37"/>
        <v>688350.88</v>
      </c>
      <c r="Y57" s="67">
        <f t="shared" si="37"/>
        <v>719917.2</v>
      </c>
      <c r="Z57" s="67">
        <f t="shared" si="37"/>
        <v>816416.16</v>
      </c>
      <c r="AA57" s="67">
        <f t="shared" si="37"/>
        <v>824935.24</v>
      </c>
      <c r="AB57" s="67">
        <f t="shared" si="37"/>
        <v>824412</v>
      </c>
      <c r="AC57" s="67">
        <f t="shared" si="37"/>
        <v>824927</v>
      </c>
      <c r="AD57" s="67">
        <f t="shared" si="37"/>
        <v>783412</v>
      </c>
      <c r="AE57" s="67">
        <f t="shared" si="37"/>
        <v>792396</v>
      </c>
      <c r="AF57" s="67">
        <f t="shared" si="37"/>
        <v>719910</v>
      </c>
      <c r="AG57" s="67">
        <f t="shared" si="37"/>
        <v>816408</v>
      </c>
      <c r="AH57" s="67">
        <f t="shared" si="37"/>
        <v>784294</v>
      </c>
      <c r="AI57" s="61">
        <f>SUM(E57:AH57)</f>
        <v>25953026.999999996</v>
      </c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</row>
    <row r="58" spans="1:678" s="19" customFormat="1" x14ac:dyDescent="0.3">
      <c r="A58" s="44"/>
      <c r="B58" s="44" t="s">
        <v>222</v>
      </c>
      <c r="C58" s="15" t="s">
        <v>51</v>
      </c>
      <c r="D58" s="15" t="s">
        <v>7</v>
      </c>
      <c r="E58" s="56">
        <f>E57/E56</f>
        <v>0.27880592454815334</v>
      </c>
      <c r="F58" s="56">
        <f>F57/F56</f>
        <v>0.23451056912092649</v>
      </c>
      <c r="G58" s="56">
        <f t="shared" ref="G58:AH58" si="38">G57/G56</f>
        <v>0.26993213364609497</v>
      </c>
      <c r="H58" s="56">
        <f t="shared" si="38"/>
        <v>0.27816024446668242</v>
      </c>
      <c r="I58" s="56">
        <f t="shared" si="38"/>
        <v>0.14066703723441265</v>
      </c>
      <c r="J58" s="56">
        <f t="shared" si="38"/>
        <v>0.15780661133511259</v>
      </c>
      <c r="K58" s="56">
        <f t="shared" si="38"/>
        <v>0.15634699876452379</v>
      </c>
      <c r="L58" s="56">
        <f t="shared" si="38"/>
        <v>0.1540963521198391</v>
      </c>
      <c r="M58" s="56">
        <f t="shared" si="38"/>
        <v>0.1535449828132755</v>
      </c>
      <c r="N58" s="56">
        <f t="shared" si="38"/>
        <v>0.15070961921218254</v>
      </c>
      <c r="O58" s="56">
        <f t="shared" si="38"/>
        <v>0.15490938087978143</v>
      </c>
      <c r="P58" s="56">
        <f t="shared" si="38"/>
        <v>0.15751809026144076</v>
      </c>
      <c r="Q58" s="56">
        <f t="shared" si="38"/>
        <v>0.1552746414715237</v>
      </c>
      <c r="R58" s="56">
        <f t="shared" si="38"/>
        <v>0.15697710648257174</v>
      </c>
      <c r="S58" s="56">
        <f t="shared" si="38"/>
        <v>0.14077618917937545</v>
      </c>
      <c r="T58" s="56">
        <f t="shared" si="38"/>
        <v>0.15560409788854832</v>
      </c>
      <c r="U58" s="56">
        <f t="shared" si="38"/>
        <v>0.15218908824792149</v>
      </c>
      <c r="V58" s="56">
        <f t="shared" si="38"/>
        <v>0.15368817204301075</v>
      </c>
      <c r="W58" s="56">
        <f t="shared" si="38"/>
        <v>0.15163645061599954</v>
      </c>
      <c r="X58" s="56">
        <f t="shared" si="38"/>
        <v>0.15196037798536582</v>
      </c>
      <c r="Y58" s="56">
        <f t="shared" si="38"/>
        <v>0.13848796074184222</v>
      </c>
      <c r="Z58" s="56">
        <f t="shared" si="38"/>
        <v>0.15543101267087983</v>
      </c>
      <c r="AA58" s="56">
        <f t="shared" si="38"/>
        <v>0.15613679004800987</v>
      </c>
      <c r="AB58" s="56">
        <f t="shared" si="38"/>
        <v>0.15595432670480341</v>
      </c>
      <c r="AC58" s="56">
        <f t="shared" si="38"/>
        <v>0.1566491583872634</v>
      </c>
      <c r="AD58" s="56">
        <f t="shared" si="38"/>
        <v>0.15089061464737516</v>
      </c>
      <c r="AE58" s="56">
        <f t="shared" si="38"/>
        <v>0.15580147127351632</v>
      </c>
      <c r="AF58" s="56">
        <f t="shared" si="38"/>
        <v>0.15681546393773649</v>
      </c>
      <c r="AG58" s="56">
        <f t="shared" si="38"/>
        <v>0.15698424000586089</v>
      </c>
      <c r="AH58" s="56">
        <f t="shared" si="38"/>
        <v>0.14823412363156913</v>
      </c>
      <c r="AI58" s="16">
        <f>AI57/AI56</f>
        <v>0.16758367086478856</v>
      </c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</row>
    <row r="59" spans="1:678" x14ac:dyDescent="0.3">
      <c r="A59" s="24"/>
      <c r="B59" s="24" t="s">
        <v>213</v>
      </c>
      <c r="C59" s="10" t="s">
        <v>51</v>
      </c>
      <c r="D59" s="10"/>
      <c r="E59" s="55">
        <v>348</v>
      </c>
      <c r="F59" s="55">
        <v>323</v>
      </c>
      <c r="G59" s="55">
        <v>345</v>
      </c>
      <c r="H59" s="55">
        <v>353</v>
      </c>
      <c r="I59" s="55">
        <v>368</v>
      </c>
      <c r="J59" s="55">
        <v>413</v>
      </c>
      <c r="K59" s="55">
        <v>396</v>
      </c>
      <c r="L59" s="55">
        <v>391</v>
      </c>
      <c r="M59" s="42">
        <v>400</v>
      </c>
      <c r="N59" s="55">
        <v>378</v>
      </c>
      <c r="O59" s="55">
        <v>406</v>
      </c>
      <c r="P59" s="55">
        <v>416</v>
      </c>
      <c r="Q59" s="55">
        <v>404</v>
      </c>
      <c r="R59" s="55">
        <v>415</v>
      </c>
      <c r="S59" s="55">
        <v>373</v>
      </c>
      <c r="T59" s="55">
        <v>408</v>
      </c>
      <c r="U59" s="55">
        <v>397</v>
      </c>
      <c r="V59" s="55">
        <v>413</v>
      </c>
      <c r="W59" s="55">
        <v>404</v>
      </c>
      <c r="X59" s="55">
        <v>348</v>
      </c>
      <c r="Y59" s="55">
        <v>361</v>
      </c>
      <c r="Z59" s="55">
        <v>407</v>
      </c>
      <c r="AA59" s="55">
        <v>410</v>
      </c>
      <c r="AB59" s="55">
        <v>413</v>
      </c>
      <c r="AC59" s="55">
        <v>410</v>
      </c>
      <c r="AD59" s="55">
        <v>392</v>
      </c>
      <c r="AE59" s="55">
        <v>394</v>
      </c>
      <c r="AF59" s="55">
        <v>360</v>
      </c>
      <c r="AG59" s="55">
        <v>408</v>
      </c>
      <c r="AH59" s="55">
        <v>392</v>
      </c>
      <c r="AI59" s="28">
        <f>SUM(E59:AH59)</f>
        <v>11646</v>
      </c>
    </row>
    <row r="60" spans="1:678" x14ac:dyDescent="0.3">
      <c r="A60" s="24"/>
      <c r="B60" s="24" t="s">
        <v>224</v>
      </c>
      <c r="C60" s="10" t="s">
        <v>51</v>
      </c>
      <c r="D60" s="10"/>
      <c r="E60" s="55">
        <v>4853.5240000000003</v>
      </c>
      <c r="F60" s="55">
        <v>4854.5240000000003</v>
      </c>
      <c r="G60" s="55">
        <v>4859.5240000000003</v>
      </c>
      <c r="H60" s="55">
        <v>4849.5240000000003</v>
      </c>
      <c r="I60" s="55">
        <v>4864.5240000000003</v>
      </c>
      <c r="J60" s="55">
        <v>4849.5240000000003</v>
      </c>
      <c r="K60" s="55">
        <v>4854.5240000000003</v>
      </c>
      <c r="L60" s="55">
        <v>4859.5240000000003</v>
      </c>
      <c r="M60" s="42">
        <v>4854.5240000000003</v>
      </c>
      <c r="N60" s="55">
        <v>4849.5240000000003</v>
      </c>
      <c r="O60" s="55">
        <v>4844.5240000000003</v>
      </c>
      <c r="P60" s="55">
        <v>4834.5240000000003</v>
      </c>
      <c r="Q60" s="55">
        <v>4839.5240000000003</v>
      </c>
      <c r="R60" s="55">
        <v>4829.5240000000003</v>
      </c>
      <c r="S60" s="55">
        <v>4844.5240000000003</v>
      </c>
      <c r="T60" s="55">
        <v>4854.5240000000003</v>
      </c>
      <c r="U60" s="55">
        <v>4849.5240000000003</v>
      </c>
      <c r="V60" s="55">
        <v>4839.5240000000003</v>
      </c>
      <c r="W60" s="55">
        <v>4859.5240000000003</v>
      </c>
      <c r="X60" s="55">
        <v>4849.5240000000003</v>
      </c>
      <c r="Y60" s="55">
        <v>4864.5240000000003</v>
      </c>
      <c r="Z60" s="55">
        <v>4859.5240000000003</v>
      </c>
      <c r="AA60" s="55">
        <v>4869.5240000000003</v>
      </c>
      <c r="AB60" s="55">
        <v>4865</v>
      </c>
      <c r="AC60" s="55">
        <v>4870</v>
      </c>
      <c r="AD60" s="55">
        <v>4875</v>
      </c>
      <c r="AE60" s="55">
        <v>4865</v>
      </c>
      <c r="AF60" s="55">
        <v>4870</v>
      </c>
      <c r="AG60" s="55">
        <v>4850</v>
      </c>
      <c r="AH60" s="55">
        <v>4662</v>
      </c>
      <c r="AI60" s="28">
        <f>SUM(E60:AH60)</f>
        <v>145445.05200000003</v>
      </c>
    </row>
    <row r="61" spans="1:678" x14ac:dyDescent="0.3">
      <c r="A61" s="24"/>
      <c r="B61" s="24" t="s">
        <v>214</v>
      </c>
      <c r="C61" s="10" t="s">
        <v>51</v>
      </c>
      <c r="D61" s="10"/>
      <c r="E61" s="55">
        <f t="shared" ref="E61:AH61" si="39">E60*E59</f>
        <v>1689026.3520000002</v>
      </c>
      <c r="F61" s="55">
        <f t="shared" si="39"/>
        <v>1568011.2520000001</v>
      </c>
      <c r="G61" s="55">
        <f t="shared" si="39"/>
        <v>1676535.78</v>
      </c>
      <c r="H61" s="55">
        <f t="shared" si="39"/>
        <v>1711881.9720000001</v>
      </c>
      <c r="I61" s="55">
        <f t="shared" si="39"/>
        <v>1790144.8320000002</v>
      </c>
      <c r="J61" s="55">
        <f t="shared" si="39"/>
        <v>2002853.4120000002</v>
      </c>
      <c r="K61" s="55">
        <f t="shared" si="39"/>
        <v>1922391.5040000002</v>
      </c>
      <c r="L61" s="55">
        <f t="shared" si="39"/>
        <v>1900073.8840000001</v>
      </c>
      <c r="M61" s="55">
        <f t="shared" si="39"/>
        <v>1941809.6</v>
      </c>
      <c r="N61" s="55">
        <f t="shared" si="39"/>
        <v>1833120.0720000002</v>
      </c>
      <c r="O61" s="55">
        <f t="shared" si="39"/>
        <v>1966876.7440000002</v>
      </c>
      <c r="P61" s="55">
        <f t="shared" si="39"/>
        <v>2011161.9840000002</v>
      </c>
      <c r="Q61" s="55">
        <f t="shared" si="39"/>
        <v>1955167.6960000002</v>
      </c>
      <c r="R61" s="55">
        <f t="shared" si="39"/>
        <v>2004252.4600000002</v>
      </c>
      <c r="S61" s="55">
        <f t="shared" si="39"/>
        <v>1807007.452</v>
      </c>
      <c r="T61" s="55">
        <f t="shared" si="39"/>
        <v>1980645.7920000001</v>
      </c>
      <c r="U61" s="55">
        <f t="shared" si="39"/>
        <v>1925261.0280000002</v>
      </c>
      <c r="V61" s="55">
        <f t="shared" si="39"/>
        <v>1998723.4120000002</v>
      </c>
      <c r="W61" s="55">
        <f t="shared" si="39"/>
        <v>1963247.6960000002</v>
      </c>
      <c r="X61" s="55">
        <f t="shared" si="39"/>
        <v>1687634.3520000002</v>
      </c>
      <c r="Y61" s="55">
        <f t="shared" si="39"/>
        <v>1756093.1640000001</v>
      </c>
      <c r="Z61" s="55">
        <f t="shared" si="39"/>
        <v>1977826.2680000002</v>
      </c>
      <c r="AA61" s="55">
        <f t="shared" si="39"/>
        <v>1996504.84</v>
      </c>
      <c r="AB61" s="55">
        <f t="shared" si="39"/>
        <v>2009245</v>
      </c>
      <c r="AC61" s="55">
        <f t="shared" si="39"/>
        <v>1996700</v>
      </c>
      <c r="AD61" s="55">
        <f t="shared" si="39"/>
        <v>1911000</v>
      </c>
      <c r="AE61" s="55">
        <f t="shared" si="39"/>
        <v>1916810</v>
      </c>
      <c r="AF61" s="55">
        <f t="shared" si="39"/>
        <v>1753200</v>
      </c>
      <c r="AG61" s="55">
        <f t="shared" si="39"/>
        <v>1978800</v>
      </c>
      <c r="AH61" s="55">
        <f t="shared" si="39"/>
        <v>1827504</v>
      </c>
      <c r="AI61" s="28">
        <f>SUM(E61:AH61)</f>
        <v>56459510.548</v>
      </c>
    </row>
    <row r="62" spans="1:678" x14ac:dyDescent="0.3">
      <c r="A62" s="44">
        <v>12</v>
      </c>
      <c r="B62" s="44" t="s">
        <v>223</v>
      </c>
      <c r="C62" s="15" t="s">
        <v>51</v>
      </c>
      <c r="D62" s="15" t="s">
        <v>55</v>
      </c>
      <c r="E62" s="21">
        <f>E61/E56</f>
        <v>0.33816761700161729</v>
      </c>
      <c r="F62" s="21">
        <f t="shared" ref="F62:AH62" si="40">F61/F56</f>
        <v>0.30608193957736013</v>
      </c>
      <c r="G62" s="21">
        <f t="shared" si="40"/>
        <v>0.32913227898340996</v>
      </c>
      <c r="H62" s="21">
        <f t="shared" si="40"/>
        <v>0.33802186157050418</v>
      </c>
      <c r="I62" s="21">
        <f t="shared" si="40"/>
        <v>0.34217843983842844</v>
      </c>
      <c r="J62" s="21">
        <f t="shared" si="40"/>
        <v>0.37969038428464968</v>
      </c>
      <c r="K62" s="21">
        <f t="shared" si="40"/>
        <v>0.37906489026472512</v>
      </c>
      <c r="L62" s="21">
        <f t="shared" si="40"/>
        <v>0.37350526724166944</v>
      </c>
      <c r="M62" s="21">
        <f t="shared" si="40"/>
        <v>0.37296989979916811</v>
      </c>
      <c r="N62" s="21">
        <f t="shared" si="40"/>
        <v>0.36332631939464644</v>
      </c>
      <c r="O62" s="21">
        <f t="shared" si="40"/>
        <v>0.37343468356689496</v>
      </c>
      <c r="P62" s="21">
        <f t="shared" si="40"/>
        <v>0.38033081842264121</v>
      </c>
      <c r="Q62" s="21">
        <f t="shared" si="40"/>
        <v>0.37553615355810255</v>
      </c>
      <c r="R62" s="21">
        <f t="shared" si="40"/>
        <v>0.37819463641128392</v>
      </c>
      <c r="S62" s="21">
        <f t="shared" si="40"/>
        <v>0.3417391846707819</v>
      </c>
      <c r="T62" s="21">
        <f t="shared" si="40"/>
        <v>0.37754655842416024</v>
      </c>
      <c r="U62" s="21">
        <f t="shared" si="40"/>
        <v>0.36999674216395495</v>
      </c>
      <c r="V62" s="21">
        <f t="shared" si="40"/>
        <v>0.37260141455266732</v>
      </c>
      <c r="W62" s="21">
        <f t="shared" si="40"/>
        <v>0.3680227796667106</v>
      </c>
      <c r="X62" s="21">
        <f t="shared" si="40"/>
        <v>0.37256225201747101</v>
      </c>
      <c r="Y62" s="21">
        <f t="shared" si="40"/>
        <v>0.337813516825337</v>
      </c>
      <c r="Z62" s="21">
        <f t="shared" si="40"/>
        <v>0.37654269327827489</v>
      </c>
      <c r="AA62" s="21">
        <f t="shared" si="40"/>
        <v>0.37788161048001245</v>
      </c>
      <c r="AB62" s="21">
        <f t="shared" si="40"/>
        <v>0.38008962892339354</v>
      </c>
      <c r="AC62" s="21">
        <f t="shared" si="40"/>
        <v>0.37916248898611493</v>
      </c>
      <c r="AD62" s="21">
        <f t="shared" si="40"/>
        <v>0.3680719271483382</v>
      </c>
      <c r="AE62" s="21">
        <f t="shared" si="40"/>
        <v>0.37688456043668678</v>
      </c>
      <c r="AF62" s="21">
        <f t="shared" si="40"/>
        <v>0.3818933913623086</v>
      </c>
      <c r="AG62" s="21">
        <f t="shared" si="40"/>
        <v>0.38049653374733899</v>
      </c>
      <c r="AH62" s="21">
        <f t="shared" si="40"/>
        <v>0.34540421560433604</v>
      </c>
      <c r="AI62" s="16">
        <f>AI61/AI56</f>
        <v>0.36456988361562181</v>
      </c>
    </row>
    <row r="63" spans="1:678" x14ac:dyDescent="0.3">
      <c r="B63" s="24" t="s">
        <v>59</v>
      </c>
      <c r="C63" s="10" t="s">
        <v>51</v>
      </c>
      <c r="D63" s="10" t="s">
        <v>55</v>
      </c>
      <c r="E63" s="22">
        <v>348</v>
      </c>
      <c r="F63" s="22">
        <v>428</v>
      </c>
      <c r="G63" s="22">
        <v>345</v>
      </c>
      <c r="H63" s="22">
        <v>353</v>
      </c>
      <c r="I63" s="22">
        <v>459</v>
      </c>
      <c r="J63" s="22">
        <v>516</v>
      </c>
      <c r="K63" s="22">
        <v>495</v>
      </c>
      <c r="L63" s="22">
        <v>489</v>
      </c>
      <c r="M63" s="10">
        <v>500</v>
      </c>
      <c r="N63" s="10">
        <v>473</v>
      </c>
      <c r="O63" s="10">
        <v>508</v>
      </c>
      <c r="P63" s="69">
        <v>520</v>
      </c>
      <c r="Q63" s="69">
        <v>505</v>
      </c>
      <c r="R63" s="69">
        <v>519</v>
      </c>
      <c r="S63" s="69">
        <v>467</v>
      </c>
      <c r="T63" s="69">
        <v>510</v>
      </c>
      <c r="U63" s="69">
        <v>497</v>
      </c>
      <c r="V63" s="69">
        <v>516</v>
      </c>
      <c r="W63" s="10">
        <v>505</v>
      </c>
      <c r="X63" s="10">
        <v>435</v>
      </c>
      <c r="Y63" s="10">
        <v>451</v>
      </c>
      <c r="Z63" s="10">
        <v>509</v>
      </c>
      <c r="AA63" s="10">
        <v>513</v>
      </c>
      <c r="AB63" s="22">
        <v>517</v>
      </c>
      <c r="AC63" s="22">
        <v>513</v>
      </c>
      <c r="AD63" s="53">
        <v>490</v>
      </c>
      <c r="AE63" s="53">
        <v>493</v>
      </c>
      <c r="AF63" s="53">
        <v>450</v>
      </c>
      <c r="AG63" s="53">
        <v>510</v>
      </c>
      <c r="AH63" s="53">
        <v>490</v>
      </c>
      <c r="AI63" s="28">
        <f>SUM(E63:AH63)</f>
        <v>14324</v>
      </c>
    </row>
    <row r="64" spans="1:678" x14ac:dyDescent="0.3">
      <c r="B64" s="24" t="s">
        <v>60</v>
      </c>
      <c r="C64" s="10" t="s">
        <v>51</v>
      </c>
      <c r="D64" s="10" t="s">
        <v>55</v>
      </c>
      <c r="E64" s="23">
        <v>5502.5240000000003</v>
      </c>
      <c r="F64" s="23">
        <v>5499.5240000000003</v>
      </c>
      <c r="G64" s="23">
        <v>5494.5240000000003</v>
      </c>
      <c r="H64" s="23">
        <v>5504.5240000000003</v>
      </c>
      <c r="I64" s="23">
        <v>5499.5240000000003</v>
      </c>
      <c r="J64" s="23">
        <v>4726.5240000000003</v>
      </c>
      <c r="K64" s="23">
        <v>4759.5240000000003</v>
      </c>
      <c r="L64" s="23">
        <v>4749.5240000000003</v>
      </c>
      <c r="M64" s="23">
        <v>4764.5240000000003</v>
      </c>
      <c r="N64" s="66">
        <v>5183.5240000000003</v>
      </c>
      <c r="O64" s="66">
        <v>4889.5240000000003</v>
      </c>
      <c r="P64" s="66">
        <v>4696.5240000000003</v>
      </c>
      <c r="Q64" s="23">
        <v>4699.5240000000003</v>
      </c>
      <c r="R64" s="23">
        <v>4746.5240000000003</v>
      </c>
      <c r="S64" s="23">
        <v>5863.5240000000003</v>
      </c>
      <c r="T64" s="23">
        <v>4797.5240000000003</v>
      </c>
      <c r="U64" s="23">
        <v>4877.5240000000003</v>
      </c>
      <c r="V64" s="23">
        <v>4829.5240000000003</v>
      </c>
      <c r="W64" s="23">
        <v>5075.5240000000003</v>
      </c>
      <c r="X64" s="23">
        <v>4948.5240000000003</v>
      </c>
      <c r="Y64" s="23">
        <v>5953.5240000000003</v>
      </c>
      <c r="Z64" s="23">
        <v>4801.5240000000003</v>
      </c>
      <c r="AA64" s="23">
        <v>4799.5240000000003</v>
      </c>
      <c r="AB64" s="53">
        <v>4784</v>
      </c>
      <c r="AC64" s="53">
        <v>4634</v>
      </c>
      <c r="AD64" s="53">
        <v>5059</v>
      </c>
      <c r="AE64" s="53">
        <v>4824</v>
      </c>
      <c r="AF64" s="53">
        <v>4713</v>
      </c>
      <c r="AG64" s="53">
        <v>4718</v>
      </c>
      <c r="AH64" s="53">
        <v>5400</v>
      </c>
      <c r="AI64" s="28">
        <f>SUM(E64:AH64)</f>
        <v>150795.05200000003</v>
      </c>
    </row>
    <row r="65" spans="1:252" x14ac:dyDescent="0.3">
      <c r="B65" s="24" t="s">
        <v>61</v>
      </c>
      <c r="C65" s="10" t="s">
        <v>51</v>
      </c>
      <c r="D65" s="10" t="s">
        <v>55</v>
      </c>
      <c r="E65" s="70">
        <f>E64*E63</f>
        <v>1914878.3520000002</v>
      </c>
      <c r="F65" s="70">
        <f>F64*F63</f>
        <v>2353796.2720000003</v>
      </c>
      <c r="G65" s="70">
        <f t="shared" ref="G65:AH65" si="41">G64*G63</f>
        <v>1895610.78</v>
      </c>
      <c r="H65" s="70">
        <f t="shared" si="41"/>
        <v>1943096.9720000001</v>
      </c>
      <c r="I65" s="70">
        <f t="shared" si="41"/>
        <v>2524281.5160000003</v>
      </c>
      <c r="J65" s="70">
        <f t="shared" si="41"/>
        <v>2438886.3840000001</v>
      </c>
      <c r="K65" s="70">
        <f t="shared" si="41"/>
        <v>2355964.3800000004</v>
      </c>
      <c r="L65" s="70">
        <f t="shared" si="41"/>
        <v>2322517.236</v>
      </c>
      <c r="M65" s="71">
        <f t="shared" si="41"/>
        <v>2382262</v>
      </c>
      <c r="N65" s="70">
        <f t="shared" si="41"/>
        <v>2451806.852</v>
      </c>
      <c r="O65" s="70">
        <f t="shared" si="41"/>
        <v>2483878.1920000003</v>
      </c>
      <c r="P65" s="70">
        <f t="shared" si="41"/>
        <v>2442192.48</v>
      </c>
      <c r="Q65" s="70">
        <f t="shared" si="41"/>
        <v>2373259.62</v>
      </c>
      <c r="R65" s="70">
        <f>R64*R63</f>
        <v>2463445.9560000002</v>
      </c>
      <c r="S65" s="70">
        <f>S64*S63</f>
        <v>2738265.7080000001</v>
      </c>
      <c r="T65" s="70">
        <f>T64*T63</f>
        <v>2446737.2400000002</v>
      </c>
      <c r="U65" s="70">
        <f>U64*U63</f>
        <v>2424129.4280000003</v>
      </c>
      <c r="V65" s="70">
        <f t="shared" si="41"/>
        <v>2492034.3840000001</v>
      </c>
      <c r="W65" s="70">
        <f t="shared" si="41"/>
        <v>2563139.62</v>
      </c>
      <c r="X65" s="70">
        <f t="shared" si="41"/>
        <v>2152607.94</v>
      </c>
      <c r="Y65" s="70">
        <f t="shared" si="41"/>
        <v>2685039.324</v>
      </c>
      <c r="Z65" s="70">
        <f t="shared" si="41"/>
        <v>2443975.716</v>
      </c>
      <c r="AA65" s="70">
        <f t="shared" si="41"/>
        <v>2462155.8120000004</v>
      </c>
      <c r="AB65" s="70">
        <f t="shared" si="41"/>
        <v>2473328</v>
      </c>
      <c r="AC65" s="70">
        <f t="shared" si="41"/>
        <v>2377242</v>
      </c>
      <c r="AD65" s="70">
        <f t="shared" si="41"/>
        <v>2478910</v>
      </c>
      <c r="AE65" s="70">
        <f t="shared" si="41"/>
        <v>2378232</v>
      </c>
      <c r="AF65" s="70">
        <f t="shared" si="41"/>
        <v>2120850</v>
      </c>
      <c r="AG65" s="70">
        <f t="shared" si="41"/>
        <v>2406180</v>
      </c>
      <c r="AH65" s="70">
        <f t="shared" si="41"/>
        <v>2646000</v>
      </c>
      <c r="AI65" s="28">
        <f>SUM(E65:AH65)</f>
        <v>71634704.164000005</v>
      </c>
    </row>
    <row r="66" spans="1:252" x14ac:dyDescent="0.3">
      <c r="A66" s="19">
        <v>14</v>
      </c>
      <c r="B66" s="44" t="s">
        <v>63</v>
      </c>
      <c r="C66" s="15" t="s">
        <v>51</v>
      </c>
      <c r="D66" s="15" t="s">
        <v>55</v>
      </c>
      <c r="E66" s="21">
        <f t="shared" ref="E66:AH66" si="42">E65/(E56)</f>
        <v>0.38338646900153517</v>
      </c>
      <c r="F66" s="21">
        <f t="shared" si="42"/>
        <v>0.45947025404618685</v>
      </c>
      <c r="G66" s="21">
        <f t="shared" si="42"/>
        <v>0.37214040018097277</v>
      </c>
      <c r="H66" s="21">
        <f t="shared" si="42"/>
        <v>0.38367671745505699</v>
      </c>
      <c r="I66" s="21">
        <f t="shared" si="42"/>
        <v>0.48250549085062122</v>
      </c>
      <c r="J66" s="21">
        <f t="shared" si="42"/>
        <v>0.46235121493133002</v>
      </c>
      <c r="K66" s="21">
        <f t="shared" si="42"/>
        <v>0.4645585341560588</v>
      </c>
      <c r="L66" s="21">
        <f t="shared" si="42"/>
        <v>0.45654667863724158</v>
      </c>
      <c r="M66" s="21">
        <f t="shared" si="42"/>
        <v>0.45756907342273195</v>
      </c>
      <c r="N66" s="21">
        <f t="shared" si="42"/>
        <v>0.48595068757925564</v>
      </c>
      <c r="O66" s="21">
        <f t="shared" si="42"/>
        <v>0.47159348926046951</v>
      </c>
      <c r="P66" s="21">
        <f t="shared" si="42"/>
        <v>0.46184299029790116</v>
      </c>
      <c r="Q66" s="21">
        <f t="shared" si="42"/>
        <v>0.4558405864176901</v>
      </c>
      <c r="R66" s="21">
        <f t="shared" si="42"/>
        <v>0.46484266141215946</v>
      </c>
      <c r="S66" s="21">
        <f t="shared" si="42"/>
        <v>0.51785768200798843</v>
      </c>
      <c r="T66" s="21">
        <f t="shared" si="42"/>
        <v>0.46639193542902224</v>
      </c>
      <c r="U66" s="21">
        <f t="shared" si="42"/>
        <v>0.46586929143603467</v>
      </c>
      <c r="V66" s="21">
        <f t="shared" si="42"/>
        <v>0.4645642968994676</v>
      </c>
      <c r="W66" s="21">
        <f t="shared" si="42"/>
        <v>0.48047618726265717</v>
      </c>
      <c r="X66" s="21">
        <f t="shared" si="42"/>
        <v>0.47520984678148398</v>
      </c>
      <c r="Y66" s="21">
        <f t="shared" si="42"/>
        <v>0.51651164952360429</v>
      </c>
      <c r="Z66" s="21">
        <f t="shared" si="42"/>
        <v>0.46528919819632009</v>
      </c>
      <c r="AA66" s="21">
        <f>AA65/(AA56)</f>
        <v>0.46601610216546374</v>
      </c>
      <c r="AB66" s="21">
        <f t="shared" si="42"/>
        <v>0.4678803837888556</v>
      </c>
      <c r="AC66" s="21">
        <f t="shared" si="42"/>
        <v>0.45142534864643152</v>
      </c>
      <c r="AD66" s="21">
        <f t="shared" si="42"/>
        <v>0.47745535370344688</v>
      </c>
      <c r="AE66" s="21">
        <f t="shared" si="42"/>
        <v>0.46760968585121238</v>
      </c>
      <c r="AF66" s="21">
        <f t="shared" si="42"/>
        <v>0.46197729812386051</v>
      </c>
      <c r="AG66" s="21">
        <f t="shared" si="42"/>
        <v>0.46267593974740862</v>
      </c>
      <c r="AH66" s="21">
        <f t="shared" si="42"/>
        <v>0.50010262877075684</v>
      </c>
      <c r="AI66" s="16">
        <f>AI65/(AI56)</f>
        <v>0.46255901807200667</v>
      </c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62"/>
      <c r="BF66" s="62"/>
      <c r="BG66" s="62"/>
      <c r="BH66" s="62"/>
      <c r="BI66" s="62"/>
      <c r="BJ66" s="62"/>
      <c r="BK66" s="62"/>
      <c r="BL66" s="62"/>
      <c r="BM66" s="62"/>
      <c r="BN66" s="62"/>
      <c r="BO66" s="62"/>
      <c r="BP66" s="62"/>
      <c r="BQ66" s="62"/>
      <c r="BR66" s="62"/>
      <c r="BS66" s="62"/>
      <c r="BT66" s="62"/>
      <c r="BU66" s="62"/>
      <c r="BV66" s="62"/>
      <c r="BW66" s="62"/>
      <c r="BX66" s="62"/>
      <c r="BY66" s="62"/>
      <c r="BZ66" s="62"/>
      <c r="CA66" s="62"/>
      <c r="CB66" s="62"/>
      <c r="CC66" s="62"/>
      <c r="CD66" s="62"/>
      <c r="CE66" s="62"/>
      <c r="CF66" s="62"/>
      <c r="CG66" s="62"/>
      <c r="CH66" s="62"/>
      <c r="CI66" s="62"/>
      <c r="CJ66" s="62"/>
      <c r="CK66" s="62"/>
      <c r="CL66" s="62"/>
      <c r="CM66" s="62"/>
      <c r="CN66" s="62"/>
      <c r="CO66" s="62"/>
      <c r="CP66" s="62"/>
      <c r="CQ66" s="62"/>
      <c r="CR66" s="62"/>
      <c r="CS66" s="62"/>
      <c r="CT66" s="62"/>
      <c r="CU66" s="62"/>
      <c r="CV66" s="62"/>
      <c r="CW66" s="62"/>
      <c r="CX66" s="62"/>
      <c r="CY66" s="62"/>
      <c r="CZ66" s="62"/>
      <c r="DA66" s="62"/>
      <c r="DB66" s="62"/>
      <c r="DC66" s="62"/>
      <c r="DD66" s="62"/>
      <c r="DE66" s="62"/>
      <c r="DF66" s="62"/>
      <c r="DG66" s="62"/>
      <c r="DH66" s="62"/>
      <c r="DI66" s="62"/>
      <c r="DJ66" s="62"/>
      <c r="DK66" s="62"/>
      <c r="DL66" s="62"/>
      <c r="DM66" s="62"/>
      <c r="DN66" s="62"/>
      <c r="DO66" s="62"/>
      <c r="DP66" s="62"/>
      <c r="DQ66" s="62"/>
      <c r="DR66" s="62"/>
      <c r="DS66" s="62"/>
      <c r="DT66" s="62"/>
      <c r="DU66" s="62"/>
      <c r="DV66" s="62"/>
      <c r="DW66" s="62"/>
      <c r="DX66" s="62"/>
      <c r="DY66" s="62"/>
      <c r="DZ66" s="62"/>
      <c r="EA66" s="62"/>
      <c r="EB66" s="62"/>
      <c r="EC66" s="62"/>
      <c r="ED66" s="62"/>
      <c r="EE66" s="62"/>
      <c r="EF66" s="62"/>
      <c r="EG66" s="62"/>
      <c r="EH66" s="62"/>
      <c r="EI66" s="62"/>
      <c r="EJ66" s="62"/>
      <c r="EK66" s="62"/>
      <c r="EL66" s="62"/>
      <c r="EM66" s="62"/>
      <c r="EN66" s="62"/>
      <c r="EO66" s="62"/>
      <c r="EP66" s="62"/>
      <c r="EQ66" s="62"/>
      <c r="ER66" s="62"/>
      <c r="ES66" s="62"/>
      <c r="ET66" s="62"/>
      <c r="EU66" s="62"/>
      <c r="EV66" s="62"/>
      <c r="EW66" s="62"/>
      <c r="EX66" s="62"/>
      <c r="EY66" s="62"/>
      <c r="EZ66" s="62"/>
      <c r="FA66" s="62"/>
      <c r="FB66" s="62"/>
      <c r="FC66" s="62"/>
      <c r="FD66" s="62"/>
      <c r="FE66" s="62"/>
      <c r="FF66" s="62"/>
      <c r="FG66" s="62"/>
      <c r="FH66" s="62"/>
      <c r="FI66" s="62"/>
      <c r="FJ66" s="62"/>
      <c r="FK66" s="62"/>
      <c r="FL66" s="62"/>
      <c r="FM66" s="62"/>
      <c r="FN66" s="62"/>
      <c r="FO66" s="62"/>
      <c r="FP66" s="62"/>
      <c r="FQ66" s="62"/>
      <c r="FR66" s="62"/>
      <c r="FS66" s="62"/>
      <c r="FT66" s="62"/>
      <c r="FU66" s="62"/>
      <c r="FV66" s="62"/>
      <c r="FW66" s="62"/>
      <c r="FX66" s="62"/>
      <c r="FY66" s="62"/>
      <c r="FZ66" s="62"/>
      <c r="GA66" s="62"/>
      <c r="GB66" s="62"/>
      <c r="GC66" s="62"/>
      <c r="GD66" s="62"/>
      <c r="GE66" s="62"/>
      <c r="GF66" s="62"/>
      <c r="GG66" s="62"/>
      <c r="GH66" s="62"/>
      <c r="GI66" s="62"/>
      <c r="GJ66" s="62"/>
      <c r="GK66" s="62"/>
      <c r="GL66" s="62"/>
      <c r="GM66" s="62"/>
      <c r="GN66" s="62"/>
      <c r="GO66" s="62"/>
      <c r="GP66" s="62"/>
      <c r="GQ66" s="62"/>
      <c r="GR66" s="62"/>
      <c r="GS66" s="62"/>
      <c r="GT66" s="62"/>
      <c r="GU66" s="62"/>
      <c r="GV66" s="62"/>
      <c r="GW66" s="62"/>
      <c r="GX66" s="62"/>
      <c r="GY66" s="62"/>
      <c r="GZ66" s="62"/>
      <c r="HA66" s="62"/>
      <c r="HB66" s="62"/>
      <c r="HC66" s="62"/>
      <c r="HD66" s="62"/>
      <c r="HE66" s="62"/>
      <c r="HF66" s="62"/>
      <c r="HG66" s="62"/>
      <c r="HH66" s="62"/>
      <c r="HI66" s="62"/>
      <c r="HJ66" s="62"/>
      <c r="HK66" s="62"/>
      <c r="HL66" s="62"/>
      <c r="HM66" s="62"/>
      <c r="HN66" s="62"/>
      <c r="HO66" s="62"/>
      <c r="HP66" s="62"/>
      <c r="HQ66" s="62"/>
      <c r="HR66" s="62"/>
      <c r="HS66" s="62"/>
      <c r="HT66" s="62"/>
      <c r="HU66" s="62"/>
      <c r="HV66" s="62"/>
      <c r="HW66" s="62"/>
      <c r="HX66" s="62"/>
      <c r="HY66" s="62"/>
      <c r="HZ66" s="62"/>
      <c r="IA66" s="62"/>
      <c r="IB66" s="62"/>
      <c r="IC66" s="62"/>
      <c r="ID66" s="62"/>
      <c r="IE66" s="62"/>
      <c r="IF66" s="62"/>
      <c r="IG66" s="62"/>
      <c r="IH66" s="62"/>
      <c r="II66" s="62"/>
      <c r="IJ66" s="62"/>
      <c r="IK66" s="62"/>
      <c r="IL66" s="62"/>
      <c r="IM66" s="62"/>
      <c r="IN66" s="62"/>
      <c r="IO66" s="62"/>
      <c r="IP66" s="62"/>
      <c r="IQ66" s="62"/>
      <c r="IR66" s="62"/>
    </row>
    <row r="67" spans="1:252" s="51" customFormat="1" ht="14.4" hidden="1" customHeight="1" x14ac:dyDescent="0.3">
      <c r="B67" s="58" t="s">
        <v>56</v>
      </c>
      <c r="C67" s="59" t="s">
        <v>51</v>
      </c>
      <c r="D67" s="59" t="s">
        <v>55</v>
      </c>
      <c r="E67" s="55"/>
      <c r="F67" s="55"/>
      <c r="G67" s="55"/>
      <c r="H67" s="55"/>
      <c r="I67" s="72"/>
      <c r="J67" s="72"/>
      <c r="K67" s="72"/>
      <c r="L67" s="72"/>
      <c r="M67" s="39"/>
      <c r="N67" s="40"/>
      <c r="O67" s="40"/>
      <c r="P67" s="40"/>
      <c r="Q67" s="39"/>
      <c r="R67" s="39"/>
      <c r="S67" s="39"/>
      <c r="T67" s="39"/>
      <c r="U67" s="39"/>
      <c r="V67" s="39"/>
      <c r="W67" s="53"/>
      <c r="X67" s="53"/>
      <c r="Y67" s="53"/>
      <c r="Z67" s="53"/>
      <c r="AA67" s="53"/>
      <c r="AB67" s="53"/>
      <c r="AC67" s="39"/>
      <c r="AD67" s="39"/>
      <c r="AE67" s="39"/>
      <c r="AF67" s="39"/>
      <c r="AG67" s="39"/>
      <c r="AH67" s="39"/>
      <c r="AI67" s="61">
        <f>SUM(E67:AH67)</f>
        <v>0</v>
      </c>
      <c r="AK67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62"/>
      <c r="BN67" s="62"/>
      <c r="BO67" s="62"/>
      <c r="BP67" s="62"/>
      <c r="BQ67" s="62"/>
      <c r="BR67" s="62"/>
      <c r="BS67" s="62"/>
      <c r="BT67" s="62"/>
      <c r="BU67" s="62"/>
      <c r="BV67" s="62"/>
      <c r="BW67" s="62"/>
      <c r="BX67" s="62"/>
      <c r="BY67" s="62"/>
      <c r="BZ67" s="62"/>
      <c r="CA67" s="62"/>
      <c r="CB67" s="62"/>
      <c r="CC67" s="62"/>
      <c r="CD67" s="62"/>
      <c r="CE67" s="62"/>
      <c r="CF67" s="62"/>
      <c r="CG67" s="62"/>
      <c r="CH67" s="62"/>
      <c r="CI67" s="62"/>
      <c r="CJ67" s="62"/>
      <c r="CK67" s="62"/>
      <c r="CL67" s="62"/>
      <c r="CM67" s="62"/>
      <c r="CN67" s="62"/>
      <c r="CO67" s="62"/>
      <c r="CP67" s="62"/>
      <c r="CQ67" s="62"/>
      <c r="CR67" s="62"/>
      <c r="CS67" s="62"/>
      <c r="CT67" s="62"/>
      <c r="CU67" s="62"/>
      <c r="CV67" s="62"/>
      <c r="CW67" s="62"/>
      <c r="CX67" s="62"/>
      <c r="CY67" s="62"/>
      <c r="CZ67" s="62"/>
      <c r="DA67" s="62"/>
      <c r="DB67" s="62"/>
      <c r="DC67" s="62"/>
      <c r="DD67" s="62"/>
      <c r="DE67" s="62"/>
      <c r="DF67" s="62"/>
      <c r="DG67" s="62"/>
      <c r="DH67" s="62"/>
      <c r="DI67" s="62"/>
      <c r="DJ67" s="62"/>
      <c r="DK67" s="62"/>
      <c r="DL67" s="62"/>
      <c r="DM67" s="62"/>
      <c r="DN67" s="62"/>
      <c r="DO67" s="62"/>
      <c r="DP67" s="62"/>
      <c r="DQ67" s="62"/>
      <c r="DR67" s="62"/>
      <c r="DS67" s="62"/>
      <c r="DT67" s="62"/>
      <c r="DU67" s="62"/>
      <c r="DV67" s="62"/>
      <c r="DW67" s="62"/>
      <c r="DX67" s="62"/>
      <c r="DY67" s="62"/>
      <c r="DZ67" s="62"/>
      <c r="EA67" s="62"/>
      <c r="EB67" s="62"/>
      <c r="EC67" s="62"/>
      <c r="ED67" s="62"/>
      <c r="EE67" s="62"/>
      <c r="EF67" s="62"/>
      <c r="EG67" s="62"/>
      <c r="EH67" s="62"/>
      <c r="EI67" s="62"/>
      <c r="EJ67" s="62"/>
      <c r="EK67" s="62"/>
      <c r="EL67" s="62"/>
      <c r="EM67" s="62"/>
      <c r="EN67" s="62"/>
      <c r="EO67" s="62"/>
      <c r="EP67" s="62"/>
      <c r="EQ67" s="62"/>
      <c r="ER67" s="62"/>
      <c r="ES67" s="62"/>
      <c r="ET67" s="62"/>
      <c r="EU67" s="62"/>
      <c r="EV67" s="62"/>
      <c r="EW67" s="62"/>
      <c r="EX67" s="62"/>
      <c r="EY67" s="62"/>
      <c r="EZ67" s="62"/>
      <c r="FA67" s="62"/>
      <c r="FB67" s="62"/>
      <c r="FC67" s="62"/>
      <c r="FD67" s="62"/>
      <c r="FE67" s="62"/>
      <c r="FF67" s="62"/>
      <c r="FG67" s="62"/>
      <c r="FH67" s="62"/>
      <c r="FI67" s="62"/>
      <c r="FJ67" s="62"/>
      <c r="FK67" s="62"/>
      <c r="FL67" s="62"/>
      <c r="FM67" s="62"/>
      <c r="FN67" s="62"/>
      <c r="FO67" s="62"/>
      <c r="FP67" s="62"/>
      <c r="FQ67" s="62"/>
      <c r="FR67" s="62"/>
      <c r="FS67" s="62"/>
      <c r="FT67" s="62"/>
      <c r="FU67" s="62"/>
      <c r="FV67" s="62"/>
      <c r="FW67" s="62"/>
      <c r="FX67" s="62"/>
      <c r="FY67" s="62"/>
      <c r="FZ67" s="62"/>
      <c r="GA67" s="62"/>
      <c r="GB67" s="62"/>
      <c r="GC67" s="62"/>
      <c r="GD67" s="62"/>
      <c r="GE67" s="62"/>
      <c r="GF67" s="62"/>
      <c r="GG67" s="62"/>
      <c r="GH67" s="62"/>
      <c r="GI67" s="62"/>
      <c r="GJ67" s="62"/>
      <c r="GK67" s="62"/>
      <c r="GL67" s="62"/>
      <c r="GM67" s="62"/>
      <c r="GN67" s="62"/>
      <c r="GO67" s="62"/>
      <c r="GP67" s="62"/>
      <c r="GQ67" s="62"/>
      <c r="GR67" s="62"/>
      <c r="GS67" s="62"/>
      <c r="GT67" s="62"/>
      <c r="GU67" s="62"/>
      <c r="GV67" s="62"/>
      <c r="GW67" s="62"/>
      <c r="GX67" s="62"/>
      <c r="GY67" s="62"/>
      <c r="GZ67" s="62"/>
      <c r="HA67" s="62"/>
      <c r="HB67" s="62"/>
      <c r="HC67" s="62"/>
      <c r="HD67" s="62"/>
      <c r="HE67" s="62"/>
      <c r="HF67" s="62"/>
      <c r="HG67" s="62"/>
      <c r="HH67" s="62"/>
      <c r="HI67" s="62"/>
      <c r="HJ67" s="62"/>
      <c r="HK67" s="62"/>
      <c r="HL67" s="62"/>
      <c r="HM67" s="62"/>
      <c r="HN67" s="62"/>
      <c r="HO67" s="62"/>
      <c r="HP67" s="62"/>
      <c r="HQ67" s="62"/>
      <c r="HR67" s="62"/>
      <c r="HS67" s="62"/>
      <c r="HT67" s="62"/>
      <c r="HU67" s="62"/>
      <c r="HV67" s="62"/>
      <c r="HW67" s="62"/>
      <c r="HX67" s="62"/>
      <c r="HY67" s="62"/>
      <c r="HZ67" s="62"/>
      <c r="IA67" s="62"/>
      <c r="IB67" s="62"/>
      <c r="IC67" s="62"/>
      <c r="ID67" s="62"/>
      <c r="IE67" s="62"/>
      <c r="IF67" s="62"/>
      <c r="IG67" s="62"/>
      <c r="IH67" s="62"/>
      <c r="II67" s="62"/>
      <c r="IJ67" s="62"/>
      <c r="IK67" s="62"/>
      <c r="IL67" s="62"/>
      <c r="IM67" s="62"/>
      <c r="IN67" s="62"/>
      <c r="IO67" s="62"/>
      <c r="IP67" s="62"/>
      <c r="IQ67" s="62"/>
      <c r="IR67" s="62"/>
    </row>
    <row r="68" spans="1:252" s="51" customFormat="1" ht="14.4" hidden="1" customHeight="1" x14ac:dyDescent="0.3">
      <c r="B68" s="58" t="s">
        <v>57</v>
      </c>
      <c r="C68" s="59" t="s">
        <v>51</v>
      </c>
      <c r="D68" s="59" t="s">
        <v>55</v>
      </c>
      <c r="E68" s="60"/>
      <c r="F68" s="60"/>
      <c r="G68" s="60"/>
      <c r="H68" s="60"/>
      <c r="I68" s="60"/>
      <c r="J68" s="60"/>
      <c r="K68" s="60"/>
      <c r="L68" s="60"/>
      <c r="M68" s="39"/>
      <c r="N68" s="40"/>
      <c r="O68" s="40"/>
      <c r="P68" s="40"/>
      <c r="Q68" s="39"/>
      <c r="R68" s="39"/>
      <c r="S68" s="39"/>
      <c r="T68" s="39"/>
      <c r="U68" s="39"/>
      <c r="V68" s="39"/>
      <c r="W68" s="23"/>
      <c r="X68" s="23"/>
      <c r="Y68" s="23"/>
      <c r="Z68" s="53"/>
      <c r="AA68" s="53"/>
      <c r="AB68" s="53"/>
      <c r="AC68" s="39"/>
      <c r="AD68" s="39"/>
      <c r="AE68" s="39"/>
      <c r="AF68" s="39"/>
      <c r="AG68" s="39"/>
      <c r="AH68" s="39"/>
      <c r="AI68" s="61">
        <f>SUM(E68:AH68)</f>
        <v>0</v>
      </c>
      <c r="AK68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62"/>
      <c r="BC68" s="62"/>
      <c r="BD68" s="62"/>
      <c r="BE68" s="62"/>
      <c r="BF68" s="62"/>
      <c r="BG68" s="62"/>
      <c r="BH68" s="62"/>
      <c r="BI68" s="62"/>
      <c r="BJ68" s="62"/>
      <c r="BK68" s="62"/>
      <c r="BL68" s="62"/>
      <c r="BM68" s="62"/>
      <c r="BN68" s="62"/>
      <c r="BO68" s="62"/>
      <c r="BP68" s="62"/>
      <c r="BQ68" s="62"/>
      <c r="BR68" s="62"/>
      <c r="BS68" s="62"/>
      <c r="BT68" s="62"/>
      <c r="BU68" s="62"/>
      <c r="BV68" s="62"/>
      <c r="BW68" s="62"/>
      <c r="BX68" s="62"/>
      <c r="BY68" s="62"/>
      <c r="BZ68" s="62"/>
      <c r="CA68" s="62"/>
      <c r="CB68" s="62"/>
      <c r="CC68" s="62"/>
      <c r="CD68" s="62"/>
      <c r="CE68" s="62"/>
      <c r="CF68" s="62"/>
      <c r="CG68" s="62"/>
      <c r="CH68" s="62"/>
      <c r="CI68" s="62"/>
      <c r="CJ68" s="62"/>
      <c r="CK68" s="62"/>
      <c r="CL68" s="62"/>
      <c r="CM68" s="62"/>
      <c r="CN68" s="62"/>
      <c r="CO68" s="62"/>
      <c r="CP68" s="62"/>
      <c r="CQ68" s="62"/>
      <c r="CR68" s="62"/>
      <c r="CS68" s="62"/>
      <c r="CT68" s="62"/>
      <c r="CU68" s="62"/>
      <c r="CV68" s="62"/>
      <c r="CW68" s="62"/>
      <c r="CX68" s="62"/>
      <c r="CY68" s="62"/>
      <c r="CZ68" s="62"/>
      <c r="DA68" s="62"/>
      <c r="DB68" s="62"/>
      <c r="DC68" s="62"/>
      <c r="DD68" s="62"/>
      <c r="DE68" s="62"/>
      <c r="DF68" s="62"/>
      <c r="DG68" s="62"/>
      <c r="DH68" s="62"/>
      <c r="DI68" s="62"/>
      <c r="DJ68" s="62"/>
      <c r="DK68" s="62"/>
      <c r="DL68" s="62"/>
      <c r="DM68" s="62"/>
      <c r="DN68" s="62"/>
      <c r="DO68" s="62"/>
      <c r="DP68" s="62"/>
      <c r="DQ68" s="62"/>
      <c r="DR68" s="62"/>
      <c r="DS68" s="62"/>
      <c r="DT68" s="62"/>
      <c r="DU68" s="62"/>
      <c r="DV68" s="62"/>
      <c r="DW68" s="62"/>
      <c r="DX68" s="62"/>
      <c r="DY68" s="62"/>
      <c r="DZ68" s="62"/>
      <c r="EA68" s="62"/>
      <c r="EB68" s="62"/>
      <c r="EC68" s="62"/>
      <c r="ED68" s="62"/>
      <c r="EE68" s="62"/>
      <c r="EF68" s="62"/>
      <c r="EG68" s="62"/>
      <c r="EH68" s="62"/>
      <c r="EI68" s="62"/>
      <c r="EJ68" s="62"/>
      <c r="EK68" s="62"/>
      <c r="EL68" s="62"/>
      <c r="EM68" s="62"/>
      <c r="EN68" s="62"/>
      <c r="EO68" s="62"/>
      <c r="EP68" s="62"/>
      <c r="EQ68" s="62"/>
      <c r="ER68" s="62"/>
      <c r="ES68" s="62"/>
      <c r="ET68" s="62"/>
      <c r="EU68" s="62"/>
      <c r="EV68" s="62"/>
      <c r="EW68" s="62"/>
      <c r="EX68" s="62"/>
      <c r="EY68" s="62"/>
      <c r="EZ68" s="62"/>
      <c r="FA68" s="62"/>
      <c r="FB68" s="62"/>
      <c r="FC68" s="62"/>
      <c r="FD68" s="62"/>
      <c r="FE68" s="62"/>
      <c r="FF68" s="62"/>
      <c r="FG68" s="62"/>
      <c r="FH68" s="62"/>
      <c r="FI68" s="62"/>
      <c r="FJ68" s="62"/>
      <c r="FK68" s="62"/>
      <c r="FL68" s="62"/>
      <c r="FM68" s="62"/>
      <c r="FN68" s="62"/>
      <c r="FO68" s="62"/>
      <c r="FP68" s="62"/>
      <c r="FQ68" s="62"/>
      <c r="FR68" s="62"/>
      <c r="FS68" s="62"/>
      <c r="FT68" s="62"/>
      <c r="FU68" s="62"/>
      <c r="FV68" s="62"/>
      <c r="FW68" s="62"/>
      <c r="FX68" s="62"/>
      <c r="FY68" s="62"/>
      <c r="FZ68" s="62"/>
      <c r="GA68" s="62"/>
      <c r="GB68" s="62"/>
      <c r="GC68" s="62"/>
      <c r="GD68" s="62"/>
      <c r="GE68" s="62"/>
      <c r="GF68" s="62"/>
      <c r="GG68" s="62"/>
      <c r="GH68" s="62"/>
      <c r="GI68" s="62"/>
      <c r="GJ68" s="62"/>
      <c r="GK68" s="62"/>
      <c r="GL68" s="62"/>
      <c r="GM68" s="62"/>
      <c r="GN68" s="62"/>
      <c r="GO68" s="62"/>
      <c r="GP68" s="62"/>
      <c r="GQ68" s="62"/>
      <c r="GR68" s="62"/>
      <c r="GS68" s="62"/>
      <c r="GT68" s="62"/>
      <c r="GU68" s="62"/>
      <c r="GV68" s="62"/>
      <c r="GW68" s="62"/>
      <c r="GX68" s="62"/>
      <c r="GY68" s="62"/>
      <c r="GZ68" s="62"/>
      <c r="HA68" s="62"/>
      <c r="HB68" s="62"/>
      <c r="HC68" s="62"/>
      <c r="HD68" s="62"/>
      <c r="HE68" s="62"/>
      <c r="HF68" s="62"/>
      <c r="HG68" s="62"/>
      <c r="HH68" s="62"/>
      <c r="HI68" s="62"/>
      <c r="HJ68" s="62"/>
      <c r="HK68" s="62"/>
      <c r="HL68" s="62"/>
      <c r="HM68" s="62"/>
      <c r="HN68" s="62"/>
      <c r="HO68" s="62"/>
      <c r="HP68" s="62"/>
      <c r="HQ68" s="62"/>
      <c r="HR68" s="62"/>
      <c r="HS68" s="62"/>
      <c r="HT68" s="62"/>
      <c r="HU68" s="62"/>
      <c r="HV68" s="62"/>
      <c r="HW68" s="62"/>
      <c r="HX68" s="62"/>
      <c r="HY68" s="62"/>
      <c r="HZ68" s="62"/>
      <c r="IA68" s="62"/>
      <c r="IB68" s="62"/>
      <c r="IC68" s="62"/>
      <c r="ID68" s="62"/>
      <c r="IE68" s="62"/>
      <c r="IF68" s="62"/>
      <c r="IG68" s="62"/>
      <c r="IH68" s="62"/>
      <c r="II68" s="62"/>
      <c r="IJ68" s="62"/>
      <c r="IK68" s="62"/>
      <c r="IL68" s="62"/>
      <c r="IM68" s="62"/>
      <c r="IN68" s="62"/>
      <c r="IO68" s="62"/>
      <c r="IP68" s="62"/>
      <c r="IQ68" s="62"/>
      <c r="IR68" s="62"/>
    </row>
    <row r="69" spans="1:252" s="51" customFormat="1" ht="14.4" hidden="1" customHeight="1" x14ac:dyDescent="0.3">
      <c r="B69" s="58" t="s">
        <v>58</v>
      </c>
      <c r="C69" s="59" t="s">
        <v>51</v>
      </c>
      <c r="D69" s="59" t="s">
        <v>55</v>
      </c>
      <c r="E69" s="63">
        <f>E68*E67</f>
        <v>0</v>
      </c>
      <c r="F69" s="63">
        <f>F68*F67</f>
        <v>0</v>
      </c>
      <c r="G69" s="63">
        <f t="shared" ref="G69:AH69" si="43">G68*G67</f>
        <v>0</v>
      </c>
      <c r="H69" s="63">
        <f t="shared" si="43"/>
        <v>0</v>
      </c>
      <c r="I69" s="63">
        <f t="shared" si="43"/>
        <v>0</v>
      </c>
      <c r="J69" s="63">
        <f t="shared" si="43"/>
        <v>0</v>
      </c>
      <c r="K69" s="63">
        <f t="shared" si="43"/>
        <v>0</v>
      </c>
      <c r="L69" s="63">
        <f t="shared" si="43"/>
        <v>0</v>
      </c>
      <c r="M69" s="64">
        <f t="shared" si="43"/>
        <v>0</v>
      </c>
      <c r="N69" s="63">
        <f t="shared" si="43"/>
        <v>0</v>
      </c>
      <c r="O69" s="63">
        <f t="shared" si="43"/>
        <v>0</v>
      </c>
      <c r="P69" s="63">
        <f t="shared" si="43"/>
        <v>0</v>
      </c>
      <c r="Q69" s="63">
        <f t="shared" si="43"/>
        <v>0</v>
      </c>
      <c r="R69" s="63">
        <f>R68*R67</f>
        <v>0</v>
      </c>
      <c r="S69" s="63">
        <f>S68*S67</f>
        <v>0</v>
      </c>
      <c r="T69" s="63">
        <f>T68*T67</f>
        <v>0</v>
      </c>
      <c r="U69" s="63">
        <f>U68*U67</f>
        <v>0</v>
      </c>
      <c r="V69" s="63">
        <f t="shared" si="43"/>
        <v>0</v>
      </c>
      <c r="W69" s="63">
        <f t="shared" si="43"/>
        <v>0</v>
      </c>
      <c r="X69" s="63">
        <f t="shared" si="43"/>
        <v>0</v>
      </c>
      <c r="Y69" s="63">
        <f t="shared" si="43"/>
        <v>0</v>
      </c>
      <c r="Z69" s="63">
        <f t="shared" si="43"/>
        <v>0</v>
      </c>
      <c r="AA69" s="63">
        <f t="shared" si="43"/>
        <v>0</v>
      </c>
      <c r="AB69" s="63">
        <f t="shared" si="43"/>
        <v>0</v>
      </c>
      <c r="AC69" s="63">
        <f t="shared" si="43"/>
        <v>0</v>
      </c>
      <c r="AD69" s="63">
        <f t="shared" si="43"/>
        <v>0</v>
      </c>
      <c r="AE69" s="63">
        <f t="shared" si="43"/>
        <v>0</v>
      </c>
      <c r="AF69" s="63">
        <f t="shared" si="43"/>
        <v>0</v>
      </c>
      <c r="AG69" s="63">
        <f t="shared" si="43"/>
        <v>0</v>
      </c>
      <c r="AH69" s="63">
        <f t="shared" si="43"/>
        <v>0</v>
      </c>
      <c r="AI69" s="61">
        <f>SUM(E69:AH69)</f>
        <v>0</v>
      </c>
      <c r="AK69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62"/>
      <c r="BC69" s="62"/>
      <c r="BD69" s="62"/>
      <c r="BE69" s="62"/>
      <c r="BF69" s="62"/>
      <c r="BG69" s="62"/>
      <c r="BH69" s="62"/>
      <c r="BI69" s="62"/>
      <c r="BJ69" s="62"/>
      <c r="BK69" s="62"/>
      <c r="BL69" s="62"/>
      <c r="BM69" s="62"/>
      <c r="BN69" s="62"/>
      <c r="BO69" s="62"/>
      <c r="BP69" s="62"/>
      <c r="BQ69" s="62"/>
      <c r="BR69" s="62"/>
      <c r="BS69" s="62"/>
      <c r="BT69" s="62"/>
      <c r="BU69" s="62"/>
      <c r="BV69" s="62"/>
      <c r="BW69" s="62"/>
      <c r="BX69" s="62"/>
      <c r="BY69" s="62"/>
      <c r="BZ69" s="62"/>
      <c r="CA69" s="62"/>
      <c r="CB69" s="62"/>
      <c r="CC69" s="62"/>
      <c r="CD69" s="62"/>
      <c r="CE69" s="62"/>
      <c r="CF69" s="62"/>
      <c r="CG69" s="62"/>
      <c r="CH69" s="62"/>
      <c r="CI69" s="62"/>
      <c r="CJ69" s="62"/>
      <c r="CK69" s="62"/>
      <c r="CL69" s="62"/>
      <c r="CM69" s="62"/>
      <c r="CN69" s="62"/>
      <c r="CO69" s="62"/>
      <c r="CP69" s="62"/>
      <c r="CQ69" s="62"/>
      <c r="CR69" s="62"/>
      <c r="CS69" s="62"/>
      <c r="CT69" s="62"/>
      <c r="CU69" s="62"/>
      <c r="CV69" s="62"/>
      <c r="CW69" s="62"/>
      <c r="CX69" s="62"/>
      <c r="CY69" s="62"/>
      <c r="CZ69" s="62"/>
      <c r="DA69" s="62"/>
      <c r="DB69" s="62"/>
      <c r="DC69" s="62"/>
      <c r="DD69" s="62"/>
      <c r="DE69" s="62"/>
      <c r="DF69" s="62"/>
      <c r="DG69" s="62"/>
      <c r="DH69" s="62"/>
      <c r="DI69" s="62"/>
      <c r="DJ69" s="62"/>
      <c r="DK69" s="62"/>
      <c r="DL69" s="62"/>
      <c r="DM69" s="62"/>
      <c r="DN69" s="62"/>
      <c r="DO69" s="62"/>
      <c r="DP69" s="62"/>
      <c r="DQ69" s="62"/>
      <c r="DR69" s="62"/>
      <c r="DS69" s="62"/>
      <c r="DT69" s="62"/>
      <c r="DU69" s="62"/>
      <c r="DV69" s="62"/>
      <c r="DW69" s="62"/>
      <c r="DX69" s="62"/>
      <c r="DY69" s="62"/>
      <c r="DZ69" s="62"/>
      <c r="EA69" s="62"/>
      <c r="EB69" s="62"/>
      <c r="EC69" s="62"/>
      <c r="ED69" s="62"/>
      <c r="EE69" s="62"/>
      <c r="EF69" s="62"/>
      <c r="EG69" s="62"/>
      <c r="EH69" s="62"/>
      <c r="EI69" s="62"/>
      <c r="EJ69" s="62"/>
      <c r="EK69" s="62"/>
      <c r="EL69" s="62"/>
      <c r="EM69" s="62"/>
      <c r="EN69" s="62"/>
      <c r="EO69" s="62"/>
      <c r="EP69" s="62"/>
      <c r="EQ69" s="62"/>
      <c r="ER69" s="62"/>
      <c r="ES69" s="62"/>
      <c r="ET69" s="62"/>
      <c r="EU69" s="62"/>
      <c r="EV69" s="62"/>
      <c r="EW69" s="62"/>
      <c r="EX69" s="62"/>
      <c r="EY69" s="62"/>
      <c r="EZ69" s="62"/>
      <c r="FA69" s="62"/>
      <c r="FB69" s="62"/>
      <c r="FC69" s="62"/>
      <c r="FD69" s="62"/>
      <c r="FE69" s="62"/>
      <c r="FF69" s="62"/>
      <c r="FG69" s="62"/>
      <c r="FH69" s="62"/>
      <c r="FI69" s="62"/>
      <c r="FJ69" s="62"/>
      <c r="FK69" s="62"/>
      <c r="FL69" s="62"/>
      <c r="FM69" s="62"/>
      <c r="FN69" s="62"/>
      <c r="FO69" s="62"/>
      <c r="FP69" s="62"/>
      <c r="FQ69" s="62"/>
      <c r="FR69" s="62"/>
      <c r="FS69" s="62"/>
      <c r="FT69" s="62"/>
      <c r="FU69" s="62"/>
      <c r="FV69" s="62"/>
      <c r="FW69" s="62"/>
      <c r="FX69" s="62"/>
      <c r="FY69" s="62"/>
      <c r="FZ69" s="62"/>
      <c r="GA69" s="62"/>
      <c r="GB69" s="62"/>
      <c r="GC69" s="62"/>
      <c r="GD69" s="62"/>
      <c r="GE69" s="62"/>
      <c r="GF69" s="62"/>
      <c r="GG69" s="62"/>
      <c r="GH69" s="62"/>
      <c r="GI69" s="62"/>
      <c r="GJ69" s="62"/>
      <c r="GK69" s="62"/>
      <c r="GL69" s="62"/>
      <c r="GM69" s="62"/>
      <c r="GN69" s="62"/>
      <c r="GO69" s="62"/>
      <c r="GP69" s="62"/>
      <c r="GQ69" s="62"/>
      <c r="GR69" s="62"/>
      <c r="GS69" s="62"/>
      <c r="GT69" s="62"/>
      <c r="GU69" s="62"/>
      <c r="GV69" s="62"/>
      <c r="GW69" s="62"/>
      <c r="GX69" s="62"/>
      <c r="GY69" s="62"/>
      <c r="GZ69" s="62"/>
      <c r="HA69" s="62"/>
      <c r="HB69" s="62"/>
      <c r="HC69" s="62"/>
      <c r="HD69" s="62"/>
      <c r="HE69" s="62"/>
      <c r="HF69" s="62"/>
      <c r="HG69" s="62"/>
      <c r="HH69" s="62"/>
      <c r="HI69" s="62"/>
      <c r="HJ69" s="62"/>
      <c r="HK69" s="62"/>
      <c r="HL69" s="62"/>
      <c r="HM69" s="62"/>
      <c r="HN69" s="62"/>
      <c r="HO69" s="62"/>
      <c r="HP69" s="62"/>
      <c r="HQ69" s="62"/>
      <c r="HR69" s="62"/>
      <c r="HS69" s="62"/>
      <c r="HT69" s="62"/>
      <c r="HU69" s="62"/>
      <c r="HV69" s="62"/>
      <c r="HW69" s="62"/>
      <c r="HX69" s="62"/>
      <c r="HY69" s="62"/>
      <c r="HZ69" s="62"/>
      <c r="IA69" s="62"/>
      <c r="IB69" s="62"/>
      <c r="IC69" s="62"/>
      <c r="ID69" s="62"/>
      <c r="IE69" s="62"/>
      <c r="IF69" s="62"/>
      <c r="IG69" s="62"/>
      <c r="IH69" s="62"/>
      <c r="II69" s="62"/>
      <c r="IJ69" s="62"/>
      <c r="IK69" s="62"/>
      <c r="IL69" s="62"/>
      <c r="IM69" s="62"/>
      <c r="IN69" s="62"/>
      <c r="IO69" s="62"/>
      <c r="IP69" s="62"/>
      <c r="IQ69" s="62"/>
      <c r="IR69" s="62"/>
    </row>
    <row r="70" spans="1:252" hidden="1" x14ac:dyDescent="0.3">
      <c r="A70" s="19">
        <v>15</v>
      </c>
      <c r="B70" s="44" t="s">
        <v>64</v>
      </c>
      <c r="C70" s="15"/>
      <c r="D70" s="15"/>
      <c r="E70" s="21">
        <f t="shared" ref="E70:AI70" si="44">E69/E56</f>
        <v>0</v>
      </c>
      <c r="F70" s="21">
        <f t="shared" si="44"/>
        <v>0</v>
      </c>
      <c r="G70" s="21">
        <f t="shared" si="44"/>
        <v>0</v>
      </c>
      <c r="H70" s="21">
        <f t="shared" si="44"/>
        <v>0</v>
      </c>
      <c r="I70" s="21">
        <f t="shared" si="44"/>
        <v>0</v>
      </c>
      <c r="J70" s="21">
        <f t="shared" si="44"/>
        <v>0</v>
      </c>
      <c r="K70" s="21">
        <f t="shared" si="44"/>
        <v>0</v>
      </c>
      <c r="L70" s="21">
        <f t="shared" si="44"/>
        <v>0</v>
      </c>
      <c r="M70" s="65">
        <f t="shared" si="44"/>
        <v>0</v>
      </c>
      <c r="N70" s="21">
        <f t="shared" si="44"/>
        <v>0</v>
      </c>
      <c r="O70" s="21">
        <f t="shared" si="44"/>
        <v>0</v>
      </c>
      <c r="P70" s="21">
        <f t="shared" si="44"/>
        <v>0</v>
      </c>
      <c r="Q70" s="21">
        <f t="shared" si="44"/>
        <v>0</v>
      </c>
      <c r="R70" s="21">
        <f t="shared" si="44"/>
        <v>0</v>
      </c>
      <c r="S70" s="21">
        <f t="shared" si="44"/>
        <v>0</v>
      </c>
      <c r="T70" s="21">
        <f t="shared" si="44"/>
        <v>0</v>
      </c>
      <c r="U70" s="21">
        <f t="shared" si="44"/>
        <v>0</v>
      </c>
      <c r="V70" s="21">
        <f t="shared" si="44"/>
        <v>0</v>
      </c>
      <c r="W70" s="21">
        <f t="shared" si="44"/>
        <v>0</v>
      </c>
      <c r="X70" s="21">
        <f t="shared" si="44"/>
        <v>0</v>
      </c>
      <c r="Y70" s="21">
        <f t="shared" si="44"/>
        <v>0</v>
      </c>
      <c r="Z70" s="21">
        <f t="shared" si="44"/>
        <v>0</v>
      </c>
      <c r="AA70" s="21">
        <f t="shared" si="44"/>
        <v>0</v>
      </c>
      <c r="AB70" s="21">
        <f t="shared" si="44"/>
        <v>0</v>
      </c>
      <c r="AC70" s="21">
        <f t="shared" si="44"/>
        <v>0</v>
      </c>
      <c r="AD70" s="21">
        <f t="shared" si="44"/>
        <v>0</v>
      </c>
      <c r="AE70" s="21">
        <f t="shared" si="44"/>
        <v>0</v>
      </c>
      <c r="AF70" s="21">
        <f t="shared" si="44"/>
        <v>0</v>
      </c>
      <c r="AG70" s="21">
        <f t="shared" si="44"/>
        <v>0</v>
      </c>
      <c r="AH70" s="21">
        <f t="shared" si="44"/>
        <v>0</v>
      </c>
      <c r="AI70" s="21">
        <f t="shared" si="44"/>
        <v>0</v>
      </c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  <c r="BB70" s="62"/>
      <c r="BC70" s="62"/>
      <c r="BD70" s="62"/>
      <c r="BE70" s="62"/>
      <c r="BF70" s="62"/>
      <c r="BG70" s="62"/>
      <c r="BH70" s="62"/>
      <c r="BI70" s="62"/>
      <c r="BJ70" s="62"/>
      <c r="BK70" s="62"/>
      <c r="BL70" s="62"/>
      <c r="BM70" s="62"/>
      <c r="BN70" s="62"/>
      <c r="BO70" s="62"/>
      <c r="BP70" s="62"/>
      <c r="BQ70" s="62"/>
      <c r="BR70" s="62"/>
      <c r="BS70" s="62"/>
      <c r="BT70" s="62"/>
      <c r="BU70" s="62"/>
      <c r="BV70" s="62"/>
      <c r="BW70" s="62"/>
      <c r="BX70" s="62"/>
      <c r="BY70" s="62"/>
      <c r="BZ70" s="62"/>
      <c r="CA70" s="62"/>
      <c r="CB70" s="62"/>
      <c r="CC70" s="62"/>
      <c r="CD70" s="62"/>
      <c r="CE70" s="62"/>
      <c r="CF70" s="62"/>
      <c r="CG70" s="62"/>
      <c r="CH70" s="62"/>
      <c r="CI70" s="62"/>
      <c r="CJ70" s="62"/>
      <c r="CK70" s="62"/>
      <c r="CL70" s="62"/>
      <c r="CM70" s="62"/>
      <c r="CN70" s="62"/>
      <c r="CO70" s="62"/>
      <c r="CP70" s="62"/>
      <c r="CQ70" s="62"/>
      <c r="CR70" s="62"/>
      <c r="CS70" s="62"/>
      <c r="CT70" s="62"/>
      <c r="CU70" s="62"/>
      <c r="CV70" s="62"/>
      <c r="CW70" s="62"/>
      <c r="CX70" s="62"/>
      <c r="CY70" s="62"/>
      <c r="CZ70" s="62"/>
      <c r="DA70" s="62"/>
      <c r="DB70" s="62"/>
      <c r="DC70" s="62"/>
      <c r="DD70" s="62"/>
      <c r="DE70" s="62"/>
      <c r="DF70" s="62"/>
      <c r="DG70" s="62"/>
      <c r="DH70" s="62"/>
      <c r="DI70" s="62"/>
      <c r="DJ70" s="62"/>
      <c r="DK70" s="62"/>
      <c r="DL70" s="62"/>
      <c r="DM70" s="62"/>
      <c r="DN70" s="62"/>
      <c r="DO70" s="62"/>
      <c r="DP70" s="62"/>
      <c r="DQ70" s="62"/>
      <c r="DR70" s="62"/>
      <c r="DS70" s="62"/>
      <c r="DT70" s="62"/>
      <c r="DU70" s="62"/>
      <c r="DV70" s="62"/>
      <c r="DW70" s="62"/>
      <c r="DX70" s="62"/>
      <c r="DY70" s="62"/>
      <c r="DZ70" s="62"/>
      <c r="EA70" s="62"/>
      <c r="EB70" s="62"/>
      <c r="EC70" s="62"/>
      <c r="ED70" s="62"/>
      <c r="EE70" s="62"/>
      <c r="EF70" s="62"/>
      <c r="EG70" s="62"/>
      <c r="EH70" s="62"/>
      <c r="EI70" s="62"/>
      <c r="EJ70" s="62"/>
      <c r="EK70" s="62"/>
      <c r="EL70" s="62"/>
      <c r="EM70" s="62"/>
      <c r="EN70" s="62"/>
      <c r="EO70" s="62"/>
      <c r="EP70" s="62"/>
      <c r="EQ70" s="62"/>
      <c r="ER70" s="62"/>
      <c r="ES70" s="62"/>
      <c r="ET70" s="62"/>
      <c r="EU70" s="62"/>
      <c r="EV70" s="62"/>
      <c r="EW70" s="62"/>
      <c r="EX70" s="62"/>
      <c r="EY70" s="62"/>
      <c r="EZ70" s="62"/>
      <c r="FA70" s="62"/>
      <c r="FB70" s="62"/>
      <c r="FC70" s="62"/>
      <c r="FD70" s="62"/>
      <c r="FE70" s="62"/>
      <c r="FF70" s="62"/>
      <c r="FG70" s="62"/>
      <c r="FH70" s="62"/>
      <c r="FI70" s="62"/>
      <c r="FJ70" s="62"/>
      <c r="FK70" s="62"/>
      <c r="FL70" s="62"/>
      <c r="FM70" s="62"/>
      <c r="FN70" s="62"/>
      <c r="FO70" s="62"/>
      <c r="FP70" s="62"/>
      <c r="FQ70" s="62"/>
      <c r="FR70" s="62"/>
      <c r="FS70" s="62"/>
      <c r="FT70" s="62"/>
      <c r="FU70" s="62"/>
      <c r="FV70" s="62"/>
      <c r="FW70" s="62"/>
      <c r="FX70" s="62"/>
      <c r="FY70" s="62"/>
      <c r="FZ70" s="62"/>
      <c r="GA70" s="62"/>
      <c r="GB70" s="62"/>
      <c r="GC70" s="62"/>
      <c r="GD70" s="62"/>
      <c r="GE70" s="62"/>
      <c r="GF70" s="62"/>
      <c r="GG70" s="62"/>
      <c r="GH70" s="62"/>
      <c r="GI70" s="62"/>
      <c r="GJ70" s="62"/>
      <c r="GK70" s="62"/>
      <c r="GL70" s="62"/>
      <c r="GM70" s="62"/>
      <c r="GN70" s="62"/>
      <c r="GO70" s="62"/>
      <c r="GP70" s="62"/>
      <c r="GQ70" s="62"/>
      <c r="GR70" s="62"/>
      <c r="GS70" s="62"/>
      <c r="GT70" s="62"/>
      <c r="GU70" s="62"/>
      <c r="GV70" s="62"/>
      <c r="GW70" s="62"/>
      <c r="GX70" s="62"/>
      <c r="GY70" s="62"/>
      <c r="GZ70" s="62"/>
      <c r="HA70" s="62"/>
      <c r="HB70" s="62"/>
      <c r="HC70" s="62"/>
      <c r="HD70" s="62"/>
      <c r="HE70" s="62"/>
      <c r="HF70" s="62"/>
      <c r="HG70" s="62"/>
      <c r="HH70" s="62"/>
      <c r="HI70" s="62"/>
      <c r="HJ70" s="62"/>
      <c r="HK70" s="62"/>
      <c r="HL70" s="62"/>
      <c r="HM70" s="62"/>
      <c r="HN70" s="62"/>
      <c r="HO70" s="62"/>
      <c r="HP70" s="62"/>
      <c r="HQ70" s="62"/>
      <c r="HR70" s="62"/>
      <c r="HS70" s="62"/>
      <c r="HT70" s="62"/>
      <c r="HU70" s="62"/>
      <c r="HV70" s="62"/>
      <c r="HW70" s="62"/>
      <c r="HX70" s="62"/>
      <c r="HY70" s="62"/>
      <c r="HZ70" s="62"/>
      <c r="IA70" s="62"/>
      <c r="IB70" s="62"/>
      <c r="IC70" s="62"/>
      <c r="ID70" s="62"/>
      <c r="IE70" s="62"/>
      <c r="IF70" s="62"/>
      <c r="IG70" s="62"/>
      <c r="IH70" s="62"/>
      <c r="II70" s="62"/>
      <c r="IJ70" s="62"/>
      <c r="IK70" s="62"/>
      <c r="IL70" s="62"/>
      <c r="IM70" s="62"/>
      <c r="IN70" s="62"/>
      <c r="IO70" s="62"/>
      <c r="IP70" s="62"/>
      <c r="IQ70" s="62"/>
      <c r="IR70" s="62"/>
    </row>
    <row r="71" spans="1:252" hidden="1" x14ac:dyDescent="0.3">
      <c r="A71" s="19"/>
      <c r="B71" s="44" t="s">
        <v>65</v>
      </c>
      <c r="C71" s="15"/>
      <c r="D71" s="15"/>
      <c r="E71" s="21">
        <f t="shared" ref="E71:AH71" si="45">(E69+E52)/(E56+E43)</f>
        <v>9.8089627935921062E-2</v>
      </c>
      <c r="F71" s="21">
        <f t="shared" si="45"/>
        <v>0.16780778401411914</v>
      </c>
      <c r="G71" s="21">
        <f t="shared" si="45"/>
        <v>0.16669533311455681</v>
      </c>
      <c r="H71" s="21">
        <f t="shared" si="45"/>
        <v>0.18943948591767115</v>
      </c>
      <c r="I71" s="21">
        <f t="shared" si="45"/>
        <v>0.17695800783673929</v>
      </c>
      <c r="J71" s="21">
        <f t="shared" si="45"/>
        <v>0.14638616474527244</v>
      </c>
      <c r="K71" s="21">
        <f t="shared" si="45"/>
        <v>0.15544064618491274</v>
      </c>
      <c r="L71" s="21">
        <f t="shared" si="45"/>
        <v>0.154614130113326</v>
      </c>
      <c r="M71" s="65">
        <f t="shared" si="45"/>
        <v>0.15655889274297763</v>
      </c>
      <c r="N71" s="21">
        <f t="shared" si="45"/>
        <v>0.15186346023843866</v>
      </c>
      <c r="O71" s="21">
        <f t="shared" si="45"/>
        <v>6.7774582432407374E-2</v>
      </c>
      <c r="P71" s="21">
        <f t="shared" si="45"/>
        <v>6.1162100308806887E-2</v>
      </c>
      <c r="Q71" s="21">
        <f t="shared" si="45"/>
        <v>7.0139495788331313E-2</v>
      </c>
      <c r="R71" s="21">
        <f t="shared" si="45"/>
        <v>7.7993798237948969E-2</v>
      </c>
      <c r="S71" s="21">
        <f t="shared" si="45"/>
        <v>6.5127815614818729E-2</v>
      </c>
      <c r="T71" s="21">
        <f t="shared" si="45"/>
        <v>7.7703677173725796E-2</v>
      </c>
      <c r="U71" s="21">
        <f t="shared" si="45"/>
        <v>6.9341159974853697E-2</v>
      </c>
      <c r="V71" s="21">
        <f t="shared" si="45"/>
        <v>6.2541360619393263E-2</v>
      </c>
      <c r="W71" s="21">
        <f t="shared" si="45"/>
        <v>0</v>
      </c>
      <c r="X71" s="21">
        <f t="shared" si="45"/>
        <v>5.8537857637582659E-2</v>
      </c>
      <c r="Y71" s="21">
        <f t="shared" si="45"/>
        <v>7.7067537892918231E-2</v>
      </c>
      <c r="Z71" s="21">
        <f t="shared" si="45"/>
        <v>6.2624994700049938E-2</v>
      </c>
      <c r="AA71" s="21">
        <f t="shared" si="45"/>
        <v>5.7820792978464111E-2</v>
      </c>
      <c r="AB71" s="21">
        <f t="shared" si="45"/>
        <v>7.3816419710607928E-2</v>
      </c>
      <c r="AC71" s="21">
        <f t="shared" si="45"/>
        <v>7.1218915359571991E-2</v>
      </c>
      <c r="AD71" s="21">
        <f t="shared" si="45"/>
        <v>6.9208937476873081E-2</v>
      </c>
      <c r="AE71" s="21">
        <f t="shared" si="45"/>
        <v>6.7755918306543123E-2</v>
      </c>
      <c r="AF71" s="21">
        <f t="shared" si="45"/>
        <v>6.8131315619814697E-2</v>
      </c>
      <c r="AG71" s="21">
        <f t="shared" si="45"/>
        <v>6.2243932492062226E-2</v>
      </c>
      <c r="AH71" s="21">
        <f t="shared" si="45"/>
        <v>6.7538227036330958E-2</v>
      </c>
      <c r="AI71" s="21">
        <f>(AI69+AI52)/(AI56+AI43)</f>
        <v>9.7368567734841635E-2</v>
      </c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  <c r="BK71" s="62"/>
      <c r="BL71" s="62"/>
      <c r="BM71" s="62"/>
      <c r="BN71" s="62"/>
      <c r="BO71" s="62"/>
      <c r="BP71" s="62"/>
      <c r="BQ71" s="62"/>
      <c r="BR71" s="62"/>
      <c r="BS71" s="62"/>
      <c r="BT71" s="62"/>
      <c r="BU71" s="62"/>
      <c r="BV71" s="62"/>
      <c r="BW71" s="62"/>
      <c r="BX71" s="62"/>
      <c r="BY71" s="62"/>
      <c r="BZ71" s="62"/>
      <c r="CA71" s="62"/>
      <c r="CB71" s="62"/>
      <c r="CC71" s="62"/>
      <c r="CD71" s="62"/>
      <c r="CE71" s="62"/>
      <c r="CF71" s="62"/>
      <c r="CG71" s="62"/>
      <c r="CH71" s="62"/>
      <c r="CI71" s="62"/>
      <c r="CJ71" s="62"/>
      <c r="CK71" s="62"/>
      <c r="CL71" s="62"/>
      <c r="CM71" s="62"/>
      <c r="CN71" s="62"/>
      <c r="CO71" s="62"/>
      <c r="CP71" s="62"/>
      <c r="CQ71" s="62"/>
      <c r="CR71" s="62"/>
      <c r="CS71" s="62"/>
      <c r="CT71" s="62"/>
      <c r="CU71" s="62"/>
      <c r="CV71" s="62"/>
      <c r="CW71" s="62"/>
      <c r="CX71" s="62"/>
      <c r="CY71" s="62"/>
      <c r="CZ71" s="62"/>
      <c r="DA71" s="62"/>
      <c r="DB71" s="62"/>
      <c r="DC71" s="62"/>
      <c r="DD71" s="62"/>
      <c r="DE71" s="62"/>
      <c r="DF71" s="62"/>
      <c r="DG71" s="62"/>
      <c r="DH71" s="62"/>
      <c r="DI71" s="62"/>
      <c r="DJ71" s="62"/>
      <c r="DK71" s="62"/>
      <c r="DL71" s="62"/>
      <c r="DM71" s="62"/>
      <c r="DN71" s="62"/>
      <c r="DO71" s="62"/>
      <c r="DP71" s="62"/>
      <c r="DQ71" s="62"/>
      <c r="DR71" s="62"/>
      <c r="DS71" s="62"/>
      <c r="DT71" s="62"/>
      <c r="DU71" s="62"/>
      <c r="DV71" s="62"/>
      <c r="DW71" s="62"/>
      <c r="DX71" s="62"/>
      <c r="DY71" s="62"/>
      <c r="DZ71" s="62"/>
      <c r="EA71" s="62"/>
      <c r="EB71" s="62"/>
      <c r="EC71" s="62"/>
      <c r="ED71" s="62"/>
      <c r="EE71" s="62"/>
      <c r="EF71" s="62"/>
      <c r="EG71" s="62"/>
      <c r="EH71" s="62"/>
      <c r="EI71" s="62"/>
      <c r="EJ71" s="62"/>
      <c r="EK71" s="62"/>
      <c r="EL71" s="62"/>
      <c r="EM71" s="62"/>
      <c r="EN71" s="62"/>
      <c r="EO71" s="62"/>
      <c r="EP71" s="62"/>
      <c r="EQ71" s="62"/>
      <c r="ER71" s="62"/>
      <c r="ES71" s="62"/>
      <c r="ET71" s="62"/>
      <c r="EU71" s="62"/>
      <c r="EV71" s="62"/>
      <c r="EW71" s="62"/>
      <c r="EX71" s="62"/>
      <c r="EY71" s="62"/>
      <c r="EZ71" s="62"/>
      <c r="FA71" s="62"/>
      <c r="FB71" s="62"/>
      <c r="FC71" s="62"/>
      <c r="FD71" s="62"/>
      <c r="FE71" s="62"/>
      <c r="FF71" s="62"/>
      <c r="FG71" s="62"/>
      <c r="FH71" s="62"/>
      <c r="FI71" s="62"/>
      <c r="FJ71" s="62"/>
      <c r="FK71" s="62"/>
      <c r="FL71" s="62"/>
      <c r="FM71" s="62"/>
      <c r="FN71" s="62"/>
      <c r="FO71" s="62"/>
      <c r="FP71" s="62"/>
      <c r="FQ71" s="62"/>
      <c r="FR71" s="62"/>
      <c r="FS71" s="62"/>
      <c r="FT71" s="62"/>
      <c r="FU71" s="62"/>
      <c r="FV71" s="62"/>
      <c r="FW71" s="62"/>
      <c r="FX71" s="62"/>
      <c r="FY71" s="62"/>
      <c r="FZ71" s="62"/>
      <c r="GA71" s="62"/>
      <c r="GB71" s="62"/>
      <c r="GC71" s="62"/>
      <c r="GD71" s="62"/>
      <c r="GE71" s="62"/>
      <c r="GF71" s="62"/>
      <c r="GG71" s="62"/>
      <c r="GH71" s="62"/>
      <c r="GI71" s="62"/>
      <c r="GJ71" s="62"/>
      <c r="GK71" s="62"/>
      <c r="GL71" s="62"/>
      <c r="GM71" s="62"/>
      <c r="GN71" s="62"/>
      <c r="GO71" s="62"/>
      <c r="GP71" s="62"/>
      <c r="GQ71" s="62"/>
      <c r="GR71" s="62"/>
      <c r="GS71" s="62"/>
      <c r="GT71" s="62"/>
      <c r="GU71" s="62"/>
      <c r="GV71" s="62"/>
      <c r="GW71" s="62"/>
      <c r="GX71" s="62"/>
      <c r="GY71" s="62"/>
      <c r="GZ71" s="62"/>
      <c r="HA71" s="62"/>
      <c r="HB71" s="62"/>
      <c r="HC71" s="62"/>
      <c r="HD71" s="62"/>
      <c r="HE71" s="62"/>
      <c r="HF71" s="62"/>
      <c r="HG71" s="62"/>
      <c r="HH71" s="62"/>
      <c r="HI71" s="62"/>
      <c r="HJ71" s="62"/>
      <c r="HK71" s="62"/>
      <c r="HL71" s="62"/>
      <c r="HM71" s="62"/>
      <c r="HN71" s="62"/>
      <c r="HO71" s="62"/>
      <c r="HP71" s="62"/>
      <c r="HQ71" s="62"/>
      <c r="HR71" s="62"/>
      <c r="HS71" s="62"/>
      <c r="HT71" s="62"/>
      <c r="HU71" s="62"/>
      <c r="HV71" s="62"/>
      <c r="HW71" s="62"/>
      <c r="HX71" s="62"/>
      <c r="HY71" s="62"/>
      <c r="HZ71" s="62"/>
      <c r="IA71" s="62"/>
      <c r="IB71" s="62"/>
      <c r="IC71" s="62"/>
      <c r="ID71" s="62"/>
      <c r="IE71" s="62"/>
      <c r="IF71" s="62"/>
      <c r="IG71" s="62"/>
      <c r="IH71" s="62"/>
      <c r="II71" s="62"/>
      <c r="IJ71" s="62"/>
      <c r="IK71" s="62"/>
      <c r="IL71" s="62"/>
      <c r="IM71" s="62"/>
      <c r="IN71" s="62"/>
      <c r="IO71" s="62"/>
      <c r="IP71" s="62"/>
      <c r="IQ71" s="62"/>
      <c r="IR71" s="62"/>
    </row>
    <row r="72" spans="1:252" s="51" customFormat="1" hidden="1" x14ac:dyDescent="0.3">
      <c r="B72" s="58" t="s">
        <v>66</v>
      </c>
      <c r="C72" s="59" t="s">
        <v>51</v>
      </c>
      <c r="D72" s="59" t="s">
        <v>55</v>
      </c>
      <c r="E72" s="72"/>
      <c r="F72" s="72"/>
      <c r="G72" s="72"/>
      <c r="H72" s="72"/>
      <c r="I72" s="72"/>
      <c r="J72" s="72">
        <v>86</v>
      </c>
      <c r="K72" s="72"/>
      <c r="L72" s="72">
        <v>0</v>
      </c>
      <c r="M72" s="39">
        <v>0</v>
      </c>
      <c r="N72" s="40">
        <v>0</v>
      </c>
      <c r="O72" s="40">
        <v>0</v>
      </c>
      <c r="P72" s="40">
        <v>0</v>
      </c>
      <c r="Q72" s="39">
        <v>0</v>
      </c>
      <c r="R72" s="40">
        <v>0</v>
      </c>
      <c r="S72" s="40">
        <v>0</v>
      </c>
      <c r="T72" s="40">
        <v>0</v>
      </c>
      <c r="U72" s="40">
        <v>0</v>
      </c>
      <c r="V72" s="39">
        <v>0</v>
      </c>
      <c r="W72" s="39">
        <v>0</v>
      </c>
      <c r="X72" s="39">
        <v>0</v>
      </c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61">
        <f>SUM(E72:AH72)</f>
        <v>86</v>
      </c>
      <c r="AK7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  <c r="BK72" s="62"/>
      <c r="BL72" s="62"/>
      <c r="BM72" s="62"/>
      <c r="BN72" s="62"/>
      <c r="BO72" s="62"/>
      <c r="BP72" s="62"/>
      <c r="BQ72" s="62"/>
      <c r="BR72" s="62"/>
      <c r="BS72" s="62"/>
      <c r="BT72" s="62"/>
      <c r="BU72" s="62"/>
      <c r="BV72" s="62"/>
      <c r="BW72" s="62"/>
      <c r="BX72" s="62"/>
      <c r="BY72" s="62"/>
      <c r="BZ72" s="62"/>
      <c r="CA72" s="62"/>
      <c r="CB72" s="62"/>
      <c r="CC72" s="62"/>
      <c r="CD72" s="62"/>
      <c r="CE72" s="62"/>
      <c r="CF72" s="62"/>
      <c r="CG72" s="62"/>
      <c r="CH72" s="62"/>
      <c r="CI72" s="62"/>
      <c r="CJ72" s="62"/>
      <c r="CK72" s="62"/>
      <c r="CL72" s="62"/>
      <c r="CM72" s="62"/>
      <c r="CN72" s="62"/>
      <c r="CO72" s="62"/>
      <c r="CP72" s="62"/>
      <c r="CQ72" s="62"/>
      <c r="CR72" s="62"/>
      <c r="CS72" s="62"/>
      <c r="CT72" s="62"/>
      <c r="CU72" s="62"/>
      <c r="CV72" s="62"/>
      <c r="CW72" s="62"/>
      <c r="CX72" s="62"/>
      <c r="CY72" s="62"/>
      <c r="CZ72" s="62"/>
      <c r="DA72" s="62"/>
      <c r="DB72" s="62"/>
      <c r="DC72" s="62"/>
      <c r="DD72" s="62"/>
      <c r="DE72" s="62"/>
      <c r="DF72" s="62"/>
      <c r="DG72" s="62"/>
      <c r="DH72" s="62"/>
      <c r="DI72" s="62"/>
      <c r="DJ72" s="62"/>
      <c r="DK72" s="62"/>
      <c r="DL72" s="62"/>
      <c r="DM72" s="62"/>
      <c r="DN72" s="62"/>
      <c r="DO72" s="62"/>
      <c r="DP72" s="62"/>
      <c r="DQ72" s="62"/>
      <c r="DR72" s="62"/>
      <c r="DS72" s="62"/>
      <c r="DT72" s="62"/>
      <c r="DU72" s="62"/>
      <c r="DV72" s="62"/>
      <c r="DW72" s="62"/>
      <c r="DX72" s="62"/>
      <c r="DY72" s="62"/>
      <c r="DZ72" s="62"/>
      <c r="EA72" s="62"/>
      <c r="EB72" s="62"/>
      <c r="EC72" s="62"/>
      <c r="ED72" s="62"/>
      <c r="EE72" s="62"/>
      <c r="EF72" s="62"/>
      <c r="EG72" s="62"/>
      <c r="EH72" s="62"/>
      <c r="EI72" s="62"/>
      <c r="EJ72" s="62"/>
      <c r="EK72" s="62"/>
      <c r="EL72" s="62"/>
      <c r="EM72" s="62"/>
      <c r="EN72" s="62"/>
      <c r="EO72" s="62"/>
      <c r="EP72" s="62"/>
      <c r="EQ72" s="62"/>
      <c r="ER72" s="62"/>
      <c r="ES72" s="62"/>
      <c r="ET72" s="62"/>
      <c r="EU72" s="62"/>
      <c r="EV72" s="62"/>
      <c r="EW72" s="62"/>
      <c r="EX72" s="62"/>
      <c r="EY72" s="62"/>
      <c r="EZ72" s="62"/>
      <c r="FA72" s="62"/>
      <c r="FB72" s="62"/>
      <c r="FC72" s="62"/>
      <c r="FD72" s="62"/>
      <c r="FE72" s="62"/>
      <c r="FF72" s="62"/>
      <c r="FG72" s="62"/>
      <c r="FH72" s="62"/>
      <c r="FI72" s="62"/>
      <c r="FJ72" s="62"/>
      <c r="FK72" s="62"/>
      <c r="FL72" s="62"/>
      <c r="FM72" s="62"/>
      <c r="FN72" s="62"/>
      <c r="FO72" s="62"/>
      <c r="FP72" s="62"/>
      <c r="FQ72" s="62"/>
      <c r="FR72" s="62"/>
      <c r="FS72" s="62"/>
      <c r="FT72" s="62"/>
      <c r="FU72" s="62"/>
      <c r="FV72" s="62"/>
      <c r="FW72" s="62"/>
      <c r="FX72" s="62"/>
      <c r="FY72" s="62"/>
      <c r="FZ72" s="62"/>
      <c r="GA72" s="62"/>
      <c r="GB72" s="62"/>
      <c r="GC72" s="62"/>
      <c r="GD72" s="62"/>
      <c r="GE72" s="62"/>
      <c r="GF72" s="62"/>
      <c r="GG72" s="62"/>
      <c r="GH72" s="62"/>
      <c r="GI72" s="62"/>
      <c r="GJ72" s="62"/>
      <c r="GK72" s="62"/>
      <c r="GL72" s="62"/>
      <c r="GM72" s="62"/>
      <c r="GN72" s="62"/>
      <c r="GO72" s="62"/>
      <c r="GP72" s="62"/>
      <c r="GQ72" s="62"/>
      <c r="GR72" s="62"/>
      <c r="GS72" s="62"/>
      <c r="GT72" s="62"/>
      <c r="GU72" s="62"/>
      <c r="GV72" s="62"/>
      <c r="GW72" s="62"/>
      <c r="GX72" s="62"/>
      <c r="GY72" s="62"/>
      <c r="GZ72" s="62"/>
      <c r="HA72" s="62"/>
      <c r="HB72" s="62"/>
      <c r="HC72" s="62"/>
      <c r="HD72" s="62"/>
      <c r="HE72" s="62"/>
      <c r="HF72" s="62"/>
      <c r="HG72" s="62"/>
      <c r="HH72" s="62"/>
      <c r="HI72" s="62"/>
      <c r="HJ72" s="62"/>
      <c r="HK72" s="62"/>
      <c r="HL72" s="62"/>
      <c r="HM72" s="62"/>
      <c r="HN72" s="62"/>
      <c r="HO72" s="62"/>
      <c r="HP72" s="62"/>
      <c r="HQ72" s="62"/>
      <c r="HR72" s="62"/>
      <c r="HS72" s="62"/>
      <c r="HT72" s="62"/>
      <c r="HU72" s="62"/>
      <c r="HV72" s="62"/>
      <c r="HW72" s="62"/>
      <c r="HX72" s="62"/>
      <c r="HY72" s="62"/>
      <c r="HZ72" s="62"/>
      <c r="IA72" s="62"/>
      <c r="IB72" s="62"/>
      <c r="IC72" s="62"/>
      <c r="ID72" s="62"/>
      <c r="IE72" s="62"/>
      <c r="IF72" s="62"/>
      <c r="IG72" s="62"/>
      <c r="IH72" s="62"/>
      <c r="II72" s="62"/>
      <c r="IJ72" s="62"/>
      <c r="IK72" s="62"/>
      <c r="IL72" s="62"/>
      <c r="IM72" s="62"/>
      <c r="IN72" s="62"/>
      <c r="IO72" s="62"/>
      <c r="IP72" s="62"/>
      <c r="IQ72" s="62"/>
      <c r="IR72" s="62"/>
    </row>
    <row r="73" spans="1:252" s="51" customFormat="1" hidden="1" x14ac:dyDescent="0.3">
      <c r="B73" s="58" t="s">
        <v>67</v>
      </c>
      <c r="C73" s="59" t="s">
        <v>51</v>
      </c>
      <c r="D73" s="59" t="s">
        <v>55</v>
      </c>
      <c r="E73" s="60"/>
      <c r="F73" s="60"/>
      <c r="G73" s="53"/>
      <c r="H73" s="60"/>
      <c r="I73" s="60"/>
      <c r="J73" s="53">
        <v>7463</v>
      </c>
      <c r="K73" s="53"/>
      <c r="L73" s="53"/>
      <c r="M73" s="39"/>
      <c r="N73" s="40"/>
      <c r="O73" s="40"/>
      <c r="P73" s="40"/>
      <c r="Q73" s="39"/>
      <c r="R73" s="40"/>
      <c r="S73" s="40"/>
      <c r="T73" s="40"/>
      <c r="U73" s="40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61">
        <f>SUM(E73:AH73)</f>
        <v>7463</v>
      </c>
      <c r="AK73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  <c r="BK73" s="62"/>
      <c r="BL73" s="62"/>
      <c r="BM73" s="62"/>
      <c r="BN73" s="62"/>
      <c r="BO73" s="62"/>
      <c r="BP73" s="62"/>
      <c r="BQ73" s="62"/>
      <c r="BR73" s="62"/>
      <c r="BS73" s="62"/>
      <c r="BT73" s="62"/>
      <c r="BU73" s="62"/>
      <c r="BV73" s="62"/>
      <c r="BW73" s="62"/>
      <c r="BX73" s="62"/>
      <c r="BY73" s="62"/>
      <c r="BZ73" s="62"/>
      <c r="CA73" s="62"/>
      <c r="CB73" s="62"/>
      <c r="CC73" s="62"/>
      <c r="CD73" s="62"/>
      <c r="CE73" s="62"/>
      <c r="CF73" s="62"/>
      <c r="CG73" s="62"/>
      <c r="CH73" s="62"/>
      <c r="CI73" s="62"/>
      <c r="CJ73" s="62"/>
      <c r="CK73" s="62"/>
      <c r="CL73" s="62"/>
      <c r="CM73" s="62"/>
      <c r="CN73" s="62"/>
      <c r="CO73" s="62"/>
      <c r="CP73" s="62"/>
      <c r="CQ73" s="62"/>
      <c r="CR73" s="62"/>
      <c r="CS73" s="62"/>
      <c r="CT73" s="62"/>
      <c r="CU73" s="62"/>
      <c r="CV73" s="62"/>
      <c r="CW73" s="62"/>
      <c r="CX73" s="62"/>
      <c r="CY73" s="62"/>
      <c r="CZ73" s="62"/>
      <c r="DA73" s="62"/>
      <c r="DB73" s="62"/>
      <c r="DC73" s="62"/>
      <c r="DD73" s="62"/>
      <c r="DE73" s="62"/>
      <c r="DF73" s="62"/>
      <c r="DG73" s="62"/>
      <c r="DH73" s="62"/>
      <c r="DI73" s="62"/>
      <c r="DJ73" s="62"/>
      <c r="DK73" s="62"/>
      <c r="DL73" s="62"/>
      <c r="DM73" s="62"/>
      <c r="DN73" s="62"/>
      <c r="DO73" s="62"/>
      <c r="DP73" s="62"/>
      <c r="DQ73" s="62"/>
      <c r="DR73" s="62"/>
      <c r="DS73" s="62"/>
      <c r="DT73" s="62"/>
      <c r="DU73" s="62"/>
      <c r="DV73" s="62"/>
      <c r="DW73" s="62"/>
      <c r="DX73" s="62"/>
      <c r="DY73" s="62"/>
      <c r="DZ73" s="62"/>
      <c r="EA73" s="62"/>
      <c r="EB73" s="62"/>
      <c r="EC73" s="62"/>
      <c r="ED73" s="62"/>
      <c r="EE73" s="62"/>
      <c r="EF73" s="62"/>
      <c r="EG73" s="62"/>
      <c r="EH73" s="62"/>
      <c r="EI73" s="62"/>
      <c r="EJ73" s="62"/>
      <c r="EK73" s="62"/>
      <c r="EL73" s="62"/>
      <c r="EM73" s="62"/>
      <c r="EN73" s="62"/>
      <c r="EO73" s="62"/>
      <c r="EP73" s="62"/>
      <c r="EQ73" s="62"/>
      <c r="ER73" s="62"/>
      <c r="ES73" s="62"/>
      <c r="ET73" s="62"/>
      <c r="EU73" s="62"/>
      <c r="EV73" s="62"/>
      <c r="EW73" s="62"/>
      <c r="EX73" s="62"/>
      <c r="EY73" s="62"/>
      <c r="EZ73" s="62"/>
      <c r="FA73" s="62"/>
      <c r="FB73" s="62"/>
      <c r="FC73" s="62"/>
      <c r="FD73" s="62"/>
      <c r="FE73" s="62"/>
      <c r="FF73" s="62"/>
      <c r="FG73" s="62"/>
      <c r="FH73" s="62"/>
      <c r="FI73" s="62"/>
      <c r="FJ73" s="62"/>
      <c r="FK73" s="62"/>
      <c r="FL73" s="62"/>
      <c r="FM73" s="62"/>
      <c r="FN73" s="62"/>
      <c r="FO73" s="62"/>
      <c r="FP73" s="62"/>
      <c r="FQ73" s="62"/>
      <c r="FR73" s="62"/>
      <c r="FS73" s="62"/>
      <c r="FT73" s="62"/>
      <c r="FU73" s="62"/>
      <c r="FV73" s="62"/>
      <c r="FW73" s="62"/>
      <c r="FX73" s="62"/>
      <c r="FY73" s="62"/>
      <c r="FZ73" s="62"/>
      <c r="GA73" s="62"/>
      <c r="GB73" s="62"/>
      <c r="GC73" s="62"/>
      <c r="GD73" s="62"/>
      <c r="GE73" s="62"/>
      <c r="GF73" s="62"/>
      <c r="GG73" s="62"/>
      <c r="GH73" s="62"/>
      <c r="GI73" s="62"/>
      <c r="GJ73" s="62"/>
      <c r="GK73" s="62"/>
      <c r="GL73" s="62"/>
      <c r="GM73" s="62"/>
      <c r="GN73" s="62"/>
      <c r="GO73" s="62"/>
      <c r="GP73" s="62"/>
      <c r="GQ73" s="62"/>
      <c r="GR73" s="62"/>
      <c r="GS73" s="62"/>
      <c r="GT73" s="62"/>
      <c r="GU73" s="62"/>
      <c r="GV73" s="62"/>
      <c r="GW73" s="62"/>
      <c r="GX73" s="62"/>
      <c r="GY73" s="62"/>
      <c r="GZ73" s="62"/>
      <c r="HA73" s="62"/>
      <c r="HB73" s="62"/>
      <c r="HC73" s="62"/>
      <c r="HD73" s="62"/>
      <c r="HE73" s="62"/>
      <c r="HF73" s="62"/>
      <c r="HG73" s="62"/>
      <c r="HH73" s="62"/>
      <c r="HI73" s="62"/>
      <c r="HJ73" s="62"/>
      <c r="HK73" s="62"/>
      <c r="HL73" s="62"/>
      <c r="HM73" s="62"/>
      <c r="HN73" s="62"/>
      <c r="HO73" s="62"/>
      <c r="HP73" s="62"/>
      <c r="HQ73" s="62"/>
      <c r="HR73" s="62"/>
      <c r="HS73" s="62"/>
      <c r="HT73" s="62"/>
      <c r="HU73" s="62"/>
      <c r="HV73" s="62"/>
      <c r="HW73" s="62"/>
      <c r="HX73" s="62"/>
      <c r="HY73" s="62"/>
      <c r="HZ73" s="62"/>
      <c r="IA73" s="62"/>
      <c r="IB73" s="62"/>
      <c r="IC73" s="62"/>
      <c r="ID73" s="62"/>
      <c r="IE73" s="62"/>
      <c r="IF73" s="62"/>
      <c r="IG73" s="62"/>
      <c r="IH73" s="62"/>
      <c r="II73" s="62"/>
      <c r="IJ73" s="62"/>
      <c r="IK73" s="62"/>
      <c r="IL73" s="62"/>
      <c r="IM73" s="62"/>
      <c r="IN73" s="62"/>
      <c r="IO73" s="62"/>
      <c r="IP73" s="62"/>
      <c r="IQ73" s="62"/>
      <c r="IR73" s="62"/>
    </row>
    <row r="74" spans="1:252" s="51" customFormat="1" hidden="1" x14ac:dyDescent="0.3">
      <c r="B74" s="58" t="s">
        <v>68</v>
      </c>
      <c r="C74" s="59" t="s">
        <v>51</v>
      </c>
      <c r="D74" s="59" t="s">
        <v>55</v>
      </c>
      <c r="E74" s="63">
        <f>E72*E73</f>
        <v>0</v>
      </c>
      <c r="F74" s="63">
        <f t="shared" ref="F74:V74" si="46">F72*F73</f>
        <v>0</v>
      </c>
      <c r="G74" s="63">
        <f t="shared" si="46"/>
        <v>0</v>
      </c>
      <c r="H74" s="63">
        <f t="shared" si="46"/>
        <v>0</v>
      </c>
      <c r="I74" s="63">
        <f t="shared" si="46"/>
        <v>0</v>
      </c>
      <c r="J74" s="63">
        <f t="shared" si="46"/>
        <v>641818</v>
      </c>
      <c r="K74" s="63">
        <f t="shared" si="46"/>
        <v>0</v>
      </c>
      <c r="L74" s="63">
        <f t="shared" si="46"/>
        <v>0</v>
      </c>
      <c r="M74" s="64">
        <f t="shared" si="46"/>
        <v>0</v>
      </c>
      <c r="N74" s="63">
        <f t="shared" si="46"/>
        <v>0</v>
      </c>
      <c r="O74" s="63">
        <f t="shared" si="46"/>
        <v>0</v>
      </c>
      <c r="P74" s="63">
        <f t="shared" si="46"/>
        <v>0</v>
      </c>
      <c r="Q74" s="63">
        <f t="shared" si="46"/>
        <v>0</v>
      </c>
      <c r="R74" s="63">
        <f t="shared" si="46"/>
        <v>0</v>
      </c>
      <c r="S74" s="63">
        <f t="shared" si="46"/>
        <v>0</v>
      </c>
      <c r="T74" s="63">
        <f t="shared" si="46"/>
        <v>0</v>
      </c>
      <c r="U74" s="63">
        <f t="shared" si="46"/>
        <v>0</v>
      </c>
      <c r="V74" s="63">
        <f t="shared" si="46"/>
        <v>0</v>
      </c>
      <c r="W74" s="39">
        <f t="shared" ref="W74:AH74" si="47">W73*W72</f>
        <v>0</v>
      </c>
      <c r="X74" s="39">
        <f t="shared" si="47"/>
        <v>0</v>
      </c>
      <c r="Y74" s="39">
        <f t="shared" si="47"/>
        <v>0</v>
      </c>
      <c r="Z74" s="39">
        <f t="shared" si="47"/>
        <v>0</v>
      </c>
      <c r="AA74" s="39">
        <f t="shared" si="47"/>
        <v>0</v>
      </c>
      <c r="AB74" s="39">
        <f t="shared" si="47"/>
        <v>0</v>
      </c>
      <c r="AC74" s="39">
        <f t="shared" si="47"/>
        <v>0</v>
      </c>
      <c r="AD74" s="39">
        <f t="shared" si="47"/>
        <v>0</v>
      </c>
      <c r="AE74" s="39">
        <f t="shared" si="47"/>
        <v>0</v>
      </c>
      <c r="AF74" s="39">
        <f t="shared" si="47"/>
        <v>0</v>
      </c>
      <c r="AG74" s="39">
        <f t="shared" si="47"/>
        <v>0</v>
      </c>
      <c r="AH74" s="39">
        <f t="shared" si="47"/>
        <v>0</v>
      </c>
      <c r="AI74" s="61">
        <f>SUM(E74:AH74)</f>
        <v>641818</v>
      </c>
      <c r="AK74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  <c r="BK74" s="62"/>
      <c r="BL74" s="62"/>
      <c r="BM74" s="62"/>
      <c r="BN74" s="62"/>
      <c r="BO74" s="62"/>
      <c r="BP74" s="62"/>
      <c r="BQ74" s="62"/>
      <c r="BR74" s="62"/>
      <c r="BS74" s="62"/>
      <c r="BT74" s="62"/>
      <c r="BU74" s="62"/>
      <c r="BV74" s="62"/>
      <c r="BW74" s="62"/>
      <c r="BX74" s="62"/>
      <c r="BY74" s="62"/>
      <c r="BZ74" s="62"/>
      <c r="CA74" s="62"/>
      <c r="CB74" s="62"/>
      <c r="CC74" s="62"/>
      <c r="CD74" s="62"/>
      <c r="CE74" s="62"/>
      <c r="CF74" s="62"/>
      <c r="CG74" s="62"/>
      <c r="CH74" s="62"/>
      <c r="CI74" s="62"/>
      <c r="CJ74" s="62"/>
      <c r="CK74" s="62"/>
      <c r="CL74" s="62"/>
      <c r="CM74" s="62"/>
      <c r="CN74" s="62"/>
      <c r="CO74" s="62"/>
      <c r="CP74" s="62"/>
      <c r="CQ74" s="62"/>
      <c r="CR74" s="62"/>
      <c r="CS74" s="62"/>
      <c r="CT74" s="62"/>
      <c r="CU74" s="62"/>
      <c r="CV74" s="62"/>
      <c r="CW74" s="62"/>
      <c r="CX74" s="62"/>
      <c r="CY74" s="62"/>
      <c r="CZ74" s="62"/>
      <c r="DA74" s="62"/>
      <c r="DB74" s="62"/>
      <c r="DC74" s="62"/>
      <c r="DD74" s="62"/>
      <c r="DE74" s="62"/>
      <c r="DF74" s="62"/>
      <c r="DG74" s="62"/>
      <c r="DH74" s="62"/>
      <c r="DI74" s="62"/>
      <c r="DJ74" s="62"/>
      <c r="DK74" s="62"/>
      <c r="DL74" s="62"/>
      <c r="DM74" s="62"/>
      <c r="DN74" s="62"/>
      <c r="DO74" s="62"/>
      <c r="DP74" s="62"/>
      <c r="DQ74" s="62"/>
      <c r="DR74" s="62"/>
      <c r="DS74" s="62"/>
      <c r="DT74" s="62"/>
      <c r="DU74" s="62"/>
      <c r="DV74" s="62"/>
      <c r="DW74" s="62"/>
      <c r="DX74" s="62"/>
      <c r="DY74" s="62"/>
      <c r="DZ74" s="62"/>
      <c r="EA74" s="62"/>
      <c r="EB74" s="62"/>
      <c r="EC74" s="62"/>
      <c r="ED74" s="62"/>
      <c r="EE74" s="62"/>
      <c r="EF74" s="62"/>
      <c r="EG74" s="62"/>
      <c r="EH74" s="62"/>
      <c r="EI74" s="62"/>
      <c r="EJ74" s="62"/>
      <c r="EK74" s="62"/>
      <c r="EL74" s="62"/>
      <c r="EM74" s="62"/>
      <c r="EN74" s="62"/>
      <c r="EO74" s="62"/>
      <c r="EP74" s="62"/>
      <c r="EQ74" s="62"/>
      <c r="ER74" s="62"/>
      <c r="ES74" s="62"/>
      <c r="ET74" s="62"/>
      <c r="EU74" s="62"/>
      <c r="EV74" s="62"/>
      <c r="EW74" s="62"/>
      <c r="EX74" s="62"/>
      <c r="EY74" s="62"/>
      <c r="EZ74" s="62"/>
      <c r="FA74" s="62"/>
      <c r="FB74" s="62"/>
      <c r="FC74" s="62"/>
      <c r="FD74" s="62"/>
      <c r="FE74" s="62"/>
      <c r="FF74" s="62"/>
      <c r="FG74" s="62"/>
      <c r="FH74" s="62"/>
      <c r="FI74" s="62"/>
      <c r="FJ74" s="62"/>
      <c r="FK74" s="62"/>
      <c r="FL74" s="62"/>
      <c r="FM74" s="62"/>
      <c r="FN74" s="62"/>
      <c r="FO74" s="62"/>
      <c r="FP74" s="62"/>
      <c r="FQ74" s="62"/>
      <c r="FR74" s="62"/>
      <c r="FS74" s="62"/>
      <c r="FT74" s="62"/>
      <c r="FU74" s="62"/>
      <c r="FV74" s="62"/>
      <c r="FW74" s="62"/>
      <c r="FX74" s="62"/>
      <c r="FY74" s="62"/>
      <c r="FZ74" s="62"/>
      <c r="GA74" s="62"/>
      <c r="GB74" s="62"/>
      <c r="GC74" s="62"/>
      <c r="GD74" s="62"/>
      <c r="GE74" s="62"/>
      <c r="GF74" s="62"/>
      <c r="GG74" s="62"/>
      <c r="GH74" s="62"/>
      <c r="GI74" s="62"/>
      <c r="GJ74" s="62"/>
      <c r="GK74" s="62"/>
      <c r="GL74" s="62"/>
      <c r="GM74" s="62"/>
      <c r="GN74" s="62"/>
      <c r="GO74" s="62"/>
      <c r="GP74" s="62"/>
      <c r="GQ74" s="62"/>
      <c r="GR74" s="62"/>
      <c r="GS74" s="62"/>
      <c r="GT74" s="62"/>
      <c r="GU74" s="62"/>
      <c r="GV74" s="62"/>
      <c r="GW74" s="62"/>
      <c r="GX74" s="62"/>
      <c r="GY74" s="62"/>
      <c r="GZ74" s="62"/>
      <c r="HA74" s="62"/>
      <c r="HB74" s="62"/>
      <c r="HC74" s="62"/>
      <c r="HD74" s="62"/>
      <c r="HE74" s="62"/>
      <c r="HF74" s="62"/>
      <c r="HG74" s="62"/>
      <c r="HH74" s="62"/>
      <c r="HI74" s="62"/>
      <c r="HJ74" s="62"/>
      <c r="HK74" s="62"/>
      <c r="HL74" s="62"/>
      <c r="HM74" s="62"/>
      <c r="HN74" s="62"/>
      <c r="HO74" s="62"/>
      <c r="HP74" s="62"/>
      <c r="HQ74" s="62"/>
      <c r="HR74" s="62"/>
      <c r="HS74" s="62"/>
      <c r="HT74" s="62"/>
      <c r="HU74" s="62"/>
      <c r="HV74" s="62"/>
      <c r="HW74" s="62"/>
      <c r="HX74" s="62"/>
      <c r="HY74" s="62"/>
      <c r="HZ74" s="62"/>
      <c r="IA74" s="62"/>
      <c r="IB74" s="62"/>
      <c r="IC74" s="62"/>
      <c r="ID74" s="62"/>
      <c r="IE74" s="62"/>
      <c r="IF74" s="62"/>
      <c r="IG74" s="62"/>
      <c r="IH74" s="62"/>
      <c r="II74" s="62"/>
      <c r="IJ74" s="62"/>
      <c r="IK74" s="62"/>
      <c r="IL74" s="62"/>
      <c r="IM74" s="62"/>
      <c r="IN74" s="62"/>
      <c r="IO74" s="62"/>
      <c r="IP74" s="62"/>
      <c r="IQ74" s="62"/>
      <c r="IR74" s="62"/>
    </row>
    <row r="75" spans="1:252" hidden="1" x14ac:dyDescent="0.3">
      <c r="A75" s="19">
        <v>14</v>
      </c>
      <c r="B75" s="44" t="s">
        <v>69</v>
      </c>
      <c r="C75" s="15"/>
      <c r="D75" s="15"/>
      <c r="E75" s="21">
        <f>E74/(E89*E77)</f>
        <v>0</v>
      </c>
      <c r="F75" s="21">
        <f t="shared" ref="F75:AI75" si="48">F74/(F89*F77)</f>
        <v>0</v>
      </c>
      <c r="G75" s="21">
        <f t="shared" si="48"/>
        <v>0</v>
      </c>
      <c r="H75" s="21">
        <f t="shared" si="48"/>
        <v>0</v>
      </c>
      <c r="I75" s="21">
        <f t="shared" si="48"/>
        <v>0</v>
      </c>
      <c r="J75" s="21">
        <f t="shared" si="48"/>
        <v>0.12167247068643947</v>
      </c>
      <c r="K75" s="21">
        <f t="shared" si="48"/>
        <v>0</v>
      </c>
      <c r="L75" s="21">
        <f t="shared" si="48"/>
        <v>0</v>
      </c>
      <c r="M75" s="21">
        <f t="shared" si="48"/>
        <v>0</v>
      </c>
      <c r="N75" s="21">
        <f t="shared" si="48"/>
        <v>0</v>
      </c>
      <c r="O75" s="21">
        <f t="shared" si="48"/>
        <v>0</v>
      </c>
      <c r="P75" s="21">
        <f t="shared" si="48"/>
        <v>0</v>
      </c>
      <c r="Q75" s="21">
        <f t="shared" si="48"/>
        <v>0</v>
      </c>
      <c r="R75" s="21">
        <f t="shared" si="48"/>
        <v>0</v>
      </c>
      <c r="S75" s="21">
        <f t="shared" si="48"/>
        <v>0</v>
      </c>
      <c r="T75" s="21">
        <f t="shared" si="48"/>
        <v>0</v>
      </c>
      <c r="U75" s="21">
        <f t="shared" si="48"/>
        <v>0</v>
      </c>
      <c r="V75" s="21">
        <f t="shared" si="48"/>
        <v>0</v>
      </c>
      <c r="W75" s="21">
        <f t="shared" si="48"/>
        <v>0</v>
      </c>
      <c r="X75" s="21">
        <f t="shared" si="48"/>
        <v>0</v>
      </c>
      <c r="Y75" s="21">
        <f t="shared" si="48"/>
        <v>0</v>
      </c>
      <c r="Z75" s="21">
        <f t="shared" si="48"/>
        <v>0</v>
      </c>
      <c r="AA75" s="21">
        <f t="shared" si="48"/>
        <v>0</v>
      </c>
      <c r="AB75" s="21">
        <f t="shared" si="48"/>
        <v>0</v>
      </c>
      <c r="AC75" s="21">
        <f t="shared" si="48"/>
        <v>0</v>
      </c>
      <c r="AD75" s="21">
        <f t="shared" si="48"/>
        <v>0</v>
      </c>
      <c r="AE75" s="21">
        <f t="shared" si="48"/>
        <v>0</v>
      </c>
      <c r="AF75" s="21">
        <f t="shared" si="48"/>
        <v>0</v>
      </c>
      <c r="AG75" s="21">
        <f t="shared" si="48"/>
        <v>0</v>
      </c>
      <c r="AH75" s="21">
        <f t="shared" si="48"/>
        <v>0</v>
      </c>
      <c r="AI75" s="21">
        <f t="shared" si="48"/>
        <v>4.1443418706841742E-3</v>
      </c>
      <c r="AL75" s="62"/>
    </row>
    <row r="76" spans="1:252" hidden="1" x14ac:dyDescent="0.3">
      <c r="A76" s="19"/>
      <c r="B76" s="44" t="s">
        <v>70</v>
      </c>
      <c r="C76" s="15"/>
      <c r="D76" s="15"/>
      <c r="E76" s="21">
        <f t="shared" ref="E76:AI76" si="49">E74/(E43+E56)</f>
        <v>0</v>
      </c>
      <c r="F76" s="21">
        <f t="shared" si="49"/>
        <v>0</v>
      </c>
      <c r="G76" s="21">
        <f t="shared" si="49"/>
        <v>0</v>
      </c>
      <c r="H76" s="21">
        <f t="shared" si="49"/>
        <v>0</v>
      </c>
      <c r="I76" s="21">
        <f t="shared" si="49"/>
        <v>0</v>
      </c>
      <c r="J76" s="21">
        <f t="shared" si="49"/>
        <v>5.2745838640162641E-2</v>
      </c>
      <c r="K76" s="21">
        <f t="shared" si="49"/>
        <v>0</v>
      </c>
      <c r="L76" s="21">
        <f t="shared" si="49"/>
        <v>0</v>
      </c>
      <c r="M76" s="21">
        <f t="shared" si="49"/>
        <v>0</v>
      </c>
      <c r="N76" s="21">
        <f t="shared" si="49"/>
        <v>0</v>
      </c>
      <c r="O76" s="21">
        <f t="shared" si="49"/>
        <v>0</v>
      </c>
      <c r="P76" s="21">
        <f t="shared" si="49"/>
        <v>0</v>
      </c>
      <c r="Q76" s="21">
        <f t="shared" si="49"/>
        <v>0</v>
      </c>
      <c r="R76" s="21">
        <f t="shared" si="49"/>
        <v>0</v>
      </c>
      <c r="S76" s="21">
        <f t="shared" si="49"/>
        <v>0</v>
      </c>
      <c r="T76" s="21">
        <f t="shared" si="49"/>
        <v>0</v>
      </c>
      <c r="U76" s="21">
        <f t="shared" si="49"/>
        <v>0</v>
      </c>
      <c r="V76" s="21">
        <f t="shared" si="49"/>
        <v>0</v>
      </c>
      <c r="W76" s="21">
        <f t="shared" si="49"/>
        <v>0</v>
      </c>
      <c r="X76" s="21">
        <f t="shared" si="49"/>
        <v>0</v>
      </c>
      <c r="Y76" s="21">
        <f t="shared" si="49"/>
        <v>0</v>
      </c>
      <c r="Z76" s="21">
        <f t="shared" si="49"/>
        <v>0</v>
      </c>
      <c r="AA76" s="21">
        <f t="shared" si="49"/>
        <v>0</v>
      </c>
      <c r="AB76" s="21">
        <f t="shared" si="49"/>
        <v>0</v>
      </c>
      <c r="AC76" s="21">
        <f t="shared" si="49"/>
        <v>0</v>
      </c>
      <c r="AD76" s="21">
        <f t="shared" si="49"/>
        <v>0</v>
      </c>
      <c r="AE76" s="21">
        <f t="shared" si="49"/>
        <v>0</v>
      </c>
      <c r="AF76" s="21">
        <f t="shared" si="49"/>
        <v>0</v>
      </c>
      <c r="AG76" s="21">
        <f t="shared" si="49"/>
        <v>0</v>
      </c>
      <c r="AH76" s="21">
        <f t="shared" si="49"/>
        <v>0</v>
      </c>
      <c r="AI76" s="48">
        <f t="shared" si="49"/>
        <v>1.8723019290162088E-3</v>
      </c>
    </row>
    <row r="77" spans="1:252" x14ac:dyDescent="0.3">
      <c r="B77" s="58" t="s">
        <v>71</v>
      </c>
      <c r="C77" s="59"/>
      <c r="D77" s="59"/>
      <c r="E77" s="73">
        <v>722.5</v>
      </c>
      <c r="F77" s="73">
        <v>731</v>
      </c>
      <c r="G77" s="73">
        <v>721.4</v>
      </c>
      <c r="H77" s="73">
        <v>720.4</v>
      </c>
      <c r="I77" s="73">
        <v>722</v>
      </c>
      <c r="J77" s="73">
        <v>722.4</v>
      </c>
      <c r="K77" s="73">
        <v>721.6</v>
      </c>
      <c r="L77" s="73">
        <v>722.4</v>
      </c>
      <c r="M77" s="64">
        <v>721.5</v>
      </c>
      <c r="N77" s="74">
        <v>721.8</v>
      </c>
      <c r="O77" s="74">
        <v>722</v>
      </c>
      <c r="P77" s="74">
        <v>722</v>
      </c>
      <c r="Q77" s="73">
        <v>722.4</v>
      </c>
      <c r="R77" s="74">
        <v>722.4</v>
      </c>
      <c r="S77" s="74">
        <v>720</v>
      </c>
      <c r="T77" s="74">
        <v>723.4</v>
      </c>
      <c r="U77" s="74">
        <v>722</v>
      </c>
      <c r="V77" s="73">
        <v>721</v>
      </c>
      <c r="W77" s="73">
        <v>720.5</v>
      </c>
      <c r="X77" s="73">
        <v>735</v>
      </c>
      <c r="Y77" s="73">
        <v>721</v>
      </c>
      <c r="Z77" s="73">
        <v>723</v>
      </c>
      <c r="AA77" s="73">
        <v>720.4</v>
      </c>
      <c r="AB77" s="73">
        <v>720</v>
      </c>
      <c r="AC77" s="73">
        <v>720</v>
      </c>
      <c r="AD77" s="73">
        <v>720</v>
      </c>
      <c r="AE77" s="73">
        <v>721</v>
      </c>
      <c r="AF77" s="73">
        <v>735</v>
      </c>
      <c r="AG77" s="73">
        <v>721</v>
      </c>
      <c r="AH77" s="73">
        <v>723</v>
      </c>
      <c r="AI77" s="63">
        <f>IFERROR(AI81/AI83,0)</f>
        <v>722.60963954926149</v>
      </c>
      <c r="AJ77" s="63"/>
      <c r="AK77" s="75"/>
      <c r="AL77" s="343"/>
    </row>
    <row r="78" spans="1:252" x14ac:dyDescent="0.3">
      <c r="B78" s="58" t="s">
        <v>72</v>
      </c>
      <c r="C78" s="59"/>
      <c r="D78" s="59"/>
      <c r="E78" s="73">
        <v>735</v>
      </c>
      <c r="F78" s="73">
        <v>739.4</v>
      </c>
      <c r="G78" s="73">
        <v>738</v>
      </c>
      <c r="H78" s="73">
        <v>722</v>
      </c>
      <c r="I78" s="73">
        <v>733</v>
      </c>
      <c r="J78" s="73">
        <v>737</v>
      </c>
      <c r="K78" s="73">
        <v>728</v>
      </c>
      <c r="L78" s="73">
        <v>738</v>
      </c>
      <c r="M78" s="73">
        <v>738</v>
      </c>
      <c r="N78" s="73">
        <v>739.4</v>
      </c>
      <c r="O78" s="73">
        <v>739</v>
      </c>
      <c r="P78" s="73">
        <v>739.6</v>
      </c>
      <c r="Q78" s="73">
        <v>738</v>
      </c>
      <c r="R78" s="74">
        <v>741</v>
      </c>
      <c r="S78" s="74">
        <v>741</v>
      </c>
      <c r="T78" s="74">
        <v>737.5</v>
      </c>
      <c r="U78" s="74">
        <v>737.5</v>
      </c>
      <c r="V78" s="73">
        <v>737</v>
      </c>
      <c r="W78" s="73">
        <v>0</v>
      </c>
      <c r="X78" s="73">
        <v>742</v>
      </c>
      <c r="Y78" s="73">
        <v>740.5</v>
      </c>
      <c r="Z78" s="73">
        <v>740.4</v>
      </c>
      <c r="AA78" s="73">
        <v>743</v>
      </c>
      <c r="AB78" s="73">
        <v>741</v>
      </c>
      <c r="AC78" s="73">
        <v>735</v>
      </c>
      <c r="AD78" s="73">
        <v>741</v>
      </c>
      <c r="AE78" s="73">
        <v>743</v>
      </c>
      <c r="AF78" s="73">
        <v>742</v>
      </c>
      <c r="AG78" s="73">
        <v>738</v>
      </c>
      <c r="AH78" s="73">
        <v>738</v>
      </c>
      <c r="AI78" s="63">
        <f>IFERROR(AI82/AI84,0)</f>
        <v>737.94454051761716</v>
      </c>
      <c r="AJ78" s="76"/>
      <c r="AK78" s="3"/>
    </row>
    <row r="79" spans="1:252" x14ac:dyDescent="0.3">
      <c r="B79" s="24" t="s">
        <v>73</v>
      </c>
      <c r="C79" s="10"/>
      <c r="D79" s="10"/>
      <c r="E79" s="77"/>
      <c r="F79" s="77"/>
      <c r="G79" s="77"/>
      <c r="H79" s="77"/>
      <c r="I79" s="77"/>
      <c r="J79" s="77"/>
      <c r="K79" s="77"/>
      <c r="L79" s="77"/>
      <c r="M79" s="39"/>
      <c r="N79" s="40"/>
      <c r="O79" s="40"/>
      <c r="P79" s="40"/>
      <c r="Q79" s="39"/>
      <c r="R79" s="40"/>
      <c r="S79" s="40"/>
      <c r="T79" s="40"/>
      <c r="U79" s="40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22"/>
      <c r="AJ79" s="63"/>
    </row>
    <row r="80" spans="1:252" x14ac:dyDescent="0.3">
      <c r="B80" s="24" t="s">
        <v>74</v>
      </c>
      <c r="C80" s="10"/>
      <c r="D80" s="10"/>
      <c r="E80" s="77"/>
      <c r="F80" s="77"/>
      <c r="G80" s="77"/>
      <c r="H80" s="77"/>
      <c r="I80" s="77"/>
      <c r="J80" s="77"/>
      <c r="K80" s="77"/>
      <c r="L80" s="77"/>
      <c r="M80" s="39"/>
      <c r="N80" s="40"/>
      <c r="O80" s="40"/>
      <c r="P80" s="40"/>
      <c r="Q80" s="39"/>
      <c r="R80" s="40"/>
      <c r="S80" s="40"/>
      <c r="T80" s="40"/>
      <c r="U80" s="40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22"/>
      <c r="AJ80" s="63"/>
    </row>
    <row r="81" spans="2:40" hidden="1" x14ac:dyDescent="0.3">
      <c r="B81" s="24" t="s">
        <v>75</v>
      </c>
      <c r="C81" s="10"/>
      <c r="D81" s="10"/>
      <c r="E81" s="22">
        <f t="shared" ref="E81:AH81" si="50">IF(OR(E79=2,E79=""),E77*E89,0)</f>
        <v>4994642.5</v>
      </c>
      <c r="F81" s="22">
        <f t="shared" si="50"/>
        <v>5122848</v>
      </c>
      <c r="G81" s="22">
        <f t="shared" si="50"/>
        <v>5093805.3999999994</v>
      </c>
      <c r="H81" s="22">
        <f t="shared" si="50"/>
        <v>5064412</v>
      </c>
      <c r="I81" s="22">
        <f t="shared" si="50"/>
        <v>5231612</v>
      </c>
      <c r="J81" s="22">
        <f t="shared" si="50"/>
        <v>5274964.8</v>
      </c>
      <c r="K81" s="22">
        <f t="shared" si="50"/>
        <v>5071404.8</v>
      </c>
      <c r="L81" s="22">
        <f t="shared" si="50"/>
        <v>5087140.8</v>
      </c>
      <c r="M81" s="10">
        <f t="shared" si="50"/>
        <v>5206344</v>
      </c>
      <c r="N81" s="22">
        <f t="shared" si="50"/>
        <v>5045382</v>
      </c>
      <c r="O81" s="22">
        <f t="shared" si="50"/>
        <v>5266990</v>
      </c>
      <c r="P81" s="22">
        <f t="shared" si="50"/>
        <v>5287928</v>
      </c>
      <c r="Q81" s="22">
        <f t="shared" si="50"/>
        <v>5206336.8</v>
      </c>
      <c r="R81" s="22">
        <f>IF(OR(R79=2,R79=""),R77*R89,0)</f>
        <v>5299526.3999999994</v>
      </c>
      <c r="S81" s="22">
        <f>IF(OR(S79=2,S79=""),S77*S89,0)</f>
        <v>5287680</v>
      </c>
      <c r="T81" s="22">
        <f>IF(OR(T79=2,T79=""),T77*T89,0)</f>
        <v>5246096.8</v>
      </c>
      <c r="U81" s="22">
        <f>IF(OR(U79=2,U79=""),U77*U89,0)</f>
        <v>5203454</v>
      </c>
      <c r="V81" s="22">
        <f t="shared" si="50"/>
        <v>5364240</v>
      </c>
      <c r="W81" s="22">
        <f t="shared" si="50"/>
        <v>5334582</v>
      </c>
      <c r="X81" s="22">
        <f t="shared" si="50"/>
        <v>4529805</v>
      </c>
      <c r="Y81" s="22">
        <f t="shared" si="50"/>
        <v>5198410</v>
      </c>
      <c r="Z81" s="22">
        <f t="shared" si="50"/>
        <v>5252595</v>
      </c>
      <c r="AA81" s="22">
        <f t="shared" si="50"/>
        <v>5283413.5999999996</v>
      </c>
      <c r="AB81" s="22">
        <f t="shared" si="50"/>
        <v>5286240</v>
      </c>
      <c r="AC81" s="22">
        <f t="shared" si="50"/>
        <v>5266080</v>
      </c>
      <c r="AD81" s="22">
        <f t="shared" si="50"/>
        <v>5191920</v>
      </c>
      <c r="AE81" s="22">
        <f t="shared" si="50"/>
        <v>5085934</v>
      </c>
      <c r="AF81" s="22">
        <f t="shared" si="50"/>
        <v>4590810</v>
      </c>
      <c r="AG81" s="22">
        <f t="shared" si="50"/>
        <v>5200573</v>
      </c>
      <c r="AH81" s="22">
        <f t="shared" si="50"/>
        <v>5290914</v>
      </c>
      <c r="AI81" s="22">
        <f t="shared" ref="AI81:AI86" si="51">SUM(E81:AH81)</f>
        <v>154866084.89999998</v>
      </c>
      <c r="AJ81" s="63"/>
    </row>
    <row r="82" spans="2:40" hidden="1" x14ac:dyDescent="0.3">
      <c r="B82" s="24" t="s">
        <v>76</v>
      </c>
      <c r="C82" s="10"/>
      <c r="D82" s="10"/>
      <c r="E82" s="22">
        <f>IF(OR(E80="",E80=2),E78*E90,0)</f>
        <v>5574975</v>
      </c>
      <c r="F82" s="22">
        <f>IF(OR(F80="",F80=2),F78*F90,0)</f>
        <v>6290075.7999999998</v>
      </c>
      <c r="G82" s="22">
        <f t="shared" ref="G82:AH82" si="52">IF(OR(G80="",G80=2),G78*G90,0)</f>
        <v>6791076</v>
      </c>
      <c r="H82" s="22">
        <f t="shared" si="52"/>
        <v>6633014</v>
      </c>
      <c r="I82" s="22">
        <f t="shared" si="52"/>
        <v>6693756</v>
      </c>
      <c r="J82" s="22">
        <f t="shared" si="52"/>
        <v>6893161</v>
      </c>
      <c r="K82" s="22">
        <f t="shared" si="52"/>
        <v>6808984</v>
      </c>
      <c r="L82" s="22">
        <f t="shared" si="52"/>
        <v>6869304</v>
      </c>
      <c r="M82" s="10">
        <f t="shared" si="52"/>
        <v>6850116</v>
      </c>
      <c r="N82" s="22">
        <f t="shared" si="52"/>
        <v>6782516.2000000002</v>
      </c>
      <c r="O82" s="22">
        <f t="shared" si="52"/>
        <v>6701252</v>
      </c>
      <c r="P82" s="22">
        <f t="shared" si="52"/>
        <v>6012208.4000000004</v>
      </c>
      <c r="Q82" s="22">
        <f t="shared" si="52"/>
        <v>6303258</v>
      </c>
      <c r="R82" s="22">
        <f>IF(OR(R80="",R80=2),R78*R90,0)</f>
        <v>6364449</v>
      </c>
      <c r="S82" s="22">
        <f>IF(OR(S80="",S80=2),S78*S90,0)</f>
        <v>6336291</v>
      </c>
      <c r="T82" s="22">
        <f>IF(OR(T80="",T80=2),T78*T90,0)</f>
        <v>6287187.5</v>
      </c>
      <c r="U82" s="22">
        <f>IF(OR(U80="",U80=2),U78*U90,0)</f>
        <v>6493687.5</v>
      </c>
      <c r="V82" s="22">
        <f t="shared" si="52"/>
        <v>5147208</v>
      </c>
      <c r="W82" s="22">
        <f t="shared" si="52"/>
        <v>0</v>
      </c>
      <c r="X82" s="22">
        <f t="shared" si="52"/>
        <v>3282608</v>
      </c>
      <c r="Y82" s="22">
        <f t="shared" si="52"/>
        <v>6887390.5</v>
      </c>
      <c r="Z82" s="22">
        <f t="shared" si="52"/>
        <v>6997520.3999999994</v>
      </c>
      <c r="AA82" s="22">
        <f t="shared" si="52"/>
        <v>6852689</v>
      </c>
      <c r="AB82" s="22">
        <f t="shared" si="52"/>
        <v>6929091</v>
      </c>
      <c r="AC82" s="22">
        <f t="shared" si="52"/>
        <v>6773025</v>
      </c>
      <c r="AD82" s="22">
        <f t="shared" si="52"/>
        <v>6763848</v>
      </c>
      <c r="AE82" s="22">
        <f t="shared" si="52"/>
        <v>6929961</v>
      </c>
      <c r="AF82" s="22">
        <f t="shared" si="52"/>
        <v>6936958</v>
      </c>
      <c r="AG82" s="22">
        <f t="shared" si="52"/>
        <v>6830190</v>
      </c>
      <c r="AH82" s="22">
        <f t="shared" si="52"/>
        <v>6914322</v>
      </c>
      <c r="AI82" s="22">
        <f t="shared" si="51"/>
        <v>187930122.30000001</v>
      </c>
      <c r="AJ82" s="63"/>
    </row>
    <row r="83" spans="2:40" hidden="1" x14ac:dyDescent="0.3">
      <c r="B83" s="24" t="s">
        <v>77</v>
      </c>
      <c r="C83" s="10"/>
      <c r="D83" s="10"/>
      <c r="E83" s="34">
        <f t="shared" ref="E83:AH83" si="53">E89</f>
        <v>6913</v>
      </c>
      <c r="F83" s="34">
        <f t="shared" si="53"/>
        <v>7008</v>
      </c>
      <c r="G83" s="34">
        <f t="shared" si="53"/>
        <v>7061</v>
      </c>
      <c r="H83" s="34">
        <f t="shared" si="53"/>
        <v>7030</v>
      </c>
      <c r="I83" s="34">
        <f t="shared" si="53"/>
        <v>7246</v>
      </c>
      <c r="J83" s="34">
        <f t="shared" si="53"/>
        <v>7302</v>
      </c>
      <c r="K83" s="34">
        <f t="shared" si="53"/>
        <v>7028</v>
      </c>
      <c r="L83" s="34">
        <f t="shared" si="53"/>
        <v>7042</v>
      </c>
      <c r="M83" s="78">
        <f t="shared" si="53"/>
        <v>7216</v>
      </c>
      <c r="N83" s="34">
        <f t="shared" si="53"/>
        <v>6990</v>
      </c>
      <c r="O83" s="34">
        <f t="shared" si="53"/>
        <v>7295</v>
      </c>
      <c r="P83" s="34">
        <f t="shared" si="53"/>
        <v>7324</v>
      </c>
      <c r="Q83" s="34">
        <f t="shared" si="53"/>
        <v>7207</v>
      </c>
      <c r="R83" s="34">
        <f>R89</f>
        <v>7336</v>
      </c>
      <c r="S83" s="34">
        <f>S89</f>
        <v>7344</v>
      </c>
      <c r="T83" s="34">
        <f>T89</f>
        <v>7252</v>
      </c>
      <c r="U83" s="34">
        <f>U89</f>
        <v>7207</v>
      </c>
      <c r="V83" s="34">
        <f t="shared" si="53"/>
        <v>7440</v>
      </c>
      <c r="W83" s="34">
        <f t="shared" si="53"/>
        <v>7404</v>
      </c>
      <c r="X83" s="34">
        <f t="shared" si="53"/>
        <v>6163</v>
      </c>
      <c r="Y83" s="34">
        <f t="shared" si="53"/>
        <v>7210</v>
      </c>
      <c r="Z83" s="34">
        <f t="shared" si="53"/>
        <v>7265</v>
      </c>
      <c r="AA83" s="34">
        <f t="shared" si="53"/>
        <v>7334</v>
      </c>
      <c r="AB83" s="34">
        <f t="shared" si="53"/>
        <v>7342</v>
      </c>
      <c r="AC83" s="34">
        <f t="shared" si="53"/>
        <v>7314</v>
      </c>
      <c r="AD83" s="34">
        <f t="shared" si="53"/>
        <v>7211</v>
      </c>
      <c r="AE83" s="34">
        <f t="shared" si="53"/>
        <v>7054</v>
      </c>
      <c r="AF83" s="34">
        <f t="shared" si="53"/>
        <v>6246</v>
      </c>
      <c r="AG83" s="34">
        <f t="shared" si="53"/>
        <v>7213</v>
      </c>
      <c r="AH83" s="34">
        <f t="shared" si="53"/>
        <v>7318</v>
      </c>
      <c r="AI83" s="34">
        <f t="shared" si="51"/>
        <v>214315</v>
      </c>
      <c r="AJ83" s="63"/>
    </row>
    <row r="84" spans="2:40" hidden="1" x14ac:dyDescent="0.3">
      <c r="B84" s="24" t="s">
        <v>78</v>
      </c>
      <c r="C84" s="10"/>
      <c r="D84" s="10"/>
      <c r="E84" s="22">
        <f t="shared" ref="E84:AH84" si="54">E21</f>
        <v>7585</v>
      </c>
      <c r="F84" s="22">
        <f t="shared" si="54"/>
        <v>8507</v>
      </c>
      <c r="G84" s="22">
        <f t="shared" si="54"/>
        <v>9202</v>
      </c>
      <c r="H84" s="22">
        <f t="shared" si="54"/>
        <v>9187</v>
      </c>
      <c r="I84" s="22">
        <f t="shared" si="54"/>
        <v>9132</v>
      </c>
      <c r="J84" s="22">
        <f t="shared" si="54"/>
        <v>9353</v>
      </c>
      <c r="K84" s="22">
        <f t="shared" si="54"/>
        <v>9353</v>
      </c>
      <c r="L84" s="22">
        <f t="shared" si="54"/>
        <v>9308</v>
      </c>
      <c r="M84" s="10">
        <f t="shared" si="54"/>
        <v>9282</v>
      </c>
      <c r="N84" s="22">
        <f t="shared" si="54"/>
        <v>9173</v>
      </c>
      <c r="O84" s="22">
        <f t="shared" si="54"/>
        <v>9068</v>
      </c>
      <c r="P84" s="22">
        <f t="shared" si="54"/>
        <v>8129</v>
      </c>
      <c r="Q84" s="22">
        <f t="shared" si="54"/>
        <v>8541</v>
      </c>
      <c r="R84" s="22">
        <f t="shared" si="54"/>
        <v>8589</v>
      </c>
      <c r="S84" s="22">
        <f t="shared" si="54"/>
        <v>8551</v>
      </c>
      <c r="T84" s="22">
        <f t="shared" si="54"/>
        <v>8525</v>
      </c>
      <c r="U84" s="22">
        <f t="shared" si="54"/>
        <v>8805</v>
      </c>
      <c r="V84" s="22">
        <f t="shared" si="54"/>
        <v>6984</v>
      </c>
      <c r="W84" s="22">
        <f t="shared" si="54"/>
        <v>0</v>
      </c>
      <c r="X84" s="22">
        <f t="shared" si="54"/>
        <v>4424</v>
      </c>
      <c r="Y84" s="22">
        <f t="shared" si="54"/>
        <v>9301</v>
      </c>
      <c r="Z84" s="22">
        <f t="shared" si="54"/>
        <v>9451</v>
      </c>
      <c r="AA84" s="22">
        <f t="shared" si="54"/>
        <v>9223</v>
      </c>
      <c r="AB84" s="22">
        <f t="shared" si="54"/>
        <v>9351</v>
      </c>
      <c r="AC84" s="22">
        <f t="shared" si="54"/>
        <v>9215</v>
      </c>
      <c r="AD84" s="22">
        <f t="shared" si="54"/>
        <v>9128</v>
      </c>
      <c r="AE84" s="22">
        <f t="shared" si="54"/>
        <v>9327</v>
      </c>
      <c r="AF84" s="22">
        <f t="shared" si="54"/>
        <v>9349</v>
      </c>
      <c r="AG84" s="22">
        <f t="shared" si="54"/>
        <v>9255</v>
      </c>
      <c r="AH84" s="22">
        <f t="shared" si="54"/>
        <v>9369</v>
      </c>
      <c r="AI84" s="22">
        <f t="shared" si="51"/>
        <v>254667</v>
      </c>
      <c r="AJ84" s="63"/>
    </row>
    <row r="85" spans="2:40" hidden="1" x14ac:dyDescent="0.3">
      <c r="B85" s="24" t="s">
        <v>79</v>
      </c>
      <c r="C85" s="10"/>
      <c r="D85" s="10"/>
      <c r="E85" s="79">
        <f t="shared" ref="E85:AH86" si="55">E77*E89</f>
        <v>4994642.5</v>
      </c>
      <c r="F85" s="79">
        <f t="shared" si="55"/>
        <v>5122848</v>
      </c>
      <c r="G85" s="79">
        <f t="shared" si="55"/>
        <v>5093805.3999999994</v>
      </c>
      <c r="H85" s="79">
        <f t="shared" si="55"/>
        <v>5064412</v>
      </c>
      <c r="I85" s="79">
        <f t="shared" si="55"/>
        <v>5231612</v>
      </c>
      <c r="J85" s="79">
        <f t="shared" si="55"/>
        <v>5274964.8</v>
      </c>
      <c r="K85" s="79">
        <f t="shared" si="55"/>
        <v>5071404.8</v>
      </c>
      <c r="L85" s="79">
        <f t="shared" si="55"/>
        <v>5087140.8</v>
      </c>
      <c r="M85" s="80">
        <f t="shared" si="55"/>
        <v>5206344</v>
      </c>
      <c r="N85" s="79">
        <f t="shared" si="55"/>
        <v>5045382</v>
      </c>
      <c r="O85" s="79">
        <f t="shared" si="55"/>
        <v>5266990</v>
      </c>
      <c r="P85" s="79">
        <f t="shared" si="55"/>
        <v>5287928</v>
      </c>
      <c r="Q85" s="79">
        <f t="shared" si="55"/>
        <v>5206336.8</v>
      </c>
      <c r="R85" s="79">
        <f t="shared" si="55"/>
        <v>5299526.3999999994</v>
      </c>
      <c r="S85" s="79">
        <f t="shared" si="55"/>
        <v>5287680</v>
      </c>
      <c r="T85" s="79">
        <f t="shared" si="55"/>
        <v>5246096.8</v>
      </c>
      <c r="U85" s="79">
        <f t="shared" si="55"/>
        <v>5203454</v>
      </c>
      <c r="V85" s="79">
        <f t="shared" si="55"/>
        <v>5364240</v>
      </c>
      <c r="W85" s="79">
        <f t="shared" si="55"/>
        <v>5334582</v>
      </c>
      <c r="X85" s="79">
        <f t="shared" si="55"/>
        <v>4529805</v>
      </c>
      <c r="Y85" s="79">
        <f t="shared" si="55"/>
        <v>5198410</v>
      </c>
      <c r="Z85" s="79">
        <f t="shared" si="55"/>
        <v>5252595</v>
      </c>
      <c r="AA85" s="79">
        <f t="shared" si="55"/>
        <v>5283413.5999999996</v>
      </c>
      <c r="AB85" s="79">
        <f t="shared" si="55"/>
        <v>5286240</v>
      </c>
      <c r="AC85" s="79">
        <f t="shared" si="55"/>
        <v>5266080</v>
      </c>
      <c r="AD85" s="79">
        <f t="shared" si="55"/>
        <v>5191920</v>
      </c>
      <c r="AE85" s="79">
        <f t="shared" si="55"/>
        <v>5085934</v>
      </c>
      <c r="AF85" s="79">
        <f t="shared" si="55"/>
        <v>4590810</v>
      </c>
      <c r="AG85" s="79">
        <f t="shared" si="55"/>
        <v>5200573</v>
      </c>
      <c r="AH85" s="79">
        <f t="shared" si="55"/>
        <v>5290914</v>
      </c>
      <c r="AI85" s="79">
        <f t="shared" si="51"/>
        <v>154866084.89999998</v>
      </c>
      <c r="AJ85" s="63"/>
    </row>
    <row r="86" spans="2:40" hidden="1" x14ac:dyDescent="0.3">
      <c r="B86" s="24" t="s">
        <v>80</v>
      </c>
      <c r="C86" s="10"/>
      <c r="D86" s="10"/>
      <c r="E86" s="79">
        <f t="shared" si="55"/>
        <v>5574975</v>
      </c>
      <c r="F86" s="79">
        <f t="shared" si="55"/>
        <v>6290075.7999999998</v>
      </c>
      <c r="G86" s="79">
        <f t="shared" si="55"/>
        <v>6791076</v>
      </c>
      <c r="H86" s="79">
        <f t="shared" si="55"/>
        <v>6633014</v>
      </c>
      <c r="I86" s="79">
        <f t="shared" si="55"/>
        <v>6693756</v>
      </c>
      <c r="J86" s="79">
        <f t="shared" si="55"/>
        <v>6893161</v>
      </c>
      <c r="K86" s="79">
        <f t="shared" si="55"/>
        <v>6808984</v>
      </c>
      <c r="L86" s="79">
        <f t="shared" si="55"/>
        <v>6869304</v>
      </c>
      <c r="M86" s="80">
        <f t="shared" si="55"/>
        <v>6850116</v>
      </c>
      <c r="N86" s="79">
        <f t="shared" si="55"/>
        <v>6782516.2000000002</v>
      </c>
      <c r="O86" s="79">
        <f t="shared" si="55"/>
        <v>6701252</v>
      </c>
      <c r="P86" s="79">
        <f t="shared" si="55"/>
        <v>6012208.4000000004</v>
      </c>
      <c r="Q86" s="79">
        <f t="shared" si="55"/>
        <v>6303258</v>
      </c>
      <c r="R86" s="79">
        <f t="shared" si="55"/>
        <v>6364449</v>
      </c>
      <c r="S86" s="79">
        <f t="shared" si="55"/>
        <v>6336291</v>
      </c>
      <c r="T86" s="79">
        <f t="shared" si="55"/>
        <v>6287187.5</v>
      </c>
      <c r="U86" s="79">
        <f t="shared" si="55"/>
        <v>6493687.5</v>
      </c>
      <c r="V86" s="79">
        <f t="shared" si="55"/>
        <v>5147208</v>
      </c>
      <c r="W86" s="79">
        <f t="shared" si="55"/>
        <v>0</v>
      </c>
      <c r="X86" s="79">
        <f t="shared" si="55"/>
        <v>3282608</v>
      </c>
      <c r="Y86" s="79">
        <f t="shared" si="55"/>
        <v>6887390.5</v>
      </c>
      <c r="Z86" s="79">
        <f t="shared" si="55"/>
        <v>6997520.3999999994</v>
      </c>
      <c r="AA86" s="79">
        <f t="shared" si="55"/>
        <v>6852689</v>
      </c>
      <c r="AB86" s="79">
        <f t="shared" si="55"/>
        <v>6929091</v>
      </c>
      <c r="AC86" s="79">
        <f t="shared" si="55"/>
        <v>6773025</v>
      </c>
      <c r="AD86" s="79">
        <f t="shared" si="55"/>
        <v>6763848</v>
      </c>
      <c r="AE86" s="79">
        <f t="shared" si="55"/>
        <v>6929961</v>
      </c>
      <c r="AF86" s="79">
        <f t="shared" si="55"/>
        <v>6936958</v>
      </c>
      <c r="AG86" s="79">
        <f t="shared" si="55"/>
        <v>6830190</v>
      </c>
      <c r="AH86" s="79">
        <f t="shared" si="55"/>
        <v>6914322</v>
      </c>
      <c r="AI86" s="79">
        <f t="shared" si="51"/>
        <v>187930122.30000001</v>
      </c>
      <c r="AJ86" s="63"/>
    </row>
    <row r="87" spans="2:40" x14ac:dyDescent="0.3">
      <c r="AJ87" s="63"/>
    </row>
    <row r="89" spans="2:40" x14ac:dyDescent="0.3">
      <c r="B89" s="81" t="s">
        <v>81</v>
      </c>
      <c r="C89" s="10"/>
      <c r="D89" s="10"/>
      <c r="E89" s="34">
        <v>6913</v>
      </c>
      <c r="F89" s="34">
        <v>7008</v>
      </c>
      <c r="G89" s="34">
        <v>7061</v>
      </c>
      <c r="H89" s="34">
        <v>7030</v>
      </c>
      <c r="I89" s="34">
        <v>7246</v>
      </c>
      <c r="J89" s="34">
        <v>7302</v>
      </c>
      <c r="K89" s="34">
        <v>7028</v>
      </c>
      <c r="L89" s="34">
        <v>7042</v>
      </c>
      <c r="M89" s="78">
        <v>7216</v>
      </c>
      <c r="N89" s="34">
        <v>6990</v>
      </c>
      <c r="O89" s="34">
        <v>7295</v>
      </c>
      <c r="P89" s="34">
        <v>7324</v>
      </c>
      <c r="Q89" s="34">
        <v>7207</v>
      </c>
      <c r="R89" s="34">
        <v>7336</v>
      </c>
      <c r="S89" s="34">
        <v>7344</v>
      </c>
      <c r="T89" s="34">
        <v>7252</v>
      </c>
      <c r="U89" s="34">
        <v>7207</v>
      </c>
      <c r="V89" s="34">
        <v>7440</v>
      </c>
      <c r="W89" s="34">
        <v>7404</v>
      </c>
      <c r="X89" s="34">
        <v>6163</v>
      </c>
      <c r="Y89" s="34">
        <v>7210</v>
      </c>
      <c r="Z89" s="34">
        <v>7265</v>
      </c>
      <c r="AA89" s="34">
        <v>7334</v>
      </c>
      <c r="AB89" s="34">
        <v>7342</v>
      </c>
      <c r="AC89" s="34">
        <v>7314</v>
      </c>
      <c r="AD89" s="34">
        <v>7211</v>
      </c>
      <c r="AE89" s="34">
        <v>7054</v>
      </c>
      <c r="AF89" s="34">
        <v>6246</v>
      </c>
      <c r="AG89" s="34">
        <v>7213</v>
      </c>
      <c r="AH89" s="34">
        <v>7318</v>
      </c>
      <c r="AI89" s="34">
        <f>SUM(E89:AH89)</f>
        <v>214315</v>
      </c>
      <c r="AJ89" s="12">
        <f>AI89/COUNTIF(E89:AH89,"&gt;0")</f>
        <v>7143.833333333333</v>
      </c>
    </row>
    <row r="90" spans="2:40" x14ac:dyDescent="0.3">
      <c r="B90" s="81" t="s">
        <v>82</v>
      </c>
      <c r="C90" s="10"/>
      <c r="D90" s="10"/>
      <c r="E90" s="34">
        <v>7585</v>
      </c>
      <c r="F90" s="34">
        <v>8507</v>
      </c>
      <c r="G90" s="34">
        <v>9202</v>
      </c>
      <c r="H90" s="34">
        <v>9187</v>
      </c>
      <c r="I90" s="34">
        <v>9132</v>
      </c>
      <c r="J90" s="34">
        <v>9353</v>
      </c>
      <c r="K90" s="34">
        <v>9353</v>
      </c>
      <c r="L90" s="34">
        <v>9308</v>
      </c>
      <c r="M90" s="34">
        <v>9282</v>
      </c>
      <c r="N90" s="34">
        <v>9173</v>
      </c>
      <c r="O90" s="34">
        <v>9068</v>
      </c>
      <c r="P90" s="34">
        <v>8129</v>
      </c>
      <c r="Q90" s="34">
        <v>8541</v>
      </c>
      <c r="R90" s="34">
        <v>8589</v>
      </c>
      <c r="S90" s="34">
        <v>8551</v>
      </c>
      <c r="T90" s="34">
        <v>8525</v>
      </c>
      <c r="U90" s="34">
        <v>8805</v>
      </c>
      <c r="V90" s="34">
        <v>6984</v>
      </c>
      <c r="W90" s="34">
        <v>0</v>
      </c>
      <c r="X90" s="34">
        <v>4424</v>
      </c>
      <c r="Y90" s="34">
        <v>9301</v>
      </c>
      <c r="Z90" s="34">
        <v>9451</v>
      </c>
      <c r="AA90" s="34">
        <v>9223</v>
      </c>
      <c r="AB90" s="34">
        <v>9351</v>
      </c>
      <c r="AC90" s="34">
        <v>9215</v>
      </c>
      <c r="AD90" s="34">
        <v>9128</v>
      </c>
      <c r="AE90" s="34">
        <v>9327</v>
      </c>
      <c r="AF90" s="34">
        <v>9349</v>
      </c>
      <c r="AG90" s="34">
        <v>9255</v>
      </c>
      <c r="AH90" s="34">
        <v>9369</v>
      </c>
      <c r="AI90" s="34">
        <f>SUM(E90:AH90)</f>
        <v>254667</v>
      </c>
      <c r="AJ90" s="12">
        <f>AI90/COUNTIF(E90:AH90,"&gt;0")</f>
        <v>8781.6206896551721</v>
      </c>
    </row>
    <row r="91" spans="2:40" x14ac:dyDescent="0.3">
      <c r="R91"/>
      <c r="S91"/>
      <c r="T91"/>
      <c r="U91"/>
      <c r="AI91" s="82"/>
    </row>
    <row r="92" spans="2:40" x14ac:dyDescent="0.3">
      <c r="B92" s="81" t="s">
        <v>83</v>
      </c>
      <c r="C92" s="10"/>
      <c r="D92" s="10" t="s">
        <v>7</v>
      </c>
      <c r="E92" s="42">
        <v>115</v>
      </c>
      <c r="F92" s="42">
        <v>330</v>
      </c>
      <c r="G92" s="42">
        <v>400</v>
      </c>
      <c r="H92" s="42">
        <v>0</v>
      </c>
      <c r="I92" s="42">
        <v>181</v>
      </c>
      <c r="J92" s="42">
        <v>438</v>
      </c>
      <c r="K92" s="42">
        <v>339</v>
      </c>
      <c r="L92" s="42">
        <v>359.66700000000003</v>
      </c>
      <c r="M92" s="42">
        <v>304.08210000000003</v>
      </c>
      <c r="N92" s="42">
        <v>363.04425000000003</v>
      </c>
      <c r="O92" s="42">
        <v>412.96302000000003</v>
      </c>
      <c r="P92" s="42">
        <v>404.77085999999997</v>
      </c>
      <c r="Q92" s="55">
        <v>233.1096</v>
      </c>
      <c r="R92" s="55">
        <v>415.62144000000001</v>
      </c>
      <c r="S92" s="55">
        <v>390.56688000000003</v>
      </c>
      <c r="T92" s="55">
        <v>188.16767999999999</v>
      </c>
      <c r="U92" s="55">
        <v>333.07060000000001</v>
      </c>
      <c r="V92" s="55">
        <v>276.38225999999997</v>
      </c>
      <c r="W92" s="42">
        <v>0</v>
      </c>
      <c r="X92" s="23">
        <v>103.22399999999999</v>
      </c>
      <c r="Y92" s="23">
        <v>364.88475</v>
      </c>
      <c r="Z92" s="23">
        <v>407.59749999999997</v>
      </c>
      <c r="AA92" s="55">
        <v>469.95732000000004</v>
      </c>
      <c r="AB92" s="45">
        <v>490</v>
      </c>
      <c r="AC92" s="45">
        <v>456</v>
      </c>
      <c r="AD92" s="45">
        <v>461</v>
      </c>
      <c r="AE92" s="45">
        <v>470</v>
      </c>
      <c r="AF92" s="45">
        <v>505</v>
      </c>
      <c r="AG92" s="45">
        <v>426</v>
      </c>
      <c r="AH92" s="22">
        <v>418</v>
      </c>
      <c r="AI92" s="34">
        <f>SUM(E92:AH92)</f>
        <v>10056.109260000001</v>
      </c>
      <c r="AJ92" s="83">
        <f>AI92/COUNTIF(E92:AH92,"&gt;0")</f>
        <v>359.14675928571432</v>
      </c>
    </row>
    <row r="93" spans="2:40" x14ac:dyDescent="0.3">
      <c r="B93" s="81" t="s">
        <v>84</v>
      </c>
      <c r="C93" s="10"/>
      <c r="D93" s="10" t="s">
        <v>85</v>
      </c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2"/>
      <c r="X93" s="55"/>
      <c r="Y93" s="55"/>
      <c r="Z93" s="55"/>
      <c r="AA93" s="22"/>
      <c r="AB93" s="22"/>
      <c r="AC93" s="22"/>
      <c r="AD93" s="22"/>
      <c r="AE93" s="22"/>
      <c r="AF93" s="22"/>
      <c r="AG93" s="22"/>
      <c r="AH93" s="22"/>
      <c r="AI93" s="22"/>
    </row>
    <row r="94" spans="2:40" x14ac:dyDescent="0.3">
      <c r="B94" s="81" t="s">
        <v>86</v>
      </c>
      <c r="C94" s="10"/>
      <c r="D94" s="10" t="s">
        <v>87</v>
      </c>
      <c r="E94" s="23">
        <v>2164.52</v>
      </c>
      <c r="F94" s="23">
        <v>2164.52</v>
      </c>
      <c r="G94" s="23">
        <v>2164.52</v>
      </c>
      <c r="H94" s="23">
        <v>0</v>
      </c>
      <c r="I94" s="23">
        <v>2164.52</v>
      </c>
      <c r="J94" s="23">
        <v>2164.52</v>
      </c>
      <c r="K94" s="23">
        <v>2978.9705477566749</v>
      </c>
      <c r="L94" s="23">
        <v>2965.2078172309384</v>
      </c>
      <c r="M94" s="23">
        <v>2985.8519130195427</v>
      </c>
      <c r="N94" s="23">
        <v>3136.4037854889589</v>
      </c>
      <c r="O94" s="23">
        <v>2785.7510921922258</v>
      </c>
      <c r="P94" s="23">
        <v>2968.902583550604</v>
      </c>
      <c r="Q94" s="23">
        <v>2955.3871655221405</v>
      </c>
      <c r="R94" s="23">
        <v>2741.5243255978321</v>
      </c>
      <c r="S94" s="23">
        <v>2912.6171067039786</v>
      </c>
      <c r="T94" s="23">
        <v>3758.5894453287619</v>
      </c>
      <c r="U94" s="23">
        <v>3989.0681435107149</v>
      </c>
      <c r="V94" s="23">
        <v>3246.7333178330623</v>
      </c>
      <c r="W94" s="23">
        <v>0</v>
      </c>
      <c r="X94" s="23">
        <v>3246.7333178330623</v>
      </c>
      <c r="Y94" s="23">
        <v>2489.6096096096094</v>
      </c>
      <c r="Z94" s="23">
        <v>2842.6989861321522</v>
      </c>
      <c r="AA94" s="23">
        <v>3045.2847590500346</v>
      </c>
      <c r="AB94" s="22">
        <v>2048</v>
      </c>
      <c r="AC94" s="22">
        <v>2264</v>
      </c>
      <c r="AD94" s="23">
        <v>2264</v>
      </c>
      <c r="AE94" s="23">
        <v>3250</v>
      </c>
      <c r="AF94" s="23">
        <v>3493</v>
      </c>
      <c r="AG94" s="23">
        <v>4309</v>
      </c>
      <c r="AH94" s="23">
        <v>2663</v>
      </c>
      <c r="AI94" s="38">
        <f>IFERROR(SUMPRODUCT(E94:AH94,E92:AH92)/AI92,0)</f>
        <v>2853.623222038213</v>
      </c>
    </row>
    <row r="95" spans="2:40" x14ac:dyDescent="0.3">
      <c r="E95" s="84"/>
      <c r="F95" s="84"/>
      <c r="G95" s="84"/>
      <c r="H95" s="84"/>
      <c r="I95" s="84"/>
      <c r="J95" s="84"/>
      <c r="K95" s="84"/>
      <c r="L95" s="84"/>
      <c r="M95" s="85"/>
      <c r="N95" s="84"/>
      <c r="O95" s="84"/>
      <c r="P95" s="84"/>
      <c r="Q95" s="84"/>
      <c r="R95" s="84"/>
      <c r="S95" s="84"/>
      <c r="T95" s="84"/>
      <c r="U95" s="86"/>
      <c r="V95" s="86"/>
      <c r="W95" s="86"/>
    </row>
    <row r="96" spans="2:40" x14ac:dyDescent="0.3">
      <c r="B96" s="81" t="s">
        <v>88</v>
      </c>
      <c r="C96" s="10"/>
      <c r="D96" s="10"/>
      <c r="E96" s="22">
        <v>1470</v>
      </c>
      <c r="F96" s="22">
        <v>1785</v>
      </c>
      <c r="G96" s="22">
        <v>1616</v>
      </c>
      <c r="H96" s="22">
        <v>3820</v>
      </c>
      <c r="I96" s="22">
        <v>2660</v>
      </c>
      <c r="J96" s="22">
        <v>2307</v>
      </c>
      <c r="K96" s="22">
        <v>0</v>
      </c>
      <c r="L96" s="10">
        <v>2690</v>
      </c>
      <c r="M96" s="10">
        <v>1040</v>
      </c>
      <c r="N96" s="22">
        <v>1105</v>
      </c>
      <c r="O96" s="23">
        <v>3960</v>
      </c>
      <c r="P96" s="22">
        <v>0</v>
      </c>
      <c r="Q96" s="22">
        <v>2780</v>
      </c>
      <c r="R96" s="22">
        <v>1370</v>
      </c>
      <c r="S96" s="22">
        <v>910</v>
      </c>
      <c r="T96" s="22">
        <v>1576</v>
      </c>
      <c r="U96" s="10">
        <v>3035</v>
      </c>
      <c r="V96" s="22">
        <v>0</v>
      </c>
      <c r="W96" s="22">
        <v>1290</v>
      </c>
      <c r="X96" s="22">
        <v>1996</v>
      </c>
      <c r="Y96" s="22">
        <v>0</v>
      </c>
      <c r="Z96" s="22">
        <v>0</v>
      </c>
      <c r="AA96" s="22">
        <v>0</v>
      </c>
      <c r="AB96" s="22">
        <v>2795</v>
      </c>
      <c r="AC96" s="22">
        <v>1790</v>
      </c>
      <c r="AD96" s="22">
        <v>0</v>
      </c>
      <c r="AE96" s="22">
        <v>1420</v>
      </c>
      <c r="AF96" s="22">
        <v>2935</v>
      </c>
      <c r="AG96" s="22">
        <v>0</v>
      </c>
      <c r="AH96" s="87">
        <v>2000</v>
      </c>
      <c r="AI96" s="88">
        <f t="shared" ref="AI96:AI104" si="56">SUM(E96:AH96)</f>
        <v>46350</v>
      </c>
      <c r="AJ96" s="281">
        <f>AI96+AI97</f>
        <v>88575</v>
      </c>
      <c r="AK96" s="24" t="e">
        <f>AI96-#REF!</f>
        <v>#REF!</v>
      </c>
      <c r="AL96" t="e">
        <f>AK100/SUM(AK96:AK100)</f>
        <v>#REF!</v>
      </c>
      <c r="AM96" s="90">
        <f>(AI96+AI101)/$AI$104</f>
        <v>0.46103469051781198</v>
      </c>
      <c r="AN96" s="90"/>
    </row>
    <row r="97" spans="2:40" x14ac:dyDescent="0.3">
      <c r="B97" s="81" t="s">
        <v>89</v>
      </c>
      <c r="C97" s="10"/>
      <c r="D97" s="10"/>
      <c r="E97" s="22">
        <v>0</v>
      </c>
      <c r="F97" s="22">
        <v>1615</v>
      </c>
      <c r="G97" s="22">
        <v>2048</v>
      </c>
      <c r="H97" s="22">
        <v>2195</v>
      </c>
      <c r="I97" s="22">
        <v>0</v>
      </c>
      <c r="J97" s="22">
        <v>3249</v>
      </c>
      <c r="K97" s="91">
        <v>2675</v>
      </c>
      <c r="L97" s="10">
        <v>2010</v>
      </c>
      <c r="M97" s="10">
        <v>1891</v>
      </c>
      <c r="N97" s="22">
        <v>0</v>
      </c>
      <c r="O97" s="22">
        <v>1055</v>
      </c>
      <c r="P97" s="22">
        <v>1145</v>
      </c>
      <c r="Q97" s="22">
        <v>3762</v>
      </c>
      <c r="R97" s="22">
        <v>0</v>
      </c>
      <c r="S97" s="22">
        <v>3920</v>
      </c>
      <c r="T97" s="22">
        <v>0</v>
      </c>
      <c r="U97" s="10">
        <v>1100</v>
      </c>
      <c r="V97" s="22">
        <v>2155</v>
      </c>
      <c r="W97" s="22">
        <v>0</v>
      </c>
      <c r="X97" s="22">
        <v>0</v>
      </c>
      <c r="Y97" s="22">
        <v>1250</v>
      </c>
      <c r="Z97" s="22">
        <v>410</v>
      </c>
      <c r="AA97" s="22">
        <v>4430</v>
      </c>
      <c r="AB97" s="22">
        <v>0</v>
      </c>
      <c r="AC97" s="22">
        <v>2910</v>
      </c>
      <c r="AD97" s="22">
        <v>2405</v>
      </c>
      <c r="AE97" s="22">
        <v>840</v>
      </c>
      <c r="AF97" s="22">
        <v>0</v>
      </c>
      <c r="AG97" s="22">
        <v>1160</v>
      </c>
      <c r="AH97" s="87">
        <v>0</v>
      </c>
      <c r="AI97" s="88">
        <f t="shared" si="56"/>
        <v>42225</v>
      </c>
      <c r="AJ97">
        <f>SUM(AI96:AI99)</f>
        <v>133657</v>
      </c>
      <c r="AK97" s="24">
        <f>AI97-AJ96</f>
        <v>-46350</v>
      </c>
      <c r="AL97" t="e">
        <f>AK97/SUM(AK96:AK100)</f>
        <v>#REF!</v>
      </c>
      <c r="AM97" s="90">
        <f>(AI97+AI102)/$AI$104</f>
        <v>0.23612973303236537</v>
      </c>
      <c r="AN97" s="90"/>
    </row>
    <row r="98" spans="2:40" x14ac:dyDescent="0.3">
      <c r="B98" s="81" t="s">
        <v>90</v>
      </c>
      <c r="C98" s="10"/>
      <c r="D98" s="10"/>
      <c r="E98" s="22">
        <f>775+310</f>
        <v>1085</v>
      </c>
      <c r="F98" s="22">
        <v>0</v>
      </c>
      <c r="G98" s="22">
        <v>935</v>
      </c>
      <c r="H98" s="22">
        <v>505</v>
      </c>
      <c r="I98" s="22">
        <v>1279</v>
      </c>
      <c r="J98" s="22">
        <v>0</v>
      </c>
      <c r="K98" s="22">
        <v>673</v>
      </c>
      <c r="L98" s="10">
        <v>1555</v>
      </c>
      <c r="M98" s="10">
        <v>945</v>
      </c>
      <c r="N98" s="22">
        <v>988</v>
      </c>
      <c r="O98" s="22">
        <v>0</v>
      </c>
      <c r="P98" s="22">
        <v>0</v>
      </c>
      <c r="Q98" s="22">
        <v>823</v>
      </c>
      <c r="R98" s="22">
        <v>1780</v>
      </c>
      <c r="S98" s="22">
        <v>690</v>
      </c>
      <c r="T98" s="22">
        <v>0</v>
      </c>
      <c r="U98" s="10">
        <v>1383</v>
      </c>
      <c r="V98" s="22">
        <v>840</v>
      </c>
      <c r="W98" s="22">
        <v>0</v>
      </c>
      <c r="X98" s="22">
        <v>947</v>
      </c>
      <c r="Y98" s="22">
        <v>0</v>
      </c>
      <c r="Z98" s="22">
        <v>1142</v>
      </c>
      <c r="AA98" s="22">
        <v>0</v>
      </c>
      <c r="AB98" s="22">
        <v>0</v>
      </c>
      <c r="AC98" s="22">
        <v>0</v>
      </c>
      <c r="AD98" s="22">
        <v>1645</v>
      </c>
      <c r="AE98" s="22">
        <v>630</v>
      </c>
      <c r="AF98" s="22">
        <v>0</v>
      </c>
      <c r="AG98" s="22">
        <v>785</v>
      </c>
      <c r="AH98" s="87">
        <v>600</v>
      </c>
      <c r="AI98" s="88">
        <f t="shared" si="56"/>
        <v>19230</v>
      </c>
      <c r="AJ98" s="92">
        <f>AJ96/AJ97</f>
        <v>0.66270378655813011</v>
      </c>
      <c r="AK98" s="24">
        <f t="shared" ref="AK98:AK103" si="57">AI98-AJ98</f>
        <v>19229.337296213442</v>
      </c>
      <c r="AL98" t="e">
        <f>AK98/SUM(AK96:AK100)</f>
        <v>#REF!</v>
      </c>
      <c r="AM98" s="90">
        <f>(AI98)/$AI$104</f>
        <v>4.0796150778160588E-2</v>
      </c>
      <c r="AN98" s="90"/>
    </row>
    <row r="99" spans="2:40" x14ac:dyDescent="0.3">
      <c r="B99" s="81" t="s">
        <v>91</v>
      </c>
      <c r="C99" s="10"/>
      <c r="D99" s="10"/>
      <c r="E99" s="22">
        <v>1280</v>
      </c>
      <c r="F99" s="22">
        <v>0</v>
      </c>
      <c r="G99" s="22">
        <v>865</v>
      </c>
      <c r="H99" s="22">
        <v>1795</v>
      </c>
      <c r="I99" s="22">
        <v>0</v>
      </c>
      <c r="J99" s="22">
        <v>2000</v>
      </c>
      <c r="K99" s="22">
        <v>408</v>
      </c>
      <c r="L99" s="10">
        <v>1458</v>
      </c>
      <c r="M99" s="10">
        <v>1146</v>
      </c>
      <c r="N99" s="22">
        <v>2078</v>
      </c>
      <c r="O99" s="22">
        <v>0</v>
      </c>
      <c r="P99" s="22">
        <v>0</v>
      </c>
      <c r="Q99" s="22">
        <v>1581</v>
      </c>
      <c r="R99" s="22">
        <v>1110</v>
      </c>
      <c r="S99" s="22">
        <v>1078</v>
      </c>
      <c r="T99" s="22">
        <v>0</v>
      </c>
      <c r="U99" s="10">
        <v>0</v>
      </c>
      <c r="V99" s="22">
        <v>1995</v>
      </c>
      <c r="W99" s="22">
        <v>2678</v>
      </c>
      <c r="X99" s="22">
        <v>0</v>
      </c>
      <c r="Y99" s="22">
        <v>1260</v>
      </c>
      <c r="Z99" s="22">
        <v>0</v>
      </c>
      <c r="AA99" s="22">
        <v>825</v>
      </c>
      <c r="AB99" s="22">
        <v>0</v>
      </c>
      <c r="AC99" s="22">
        <v>1480</v>
      </c>
      <c r="AD99" s="22">
        <v>1400</v>
      </c>
      <c r="AE99" s="22">
        <v>0</v>
      </c>
      <c r="AF99" s="22">
        <v>1415</v>
      </c>
      <c r="AG99" s="22">
        <v>0</v>
      </c>
      <c r="AH99" s="22">
        <v>0</v>
      </c>
      <c r="AI99" s="88">
        <f t="shared" si="56"/>
        <v>25852</v>
      </c>
      <c r="AJ99" s="92"/>
      <c r="AK99" s="24">
        <f>AI99-AJ99</f>
        <v>25852</v>
      </c>
      <c r="AL99">
        <f>AK103/SUM(AK99:AK103)</f>
        <v>0.43367596814180454</v>
      </c>
      <c r="AM99" s="90">
        <f>(AI99)/$AI$104</f>
        <v>5.4844622460582818E-2</v>
      </c>
      <c r="AN99" s="90"/>
    </row>
    <row r="100" spans="2:40" x14ac:dyDescent="0.3">
      <c r="B100" s="81" t="s">
        <v>92</v>
      </c>
      <c r="C100" s="10"/>
      <c r="D100" s="10"/>
      <c r="E100" s="22">
        <v>1650</v>
      </c>
      <c r="F100" s="22">
        <v>1081</v>
      </c>
      <c r="G100" s="22">
        <v>0</v>
      </c>
      <c r="H100" s="22">
        <v>590</v>
      </c>
      <c r="I100" s="22">
        <v>1330</v>
      </c>
      <c r="J100" s="22">
        <v>1177</v>
      </c>
      <c r="K100" s="22">
        <v>3006</v>
      </c>
      <c r="L100" s="10">
        <v>1070</v>
      </c>
      <c r="M100" s="10">
        <v>0</v>
      </c>
      <c r="N100" s="22">
        <v>3333</v>
      </c>
      <c r="O100" s="22">
        <v>1422</v>
      </c>
      <c r="P100" s="22">
        <v>2995</v>
      </c>
      <c r="Q100" s="22">
        <v>0</v>
      </c>
      <c r="R100" s="22">
        <v>3960</v>
      </c>
      <c r="S100" s="22">
        <v>1185</v>
      </c>
      <c r="T100" s="22">
        <v>1910</v>
      </c>
      <c r="U100" s="10">
        <v>2174</v>
      </c>
      <c r="V100" s="22">
        <v>650</v>
      </c>
      <c r="W100" s="22">
        <v>0</v>
      </c>
      <c r="X100" s="22">
        <v>3619</v>
      </c>
      <c r="Y100" s="22">
        <v>1715</v>
      </c>
      <c r="Z100" s="22">
        <v>2445</v>
      </c>
      <c r="AA100" s="22">
        <v>855</v>
      </c>
      <c r="AB100" s="22">
        <v>1675</v>
      </c>
      <c r="AC100" s="22">
        <v>0</v>
      </c>
      <c r="AD100" s="22">
        <v>995</v>
      </c>
      <c r="AE100" s="22">
        <v>0</v>
      </c>
      <c r="AF100" s="3">
        <v>2288</v>
      </c>
      <c r="AG100" s="22">
        <v>2974</v>
      </c>
      <c r="AH100" s="87">
        <v>0</v>
      </c>
      <c r="AI100" s="88">
        <f t="shared" si="56"/>
        <v>44099</v>
      </c>
      <c r="AJ100" s="92"/>
      <c r="AK100" s="24">
        <f t="shared" si="57"/>
        <v>44099</v>
      </c>
      <c r="AL100">
        <f>AK104/SUM(AK100:AK104)</f>
        <v>0</v>
      </c>
      <c r="AM100" s="90">
        <f>(AI100+AI105)/$AI$104</f>
        <v>9.3557475263488399E-2</v>
      </c>
      <c r="AN100" s="90"/>
    </row>
    <row r="101" spans="2:40" x14ac:dyDescent="0.3">
      <c r="B101" s="81" t="s">
        <v>93</v>
      </c>
      <c r="C101" s="10"/>
      <c r="D101" s="10"/>
      <c r="E101" s="22">
        <v>2700</v>
      </c>
      <c r="F101" s="22">
        <f>3665+3463</f>
        <v>7128</v>
      </c>
      <c r="G101" s="22">
        <v>2368</v>
      </c>
      <c r="H101" s="22">
        <v>6528</v>
      </c>
      <c r="I101" s="22">
        <v>3656</v>
      </c>
      <c r="J101" s="22">
        <v>5141</v>
      </c>
      <c r="K101" s="22">
        <v>8866</v>
      </c>
      <c r="L101" s="22">
        <f>6313+2575</f>
        <v>8888</v>
      </c>
      <c r="M101" s="10">
        <v>6165</v>
      </c>
      <c r="N101" s="22">
        <v>4910</v>
      </c>
      <c r="O101" s="22">
        <v>9917</v>
      </c>
      <c r="P101" s="22">
        <v>4457</v>
      </c>
      <c r="Q101" s="22">
        <v>6991</v>
      </c>
      <c r="R101" s="22">
        <v>5588</v>
      </c>
      <c r="S101" s="22">
        <v>2975</v>
      </c>
      <c r="T101" s="22">
        <v>4630</v>
      </c>
      <c r="U101" s="10">
        <v>5719</v>
      </c>
      <c r="V101" s="22">
        <v>6725</v>
      </c>
      <c r="W101" s="22">
        <v>7160</v>
      </c>
      <c r="X101" s="22">
        <v>7200</v>
      </c>
      <c r="Y101" s="22">
        <v>7080</v>
      </c>
      <c r="Z101" s="22">
        <v>3436</v>
      </c>
      <c r="AA101" s="22">
        <v>5460</v>
      </c>
      <c r="AB101" s="22">
        <v>5700</v>
      </c>
      <c r="AC101" s="22">
        <v>5870</v>
      </c>
      <c r="AD101" s="22">
        <v>4660</v>
      </c>
      <c r="AE101" s="22">
        <v>6460</v>
      </c>
      <c r="AF101" s="22">
        <v>6735</v>
      </c>
      <c r="AG101" s="22">
        <v>3164</v>
      </c>
      <c r="AH101" s="87">
        <v>4690</v>
      </c>
      <c r="AI101" s="88">
        <f t="shared" si="56"/>
        <v>170967</v>
      </c>
      <c r="AJ101" s="89">
        <f>SUM(AI101:AI102)</f>
        <v>240046</v>
      </c>
      <c r="AK101" s="24">
        <f t="shared" si="57"/>
        <v>-69079</v>
      </c>
      <c r="AM101" s="90">
        <f>(AI100+AI103)/$AI$104</f>
        <v>0.20719480321107925</v>
      </c>
    </row>
    <row r="102" spans="2:40" x14ac:dyDescent="0.3">
      <c r="B102" s="81" t="s">
        <v>94</v>
      </c>
      <c r="C102" s="10"/>
      <c r="D102" s="10"/>
      <c r="E102" s="22">
        <v>0</v>
      </c>
      <c r="F102" s="22">
        <v>2915</v>
      </c>
      <c r="G102" s="22">
        <v>4777</v>
      </c>
      <c r="H102" s="22">
        <v>3370</v>
      </c>
      <c r="I102" s="22">
        <v>2600</v>
      </c>
      <c r="J102" s="22">
        <v>0</v>
      </c>
      <c r="K102" s="22">
        <v>1210</v>
      </c>
      <c r="L102" s="22">
        <v>2485</v>
      </c>
      <c r="M102" s="10">
        <v>3451</v>
      </c>
      <c r="N102" s="22">
        <v>2855</v>
      </c>
      <c r="O102" s="22">
        <v>0</v>
      </c>
      <c r="P102" s="22">
        <v>3010</v>
      </c>
      <c r="Q102" s="22">
        <v>1616</v>
      </c>
      <c r="R102" s="22">
        <v>1948</v>
      </c>
      <c r="S102" s="22">
        <v>4480</v>
      </c>
      <c r="T102" s="22">
        <v>2570</v>
      </c>
      <c r="U102" s="10">
        <v>3074</v>
      </c>
      <c r="V102" s="22">
        <v>2745</v>
      </c>
      <c r="W102" s="22">
        <v>4175</v>
      </c>
      <c r="X102" s="22">
        <v>1490</v>
      </c>
      <c r="Y102" s="22">
        <v>4566</v>
      </c>
      <c r="Z102" s="22">
        <v>1005</v>
      </c>
      <c r="AA102" s="22">
        <v>3450</v>
      </c>
      <c r="AB102" s="22">
        <v>1020</v>
      </c>
      <c r="AC102" s="22">
        <v>0</v>
      </c>
      <c r="AD102" s="22">
        <v>4111</v>
      </c>
      <c r="AE102" s="22">
        <v>0</v>
      </c>
      <c r="AF102" s="22">
        <v>2280</v>
      </c>
      <c r="AG102" s="22">
        <v>1866</v>
      </c>
      <c r="AH102" s="87">
        <v>2010</v>
      </c>
      <c r="AI102" s="88">
        <f t="shared" si="56"/>
        <v>69079</v>
      </c>
      <c r="AJ102" s="89">
        <f>AJ101/SUM(AI101:AI103)</f>
        <v>0.81756195250875308</v>
      </c>
      <c r="AK102" s="24">
        <f t="shared" si="57"/>
        <v>69078.182438047486</v>
      </c>
      <c r="AM102" s="90">
        <f>(AK100+AK103)/AI104</f>
        <v>0.20719480321107925</v>
      </c>
    </row>
    <row r="103" spans="2:40" x14ac:dyDescent="0.3">
      <c r="B103" s="81" t="s">
        <v>95</v>
      </c>
      <c r="C103" s="10"/>
      <c r="D103" s="10"/>
      <c r="E103" s="22">
        <v>3080</v>
      </c>
      <c r="F103" s="22">
        <v>0</v>
      </c>
      <c r="G103" s="22">
        <v>2570</v>
      </c>
      <c r="H103" s="22">
        <v>0</v>
      </c>
      <c r="I103" s="22">
        <v>2040</v>
      </c>
      <c r="J103" s="22">
        <v>3756</v>
      </c>
      <c r="K103" s="22">
        <v>2635</v>
      </c>
      <c r="L103" s="22">
        <v>1420</v>
      </c>
      <c r="M103" s="10">
        <v>2193</v>
      </c>
      <c r="N103" s="22">
        <v>0</v>
      </c>
      <c r="O103" s="22">
        <v>2792</v>
      </c>
      <c r="P103" s="22">
        <v>0</v>
      </c>
      <c r="Q103" s="22">
        <v>0</v>
      </c>
      <c r="R103" s="22">
        <v>0</v>
      </c>
      <c r="S103" s="22">
        <v>1500</v>
      </c>
      <c r="T103" s="22">
        <v>1390</v>
      </c>
      <c r="U103" s="10">
        <v>0</v>
      </c>
      <c r="V103" s="22">
        <v>1870</v>
      </c>
      <c r="W103" s="22">
        <v>2455</v>
      </c>
      <c r="X103" s="22">
        <v>4655</v>
      </c>
      <c r="Y103" s="22">
        <v>2075</v>
      </c>
      <c r="Z103" s="22">
        <v>3055</v>
      </c>
      <c r="AA103" s="22">
        <v>3465</v>
      </c>
      <c r="AB103" s="22">
        <v>840</v>
      </c>
      <c r="AC103" s="22">
        <v>1920</v>
      </c>
      <c r="AD103" s="22">
        <v>1535</v>
      </c>
      <c r="AE103" s="22">
        <v>1545</v>
      </c>
      <c r="AF103" s="22">
        <v>1230</v>
      </c>
      <c r="AG103" s="22">
        <v>3405</v>
      </c>
      <c r="AH103" s="87">
        <v>2140</v>
      </c>
      <c r="AI103" s="88">
        <f t="shared" si="56"/>
        <v>53566</v>
      </c>
      <c r="AJ103" s="89"/>
      <c r="AK103" s="24">
        <f t="shared" si="57"/>
        <v>53566</v>
      </c>
      <c r="AM103" s="90"/>
      <c r="AN103" s="90"/>
    </row>
    <row r="104" spans="2:40" x14ac:dyDescent="0.3">
      <c r="B104" s="93" t="s">
        <v>96</v>
      </c>
      <c r="C104" s="94"/>
      <c r="D104" s="94"/>
      <c r="E104" s="95">
        <f>SUM(E96:E103)</f>
        <v>11265</v>
      </c>
      <c r="F104" s="95">
        <f t="shared" ref="F104:AH104" si="58">SUM(F96:F103)</f>
        <v>14524</v>
      </c>
      <c r="G104" s="95">
        <f t="shared" si="58"/>
        <v>15179</v>
      </c>
      <c r="H104" s="95">
        <f t="shared" si="58"/>
        <v>18803</v>
      </c>
      <c r="I104" s="95">
        <f t="shared" si="58"/>
        <v>13565</v>
      </c>
      <c r="J104" s="95">
        <f t="shared" si="58"/>
        <v>17630</v>
      </c>
      <c r="K104" s="95">
        <f>SUM(K96:K103)</f>
        <v>19473</v>
      </c>
      <c r="L104" s="95">
        <f t="shared" si="58"/>
        <v>21576</v>
      </c>
      <c r="M104" s="95">
        <f t="shared" si="58"/>
        <v>16831</v>
      </c>
      <c r="N104" s="95">
        <f t="shared" si="58"/>
        <v>15269</v>
      </c>
      <c r="O104" s="95">
        <f t="shared" si="58"/>
        <v>19146</v>
      </c>
      <c r="P104" s="95">
        <f t="shared" si="58"/>
        <v>11607</v>
      </c>
      <c r="Q104" s="95">
        <f t="shared" si="58"/>
        <v>17553</v>
      </c>
      <c r="R104" s="95">
        <f t="shared" si="58"/>
        <v>15756</v>
      </c>
      <c r="S104" s="95">
        <f t="shared" si="58"/>
        <v>16738</v>
      </c>
      <c r="T104" s="95">
        <f t="shared" si="58"/>
        <v>12076</v>
      </c>
      <c r="U104" s="95">
        <f t="shared" si="58"/>
        <v>16485</v>
      </c>
      <c r="V104" s="95">
        <f t="shared" si="58"/>
        <v>16980</v>
      </c>
      <c r="W104" s="95">
        <f t="shared" si="58"/>
        <v>17758</v>
      </c>
      <c r="X104" s="95">
        <f t="shared" si="58"/>
        <v>19907</v>
      </c>
      <c r="Y104" s="95">
        <f t="shared" si="58"/>
        <v>17946</v>
      </c>
      <c r="Z104" s="95">
        <f t="shared" si="58"/>
        <v>11493</v>
      </c>
      <c r="AA104" s="95">
        <f t="shared" si="58"/>
        <v>18485</v>
      </c>
      <c r="AB104" s="95">
        <f t="shared" si="58"/>
        <v>12030</v>
      </c>
      <c r="AC104" s="95">
        <f t="shared" si="58"/>
        <v>13970</v>
      </c>
      <c r="AD104" s="95">
        <f t="shared" si="58"/>
        <v>16751</v>
      </c>
      <c r="AE104" s="95">
        <f t="shared" si="58"/>
        <v>10895</v>
      </c>
      <c r="AF104" s="95">
        <f t="shared" si="58"/>
        <v>16883</v>
      </c>
      <c r="AG104" s="95">
        <f t="shared" si="58"/>
        <v>13354</v>
      </c>
      <c r="AH104" s="95">
        <f t="shared" si="58"/>
        <v>11440</v>
      </c>
      <c r="AI104" s="88">
        <f t="shared" si="56"/>
        <v>471368</v>
      </c>
      <c r="AJ104" s="96"/>
      <c r="AK104" s="24"/>
    </row>
    <row r="105" spans="2:40" x14ac:dyDescent="0.3">
      <c r="E105" s="22" t="b">
        <f>IF(SUM(E3,E7,E38,E99)=E104, TRUE, FALSE)</f>
        <v>1</v>
      </c>
      <c r="F105" s="22" t="b">
        <f>IF(SUM(F3,F7,F38,F99)=F104, TRUE, FALSE)</f>
        <v>1</v>
      </c>
      <c r="G105" s="22" t="b">
        <f>IF(SUM(G3,G7,G38,G99)=G104, TRUE, FALSE)</f>
        <v>1</v>
      </c>
      <c r="H105" s="22" t="b">
        <f>IF(SUM(H3,H7,H38,H99)=H104, TRUE, FALSE)</f>
        <v>1</v>
      </c>
      <c r="I105" s="22" t="b">
        <f t="shared" ref="I105:R105" si="59">IF((I3+I7+I38+I99)=I104,TRUE,FALSE)</f>
        <v>1</v>
      </c>
      <c r="J105" s="22" t="b">
        <f t="shared" si="59"/>
        <v>1</v>
      </c>
      <c r="K105" s="22" t="b">
        <f t="shared" si="59"/>
        <v>1</v>
      </c>
      <c r="L105" s="22" t="b">
        <f t="shared" si="59"/>
        <v>1</v>
      </c>
      <c r="M105" s="10" t="b">
        <f t="shared" si="59"/>
        <v>1</v>
      </c>
      <c r="N105" s="22" t="b">
        <f t="shared" si="59"/>
        <v>1</v>
      </c>
      <c r="O105" s="22" t="b">
        <f t="shared" si="59"/>
        <v>1</v>
      </c>
      <c r="P105" s="22" t="b">
        <f t="shared" si="59"/>
        <v>1</v>
      </c>
      <c r="Q105" s="22" t="b">
        <f t="shared" si="59"/>
        <v>1</v>
      </c>
      <c r="R105" s="22" t="b">
        <f t="shared" si="59"/>
        <v>1</v>
      </c>
      <c r="S105" s="22" t="b">
        <v>1</v>
      </c>
      <c r="T105" s="22" t="b">
        <v>1</v>
      </c>
      <c r="U105" s="22" t="b">
        <v>1</v>
      </c>
      <c r="V105" s="22" t="b">
        <f t="shared" ref="V105:AI105" si="60">IF((V3+V7+V38+V99)=V104,TRUE,FALSE)</f>
        <v>1</v>
      </c>
      <c r="W105" s="22" t="b">
        <f t="shared" si="60"/>
        <v>1</v>
      </c>
      <c r="X105" s="22" t="b">
        <f t="shared" si="60"/>
        <v>1</v>
      </c>
      <c r="Y105" s="22" t="b">
        <f t="shared" si="60"/>
        <v>1</v>
      </c>
      <c r="Z105" s="22" t="b">
        <f t="shared" si="60"/>
        <v>1</v>
      </c>
      <c r="AA105" s="22" t="b">
        <f t="shared" si="60"/>
        <v>1</v>
      </c>
      <c r="AB105" s="22" t="b">
        <f t="shared" si="60"/>
        <v>1</v>
      </c>
      <c r="AC105" s="22" t="b">
        <f t="shared" si="60"/>
        <v>1</v>
      </c>
      <c r="AD105" s="22" t="b">
        <f t="shared" si="60"/>
        <v>1</v>
      </c>
      <c r="AE105" s="22" t="b">
        <f t="shared" si="60"/>
        <v>1</v>
      </c>
      <c r="AF105" s="22" t="b">
        <f t="shared" si="60"/>
        <v>1</v>
      </c>
      <c r="AG105" s="22" t="b">
        <f t="shared" si="60"/>
        <v>1</v>
      </c>
      <c r="AH105" s="22" t="b">
        <f t="shared" si="60"/>
        <v>1</v>
      </c>
      <c r="AI105" s="22" t="b">
        <f t="shared" si="60"/>
        <v>1</v>
      </c>
      <c r="AJ105" s="24"/>
      <c r="AK105" s="24"/>
    </row>
    <row r="106" spans="2:40" ht="15.6" x14ac:dyDescent="0.3">
      <c r="B106" s="97" t="s">
        <v>97</v>
      </c>
      <c r="E106" s="22"/>
      <c r="F106" s="22"/>
      <c r="G106" s="22"/>
      <c r="H106" s="22"/>
      <c r="I106" s="22"/>
      <c r="J106" s="22"/>
      <c r="K106" s="22"/>
      <c r="L106" s="22"/>
      <c r="M106" s="10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87"/>
      <c r="AI106" s="22"/>
      <c r="AJ106" s="24"/>
      <c r="AK106" s="24"/>
    </row>
    <row r="107" spans="2:40" x14ac:dyDescent="0.3">
      <c r="B107" s="81" t="s">
        <v>88</v>
      </c>
      <c r="C107" s="10"/>
      <c r="D107" s="10"/>
      <c r="E107" s="22">
        <v>493</v>
      </c>
      <c r="F107" s="22">
        <v>580</v>
      </c>
      <c r="G107" s="22">
        <v>558</v>
      </c>
      <c r="H107" s="22">
        <v>1301</v>
      </c>
      <c r="I107" s="22">
        <v>906</v>
      </c>
      <c r="J107" s="22">
        <v>787</v>
      </c>
      <c r="K107" s="22">
        <v>0</v>
      </c>
      <c r="L107" s="22">
        <v>881</v>
      </c>
      <c r="M107" s="10">
        <v>345</v>
      </c>
      <c r="N107" s="22">
        <v>378</v>
      </c>
      <c r="O107" s="23">
        <v>1353</v>
      </c>
      <c r="P107" s="22">
        <v>0</v>
      </c>
      <c r="Q107" s="22">
        <v>949</v>
      </c>
      <c r="R107" s="22">
        <v>473</v>
      </c>
      <c r="S107" s="22">
        <v>315</v>
      </c>
      <c r="T107" s="22">
        <v>537</v>
      </c>
      <c r="U107" s="10">
        <v>1039</v>
      </c>
      <c r="V107" s="22">
        <v>0</v>
      </c>
      <c r="W107" s="22">
        <v>445</v>
      </c>
      <c r="X107" s="22">
        <v>689</v>
      </c>
      <c r="Y107" s="22">
        <v>0</v>
      </c>
      <c r="Z107" s="22">
        <v>0</v>
      </c>
      <c r="AA107" s="22">
        <v>0</v>
      </c>
      <c r="AB107" s="22">
        <v>885</v>
      </c>
      <c r="AC107" s="22">
        <v>585</v>
      </c>
      <c r="AD107" s="22">
        <v>0</v>
      </c>
      <c r="AE107" s="22">
        <v>474</v>
      </c>
      <c r="AF107" s="22">
        <v>991</v>
      </c>
      <c r="AG107" s="22">
        <v>0</v>
      </c>
      <c r="AH107" s="87">
        <v>680</v>
      </c>
      <c r="AI107" s="88">
        <f t="shared" ref="AI107:AI114" si="61">SUM(E107:AH107)</f>
        <v>15644</v>
      </c>
      <c r="AJ107" s="281">
        <f>AI107+AI108</f>
        <v>29791</v>
      </c>
      <c r="AK107" s="24">
        <f t="shared" ref="AK107:AK115" si="62">AI107-AJ107</f>
        <v>-14147</v>
      </c>
      <c r="AM107" s="90"/>
      <c r="AN107" s="54"/>
    </row>
    <row r="108" spans="2:40" x14ac:dyDescent="0.3">
      <c r="B108" s="81" t="s">
        <v>89</v>
      </c>
      <c r="C108" s="10"/>
      <c r="D108" s="10"/>
      <c r="E108" s="22">
        <v>0</v>
      </c>
      <c r="F108" s="22">
        <v>525</v>
      </c>
      <c r="G108" s="22">
        <v>707</v>
      </c>
      <c r="H108" s="22">
        <v>748</v>
      </c>
      <c r="I108" s="22">
        <v>0</v>
      </c>
      <c r="J108" s="22">
        <v>1106</v>
      </c>
      <c r="K108" s="22">
        <v>899</v>
      </c>
      <c r="L108" s="22">
        <v>658</v>
      </c>
      <c r="M108" s="10">
        <v>627</v>
      </c>
      <c r="N108" s="22">
        <v>0</v>
      </c>
      <c r="O108" s="22">
        <v>360</v>
      </c>
      <c r="P108" s="22">
        <v>393</v>
      </c>
      <c r="Q108" s="22">
        <v>1284</v>
      </c>
      <c r="R108" s="22">
        <v>0</v>
      </c>
      <c r="S108" s="22">
        <v>1356</v>
      </c>
      <c r="T108" s="22">
        <v>0</v>
      </c>
      <c r="U108" s="10">
        <v>376</v>
      </c>
      <c r="V108" s="22">
        <v>734</v>
      </c>
      <c r="W108" s="22">
        <v>0</v>
      </c>
      <c r="X108" s="22">
        <v>0</v>
      </c>
      <c r="Y108" s="22">
        <v>432</v>
      </c>
      <c r="Z108" s="22">
        <v>129</v>
      </c>
      <c r="AA108" s="22">
        <v>1398</v>
      </c>
      <c r="AB108" s="22">
        <v>0</v>
      </c>
      <c r="AC108" s="22">
        <v>950</v>
      </c>
      <c r="AD108" s="22">
        <v>789</v>
      </c>
      <c r="AE108" s="22">
        <v>281</v>
      </c>
      <c r="AF108" s="22">
        <v>0</v>
      </c>
      <c r="AG108" s="22">
        <v>395</v>
      </c>
      <c r="AH108" s="87">
        <v>0</v>
      </c>
      <c r="AI108" s="88">
        <f t="shared" si="61"/>
        <v>14147</v>
      </c>
      <c r="AJ108" s="89">
        <f>AJ107/AJ96</f>
        <v>0.33633643804685293</v>
      </c>
      <c r="AK108" s="24">
        <f t="shared" si="62"/>
        <v>14146.663663561952</v>
      </c>
      <c r="AM108" s="90"/>
      <c r="AN108" s="54"/>
    </row>
    <row r="109" spans="2:40" x14ac:dyDescent="0.3">
      <c r="B109" s="81" t="s">
        <v>90</v>
      </c>
      <c r="C109" s="10"/>
      <c r="D109" s="10"/>
      <c r="E109" s="22">
        <v>298</v>
      </c>
      <c r="F109" s="22">
        <v>0</v>
      </c>
      <c r="G109" s="22">
        <v>261</v>
      </c>
      <c r="H109" s="22">
        <v>141</v>
      </c>
      <c r="I109" s="22">
        <v>362</v>
      </c>
      <c r="J109" s="22">
        <v>0</v>
      </c>
      <c r="K109" s="22">
        <v>183</v>
      </c>
      <c r="L109" s="22">
        <v>427</v>
      </c>
      <c r="M109" s="10">
        <v>265</v>
      </c>
      <c r="N109" s="22">
        <v>277</v>
      </c>
      <c r="O109" s="22">
        <v>0</v>
      </c>
      <c r="P109" s="22">
        <v>0</v>
      </c>
      <c r="Q109" s="22">
        <v>228</v>
      </c>
      <c r="R109" s="22">
        <v>482</v>
      </c>
      <c r="S109" s="22">
        <v>189</v>
      </c>
      <c r="T109" s="22">
        <v>0</v>
      </c>
      <c r="U109" s="10">
        <v>383</v>
      </c>
      <c r="V109" s="22">
        <v>231</v>
      </c>
      <c r="W109" s="22">
        <v>0</v>
      </c>
      <c r="X109" s="22">
        <v>256</v>
      </c>
      <c r="Y109" s="22">
        <v>0</v>
      </c>
      <c r="Z109" s="22">
        <v>304</v>
      </c>
      <c r="AA109" s="22">
        <v>0</v>
      </c>
      <c r="AB109" s="22">
        <v>0</v>
      </c>
      <c r="AC109" s="22">
        <v>0</v>
      </c>
      <c r="AD109" s="22">
        <v>461</v>
      </c>
      <c r="AE109" s="22">
        <v>177</v>
      </c>
      <c r="AF109" s="22">
        <v>0</v>
      </c>
      <c r="AG109" s="22">
        <v>219</v>
      </c>
      <c r="AH109" s="87">
        <v>153</v>
      </c>
      <c r="AI109" s="88">
        <f t="shared" si="61"/>
        <v>5297</v>
      </c>
      <c r="AJ109" s="89"/>
      <c r="AK109" s="24">
        <f t="shared" si="62"/>
        <v>5297</v>
      </c>
      <c r="AM109" s="90"/>
      <c r="AN109" s="54"/>
    </row>
    <row r="110" spans="2:40" x14ac:dyDescent="0.3">
      <c r="B110" s="81" t="s">
        <v>91</v>
      </c>
      <c r="C110" s="10"/>
      <c r="D110" s="10"/>
      <c r="E110" s="22">
        <v>378</v>
      </c>
      <c r="F110" s="22">
        <v>0</v>
      </c>
      <c r="G110" s="22">
        <v>261</v>
      </c>
      <c r="H110" s="22">
        <v>551</v>
      </c>
      <c r="I110" s="22">
        <v>0</v>
      </c>
      <c r="J110" s="22">
        <v>600</v>
      </c>
      <c r="K110" s="22">
        <v>124</v>
      </c>
      <c r="L110" s="22">
        <v>444</v>
      </c>
      <c r="M110" s="10">
        <v>346</v>
      </c>
      <c r="N110" s="22">
        <v>626</v>
      </c>
      <c r="O110" s="22">
        <v>0</v>
      </c>
      <c r="P110" s="22">
        <v>0</v>
      </c>
      <c r="Q110" s="22">
        <v>488</v>
      </c>
      <c r="R110" s="22">
        <v>341</v>
      </c>
      <c r="S110" s="22">
        <v>331</v>
      </c>
      <c r="T110" s="22">
        <v>0</v>
      </c>
      <c r="U110" s="10">
        <v>0</v>
      </c>
      <c r="V110" s="22">
        <v>606</v>
      </c>
      <c r="W110" s="22">
        <v>796</v>
      </c>
      <c r="X110" s="22">
        <v>0</v>
      </c>
      <c r="Y110" s="22">
        <v>372</v>
      </c>
      <c r="Z110" s="22">
        <v>0</v>
      </c>
      <c r="AA110" s="22">
        <v>244</v>
      </c>
      <c r="AB110" s="22">
        <v>0</v>
      </c>
      <c r="AC110" s="22">
        <v>437</v>
      </c>
      <c r="AD110" s="22">
        <v>423</v>
      </c>
      <c r="AE110" s="22">
        <v>0</v>
      </c>
      <c r="AF110" s="22">
        <v>430</v>
      </c>
      <c r="AG110" s="22">
        <v>0</v>
      </c>
      <c r="AH110" s="22">
        <v>0</v>
      </c>
      <c r="AI110" s="88">
        <f t="shared" si="61"/>
        <v>7798</v>
      </c>
      <c r="AJ110" s="89">
        <f>SUM(AI111:AI112)</f>
        <v>76205</v>
      </c>
      <c r="AK110" s="24">
        <f t="shared" si="62"/>
        <v>-68407</v>
      </c>
      <c r="AM110" s="90"/>
      <c r="AN110" s="54"/>
    </row>
    <row r="111" spans="2:40" x14ac:dyDescent="0.3">
      <c r="B111" s="81" t="s">
        <v>93</v>
      </c>
      <c r="C111" s="10"/>
      <c r="D111" s="10"/>
      <c r="E111" s="22">
        <v>906</v>
      </c>
      <c r="F111" s="22">
        <v>2320</v>
      </c>
      <c r="G111" s="22">
        <v>782</v>
      </c>
      <c r="H111" s="22">
        <v>2035</v>
      </c>
      <c r="I111" s="22">
        <v>1153</v>
      </c>
      <c r="J111" s="22">
        <v>1731</v>
      </c>
      <c r="K111" s="22">
        <v>2944</v>
      </c>
      <c r="L111" s="22">
        <v>2896</v>
      </c>
      <c r="M111" s="10">
        <v>2010</v>
      </c>
      <c r="N111" s="22">
        <v>1650</v>
      </c>
      <c r="O111" s="22">
        <v>3307</v>
      </c>
      <c r="P111" s="22">
        <v>1472</v>
      </c>
      <c r="Q111" s="22">
        <v>2134</v>
      </c>
      <c r="R111" s="22">
        <v>1872</v>
      </c>
      <c r="S111" s="22">
        <v>967</v>
      </c>
      <c r="T111" s="22">
        <v>1508</v>
      </c>
      <c r="U111" s="10">
        <v>1832</v>
      </c>
      <c r="V111" s="22">
        <v>2059</v>
      </c>
      <c r="W111" s="22">
        <v>2149</v>
      </c>
      <c r="X111" s="22">
        <v>2136</v>
      </c>
      <c r="Y111" s="22">
        <v>2120</v>
      </c>
      <c r="Z111" s="22">
        <v>1130</v>
      </c>
      <c r="AA111" s="22">
        <v>1725</v>
      </c>
      <c r="AB111" s="22">
        <v>1741</v>
      </c>
      <c r="AC111" s="22">
        <v>1768</v>
      </c>
      <c r="AD111" s="22">
        <v>1417</v>
      </c>
      <c r="AE111" s="22">
        <v>2088</v>
      </c>
      <c r="AF111" s="22">
        <v>2076</v>
      </c>
      <c r="AG111" s="22">
        <v>997</v>
      </c>
      <c r="AH111" s="87">
        <v>1395</v>
      </c>
      <c r="AI111" s="88">
        <f t="shared" si="61"/>
        <v>54320</v>
      </c>
      <c r="AJ111" s="89"/>
      <c r="AK111" s="24">
        <f t="shared" si="62"/>
        <v>54320</v>
      </c>
      <c r="AM111" s="90"/>
      <c r="AN111" s="54"/>
    </row>
    <row r="112" spans="2:40" x14ac:dyDescent="0.3">
      <c r="B112" s="81" t="s">
        <v>94</v>
      </c>
      <c r="C112" s="10"/>
      <c r="D112" s="10"/>
      <c r="E112" s="22">
        <v>0</v>
      </c>
      <c r="F112" s="22">
        <v>949</v>
      </c>
      <c r="G112" s="22">
        <v>1577</v>
      </c>
      <c r="H112" s="22">
        <v>1050</v>
      </c>
      <c r="I112" s="22">
        <v>820</v>
      </c>
      <c r="J112" s="22">
        <v>0</v>
      </c>
      <c r="K112" s="22">
        <v>402</v>
      </c>
      <c r="L112" s="22">
        <v>810</v>
      </c>
      <c r="M112" s="10">
        <v>1125</v>
      </c>
      <c r="N112" s="22">
        <v>959</v>
      </c>
      <c r="O112" s="22">
        <v>0</v>
      </c>
      <c r="P112" s="22">
        <v>994</v>
      </c>
      <c r="Q112" s="22">
        <v>493</v>
      </c>
      <c r="R112" s="22">
        <v>653</v>
      </c>
      <c r="S112" s="22">
        <v>1457</v>
      </c>
      <c r="T112" s="22">
        <v>837</v>
      </c>
      <c r="U112" s="10">
        <v>984</v>
      </c>
      <c r="V112" s="22">
        <v>841</v>
      </c>
      <c r="W112" s="22">
        <v>1253</v>
      </c>
      <c r="X112" s="22">
        <v>442</v>
      </c>
      <c r="Y112" s="22">
        <v>1368</v>
      </c>
      <c r="Z112" s="22">
        <v>330</v>
      </c>
      <c r="AA112" s="22">
        <v>1090</v>
      </c>
      <c r="AB112" s="22">
        <v>312</v>
      </c>
      <c r="AC112" s="22">
        <v>0</v>
      </c>
      <c r="AD112" s="22">
        <v>1250</v>
      </c>
      <c r="AE112" s="22">
        <v>0</v>
      </c>
      <c r="AF112" s="22">
        <v>703</v>
      </c>
      <c r="AG112" s="22">
        <v>588</v>
      </c>
      <c r="AH112" s="87">
        <v>598</v>
      </c>
      <c r="AI112" s="88">
        <f t="shared" si="61"/>
        <v>21885</v>
      </c>
      <c r="AJ112" s="89"/>
      <c r="AK112" s="24">
        <f t="shared" si="62"/>
        <v>21885</v>
      </c>
      <c r="AM112" s="90"/>
      <c r="AN112" s="54"/>
    </row>
    <row r="113" spans="1:40" s="19" customFormat="1" x14ac:dyDescent="0.3">
      <c r="B113" s="44" t="s">
        <v>98</v>
      </c>
      <c r="C113" s="15"/>
      <c r="D113" s="15"/>
      <c r="E113" s="88">
        <v>81</v>
      </c>
      <c r="F113" s="88">
        <v>53</v>
      </c>
      <c r="G113" s="88">
        <v>0</v>
      </c>
      <c r="H113" s="88">
        <v>29</v>
      </c>
      <c r="I113" s="88">
        <v>65</v>
      </c>
      <c r="J113" s="88">
        <v>58</v>
      </c>
      <c r="K113" s="88">
        <v>147</v>
      </c>
      <c r="L113" s="88">
        <v>52</v>
      </c>
      <c r="M113" s="15">
        <v>0</v>
      </c>
      <c r="N113" s="88">
        <v>163</v>
      </c>
      <c r="O113" s="88">
        <v>70</v>
      </c>
      <c r="P113" s="88">
        <v>147</v>
      </c>
      <c r="Q113" s="88">
        <v>0</v>
      </c>
      <c r="R113" s="88">
        <v>194</v>
      </c>
      <c r="S113" s="88">
        <v>58</v>
      </c>
      <c r="T113" s="88">
        <v>94</v>
      </c>
      <c r="U113" s="15">
        <v>107</v>
      </c>
      <c r="V113" s="88">
        <v>32</v>
      </c>
      <c r="W113" s="88">
        <v>0</v>
      </c>
      <c r="X113" s="88">
        <v>177</v>
      </c>
      <c r="Y113" s="88">
        <v>84</v>
      </c>
      <c r="Z113" s="88">
        <v>120</v>
      </c>
      <c r="AA113" s="88">
        <v>42</v>
      </c>
      <c r="AB113" s="88">
        <v>82</v>
      </c>
      <c r="AC113" s="88">
        <v>0</v>
      </c>
      <c r="AD113" s="88">
        <v>49</v>
      </c>
      <c r="AE113" s="88">
        <v>0</v>
      </c>
      <c r="AF113" s="88">
        <v>112</v>
      </c>
      <c r="AG113" s="88">
        <v>146</v>
      </c>
      <c r="AH113" s="98">
        <v>0</v>
      </c>
      <c r="AI113" s="88">
        <f>SUM(E113:AH113)</f>
        <v>2162</v>
      </c>
      <c r="AJ113" s="92"/>
      <c r="AK113" s="44">
        <f t="shared" si="62"/>
        <v>2162</v>
      </c>
      <c r="AM113" s="99"/>
      <c r="AN113" s="100"/>
    </row>
    <row r="114" spans="1:40" s="19" customFormat="1" x14ac:dyDescent="0.3">
      <c r="B114" s="44" t="s">
        <v>99</v>
      </c>
      <c r="C114" s="15"/>
      <c r="D114" s="15"/>
      <c r="E114" s="88">
        <v>151</v>
      </c>
      <c r="F114" s="88">
        <v>0</v>
      </c>
      <c r="G114" s="88">
        <v>126</v>
      </c>
      <c r="H114" s="88">
        <v>0</v>
      </c>
      <c r="I114" s="88">
        <v>100</v>
      </c>
      <c r="J114" s="88">
        <v>184</v>
      </c>
      <c r="K114" s="88">
        <v>129</v>
      </c>
      <c r="L114" s="88">
        <v>70</v>
      </c>
      <c r="M114" s="15">
        <v>107</v>
      </c>
      <c r="N114" s="88">
        <v>0</v>
      </c>
      <c r="O114" s="88">
        <v>137</v>
      </c>
      <c r="P114" s="88">
        <v>0</v>
      </c>
      <c r="Q114" s="88">
        <v>0</v>
      </c>
      <c r="R114" s="88">
        <v>0</v>
      </c>
      <c r="S114" s="88">
        <v>74</v>
      </c>
      <c r="T114" s="88">
        <v>68</v>
      </c>
      <c r="U114" s="15">
        <v>0</v>
      </c>
      <c r="V114" s="88">
        <v>92</v>
      </c>
      <c r="W114" s="88">
        <v>120</v>
      </c>
      <c r="X114" s="88">
        <v>228</v>
      </c>
      <c r="Y114" s="88">
        <v>102</v>
      </c>
      <c r="Z114" s="88">
        <v>150</v>
      </c>
      <c r="AA114" s="88">
        <v>170</v>
      </c>
      <c r="AB114" s="88">
        <v>41</v>
      </c>
      <c r="AC114" s="88">
        <v>94</v>
      </c>
      <c r="AD114" s="88">
        <v>75</v>
      </c>
      <c r="AE114" s="88">
        <v>76</v>
      </c>
      <c r="AF114" s="88">
        <v>60</v>
      </c>
      <c r="AG114" s="88">
        <v>167</v>
      </c>
      <c r="AH114" s="98">
        <v>105</v>
      </c>
      <c r="AI114" s="88">
        <f t="shared" si="61"/>
        <v>2626</v>
      </c>
      <c r="AJ114" s="92"/>
      <c r="AK114" s="44">
        <f t="shared" si="62"/>
        <v>2626</v>
      </c>
      <c r="AM114" s="99"/>
      <c r="AN114" s="100"/>
    </row>
    <row r="115" spans="1:40" x14ac:dyDescent="0.3">
      <c r="E115" s="3" t="b">
        <f t="shared" ref="E115:AH115" si="63">IF((SUM(E107:E112)=(E140+E141+E142+E143)), TRUE, FALSE)</f>
        <v>1</v>
      </c>
      <c r="F115" s="3" t="b">
        <f t="shared" si="63"/>
        <v>1</v>
      </c>
      <c r="G115" s="3" t="b">
        <f>IF((SUM(G107:G112)=(G140+G141+G142+G143)), TRUE, FALSE)</f>
        <v>1</v>
      </c>
      <c r="H115" s="3" t="b">
        <f t="shared" si="63"/>
        <v>1</v>
      </c>
      <c r="I115" s="3" t="b">
        <f>IF((SUM(I107:I112)=(I140+I141+I142+I143)), TRUE, FALSE)</f>
        <v>1</v>
      </c>
      <c r="J115" s="3" t="b">
        <f t="shared" si="63"/>
        <v>1</v>
      </c>
      <c r="K115" s="3" t="b">
        <f t="shared" si="63"/>
        <v>1</v>
      </c>
      <c r="L115" s="3" t="b">
        <f t="shared" si="63"/>
        <v>1</v>
      </c>
      <c r="M115" s="3" t="b">
        <f t="shared" si="63"/>
        <v>1</v>
      </c>
      <c r="N115" s="3" t="b">
        <f t="shared" si="63"/>
        <v>1</v>
      </c>
      <c r="O115" s="3" t="b">
        <f>IF((SUM(O107:O112)=(O140+O141+O142+O143)), TRUE, FALSE)</f>
        <v>1</v>
      </c>
      <c r="P115" s="3" t="b">
        <f>IF((SUM(P107:P112)=(P140+P141+P142+P143)), TRUE, FALSE)</f>
        <v>1</v>
      </c>
      <c r="Q115" s="3" t="b">
        <f>IF((SUM(Q107:Q112)=(Q140+Q141+Q142+Q143)), TRUE, FALSE)</f>
        <v>1</v>
      </c>
      <c r="R115" s="3" t="b">
        <f>IF((SUM(R107:R112)=(R140+R141+R142+R143)), TRUE, FALSE)</f>
        <v>1</v>
      </c>
      <c r="S115" s="3" t="b">
        <f>IF((SUM(S107:S112)=(S140+S141+S142+S143)), TRUE, FALSE)</f>
        <v>1</v>
      </c>
      <c r="T115" s="3" t="b">
        <f t="shared" si="63"/>
        <v>1</v>
      </c>
      <c r="U115" s="3" t="b">
        <f t="shared" si="63"/>
        <v>1</v>
      </c>
      <c r="V115" s="3" t="b">
        <f t="shared" si="63"/>
        <v>1</v>
      </c>
      <c r="W115" s="3" t="b">
        <f t="shared" si="63"/>
        <v>1</v>
      </c>
      <c r="X115" s="3" t="b">
        <f t="shared" si="63"/>
        <v>1</v>
      </c>
      <c r="Y115" s="3" t="b">
        <f t="shared" si="63"/>
        <v>1</v>
      </c>
      <c r="Z115" s="3" t="b">
        <f t="shared" si="63"/>
        <v>1</v>
      </c>
      <c r="AA115" s="3" t="b">
        <f t="shared" si="63"/>
        <v>1</v>
      </c>
      <c r="AB115" s="3" t="b">
        <f t="shared" si="63"/>
        <v>1</v>
      </c>
      <c r="AC115" s="3" t="b">
        <f t="shared" si="63"/>
        <v>1</v>
      </c>
      <c r="AD115" s="3" t="b">
        <f t="shared" si="63"/>
        <v>1</v>
      </c>
      <c r="AE115" s="3" t="b">
        <f t="shared" si="63"/>
        <v>1</v>
      </c>
      <c r="AF115" s="3" t="b">
        <f t="shared" si="63"/>
        <v>1</v>
      </c>
      <c r="AG115" s="3" t="b">
        <f t="shared" si="63"/>
        <v>1</v>
      </c>
      <c r="AH115" s="3" t="b">
        <f t="shared" si="63"/>
        <v>1</v>
      </c>
      <c r="AI115" s="276">
        <f>(AI113+AI114)/(AI100+AI103)</f>
        <v>4.9024727384426356E-2</v>
      </c>
      <c r="AK115" s="295">
        <f t="shared" si="62"/>
        <v>4.9024727384426356E-2</v>
      </c>
    </row>
    <row r="116" spans="1:40" x14ac:dyDescent="0.3">
      <c r="A116" s="101" t="s">
        <v>100</v>
      </c>
      <c r="B116" s="102"/>
      <c r="C116" s="103"/>
      <c r="D116" s="103"/>
      <c r="E116" s="104"/>
      <c r="F116" s="104"/>
      <c r="G116" s="262">
        <f>G114/G103</f>
        <v>4.9027237354085602E-2</v>
      </c>
      <c r="H116" s="104"/>
      <c r="I116" s="104">
        <v>0</v>
      </c>
      <c r="J116" s="104"/>
      <c r="K116" s="104"/>
      <c r="L116" s="104"/>
      <c r="M116" s="103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  <c r="AA116" s="104"/>
      <c r="AB116" s="104"/>
      <c r="AC116" s="104"/>
      <c r="AD116" s="104"/>
      <c r="AE116" s="104"/>
      <c r="AF116" s="104"/>
      <c r="AG116" s="104"/>
      <c r="AH116" s="104"/>
      <c r="AI116" s="104"/>
      <c r="AJ116" s="102"/>
      <c r="AK116" s="102"/>
    </row>
    <row r="117" spans="1:40" x14ac:dyDescent="0.3">
      <c r="A117" s="24"/>
      <c r="B117" s="105" t="s">
        <v>101</v>
      </c>
      <c r="C117" s="106"/>
      <c r="D117" s="106"/>
      <c r="E117" s="107"/>
      <c r="F117" s="107"/>
      <c r="G117" s="107"/>
      <c r="H117" s="107"/>
      <c r="I117" s="107"/>
      <c r="J117" s="107"/>
      <c r="K117" s="107"/>
      <c r="L117" s="107"/>
      <c r="M117" s="107"/>
      <c r="N117" s="106"/>
      <c r="O117" s="106"/>
      <c r="P117" s="106"/>
      <c r="Q117" s="106"/>
      <c r="R117" s="106"/>
      <c r="S117" s="106"/>
      <c r="T117" s="106"/>
      <c r="U117" s="106"/>
      <c r="V117" s="107"/>
      <c r="W117" s="107"/>
      <c r="X117" s="107"/>
      <c r="Y117" s="107"/>
      <c r="Z117" s="107"/>
      <c r="AA117" s="107"/>
      <c r="AB117" s="107"/>
      <c r="AC117" s="107"/>
      <c r="AD117" s="107"/>
      <c r="AE117" s="107"/>
      <c r="AF117" s="107"/>
      <c r="AG117" s="107"/>
      <c r="AH117" s="107"/>
      <c r="AI117" s="108">
        <f>SUM(E117:AH117)</f>
        <v>0</v>
      </c>
      <c r="AJ117" s="109"/>
      <c r="AK117" s="109"/>
    </row>
    <row r="118" spans="1:40" x14ac:dyDescent="0.3">
      <c r="A118" s="24"/>
      <c r="B118" s="81" t="s">
        <v>102</v>
      </c>
      <c r="C118" s="10"/>
      <c r="D118" s="10"/>
      <c r="E118" s="10">
        <v>0</v>
      </c>
      <c r="F118" s="110">
        <v>0</v>
      </c>
      <c r="G118" s="110">
        <v>100.55</v>
      </c>
      <c r="H118" s="22">
        <v>0</v>
      </c>
      <c r="I118" s="22">
        <v>67.25</v>
      </c>
      <c r="J118" s="22">
        <v>0</v>
      </c>
      <c r="K118" s="22">
        <v>0</v>
      </c>
      <c r="L118" s="22">
        <v>34.020000000000003</v>
      </c>
      <c r="M118" s="22">
        <v>34.32</v>
      </c>
      <c r="N118" s="22">
        <v>0</v>
      </c>
      <c r="O118" s="22">
        <v>0</v>
      </c>
      <c r="P118" s="22">
        <v>0</v>
      </c>
      <c r="Q118" s="111">
        <v>30.15</v>
      </c>
      <c r="R118" s="10">
        <v>0</v>
      </c>
      <c r="S118" s="10">
        <v>0</v>
      </c>
      <c r="T118" s="10">
        <v>0</v>
      </c>
      <c r="U118" s="10">
        <v>33.14</v>
      </c>
      <c r="V118" s="10">
        <v>52.81</v>
      </c>
      <c r="W118" s="110">
        <v>0</v>
      </c>
      <c r="X118" s="10">
        <v>0</v>
      </c>
      <c r="Y118" s="10">
        <v>55.62</v>
      </c>
      <c r="Z118" s="10">
        <v>27.77</v>
      </c>
      <c r="AA118" s="112">
        <v>0</v>
      </c>
      <c r="AB118" s="10">
        <v>0</v>
      </c>
      <c r="AC118" s="10">
        <v>31.6</v>
      </c>
      <c r="AD118" s="10">
        <v>54.23</v>
      </c>
      <c r="AE118" s="10">
        <v>0</v>
      </c>
      <c r="AF118" s="22">
        <v>0</v>
      </c>
      <c r="AG118" s="22">
        <v>0</v>
      </c>
      <c r="AH118" s="22">
        <v>88.3</v>
      </c>
      <c r="AI118" s="38">
        <f>SUM(E118:AH118)</f>
        <v>609.76</v>
      </c>
      <c r="AJ118" s="24" t="s">
        <v>103</v>
      </c>
      <c r="AK118" s="113">
        <f>AI118/COUNTIF(E118:AH118,"0")</f>
        <v>33.875555555555557</v>
      </c>
    </row>
    <row r="119" spans="1:40" x14ac:dyDescent="0.3">
      <c r="A119" s="24"/>
      <c r="B119" s="81" t="s">
        <v>104</v>
      </c>
      <c r="C119" s="10"/>
      <c r="D119" s="10"/>
      <c r="E119" s="22">
        <v>0</v>
      </c>
      <c r="F119" s="22">
        <v>0</v>
      </c>
      <c r="G119" s="22">
        <v>1481</v>
      </c>
      <c r="H119" s="22">
        <v>0</v>
      </c>
      <c r="I119" s="22">
        <v>2700</v>
      </c>
      <c r="J119" s="22">
        <v>0</v>
      </c>
      <c r="K119" s="22">
        <v>0</v>
      </c>
      <c r="L119" s="22">
        <v>2399</v>
      </c>
      <c r="M119" s="22">
        <v>2501</v>
      </c>
      <c r="N119" s="22">
        <v>0</v>
      </c>
      <c r="O119" s="22">
        <v>0</v>
      </c>
      <c r="P119" s="22">
        <v>0</v>
      </c>
      <c r="Q119" s="10">
        <v>2312</v>
      </c>
      <c r="R119" s="22">
        <v>0</v>
      </c>
      <c r="S119" s="22">
        <v>0</v>
      </c>
      <c r="T119" s="22">
        <v>0</v>
      </c>
      <c r="U119" s="22">
        <v>1825</v>
      </c>
      <c r="V119" s="22">
        <v>918</v>
      </c>
      <c r="W119" s="114">
        <v>0</v>
      </c>
      <c r="X119" s="22">
        <v>0</v>
      </c>
      <c r="Y119" s="22">
        <v>695</v>
      </c>
      <c r="Z119" s="22">
        <v>546.64</v>
      </c>
      <c r="AA119" s="115">
        <v>0</v>
      </c>
      <c r="AB119" s="22">
        <v>0</v>
      </c>
      <c r="AC119" s="22">
        <v>2237</v>
      </c>
      <c r="AD119" s="22">
        <v>436</v>
      </c>
      <c r="AE119" s="22">
        <v>0</v>
      </c>
      <c r="AF119" s="22">
        <v>0</v>
      </c>
      <c r="AG119" s="22">
        <v>0</v>
      </c>
      <c r="AH119" s="22">
        <v>347</v>
      </c>
      <c r="AI119" s="38">
        <f>SUMPRODUCT(E119:AH119,E118:AH118)/AI118</f>
        <v>1402.8706422198898</v>
      </c>
      <c r="AJ119" s="24"/>
      <c r="AK119" s="24"/>
    </row>
    <row r="120" spans="1:40" x14ac:dyDescent="0.3">
      <c r="A120" s="116" t="s">
        <v>105</v>
      </c>
      <c r="R120"/>
      <c r="S120"/>
      <c r="T120"/>
      <c r="U120"/>
      <c r="AI120" s="117"/>
      <c r="AL120" s="324">
        <f>AK118+AK122</f>
        <v>43.44305555555556</v>
      </c>
      <c r="AM120" s="83"/>
      <c r="AN120" s="83"/>
    </row>
    <row r="121" spans="1:40" x14ac:dyDescent="0.3">
      <c r="A121" s="24"/>
      <c r="B121" s="81" t="s">
        <v>101</v>
      </c>
      <c r="C121" s="10"/>
      <c r="D121" s="10"/>
      <c r="E121" s="22"/>
      <c r="F121" s="22"/>
      <c r="G121" s="22"/>
      <c r="H121" s="22"/>
      <c r="I121" s="22"/>
      <c r="J121" s="22"/>
      <c r="K121" s="22"/>
      <c r="L121" s="22"/>
      <c r="M121" s="22"/>
      <c r="N121" s="10"/>
      <c r="O121" s="10"/>
      <c r="P121" s="10"/>
      <c r="Q121" s="10"/>
      <c r="R121" s="10"/>
      <c r="S121" s="10"/>
      <c r="T121" s="10"/>
      <c r="U121" s="10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38">
        <f>SUM(E121:AH121)</f>
        <v>0</v>
      </c>
      <c r="AJ121" s="24"/>
      <c r="AK121" s="24"/>
    </row>
    <row r="122" spans="1:40" x14ac:dyDescent="0.3">
      <c r="A122" s="24"/>
      <c r="B122" s="81" t="s">
        <v>102</v>
      </c>
      <c r="C122" s="10"/>
      <c r="D122" s="10"/>
      <c r="E122" s="10">
        <v>0</v>
      </c>
      <c r="F122" s="110">
        <v>0</v>
      </c>
      <c r="G122" s="110">
        <v>0</v>
      </c>
      <c r="H122" s="110">
        <v>0</v>
      </c>
      <c r="I122" s="110">
        <v>0</v>
      </c>
      <c r="J122" s="22">
        <v>0</v>
      </c>
      <c r="K122" s="22">
        <v>0</v>
      </c>
      <c r="L122" s="22">
        <v>0</v>
      </c>
      <c r="M122" s="22">
        <v>0</v>
      </c>
      <c r="N122" s="22">
        <v>0</v>
      </c>
      <c r="O122" s="22">
        <v>0</v>
      </c>
      <c r="P122" s="22">
        <v>0</v>
      </c>
      <c r="Q122" s="111">
        <v>0</v>
      </c>
      <c r="R122" s="110">
        <v>0</v>
      </c>
      <c r="S122" s="110">
        <v>0</v>
      </c>
      <c r="T122" s="110">
        <v>26.45</v>
      </c>
      <c r="U122" s="110">
        <v>0</v>
      </c>
      <c r="V122" s="110">
        <v>30.46</v>
      </c>
      <c r="W122" s="110">
        <v>0</v>
      </c>
      <c r="X122" s="22">
        <v>0</v>
      </c>
      <c r="Y122" s="22">
        <v>0</v>
      </c>
      <c r="Z122" s="22">
        <v>24.26</v>
      </c>
      <c r="AA122" s="10">
        <v>35.43</v>
      </c>
      <c r="AB122" s="10">
        <v>0</v>
      </c>
      <c r="AC122" s="10">
        <v>56.03</v>
      </c>
      <c r="AD122" s="23">
        <v>0</v>
      </c>
      <c r="AE122" s="23">
        <v>0</v>
      </c>
      <c r="AF122" s="23">
        <v>0</v>
      </c>
      <c r="AG122" s="23">
        <v>0</v>
      </c>
      <c r="AH122" s="26">
        <v>56.99</v>
      </c>
      <c r="AI122" s="23">
        <f>SUM(E122:AH122)</f>
        <v>229.62</v>
      </c>
      <c r="AJ122" s="24" t="s">
        <v>103</v>
      </c>
      <c r="AK122" s="113">
        <f>AI122/COUNTIF(E122:AH122,"0")</f>
        <v>9.5675000000000008</v>
      </c>
    </row>
    <row r="123" spans="1:40" x14ac:dyDescent="0.3">
      <c r="A123" s="24"/>
      <c r="B123" s="81" t="s">
        <v>106</v>
      </c>
      <c r="C123" s="10"/>
      <c r="D123" s="10"/>
      <c r="E123" s="22">
        <v>0</v>
      </c>
      <c r="F123" s="22">
        <v>0</v>
      </c>
      <c r="G123" s="22">
        <v>0</v>
      </c>
      <c r="H123" s="22">
        <v>0</v>
      </c>
      <c r="I123" s="22">
        <v>0</v>
      </c>
      <c r="J123" s="22">
        <v>0</v>
      </c>
      <c r="K123" s="22">
        <v>0</v>
      </c>
      <c r="L123" s="22">
        <v>0</v>
      </c>
      <c r="M123" s="22">
        <v>0</v>
      </c>
      <c r="N123" s="22">
        <v>0</v>
      </c>
      <c r="O123" s="22">
        <v>0</v>
      </c>
      <c r="P123" s="22">
        <v>0</v>
      </c>
      <c r="Q123" s="22">
        <v>0</v>
      </c>
      <c r="R123" s="22">
        <v>0</v>
      </c>
      <c r="S123" s="22">
        <v>0</v>
      </c>
      <c r="T123" s="22">
        <v>1814</v>
      </c>
      <c r="U123" s="118">
        <v>0</v>
      </c>
      <c r="V123" s="118">
        <v>918</v>
      </c>
      <c r="W123" s="114">
        <v>0</v>
      </c>
      <c r="X123" s="22">
        <v>0</v>
      </c>
      <c r="Y123" s="22">
        <v>0</v>
      </c>
      <c r="Z123" s="22">
        <v>547</v>
      </c>
      <c r="AA123" s="22">
        <v>2578</v>
      </c>
      <c r="AB123" s="22">
        <v>0</v>
      </c>
      <c r="AC123" s="22">
        <v>2237</v>
      </c>
      <c r="AD123" s="22">
        <v>0</v>
      </c>
      <c r="AE123" s="22">
        <v>0</v>
      </c>
      <c r="AF123" s="22">
        <v>0</v>
      </c>
      <c r="AG123" s="22">
        <v>0</v>
      </c>
      <c r="AH123" s="22">
        <v>347</v>
      </c>
      <c r="AI123" s="38">
        <f>IFERROR(SUMPRODUCT(E123:AH123,E122:AH122)/AI122,0)</f>
        <v>1418.2822924832333</v>
      </c>
      <c r="AJ123" s="24"/>
      <c r="AK123" s="24"/>
    </row>
    <row r="124" spans="1:40" x14ac:dyDescent="0.3">
      <c r="N124" s="119"/>
      <c r="O124"/>
      <c r="P124"/>
      <c r="Q124"/>
      <c r="R124"/>
      <c r="S124"/>
      <c r="T124"/>
      <c r="U124"/>
    </row>
    <row r="125" spans="1:40" x14ac:dyDescent="0.3">
      <c r="B125" s="120" t="s">
        <v>107</v>
      </c>
      <c r="N125" s="121"/>
      <c r="O125" s="86"/>
      <c r="P125"/>
      <c r="R125"/>
      <c r="S125"/>
      <c r="T125"/>
      <c r="U125"/>
    </row>
    <row r="126" spans="1:40" x14ac:dyDescent="0.3">
      <c r="B126" s="122" t="s">
        <v>108</v>
      </c>
      <c r="C126" s="2" t="s">
        <v>109</v>
      </c>
      <c r="E126" s="123">
        <v>0.03</v>
      </c>
      <c r="F126" s="123">
        <v>0</v>
      </c>
      <c r="G126" s="123">
        <v>0</v>
      </c>
      <c r="H126" s="123">
        <v>0.01</v>
      </c>
      <c r="I126" s="123">
        <v>0.01</v>
      </c>
      <c r="J126" s="123">
        <v>0</v>
      </c>
      <c r="K126" s="123">
        <v>0</v>
      </c>
      <c r="L126" s="123">
        <v>0</v>
      </c>
      <c r="M126" s="124">
        <v>0.01</v>
      </c>
      <c r="N126" s="123">
        <v>0</v>
      </c>
      <c r="O126" s="123">
        <v>0.01</v>
      </c>
      <c r="P126" s="123">
        <v>0</v>
      </c>
      <c r="Q126" s="123">
        <v>0</v>
      </c>
      <c r="R126" s="123">
        <v>0</v>
      </c>
      <c r="S126" s="123">
        <v>0</v>
      </c>
      <c r="T126" s="123">
        <v>0</v>
      </c>
      <c r="U126" s="123">
        <v>0</v>
      </c>
      <c r="V126" s="123">
        <v>0</v>
      </c>
      <c r="W126" s="123">
        <v>0.03</v>
      </c>
      <c r="X126" s="123">
        <v>0.04</v>
      </c>
      <c r="Y126" s="123">
        <v>0.05</v>
      </c>
      <c r="Z126" s="123">
        <v>0</v>
      </c>
      <c r="AA126" s="123">
        <v>0</v>
      </c>
      <c r="AB126" s="123">
        <v>0</v>
      </c>
      <c r="AC126" s="123">
        <v>0</v>
      </c>
      <c r="AD126" s="123">
        <v>0</v>
      </c>
      <c r="AE126" s="123">
        <v>0</v>
      </c>
      <c r="AF126" s="123">
        <v>0.23</v>
      </c>
      <c r="AG126" s="123">
        <v>0.04</v>
      </c>
      <c r="AH126" s="123">
        <v>0.04</v>
      </c>
      <c r="AI126" s="123">
        <f>SUMPRODUCT(E126:AH126,$E$130:$AH$130)/SUM($E$130:$AH$130)</f>
        <v>1.6370314487039562E-2</v>
      </c>
    </row>
    <row r="127" spans="1:40" x14ac:dyDescent="0.3">
      <c r="B127" s="122" t="s">
        <v>110</v>
      </c>
      <c r="C127" s="2" t="s">
        <v>109</v>
      </c>
      <c r="E127" s="123">
        <v>0.02</v>
      </c>
      <c r="F127" s="123">
        <v>0.05</v>
      </c>
      <c r="G127" s="123">
        <v>7.0000000000000007E-2</v>
      </c>
      <c r="H127" s="123">
        <v>0.03</v>
      </c>
      <c r="I127" s="123">
        <v>0.06</v>
      </c>
      <c r="J127" s="123">
        <v>0.09</v>
      </c>
      <c r="K127" s="123">
        <v>0.15</v>
      </c>
      <c r="L127" s="123">
        <v>0.13</v>
      </c>
      <c r="M127" s="124">
        <v>0.06</v>
      </c>
      <c r="N127" s="123">
        <v>0.13</v>
      </c>
      <c r="O127" s="123">
        <v>0.02</v>
      </c>
      <c r="P127" s="123">
        <v>7.0000000000000007E-2</v>
      </c>
      <c r="Q127" s="123">
        <v>0.08</v>
      </c>
      <c r="R127" s="123">
        <v>0.09</v>
      </c>
      <c r="S127" s="123">
        <v>7.0000000000000007E-2</v>
      </c>
      <c r="T127" s="123">
        <v>0.09</v>
      </c>
      <c r="U127" s="123">
        <v>0.03</v>
      </c>
      <c r="V127" s="123">
        <v>0.06</v>
      </c>
      <c r="W127" s="123">
        <v>7.0000000000000007E-2</v>
      </c>
      <c r="X127" s="123">
        <v>0.09</v>
      </c>
      <c r="Y127" s="123">
        <v>0.05</v>
      </c>
      <c r="Z127" s="123">
        <v>0.06</v>
      </c>
      <c r="AA127" s="123">
        <v>0.04</v>
      </c>
      <c r="AB127" s="123">
        <v>0.03</v>
      </c>
      <c r="AC127" s="123">
        <v>0.14000000000000001</v>
      </c>
      <c r="AD127" s="123">
        <v>0.03</v>
      </c>
      <c r="AE127" s="123">
        <v>0.15</v>
      </c>
      <c r="AF127" s="123">
        <v>0.03</v>
      </c>
      <c r="AG127" s="123">
        <v>0.04</v>
      </c>
      <c r="AH127" s="123">
        <v>0</v>
      </c>
      <c r="AI127" s="123">
        <f>SUMPRODUCT(E127:AH127,$E$130:$AH$130)/SUM($E$130:$AH$130)</f>
        <v>6.6364531486841252E-2</v>
      </c>
    </row>
    <row r="128" spans="1:40" x14ac:dyDescent="0.3">
      <c r="B128" s="122" t="s">
        <v>111</v>
      </c>
      <c r="C128" s="2" t="s">
        <v>109</v>
      </c>
      <c r="E128" s="123">
        <v>0.02</v>
      </c>
      <c r="F128" s="123">
        <v>0.01</v>
      </c>
      <c r="G128" s="123">
        <v>0</v>
      </c>
      <c r="H128" s="123">
        <v>0.05</v>
      </c>
      <c r="I128" s="123">
        <v>0.03</v>
      </c>
      <c r="J128" s="123">
        <v>0</v>
      </c>
      <c r="K128" s="123">
        <v>0.17</v>
      </c>
      <c r="L128" s="123">
        <v>0</v>
      </c>
      <c r="M128" s="124">
        <v>0.01</v>
      </c>
      <c r="N128" s="123">
        <v>0.02</v>
      </c>
      <c r="O128" s="123">
        <v>0.04</v>
      </c>
      <c r="P128" s="123">
        <v>0.01</v>
      </c>
      <c r="Q128" s="123">
        <v>0.01</v>
      </c>
      <c r="R128" s="123">
        <v>0</v>
      </c>
      <c r="S128" s="123">
        <v>0.01</v>
      </c>
      <c r="T128" s="123">
        <v>0</v>
      </c>
      <c r="U128" s="123">
        <v>0.03</v>
      </c>
      <c r="V128" s="123">
        <v>0.03</v>
      </c>
      <c r="W128" s="123">
        <v>0.01</v>
      </c>
      <c r="X128" s="123">
        <v>0</v>
      </c>
      <c r="Y128" s="123">
        <v>0</v>
      </c>
      <c r="Z128" s="123">
        <v>0.01</v>
      </c>
      <c r="AA128" s="123">
        <v>0.02</v>
      </c>
      <c r="AB128" s="123">
        <v>0.04</v>
      </c>
      <c r="AC128" s="123">
        <v>0</v>
      </c>
      <c r="AD128" s="123">
        <v>0.01</v>
      </c>
      <c r="AE128" s="123">
        <v>0</v>
      </c>
      <c r="AF128" s="123">
        <v>0</v>
      </c>
      <c r="AG128" s="123">
        <v>0</v>
      </c>
      <c r="AH128" s="123">
        <v>0.01</v>
      </c>
      <c r="AI128" s="123">
        <f>SUMPRODUCT(E128:AH128,$E$130:$AH$130)/SUM($E$130:$AH$130)</f>
        <v>1.8617474645635224E-2</v>
      </c>
    </row>
    <row r="129" spans="1:40" x14ac:dyDescent="0.3">
      <c r="B129" s="122" t="s">
        <v>112</v>
      </c>
      <c r="C129" s="2" t="s">
        <v>109</v>
      </c>
      <c r="E129" s="34">
        <v>26317</v>
      </c>
      <c r="F129" s="34">
        <v>30930</v>
      </c>
      <c r="G129" s="34">
        <v>27626</v>
      </c>
      <c r="H129" s="34">
        <v>29012</v>
      </c>
      <c r="I129" s="34">
        <v>29311</v>
      </c>
      <c r="J129" s="34">
        <v>32899</v>
      </c>
      <c r="K129" s="34">
        <v>23157</v>
      </c>
      <c r="L129" s="34">
        <v>30039</v>
      </c>
      <c r="M129" s="78">
        <v>30926</v>
      </c>
      <c r="N129" s="34">
        <v>27894</v>
      </c>
      <c r="O129" s="34">
        <v>29236</v>
      </c>
      <c r="P129" s="34">
        <v>28521</v>
      </c>
      <c r="Q129" s="34">
        <v>29373</v>
      </c>
      <c r="R129" s="34">
        <v>26306</v>
      </c>
      <c r="S129" s="34">
        <v>25857</v>
      </c>
      <c r="T129" s="34">
        <v>31411</v>
      </c>
      <c r="U129" s="34">
        <v>19648</v>
      </c>
      <c r="V129" s="34">
        <v>23780</v>
      </c>
      <c r="W129" s="34">
        <v>21141</v>
      </c>
      <c r="X129" s="34">
        <v>16743</v>
      </c>
      <c r="Y129" s="34">
        <v>15634</v>
      </c>
      <c r="Z129" s="34">
        <v>27783</v>
      </c>
      <c r="AA129" s="34">
        <v>28354</v>
      </c>
      <c r="AB129" s="34">
        <v>29009</v>
      </c>
      <c r="AC129" s="34">
        <v>26723</v>
      </c>
      <c r="AD129" s="34">
        <v>29873</v>
      </c>
      <c r="AE129" s="34">
        <v>29678</v>
      </c>
      <c r="AF129" s="34">
        <v>20629</v>
      </c>
      <c r="AG129" s="34">
        <v>25022</v>
      </c>
      <c r="AH129" s="34">
        <v>29807</v>
      </c>
      <c r="AI129" s="22"/>
    </row>
    <row r="130" spans="1:40" x14ac:dyDescent="0.3">
      <c r="B130" s="122" t="s">
        <v>113</v>
      </c>
      <c r="C130" s="2" t="s">
        <v>109</v>
      </c>
      <c r="E130" s="34">
        <v>24075</v>
      </c>
      <c r="F130" s="34">
        <v>29181</v>
      </c>
      <c r="G130" s="34">
        <v>14128</v>
      </c>
      <c r="H130" s="34">
        <v>25001</v>
      </c>
      <c r="I130" s="34">
        <v>25033</v>
      </c>
      <c r="J130" s="34">
        <v>32430</v>
      </c>
      <c r="K130" s="34">
        <v>25594</v>
      </c>
      <c r="L130" s="34">
        <v>16643</v>
      </c>
      <c r="M130" s="78">
        <v>29627</v>
      </c>
      <c r="N130" s="34">
        <v>17390</v>
      </c>
      <c r="O130" s="34">
        <v>26584</v>
      </c>
      <c r="P130" s="34">
        <v>26562</v>
      </c>
      <c r="Q130" s="34">
        <v>25669</v>
      </c>
      <c r="R130" s="34">
        <v>26546</v>
      </c>
      <c r="S130" s="34">
        <v>21748</v>
      </c>
      <c r="T130" s="34">
        <v>33052</v>
      </c>
      <c r="U130" s="34">
        <v>14972</v>
      </c>
      <c r="V130" s="34">
        <v>24815</v>
      </c>
      <c r="W130" s="34">
        <v>19573</v>
      </c>
      <c r="X130" s="34">
        <v>14152</v>
      </c>
      <c r="Y130" s="34">
        <v>12695</v>
      </c>
      <c r="Z130" s="34">
        <v>27204</v>
      </c>
      <c r="AA130" s="34">
        <v>26492</v>
      </c>
      <c r="AB130" s="34">
        <v>28225</v>
      </c>
      <c r="AC130" s="34">
        <v>22066</v>
      </c>
      <c r="AD130" s="34">
        <v>24122</v>
      </c>
      <c r="AE130" s="34">
        <v>26726</v>
      </c>
      <c r="AF130" s="34">
        <v>26319</v>
      </c>
      <c r="AG130" s="34">
        <v>25387</v>
      </c>
      <c r="AH130" s="34">
        <v>29068</v>
      </c>
      <c r="AI130" s="22"/>
    </row>
    <row r="131" spans="1:40" x14ac:dyDescent="0.3">
      <c r="B131" s="125"/>
      <c r="E131" s="82"/>
      <c r="F131" s="82"/>
      <c r="G131" s="82"/>
      <c r="H131" s="82"/>
      <c r="I131" s="82"/>
      <c r="J131" s="82"/>
      <c r="K131" s="82"/>
      <c r="L131" s="82"/>
      <c r="M131" s="126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2"/>
      <c r="AC131" s="82"/>
      <c r="AD131" s="82"/>
      <c r="AE131" s="82"/>
      <c r="AF131" s="82"/>
      <c r="AG131" s="82"/>
      <c r="AH131" s="82"/>
    </row>
    <row r="132" spans="1:40" x14ac:dyDescent="0.3">
      <c r="B132" s="122" t="s">
        <v>114</v>
      </c>
      <c r="C132" s="10" t="s">
        <v>115</v>
      </c>
      <c r="E132" s="34"/>
      <c r="F132" s="34"/>
      <c r="G132" s="34"/>
      <c r="H132" s="34"/>
      <c r="I132" s="34"/>
      <c r="J132" s="34"/>
      <c r="K132" s="34"/>
      <c r="L132" s="34"/>
      <c r="M132" s="78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22"/>
    </row>
    <row r="133" spans="1:40" x14ac:dyDescent="0.3">
      <c r="B133" s="122" t="s">
        <v>116</v>
      </c>
      <c r="C133" s="10" t="s">
        <v>115</v>
      </c>
      <c r="E133" s="34"/>
      <c r="F133" s="34"/>
      <c r="G133" s="34"/>
      <c r="H133" s="34"/>
      <c r="I133" s="34"/>
      <c r="J133" s="34"/>
      <c r="K133" s="34"/>
      <c r="L133" s="34"/>
      <c r="M133" s="78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22"/>
    </row>
    <row r="135" spans="1:40" x14ac:dyDescent="0.3">
      <c r="A135" s="346" t="s">
        <v>117</v>
      </c>
      <c r="B135" s="127" t="s">
        <v>39</v>
      </c>
      <c r="C135" s="10" t="s">
        <v>36</v>
      </c>
      <c r="E135" s="22">
        <v>130</v>
      </c>
      <c r="F135" s="22">
        <v>116</v>
      </c>
      <c r="G135" s="22">
        <v>186</v>
      </c>
      <c r="H135" s="22">
        <v>283</v>
      </c>
      <c r="I135" s="22">
        <v>134</v>
      </c>
      <c r="J135" s="22">
        <v>257</v>
      </c>
      <c r="K135" s="22">
        <v>128</v>
      </c>
      <c r="L135" s="22">
        <v>262</v>
      </c>
      <c r="M135" s="22">
        <v>171</v>
      </c>
      <c r="N135" s="22">
        <v>142</v>
      </c>
      <c r="O135" s="22">
        <v>171</v>
      </c>
      <c r="P135" s="22">
        <v>38</v>
      </c>
      <c r="Q135" s="22">
        <v>295</v>
      </c>
      <c r="R135" s="22">
        <v>141</v>
      </c>
      <c r="S135" s="22">
        <v>218</v>
      </c>
      <c r="T135" s="22">
        <v>52</v>
      </c>
      <c r="U135" s="22">
        <v>182</v>
      </c>
      <c r="V135" s="22">
        <v>165</v>
      </c>
      <c r="W135" s="22">
        <v>131</v>
      </c>
      <c r="X135" s="22">
        <v>97</v>
      </c>
      <c r="Y135" s="22">
        <v>83</v>
      </c>
      <c r="Z135" s="22">
        <v>51</v>
      </c>
      <c r="AA135" s="22">
        <v>173</v>
      </c>
      <c r="AB135" s="22">
        <v>92</v>
      </c>
      <c r="AC135" s="22">
        <v>204</v>
      </c>
      <c r="AD135" s="22">
        <v>180</v>
      </c>
      <c r="AE135" s="22">
        <v>95</v>
      </c>
      <c r="AF135" s="22">
        <v>144</v>
      </c>
      <c r="AG135" s="22">
        <v>64</v>
      </c>
      <c r="AH135" s="22">
        <v>86</v>
      </c>
      <c r="AI135" s="22">
        <f>SUM(E135:AH135)</f>
        <v>4471</v>
      </c>
    </row>
    <row r="136" spans="1:40" x14ac:dyDescent="0.3">
      <c r="A136" s="346"/>
      <c r="B136" s="127" t="s">
        <v>40</v>
      </c>
      <c r="C136" s="10" t="s">
        <v>36</v>
      </c>
      <c r="E136" s="22">
        <v>53</v>
      </c>
      <c r="F136" s="22">
        <v>68</v>
      </c>
      <c r="G136" s="22">
        <v>91</v>
      </c>
      <c r="H136" s="22">
        <v>143</v>
      </c>
      <c r="I136" s="22">
        <v>66</v>
      </c>
      <c r="J136" s="22">
        <v>131</v>
      </c>
      <c r="K136" s="22">
        <v>65</v>
      </c>
      <c r="L136" s="22">
        <v>124</v>
      </c>
      <c r="M136" s="22">
        <v>80</v>
      </c>
      <c r="N136" s="22">
        <v>53</v>
      </c>
      <c r="O136" s="22">
        <v>100</v>
      </c>
      <c r="P136" s="22">
        <v>23</v>
      </c>
      <c r="Q136" s="22">
        <v>155</v>
      </c>
      <c r="R136" s="22">
        <v>56</v>
      </c>
      <c r="S136" s="22">
        <v>115</v>
      </c>
      <c r="T136" s="22">
        <v>32</v>
      </c>
      <c r="U136" s="22">
        <v>97</v>
      </c>
      <c r="V136" s="22">
        <v>71</v>
      </c>
      <c r="W136" s="22">
        <v>53</v>
      </c>
      <c r="X136" s="22">
        <v>49</v>
      </c>
      <c r="Y136" s="22">
        <v>38</v>
      </c>
      <c r="Z136" s="22">
        <v>19</v>
      </c>
      <c r="AA136" s="22">
        <v>97</v>
      </c>
      <c r="AB136" s="22">
        <v>56</v>
      </c>
      <c r="AC136" s="22">
        <v>109</v>
      </c>
      <c r="AD136" s="22">
        <v>78</v>
      </c>
      <c r="AE136" s="22">
        <v>51</v>
      </c>
      <c r="AF136" s="22">
        <v>72</v>
      </c>
      <c r="AG136" s="22">
        <v>31</v>
      </c>
      <c r="AH136" s="22">
        <v>52</v>
      </c>
      <c r="AI136" s="22">
        <f>SUM(E136:AH136)</f>
        <v>2228</v>
      </c>
      <c r="AJ136" s="90">
        <f>(SUM(AI135)+AI29)/SUM(AI96:AI100)</f>
        <v>3.2595242917257364E-2</v>
      </c>
      <c r="AK136" t="s">
        <v>262</v>
      </c>
    </row>
    <row r="137" spans="1:40" x14ac:dyDescent="0.3">
      <c r="A137" s="346" t="s">
        <v>118</v>
      </c>
      <c r="B137" s="127" t="s">
        <v>39</v>
      </c>
      <c r="C137" s="10" t="s">
        <v>36</v>
      </c>
      <c r="E137" s="22">
        <v>92</v>
      </c>
      <c r="F137" s="22">
        <v>341</v>
      </c>
      <c r="G137" s="22">
        <v>243</v>
      </c>
      <c r="H137" s="22">
        <v>337</v>
      </c>
      <c r="I137" s="22">
        <v>213</v>
      </c>
      <c r="J137" s="22">
        <v>175</v>
      </c>
      <c r="K137" s="22">
        <v>343</v>
      </c>
      <c r="L137" s="22">
        <v>387</v>
      </c>
      <c r="M137" s="22">
        <v>327</v>
      </c>
      <c r="N137" s="22">
        <v>264</v>
      </c>
      <c r="O137" s="22">
        <v>337</v>
      </c>
      <c r="P137" s="22">
        <v>246</v>
      </c>
      <c r="Q137" s="22">
        <v>284</v>
      </c>
      <c r="R137" s="22">
        <v>200</v>
      </c>
      <c r="S137" s="22">
        <v>197</v>
      </c>
      <c r="T137" s="22">
        <v>144</v>
      </c>
      <c r="U137" s="22">
        <v>176</v>
      </c>
      <c r="V137" s="22">
        <v>250</v>
      </c>
      <c r="W137" s="22">
        <v>299</v>
      </c>
      <c r="X137" s="22">
        <v>230</v>
      </c>
      <c r="Y137" s="22">
        <v>307</v>
      </c>
      <c r="Z137" s="22">
        <v>118</v>
      </c>
      <c r="AA137" s="22">
        <f>294-57</f>
        <v>237</v>
      </c>
      <c r="AB137" s="22">
        <f>222-44</f>
        <v>178</v>
      </c>
      <c r="AC137" s="22">
        <f>194-39</f>
        <v>155</v>
      </c>
      <c r="AD137" s="22">
        <f>289-58</f>
        <v>231</v>
      </c>
      <c r="AE137" s="22">
        <f>213-43</f>
        <v>170</v>
      </c>
      <c r="AF137" s="22">
        <f>297-59</f>
        <v>238</v>
      </c>
      <c r="AG137" s="22">
        <f>166-33</f>
        <v>133</v>
      </c>
      <c r="AH137" s="22">
        <f>221-44</f>
        <v>177</v>
      </c>
      <c r="AI137" s="22">
        <f>SUM(E137:AH137)</f>
        <v>7029</v>
      </c>
      <c r="AJ137" s="90">
        <f>(SUM(AI137)+AI30+AI28)/SUM(AI101:AI103)</f>
        <v>3.188561775404275E-2</v>
      </c>
      <c r="AK137" t="s">
        <v>263</v>
      </c>
    </row>
    <row r="138" spans="1:40" x14ac:dyDescent="0.3">
      <c r="A138" s="346"/>
      <c r="B138" s="127" t="s">
        <v>40</v>
      </c>
      <c r="C138" s="10" t="s">
        <v>36</v>
      </c>
      <c r="E138" s="22">
        <v>54</v>
      </c>
      <c r="F138" s="22">
        <v>201</v>
      </c>
      <c r="G138" s="22">
        <v>143</v>
      </c>
      <c r="H138" s="22">
        <v>198</v>
      </c>
      <c r="I138" s="22">
        <v>125</v>
      </c>
      <c r="J138" s="22">
        <v>103</v>
      </c>
      <c r="K138" s="22">
        <v>202</v>
      </c>
      <c r="L138" s="22">
        <v>227</v>
      </c>
      <c r="M138" s="22">
        <v>192</v>
      </c>
      <c r="N138" s="22">
        <v>155</v>
      </c>
      <c r="O138" s="22">
        <v>198</v>
      </c>
      <c r="P138" s="22">
        <v>149</v>
      </c>
      <c r="Q138" s="22">
        <v>172</v>
      </c>
      <c r="R138" s="22">
        <v>151</v>
      </c>
      <c r="S138" s="22">
        <v>149</v>
      </c>
      <c r="T138" s="22">
        <v>144</v>
      </c>
      <c r="U138" s="22">
        <v>176</v>
      </c>
      <c r="V138" s="22">
        <v>189</v>
      </c>
      <c r="W138" s="22">
        <v>227</v>
      </c>
      <c r="X138" s="22">
        <v>174</v>
      </c>
      <c r="Y138" s="22">
        <v>233</v>
      </c>
      <c r="Z138" s="22">
        <v>89</v>
      </c>
      <c r="AA138" s="22">
        <v>178</v>
      </c>
      <c r="AB138" s="22">
        <v>134</v>
      </c>
      <c r="AC138" s="22">
        <v>117</v>
      </c>
      <c r="AD138" s="22">
        <v>175</v>
      </c>
      <c r="AE138" s="22">
        <v>129</v>
      </c>
      <c r="AF138" s="22">
        <v>180</v>
      </c>
      <c r="AG138" s="22">
        <v>101</v>
      </c>
      <c r="AH138" s="22">
        <v>134</v>
      </c>
      <c r="AI138" s="22">
        <f>SUM(E138:AH138)</f>
        <v>4799</v>
      </c>
      <c r="AJ138" s="54">
        <f>AI138/(AI101+AI102)</f>
        <v>1.99920015330395E-2</v>
      </c>
    </row>
    <row r="140" spans="1:40" x14ac:dyDescent="0.3">
      <c r="A140" s="347" t="s">
        <v>117</v>
      </c>
      <c r="B140" s="127" t="s">
        <v>119</v>
      </c>
      <c r="C140" s="10" t="s">
        <v>36</v>
      </c>
      <c r="E140" s="3">
        <v>148</v>
      </c>
      <c r="F140" s="3">
        <v>228</v>
      </c>
      <c r="G140" s="3">
        <v>106</v>
      </c>
      <c r="H140" s="3">
        <v>546</v>
      </c>
      <c r="I140" s="3">
        <v>192</v>
      </c>
      <c r="J140" s="3">
        <v>357</v>
      </c>
      <c r="K140" s="3">
        <v>342</v>
      </c>
      <c r="L140" s="3">
        <v>626</v>
      </c>
      <c r="M140" s="2">
        <v>408</v>
      </c>
      <c r="N140" s="3">
        <v>100</v>
      </c>
      <c r="O140" s="3">
        <v>170</v>
      </c>
      <c r="P140" s="3">
        <v>50</v>
      </c>
      <c r="Q140" s="3">
        <v>500</v>
      </c>
      <c r="R140" s="3">
        <v>100</v>
      </c>
      <c r="S140" s="3">
        <v>540</v>
      </c>
      <c r="T140" s="3">
        <v>141</v>
      </c>
      <c r="U140" s="3">
        <v>470</v>
      </c>
      <c r="V140" s="3">
        <v>390</v>
      </c>
      <c r="W140" s="3">
        <v>289</v>
      </c>
      <c r="X140" s="3">
        <v>250</v>
      </c>
      <c r="Y140" s="3">
        <v>210</v>
      </c>
      <c r="Z140" s="3">
        <v>241</v>
      </c>
      <c r="AA140" s="3">
        <v>141</v>
      </c>
      <c r="AB140" s="3">
        <v>250</v>
      </c>
      <c r="AC140" s="3">
        <v>100</v>
      </c>
      <c r="AD140" s="3">
        <v>100</v>
      </c>
      <c r="AE140" s="3">
        <v>100</v>
      </c>
      <c r="AF140" s="3">
        <v>470</v>
      </c>
      <c r="AG140" s="3">
        <v>375</v>
      </c>
      <c r="AH140" s="3">
        <v>225</v>
      </c>
      <c r="AI140" s="22">
        <f>SUM(E140:AH140)</f>
        <v>8165</v>
      </c>
      <c r="AJ140" s="54">
        <f>AI140/AJ96</f>
        <v>9.2181766864239345E-2</v>
      </c>
      <c r="AK140" t="s">
        <v>264</v>
      </c>
      <c r="AM140" s="12">
        <f>(AM141*AI140+AM142*AI141)/(AI140+AI141)</f>
        <v>252.62290724245673</v>
      </c>
    </row>
    <row r="141" spans="1:40" x14ac:dyDescent="0.3">
      <c r="A141" s="347"/>
      <c r="B141" s="127" t="s">
        <v>120</v>
      </c>
      <c r="C141" s="10" t="s">
        <v>36</v>
      </c>
      <c r="E141" s="3">
        <f>E107+E109+E110-E140</f>
        <v>1021</v>
      </c>
      <c r="F141" s="3">
        <f>F108+F107-F140</f>
        <v>877</v>
      </c>
      <c r="G141" s="3">
        <v>1681</v>
      </c>
      <c r="H141" s="3">
        <f t="shared" ref="H141:N141" si="64">H108+H107+H109+H110-H140</f>
        <v>2195</v>
      </c>
      <c r="I141" s="3">
        <v>1076</v>
      </c>
      <c r="J141" s="3">
        <f t="shared" si="64"/>
        <v>2136</v>
      </c>
      <c r="K141" s="3">
        <v>864</v>
      </c>
      <c r="L141" s="3">
        <f t="shared" si="64"/>
        <v>1784</v>
      </c>
      <c r="M141" s="3">
        <f t="shared" si="64"/>
        <v>1175</v>
      </c>
      <c r="N141" s="3">
        <f t="shared" si="64"/>
        <v>1181</v>
      </c>
      <c r="O141" s="3">
        <v>1543</v>
      </c>
      <c r="P141" s="3">
        <f t="shared" ref="P141:Y141" si="65">P108+P107+P109+P110-P140</f>
        <v>343</v>
      </c>
      <c r="Q141" s="3">
        <f t="shared" si="65"/>
        <v>2449</v>
      </c>
      <c r="R141" s="3">
        <f t="shared" si="65"/>
        <v>1196</v>
      </c>
      <c r="S141" s="3">
        <f t="shared" si="65"/>
        <v>1651</v>
      </c>
      <c r="T141" s="3">
        <f t="shared" si="65"/>
        <v>396</v>
      </c>
      <c r="U141" s="3">
        <f t="shared" si="65"/>
        <v>1328</v>
      </c>
      <c r="V141" s="3">
        <f t="shared" si="65"/>
        <v>1181</v>
      </c>
      <c r="W141" s="3">
        <f t="shared" si="65"/>
        <v>952</v>
      </c>
      <c r="X141" s="3">
        <f t="shared" si="65"/>
        <v>695</v>
      </c>
      <c r="Y141" s="3">
        <f t="shared" si="65"/>
        <v>594</v>
      </c>
      <c r="Z141" s="3">
        <f>Z108+Z107+Z109+Z110-Z140</f>
        <v>192</v>
      </c>
      <c r="AA141" s="3">
        <v>1501</v>
      </c>
      <c r="AB141" s="3">
        <f t="shared" ref="AB141:AH141" si="66">AB107+AB108+AB109+AB110-AB140</f>
        <v>635</v>
      </c>
      <c r="AC141" s="3">
        <f t="shared" si="66"/>
        <v>1872</v>
      </c>
      <c r="AD141" s="3">
        <f t="shared" si="66"/>
        <v>1573</v>
      </c>
      <c r="AE141" s="3">
        <f t="shared" si="66"/>
        <v>832</v>
      </c>
      <c r="AF141" s="3">
        <f t="shared" si="66"/>
        <v>951</v>
      </c>
      <c r="AG141" s="3">
        <f t="shared" si="66"/>
        <v>239</v>
      </c>
      <c r="AH141" s="3">
        <f t="shared" si="66"/>
        <v>608</v>
      </c>
      <c r="AI141" s="22">
        <f>SUM(E141:AH141)</f>
        <v>34721</v>
      </c>
      <c r="AJ141" s="222">
        <f>AI141/(SUM(AI96:AI97))</f>
        <v>0.39199548405306239</v>
      </c>
      <c r="AL141">
        <f>AI140+AI142</f>
        <v>28058</v>
      </c>
      <c r="AM141">
        <v>217</v>
      </c>
      <c r="AN141">
        <f>(AM141*AL141+AM142*AL142)/(AL141+AL142)</f>
        <v>250.63354073775517</v>
      </c>
    </row>
    <row r="142" spans="1:40" x14ac:dyDescent="0.3">
      <c r="A142" s="347" t="s">
        <v>118</v>
      </c>
      <c r="B142" s="127" t="s">
        <v>119</v>
      </c>
      <c r="C142" s="10" t="s">
        <v>36</v>
      </c>
      <c r="E142" s="3">
        <v>272</v>
      </c>
      <c r="F142" s="3">
        <v>1008</v>
      </c>
      <c r="G142" s="3">
        <v>727</v>
      </c>
      <c r="H142" s="3">
        <v>342</v>
      </c>
      <c r="I142" s="3">
        <v>552</v>
      </c>
      <c r="J142" s="3">
        <v>536</v>
      </c>
      <c r="K142" s="3">
        <v>606</v>
      </c>
      <c r="L142" s="3">
        <v>720</v>
      </c>
      <c r="M142" s="2">
        <v>788</v>
      </c>
      <c r="N142" s="3">
        <v>200</v>
      </c>
      <c r="O142" s="3">
        <v>757</v>
      </c>
      <c r="P142" s="3">
        <v>585</v>
      </c>
      <c r="Q142" s="3">
        <v>594</v>
      </c>
      <c r="R142" s="3">
        <v>478</v>
      </c>
      <c r="S142" s="3">
        <v>833</v>
      </c>
      <c r="T142" s="3">
        <v>824</v>
      </c>
      <c r="U142" s="3">
        <v>920</v>
      </c>
      <c r="V142" s="3">
        <v>855</v>
      </c>
      <c r="W142" s="3">
        <v>810</v>
      </c>
      <c r="X142" s="3">
        <v>759</v>
      </c>
      <c r="Y142" s="3">
        <v>1000</v>
      </c>
      <c r="Z142" s="3">
        <v>579</v>
      </c>
      <c r="AA142" s="3">
        <v>610</v>
      </c>
      <c r="AB142" s="3">
        <v>0</v>
      </c>
      <c r="AC142" s="3">
        <v>835</v>
      </c>
      <c r="AD142" s="3">
        <v>1075</v>
      </c>
      <c r="AE142" s="3">
        <v>685</v>
      </c>
      <c r="AF142" s="3">
        <v>770</v>
      </c>
      <c r="AG142" s="3">
        <v>610</v>
      </c>
      <c r="AH142" s="3">
        <v>563</v>
      </c>
      <c r="AI142" s="22">
        <f>SUM(E142:AH142)</f>
        <v>19893</v>
      </c>
      <c r="AJ142" s="54">
        <f>AI142/(AJ101)</f>
        <v>8.2871616273547569E-2</v>
      </c>
      <c r="AK142" t="s">
        <v>265</v>
      </c>
      <c r="AL142">
        <f>AI141+AI143</f>
        <v>91033</v>
      </c>
      <c r="AM142">
        <v>261</v>
      </c>
      <c r="AN142" s="54">
        <f>AL141/AK33</f>
        <v>7.5081013532136476E-2</v>
      </c>
    </row>
    <row r="143" spans="1:40" x14ac:dyDescent="0.3">
      <c r="A143" s="347"/>
      <c r="B143" s="127" t="s">
        <v>120</v>
      </c>
      <c r="C143" s="10" t="s">
        <v>36</v>
      </c>
      <c r="E143" s="3">
        <f>E111-E142</f>
        <v>634</v>
      </c>
      <c r="F143" s="3">
        <f t="shared" ref="F143:Z143" si="67">F111+F112-F142</f>
        <v>2261</v>
      </c>
      <c r="G143" s="3">
        <f>G111+G112-G142</f>
        <v>1632</v>
      </c>
      <c r="H143" s="3">
        <f t="shared" si="67"/>
        <v>2743</v>
      </c>
      <c r="I143" s="3">
        <v>1421</v>
      </c>
      <c r="J143" s="3">
        <f t="shared" si="67"/>
        <v>1195</v>
      </c>
      <c r="K143" s="3">
        <v>2740</v>
      </c>
      <c r="L143" s="3">
        <f t="shared" si="67"/>
        <v>2986</v>
      </c>
      <c r="M143" s="3">
        <f t="shared" si="67"/>
        <v>2347</v>
      </c>
      <c r="N143" s="3">
        <f t="shared" si="67"/>
        <v>2409</v>
      </c>
      <c r="O143" s="3">
        <v>2550</v>
      </c>
      <c r="P143" s="3">
        <f t="shared" si="67"/>
        <v>1881</v>
      </c>
      <c r="Q143" s="3">
        <f t="shared" si="67"/>
        <v>2033</v>
      </c>
      <c r="R143" s="3">
        <f t="shared" si="67"/>
        <v>2047</v>
      </c>
      <c r="S143" s="3">
        <f t="shared" si="67"/>
        <v>1591</v>
      </c>
      <c r="T143" s="3">
        <f t="shared" si="67"/>
        <v>1521</v>
      </c>
      <c r="U143" s="3">
        <f t="shared" si="67"/>
        <v>1896</v>
      </c>
      <c r="V143" s="3">
        <f t="shared" si="67"/>
        <v>2045</v>
      </c>
      <c r="W143" s="3">
        <f t="shared" si="67"/>
        <v>2592</v>
      </c>
      <c r="X143" s="3">
        <f t="shared" si="67"/>
        <v>1819</v>
      </c>
      <c r="Y143" s="3">
        <f t="shared" si="67"/>
        <v>2488</v>
      </c>
      <c r="Z143" s="3">
        <f t="shared" si="67"/>
        <v>881</v>
      </c>
      <c r="AA143" s="3">
        <v>2205</v>
      </c>
      <c r="AB143" s="3">
        <f t="shared" ref="AB143:AH143" si="68">AB111+AB112-AB142</f>
        <v>2053</v>
      </c>
      <c r="AC143" s="3">
        <f t="shared" si="68"/>
        <v>933</v>
      </c>
      <c r="AD143" s="3">
        <f t="shared" si="68"/>
        <v>1592</v>
      </c>
      <c r="AE143" s="3">
        <f t="shared" si="68"/>
        <v>1403</v>
      </c>
      <c r="AF143" s="3">
        <f t="shared" si="68"/>
        <v>2009</v>
      </c>
      <c r="AG143" s="3">
        <f t="shared" si="68"/>
        <v>975</v>
      </c>
      <c r="AH143" s="3">
        <f t="shared" si="68"/>
        <v>1430</v>
      </c>
      <c r="AI143" s="22">
        <f>SUM(E143:AH143)</f>
        <v>56312</v>
      </c>
      <c r="AM143" s="12">
        <f>(AM141*AI142+AM142*AI143)/(AI142+AI143)</f>
        <v>249.51398202217703</v>
      </c>
      <c r="AN143" s="54">
        <f>AL142/AK33</f>
        <v>0.24359718814138501</v>
      </c>
    </row>
    <row r="144" spans="1:40" x14ac:dyDescent="0.3">
      <c r="A144" s="2"/>
      <c r="B144" s="128"/>
      <c r="C144" s="129"/>
      <c r="P144" s="130"/>
      <c r="Q144" s="130"/>
      <c r="R144" s="130"/>
      <c r="S144" s="130"/>
      <c r="T144" s="130"/>
      <c r="U144" s="130"/>
      <c r="V144" s="130"/>
      <c r="AJ144" s="54">
        <f>AJ140*AJ98</f>
        <v>6.1089205952550185E-2</v>
      </c>
    </row>
    <row r="145" spans="1:36" x14ac:dyDescent="0.3">
      <c r="B145" s="128" t="s">
        <v>121</v>
      </c>
      <c r="P145" s="130"/>
      <c r="Q145" s="130"/>
      <c r="R145" s="130"/>
      <c r="S145" s="130"/>
      <c r="T145" s="130"/>
      <c r="U145" s="130"/>
      <c r="V145" s="130"/>
      <c r="AJ145" s="54">
        <f>AJ142/AJ102</f>
        <v>0.10136432599297154</v>
      </c>
    </row>
    <row r="146" spans="1:36" x14ac:dyDescent="0.3">
      <c r="A146" s="24"/>
      <c r="B146" s="345" t="s">
        <v>122</v>
      </c>
      <c r="C146" s="10" t="s">
        <v>117</v>
      </c>
      <c r="D146" s="10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>
        <f>SUM(E146:AH146)</f>
        <v>0</v>
      </c>
    </row>
    <row r="147" spans="1:36" x14ac:dyDescent="0.3">
      <c r="A147" s="24"/>
      <c r="B147" s="345"/>
      <c r="C147" s="10" t="s">
        <v>118</v>
      </c>
      <c r="D147" s="10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>
        <f>SUM(E147:AH147)</f>
        <v>0</v>
      </c>
    </row>
    <row r="148" spans="1:36" x14ac:dyDescent="0.3">
      <c r="A148" s="24"/>
      <c r="B148" s="345" t="s">
        <v>123</v>
      </c>
      <c r="C148" s="10" t="s">
        <v>117</v>
      </c>
      <c r="D148" s="10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>
        <f>SUM(E148:AH148)</f>
        <v>0</v>
      </c>
    </row>
    <row r="149" spans="1:36" x14ac:dyDescent="0.3">
      <c r="A149" s="24"/>
      <c r="B149" s="345"/>
      <c r="C149" s="10" t="s">
        <v>118</v>
      </c>
      <c r="D149" s="10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>
        <f>SUM(E149:AH149)</f>
        <v>0</v>
      </c>
    </row>
    <row r="150" spans="1:36" x14ac:dyDescent="0.3">
      <c r="B150" s="275"/>
      <c r="M150" s="3"/>
    </row>
    <row r="151" spans="1:36" x14ac:dyDescent="0.3">
      <c r="B151" s="44" t="s">
        <v>256</v>
      </c>
      <c r="E151" s="84">
        <f>E43+E56</f>
        <v>10569617.5</v>
      </c>
      <c r="F151" s="84">
        <f t="shared" ref="F151:AH151" si="69">F43+F56</f>
        <v>11412923.800000001</v>
      </c>
      <c r="G151" s="84">
        <f t="shared" si="69"/>
        <v>11884881.399999999</v>
      </c>
      <c r="H151" s="84">
        <f t="shared" si="69"/>
        <v>11697426</v>
      </c>
      <c r="I151" s="84">
        <f t="shared" si="69"/>
        <v>11925368</v>
      </c>
      <c r="J151" s="84">
        <f t="shared" si="69"/>
        <v>12168125.800000001</v>
      </c>
      <c r="K151" s="84">
        <f t="shared" si="69"/>
        <v>11880388.800000001</v>
      </c>
      <c r="L151" s="84">
        <f t="shared" si="69"/>
        <v>11956444.800000001</v>
      </c>
      <c r="M151" s="84">
        <f t="shared" si="69"/>
        <v>12056460</v>
      </c>
      <c r="N151" s="84">
        <f t="shared" si="69"/>
        <v>11827898.199999999</v>
      </c>
      <c r="O151" s="84">
        <f t="shared" si="69"/>
        <v>11968242</v>
      </c>
      <c r="P151" s="84">
        <f t="shared" si="69"/>
        <v>11300136.4</v>
      </c>
      <c r="Q151" s="84">
        <f t="shared" si="69"/>
        <v>11509594.800000001</v>
      </c>
      <c r="R151" s="84">
        <f t="shared" si="69"/>
        <v>11663975.399999999</v>
      </c>
      <c r="S151" s="84">
        <f t="shared" si="69"/>
        <v>11623971</v>
      </c>
      <c r="T151" s="84">
        <f t="shared" si="69"/>
        <v>11533284.300000001</v>
      </c>
      <c r="U151" s="84">
        <f t="shared" si="69"/>
        <v>11697141.5</v>
      </c>
      <c r="V151" s="84">
        <f t="shared" si="69"/>
        <v>10511448</v>
      </c>
      <c r="W151" s="84">
        <f>W43+W56</f>
        <v>5334582</v>
      </c>
      <c r="X151" s="84">
        <f t="shared" si="69"/>
        <v>7812413</v>
      </c>
      <c r="Y151" s="84">
        <f t="shared" si="69"/>
        <v>12085800.5</v>
      </c>
      <c r="Z151" s="84">
        <f t="shared" si="69"/>
        <v>12250115.399999999</v>
      </c>
      <c r="AA151" s="84">
        <f t="shared" si="69"/>
        <v>12136102.6</v>
      </c>
      <c r="AB151" s="84">
        <f t="shared" si="69"/>
        <v>12215331</v>
      </c>
      <c r="AC151" s="84">
        <f t="shared" si="69"/>
        <v>12039105</v>
      </c>
      <c r="AD151" s="84">
        <f t="shared" si="69"/>
        <v>11955768</v>
      </c>
      <c r="AE151" s="84">
        <f t="shared" si="69"/>
        <v>12015895</v>
      </c>
      <c r="AF151" s="84">
        <f t="shared" si="69"/>
        <v>11527768</v>
      </c>
      <c r="AG151" s="84">
        <f t="shared" si="69"/>
        <v>12030763</v>
      </c>
      <c r="AH151" s="84">
        <f t="shared" si="69"/>
        <v>12205236</v>
      </c>
      <c r="AI151" s="84">
        <f>AI43+AI56</f>
        <v>342796207.19999999</v>
      </c>
      <c r="AJ151" s="285">
        <f>AI151/(AI89+AI90)</f>
        <v>730.93681036798853</v>
      </c>
    </row>
    <row r="152" spans="1:36" x14ac:dyDescent="0.3">
      <c r="B152" s="44" t="s">
        <v>250</v>
      </c>
      <c r="E152" s="276">
        <f>(E48+E61)/E151</f>
        <v>0.25641819110294201</v>
      </c>
      <c r="F152" s="276">
        <f t="shared" ref="F152:AI152" si="70">(F48+F61)/F151</f>
        <v>0.26095183847630699</v>
      </c>
      <c r="G152" s="276">
        <f t="shared" si="70"/>
        <v>0.2435798024875537</v>
      </c>
      <c r="H152" s="276">
        <f t="shared" si="70"/>
        <v>0.26290001338756064</v>
      </c>
      <c r="I152" s="276">
        <f t="shared" si="70"/>
        <v>0.258825346102527</v>
      </c>
      <c r="J152" s="276">
        <f t="shared" si="70"/>
        <v>0.27041814705761841</v>
      </c>
      <c r="K152" s="276">
        <f t="shared" si="70"/>
        <v>0.26446578179326929</v>
      </c>
      <c r="L152" s="276">
        <f t="shared" si="70"/>
        <v>0.26111931633724433</v>
      </c>
      <c r="M152" s="276">
        <f t="shared" si="70"/>
        <v>0.26482496122410726</v>
      </c>
      <c r="N152" s="276">
        <f t="shared" si="70"/>
        <v>0.25510941681929594</v>
      </c>
      <c r="O152" s="276">
        <f t="shared" si="70"/>
        <v>0.27245015700718622</v>
      </c>
      <c r="P152" s="276">
        <f t="shared" si="70"/>
        <v>0.2775268125082101</v>
      </c>
      <c r="Q152" s="276">
        <f t="shared" si="70"/>
        <v>0.28415278876715977</v>
      </c>
      <c r="R152" s="276">
        <f t="shared" si="70"/>
        <v>0.27303479017968441</v>
      </c>
      <c r="S152" s="276">
        <f t="shared" si="70"/>
        <v>0.25991919732077795</v>
      </c>
      <c r="T152" s="276">
        <f t="shared" si="70"/>
        <v>0.35281179429522946</v>
      </c>
      <c r="U152" s="276">
        <f t="shared" si="70"/>
        <v>0.33208765919434252</v>
      </c>
      <c r="V152" s="276">
        <f t="shared" si="70"/>
        <v>0.34306044647702205</v>
      </c>
      <c r="W152" s="276">
        <f t="shared" si="70"/>
        <v>0.3680227796667106</v>
      </c>
      <c r="X152" s="276">
        <f t="shared" si="70"/>
        <v>0.35950847452637236</v>
      </c>
      <c r="Y152" s="276">
        <f t="shared" si="70"/>
        <v>0.33382600018923037</v>
      </c>
      <c r="Z152" s="276">
        <f t="shared" si="70"/>
        <v>0.34767934251460197</v>
      </c>
      <c r="AA152" s="276">
        <f t="shared" si="70"/>
        <v>0.33727613476174806</v>
      </c>
      <c r="AB152" s="276">
        <f t="shared" si="70"/>
        <v>0.35047638086925359</v>
      </c>
      <c r="AC152" s="276">
        <f t="shared" si="70"/>
        <v>0.34388104431351002</v>
      </c>
      <c r="AD152" s="276">
        <f t="shared" si="70"/>
        <v>0.34478922642192456</v>
      </c>
      <c r="AE152" s="276">
        <f t="shared" si="70"/>
        <v>0.33192658557685467</v>
      </c>
      <c r="AF152" s="276">
        <f t="shared" si="70"/>
        <v>0.32414947976052261</v>
      </c>
      <c r="AG152" s="276">
        <f t="shared" si="70"/>
        <v>0.32372385691580824</v>
      </c>
      <c r="AH152" s="276">
        <f t="shared" si="70"/>
        <v>0.33093616542932885</v>
      </c>
      <c r="AI152" s="276">
        <f t="shared" si="70"/>
        <v>0.30135685011161351</v>
      </c>
    </row>
    <row r="153" spans="1:36" x14ac:dyDescent="0.3">
      <c r="B153" s="44" t="s">
        <v>251</v>
      </c>
      <c r="E153" s="276">
        <f>(E52+E65)/E151</f>
        <v>0.27925780663302152</v>
      </c>
      <c r="F153" s="276">
        <f t="shared" ref="F153:AH153" si="71">(F52+F65)/F151</f>
        <v>0.37404733430359011</v>
      </c>
      <c r="G153" s="276">
        <f t="shared" si="71"/>
        <v>0.32619299373067373</v>
      </c>
      <c r="H153" s="276">
        <f t="shared" si="71"/>
        <v>0.35555269509719489</v>
      </c>
      <c r="I153" s="276">
        <f t="shared" si="71"/>
        <v>0.38863126739568965</v>
      </c>
      <c r="J153" s="276">
        <f t="shared" si="71"/>
        <v>0.34681854226063313</v>
      </c>
      <c r="K153" s="276">
        <f t="shared" si="71"/>
        <v>0.35374765613731435</v>
      </c>
      <c r="L153" s="276">
        <f t="shared" si="71"/>
        <v>0.34886227618430521</v>
      </c>
      <c r="M153" s="276">
        <f t="shared" si="71"/>
        <v>0.35415105495311228</v>
      </c>
      <c r="N153" s="276">
        <f t="shared" si="71"/>
        <v>0.35915361530588763</v>
      </c>
      <c r="O153" s="276">
        <f t="shared" si="71"/>
        <v>0.27531368399803413</v>
      </c>
      <c r="P153" s="276">
        <f t="shared" si="71"/>
        <v>0.27728271987938125</v>
      </c>
      <c r="Q153" s="276">
        <f t="shared" si="71"/>
        <v>0.27633785995663374</v>
      </c>
      <c r="R153" s="276">
        <f t="shared" si="71"/>
        <v>0.28919502865206664</v>
      </c>
      <c r="S153" s="276">
        <f t="shared" si="71"/>
        <v>0.30069840573415063</v>
      </c>
      <c r="T153" s="276">
        <f t="shared" si="71"/>
        <v>0.28984942649857337</v>
      </c>
      <c r="U153" s="276">
        <f t="shared" si="71"/>
        <v>0.276582341762729</v>
      </c>
      <c r="V153" s="276">
        <f t="shared" si="71"/>
        <v>0.29961948572641944</v>
      </c>
      <c r="W153" s="276">
        <f t="shared" si="71"/>
        <v>0.48047618726265717</v>
      </c>
      <c r="X153" s="276">
        <f t="shared" si="71"/>
        <v>0.33407474233633067</v>
      </c>
      <c r="Y153" s="276">
        <f t="shared" si="71"/>
        <v>0.29923232739113975</v>
      </c>
      <c r="Z153" s="276">
        <f t="shared" si="71"/>
        <v>0.26213133698316021</v>
      </c>
      <c r="AA153" s="276">
        <f t="shared" si="71"/>
        <v>0.26069941827947307</v>
      </c>
      <c r="AB153" s="276">
        <f t="shared" si="71"/>
        <v>0.27629378196955939</v>
      </c>
      <c r="AC153" s="276">
        <f t="shared" si="71"/>
        <v>0.26867894249614072</v>
      </c>
      <c r="AD153" s="276">
        <f t="shared" si="71"/>
        <v>0.27654902637789558</v>
      </c>
      <c r="AE153" s="276">
        <f t="shared" si="71"/>
        <v>0.26567975169556657</v>
      </c>
      <c r="AF153" s="276">
        <f t="shared" si="71"/>
        <v>0.25210882106579524</v>
      </c>
      <c r="AG153" s="276">
        <f t="shared" si="71"/>
        <v>0.26224620998684789</v>
      </c>
      <c r="AH153" s="276">
        <f t="shared" si="71"/>
        <v>0.28433042998922758</v>
      </c>
      <c r="AI153" s="276">
        <f>(AI52+AI65)/AI151</f>
        <v>0.30634026187673646</v>
      </c>
    </row>
    <row r="154" spans="1:36" x14ac:dyDescent="0.3">
      <c r="B154" s="44" t="s">
        <v>252</v>
      </c>
      <c r="E154" s="276">
        <f>E57/E151</f>
        <v>0.1317489417190357</v>
      </c>
      <c r="F154" s="276">
        <f t="shared" ref="F154:AI154" si="72">F57/F151</f>
        <v>0.1052632980866831</v>
      </c>
      <c r="G154" s="276">
        <f t="shared" si="72"/>
        <v>0.11569166857651605</v>
      </c>
      <c r="H154" s="276">
        <f t="shared" si="72"/>
        <v>0.12042974924568876</v>
      </c>
      <c r="I154" s="276">
        <f t="shared" si="72"/>
        <v>6.1710075529744654E-2</v>
      </c>
      <c r="J154" s="276">
        <f t="shared" si="72"/>
        <v>6.8410232905383006E-2</v>
      </c>
      <c r="K154" s="276">
        <f t="shared" si="72"/>
        <v>6.6740149110271541E-2</v>
      </c>
      <c r="L154" s="276">
        <f t="shared" si="72"/>
        <v>6.5563790333394087E-2</v>
      </c>
      <c r="M154" s="276">
        <f t="shared" si="72"/>
        <v>6.6305366583557693E-2</v>
      </c>
      <c r="N154" s="276">
        <f t="shared" si="72"/>
        <v>6.4287634805649585E-2</v>
      </c>
      <c r="O154" s="276">
        <f t="shared" si="72"/>
        <v>6.8172598782678367E-2</v>
      </c>
      <c r="P154" s="276">
        <f t="shared" si="72"/>
        <v>7.3710996975222348E-2</v>
      </c>
      <c r="Q154" s="276">
        <f t="shared" si="72"/>
        <v>7.0238100823497268E-2</v>
      </c>
      <c r="R154" s="276">
        <f t="shared" si="72"/>
        <v>7.1322537254322402E-2</v>
      </c>
      <c r="S154" s="276">
        <f t="shared" si="72"/>
        <v>6.4038308423171389E-2</v>
      </c>
      <c r="T154" s="276">
        <f t="shared" si="72"/>
        <v>7.077898530603291E-2</v>
      </c>
      <c r="U154" s="276">
        <f t="shared" si="72"/>
        <v>6.7701063546166396E-2</v>
      </c>
      <c r="V154" s="276">
        <f t="shared" si="72"/>
        <v>7.8430701459970123E-2</v>
      </c>
      <c r="W154" s="276">
        <f t="shared" si="72"/>
        <v>0.15163645061599954</v>
      </c>
      <c r="X154" s="276">
        <f t="shared" si="72"/>
        <v>8.8109893831777711E-2</v>
      </c>
      <c r="Y154" s="276">
        <f t="shared" si="72"/>
        <v>5.9567192094557575E-2</v>
      </c>
      <c r="Z154" s="276">
        <f t="shared" si="72"/>
        <v>6.6645589314203529E-2</v>
      </c>
      <c r="AA154" s="276">
        <f t="shared" si="72"/>
        <v>6.7973654079028639E-2</v>
      </c>
      <c r="AB154" s="276">
        <f t="shared" si="72"/>
        <v>6.7489943579916084E-2</v>
      </c>
      <c r="AC154" s="276">
        <f t="shared" si="72"/>
        <v>6.852062507968823E-2</v>
      </c>
      <c r="AD154" s="276">
        <f t="shared" si="72"/>
        <v>6.552586165940992E-2</v>
      </c>
      <c r="AE154" s="276">
        <f t="shared" si="72"/>
        <v>6.594564949177735E-2</v>
      </c>
      <c r="AF154" s="276">
        <f t="shared" si="72"/>
        <v>6.245007706608946E-2</v>
      </c>
      <c r="AG154" s="276">
        <f t="shared" si="72"/>
        <v>6.7860035144903116E-2</v>
      </c>
      <c r="AH154" s="276">
        <f t="shared" si="72"/>
        <v>6.4258814823408575E-2</v>
      </c>
      <c r="AI154" s="276">
        <f t="shared" si="72"/>
        <v>7.5709784574302594E-2</v>
      </c>
    </row>
    <row r="155" spans="1:36" x14ac:dyDescent="0.3">
      <c r="B155" s="44" t="s">
        <v>253</v>
      </c>
      <c r="E155" s="276">
        <f>E44/E151</f>
        <v>0.30910548446999148</v>
      </c>
      <c r="F155" s="276">
        <f t="shared" ref="F155:AI155" si="73">F44/F151</f>
        <v>0.19722959233286039</v>
      </c>
      <c r="G155" s="276">
        <f t="shared" si="73"/>
        <v>0.22942080892788716</v>
      </c>
      <c r="H155" s="276">
        <f t="shared" si="73"/>
        <v>0.26087673380451387</v>
      </c>
      <c r="I155" s="276">
        <f t="shared" si="73"/>
        <v>0.24287759307721152</v>
      </c>
      <c r="J155" s="276">
        <f t="shared" si="73"/>
        <v>0.23618926898339596</v>
      </c>
      <c r="K155" s="276">
        <f t="shared" si="73"/>
        <v>0.23021511588913654</v>
      </c>
      <c r="L155" s="276">
        <f t="shared" si="73"/>
        <v>0.22860893268206281</v>
      </c>
      <c r="M155" s="276">
        <f t="shared" si="73"/>
        <v>0.23258708615961898</v>
      </c>
      <c r="N155" s="276">
        <f t="shared" si="73"/>
        <v>0.22509774965766952</v>
      </c>
      <c r="O155" s="276">
        <f t="shared" si="73"/>
        <v>0.28816389815647109</v>
      </c>
      <c r="P155" s="276">
        <f t="shared" si="73"/>
        <v>0.26510373903097312</v>
      </c>
      <c r="Q155" s="276">
        <f t="shared" si="73"/>
        <v>0.30347055713898807</v>
      </c>
      <c r="R155" s="276">
        <f t="shared" si="73"/>
        <v>0.26892735421921415</v>
      </c>
      <c r="S155" s="276">
        <f t="shared" si="73"/>
        <v>0.2776324751670492</v>
      </c>
      <c r="T155" s="276">
        <f t="shared" si="73"/>
        <v>0.22091725889389544</v>
      </c>
      <c r="U155" s="276">
        <f t="shared" si="73"/>
        <v>0.20485260789569826</v>
      </c>
      <c r="V155" s="276">
        <f t="shared" si="73"/>
        <v>0.18639715886907302</v>
      </c>
      <c r="W155" s="276">
        <f t="shared" si="73"/>
        <v>0</v>
      </c>
      <c r="X155" s="276">
        <f t="shared" si="73"/>
        <v>0.17534358872220399</v>
      </c>
      <c r="Y155" s="276">
        <f t="shared" si="73"/>
        <v>0.22921319795076878</v>
      </c>
      <c r="Z155" s="276">
        <f t="shared" si="73"/>
        <v>0.2266552494680989</v>
      </c>
      <c r="AA155" s="276">
        <f t="shared" si="73"/>
        <v>0.20876047751936441</v>
      </c>
      <c r="AB155" s="276">
        <f t="shared" si="73"/>
        <v>0.22570276646617271</v>
      </c>
      <c r="AC155" s="276">
        <f t="shared" si="73"/>
        <v>0.21685374452669032</v>
      </c>
      <c r="AD155" s="276">
        <f t="shared" si="73"/>
        <v>0.22455203212374145</v>
      </c>
      <c r="AE155" s="276">
        <f t="shared" si="73"/>
        <v>0.20951073557150757</v>
      </c>
      <c r="AF155" s="276">
        <f t="shared" si="73"/>
        <v>0.20918186417353299</v>
      </c>
      <c r="AG155" s="276">
        <f t="shared" si="73"/>
        <v>0.19363443532218197</v>
      </c>
      <c r="AH155" s="276">
        <f t="shared" si="73"/>
        <v>0.22479581713946375</v>
      </c>
      <c r="AI155" s="276">
        <f t="shared" si="73"/>
        <v>0.22961498067006617</v>
      </c>
    </row>
    <row r="156" spans="1:36" x14ac:dyDescent="0.3">
      <c r="B156" s="44" t="s">
        <v>254</v>
      </c>
      <c r="E156" s="276">
        <f>((E118*E119)+(E122*E123))/E151</f>
        <v>0</v>
      </c>
      <c r="F156" s="276">
        <f t="shared" ref="F156:AI156" si="74">((F118*F119)+(F122*F123))/F151</f>
        <v>0</v>
      </c>
      <c r="G156" s="276">
        <f t="shared" si="74"/>
        <v>1.2529746405378519E-2</v>
      </c>
      <c r="H156" s="276">
        <f t="shared" si="74"/>
        <v>0</v>
      </c>
      <c r="I156" s="276">
        <f t="shared" si="74"/>
        <v>1.5225945228692314E-2</v>
      </c>
      <c r="J156" s="276">
        <f t="shared" si="74"/>
        <v>0</v>
      </c>
      <c r="K156" s="276">
        <f t="shared" si="74"/>
        <v>0</v>
      </c>
      <c r="L156" s="276">
        <f t="shared" si="74"/>
        <v>6.8259404333970587E-3</v>
      </c>
      <c r="M156" s="276">
        <f t="shared" si="74"/>
        <v>7.1193633952254644E-3</v>
      </c>
      <c r="N156" s="276">
        <f t="shared" si="74"/>
        <v>0</v>
      </c>
      <c r="O156" s="276">
        <f t="shared" si="74"/>
        <v>0</v>
      </c>
      <c r="P156" s="276">
        <f t="shared" si="74"/>
        <v>0</v>
      </c>
      <c r="Q156" s="276">
        <f t="shared" si="74"/>
        <v>6.0564078241920382E-3</v>
      </c>
      <c r="R156" s="276">
        <f t="shared" si="74"/>
        <v>0</v>
      </c>
      <c r="S156" s="276">
        <f t="shared" si="74"/>
        <v>0</v>
      </c>
      <c r="T156" s="276">
        <f t="shared" si="74"/>
        <v>4.1601593051859469E-3</v>
      </c>
      <c r="U156" s="276">
        <f t="shared" si="74"/>
        <v>5.1705367503676004E-3</v>
      </c>
      <c r="V156" s="276">
        <f t="shared" si="74"/>
        <v>7.2722483144092038E-3</v>
      </c>
      <c r="W156" s="276">
        <f t="shared" si="74"/>
        <v>0</v>
      </c>
      <c r="X156" s="276">
        <f t="shared" si="74"/>
        <v>0</v>
      </c>
      <c r="Y156" s="276">
        <f t="shared" si="74"/>
        <v>3.1984559069959829E-3</v>
      </c>
      <c r="Z156" s="276">
        <f t="shared" si="74"/>
        <v>2.3224607990223506E-3</v>
      </c>
      <c r="AA156" s="276">
        <f t="shared" si="74"/>
        <v>7.5261839002580613E-3</v>
      </c>
      <c r="AB156" s="276">
        <f t="shared" si="74"/>
        <v>0</v>
      </c>
      <c r="AC156" s="276">
        <f t="shared" si="74"/>
        <v>1.6282631474681879E-2</v>
      </c>
      <c r="AD156" s="276">
        <f t="shared" si="74"/>
        <v>1.9776462708209126E-3</v>
      </c>
      <c r="AE156" s="276">
        <f t="shared" si="74"/>
        <v>0</v>
      </c>
      <c r="AF156" s="276">
        <f t="shared" si="74"/>
        <v>0</v>
      </c>
      <c r="AG156" s="276">
        <f t="shared" si="74"/>
        <v>0</v>
      </c>
      <c r="AH156" s="276">
        <f t="shared" si="74"/>
        <v>4.130655892274431E-3</v>
      </c>
      <c r="AI156" s="276">
        <f t="shared" si="74"/>
        <v>3.4454301360193115E-3</v>
      </c>
    </row>
    <row r="157" spans="1:36" x14ac:dyDescent="0.3">
      <c r="B157" s="44" t="s">
        <v>255</v>
      </c>
      <c r="E157" s="276">
        <f>(E92*E94)/E151</f>
        <v>2.3550502182316437E-2</v>
      </c>
      <c r="F157" s="276">
        <f t="shared" ref="F157:AI157" si="75">(F92*F94)/F151</f>
        <v>6.2586205999202407E-2</v>
      </c>
      <c r="G157" s="276">
        <f t="shared" si="75"/>
        <v>7.2849527972571951E-2</v>
      </c>
      <c r="H157" s="276">
        <f t="shared" si="75"/>
        <v>0</v>
      </c>
      <c r="I157" s="276">
        <f t="shared" si="75"/>
        <v>3.2852497298196587E-2</v>
      </c>
      <c r="J157" s="276">
        <f t="shared" si="75"/>
        <v>7.7913375944880514E-2</v>
      </c>
      <c r="K157" s="276">
        <f t="shared" si="75"/>
        <v>8.5003195828869907E-2</v>
      </c>
      <c r="L157" s="276">
        <f t="shared" si="75"/>
        <v>8.9197701979103344E-2</v>
      </c>
      <c r="M157" s="276">
        <f t="shared" si="75"/>
        <v>7.530768733110714E-2</v>
      </c>
      <c r="N157" s="276">
        <f t="shared" si="75"/>
        <v>9.6268444380084375E-2</v>
      </c>
      <c r="O157" s="276">
        <f t="shared" si="75"/>
        <v>9.6122069055756071E-2</v>
      </c>
      <c r="P157" s="276">
        <f t="shared" si="75"/>
        <v>0.106346083751697</v>
      </c>
      <c r="Q157" s="276">
        <f t="shared" si="75"/>
        <v>5.9856939533614158E-2</v>
      </c>
      <c r="R157" s="276">
        <f t="shared" si="75"/>
        <v>9.7688502326573848E-2</v>
      </c>
      <c r="S157" s="276">
        <f t="shared" si="75"/>
        <v>9.7864299214098185E-2</v>
      </c>
      <c r="T157" s="276">
        <f t="shared" si="75"/>
        <v>6.1322086372222695E-2</v>
      </c>
      <c r="U157" s="276">
        <f t="shared" si="75"/>
        <v>0.11358683828865369</v>
      </c>
      <c r="V157" s="276">
        <f t="shared" si="75"/>
        <v>8.5367828675935037E-2</v>
      </c>
      <c r="W157" s="276">
        <f t="shared" si="75"/>
        <v>0</v>
      </c>
      <c r="X157" s="276">
        <f t="shared" si="75"/>
        <v>4.2898500117697309E-2</v>
      </c>
      <c r="Y157" s="276">
        <f t="shared" si="75"/>
        <v>7.516428721457051E-2</v>
      </c>
      <c r="Z157" s="276">
        <f t="shared" si="75"/>
        <v>9.4584986521841247E-2</v>
      </c>
      <c r="AA157" s="276">
        <f t="shared" si="75"/>
        <v>0.11792532670249509</v>
      </c>
      <c r="AB157" s="276">
        <f t="shared" si="75"/>
        <v>8.2152501639128725E-2</v>
      </c>
      <c r="AC157" s="276">
        <f t="shared" si="75"/>
        <v>8.5752553865092132E-2</v>
      </c>
      <c r="AD157" s="276">
        <f t="shared" si="75"/>
        <v>8.7297110482572091E-2</v>
      </c>
      <c r="AE157" s="276">
        <f t="shared" si="75"/>
        <v>0.12712328128699527</v>
      </c>
      <c r="AF157" s="276">
        <f t="shared" si="75"/>
        <v>0.153018780391833</v>
      </c>
      <c r="AG157" s="276">
        <f t="shared" si="75"/>
        <v>0.15257835267804709</v>
      </c>
      <c r="AH157" s="276">
        <f t="shared" si="75"/>
        <v>9.1201349977993049E-2</v>
      </c>
      <c r="AI157" s="276">
        <f t="shared" si="75"/>
        <v>8.3712556629738324E-2</v>
      </c>
    </row>
  </sheetData>
  <mergeCells count="6">
    <mergeCell ref="B148:B149"/>
    <mergeCell ref="A135:A136"/>
    <mergeCell ref="A137:A138"/>
    <mergeCell ref="A140:A141"/>
    <mergeCell ref="A142:A143"/>
    <mergeCell ref="B146:B147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C7836-2FAC-4942-971A-9430FF32E02A}">
  <dimension ref="A1:ZC157"/>
  <sheetViews>
    <sheetView zoomScale="88" zoomScaleNormal="100" workbookViewId="0">
      <pane xSplit="4" ySplit="2" topLeftCell="AC43" activePane="bottomRight" state="frozen"/>
      <selection activeCell="AI89" sqref="AI89"/>
      <selection pane="topRight" activeCell="AI89" sqref="AI89"/>
      <selection pane="bottomLeft" activeCell="AI89" sqref="AI89"/>
      <selection pane="bottomRight" activeCell="AK151" sqref="AK151"/>
    </sheetView>
  </sheetViews>
  <sheetFormatPr defaultColWidth="8.6640625" defaultRowHeight="14.4" x14ac:dyDescent="0.3"/>
  <cols>
    <col min="1" max="1" width="4" customWidth="1"/>
    <col min="2" max="2" width="35.6640625" customWidth="1"/>
    <col min="3" max="3" width="20" style="2" bestFit="1" customWidth="1"/>
    <col min="4" max="4" width="14.33203125" style="2" bestFit="1" customWidth="1"/>
    <col min="5" max="5" width="13.21875" style="3" bestFit="1" customWidth="1"/>
    <col min="6" max="12" width="11" style="3" bestFit="1" customWidth="1"/>
    <col min="13" max="13" width="11" style="2" bestFit="1" customWidth="1"/>
    <col min="14" max="26" width="11" style="3" bestFit="1" customWidth="1"/>
    <col min="27" max="29" width="10.6640625" style="3" customWidth="1"/>
    <col min="30" max="33" width="12.44140625" style="3" customWidth="1"/>
    <col min="34" max="35" width="13" style="3" customWidth="1"/>
    <col min="36" max="36" width="15" style="3" bestFit="1" customWidth="1"/>
    <col min="37" max="37" width="14.109375" bestFit="1" customWidth="1"/>
    <col min="38" max="38" width="16" customWidth="1"/>
  </cols>
  <sheetData>
    <row r="1" spans="1:253" ht="28.8" x14ac:dyDescent="0.55000000000000004">
      <c r="A1" s="1" t="s">
        <v>0</v>
      </c>
      <c r="N1"/>
      <c r="O1"/>
      <c r="P1"/>
      <c r="R1"/>
      <c r="S1"/>
      <c r="T1"/>
      <c r="U1"/>
    </row>
    <row r="2" spans="1:253" x14ac:dyDescent="0.3">
      <c r="A2" s="4" t="s">
        <v>1</v>
      </c>
      <c r="B2" s="5" t="s">
        <v>2</v>
      </c>
      <c r="C2" s="4" t="s">
        <v>3</v>
      </c>
      <c r="D2" s="4" t="s">
        <v>4</v>
      </c>
      <c r="E2" s="6">
        <v>45413</v>
      </c>
      <c r="F2" s="6">
        <v>45414</v>
      </c>
      <c r="G2" s="6">
        <v>45415</v>
      </c>
      <c r="H2" s="6">
        <v>45416</v>
      </c>
      <c r="I2" s="6">
        <v>45417</v>
      </c>
      <c r="J2" s="6">
        <v>45418</v>
      </c>
      <c r="K2" s="6">
        <v>45419</v>
      </c>
      <c r="L2" s="6">
        <v>45420</v>
      </c>
      <c r="M2" s="6">
        <v>45421</v>
      </c>
      <c r="N2" s="6">
        <v>45422</v>
      </c>
      <c r="O2" s="6">
        <v>45423</v>
      </c>
      <c r="P2" s="6">
        <v>45424</v>
      </c>
      <c r="Q2" s="6">
        <v>45425</v>
      </c>
      <c r="R2" s="6">
        <v>45426</v>
      </c>
      <c r="S2" s="6">
        <v>45427</v>
      </c>
      <c r="T2" s="6">
        <v>45428</v>
      </c>
      <c r="U2" s="6">
        <v>45429</v>
      </c>
      <c r="V2" s="6">
        <v>45430</v>
      </c>
      <c r="W2" s="6">
        <v>45431</v>
      </c>
      <c r="X2" s="6">
        <v>45432</v>
      </c>
      <c r="Y2" s="6">
        <v>45433</v>
      </c>
      <c r="Z2" s="6">
        <v>45434</v>
      </c>
      <c r="AA2" s="6">
        <v>45435</v>
      </c>
      <c r="AB2" s="6">
        <v>45436</v>
      </c>
      <c r="AC2" s="6">
        <v>45437</v>
      </c>
      <c r="AD2" s="6">
        <v>45438</v>
      </c>
      <c r="AE2" s="6">
        <v>45439</v>
      </c>
      <c r="AF2" s="6">
        <v>45440</v>
      </c>
      <c r="AG2" s="6">
        <v>45441</v>
      </c>
      <c r="AH2" s="6">
        <v>45442</v>
      </c>
      <c r="AI2" s="6">
        <v>45443</v>
      </c>
      <c r="AJ2" s="7">
        <v>45413</v>
      </c>
    </row>
    <row r="3" spans="1:253" x14ac:dyDescent="0.3">
      <c r="A3" s="8"/>
      <c r="B3" s="9" t="s">
        <v>5</v>
      </c>
      <c r="C3" s="10" t="s">
        <v>6</v>
      </c>
      <c r="D3" s="10" t="s">
        <v>7</v>
      </c>
      <c r="E3" s="10">
        <f>E96+E97+E101+E102</f>
        <v>4745</v>
      </c>
      <c r="F3" s="10">
        <f t="shared" ref="F3:AH3" si="0">F96+F97+F101+F102</f>
        <v>13127</v>
      </c>
      <c r="G3" s="10">
        <f t="shared" si="0"/>
        <v>10221</v>
      </c>
      <c r="H3" s="10">
        <f t="shared" si="0"/>
        <v>8779</v>
      </c>
      <c r="I3" s="10">
        <f t="shared" si="0"/>
        <v>11712</v>
      </c>
      <c r="J3" s="10">
        <f t="shared" si="0"/>
        <v>10795</v>
      </c>
      <c r="K3" s="10">
        <f t="shared" si="0"/>
        <v>11462</v>
      </c>
      <c r="L3" s="10">
        <f t="shared" si="0"/>
        <v>8801</v>
      </c>
      <c r="M3" s="10">
        <f t="shared" si="0"/>
        <v>6955</v>
      </c>
      <c r="N3" s="10">
        <f t="shared" si="0"/>
        <v>9499</v>
      </c>
      <c r="O3" s="10">
        <f t="shared" si="0"/>
        <v>13261</v>
      </c>
      <c r="P3" s="10">
        <f t="shared" si="0"/>
        <v>6335</v>
      </c>
      <c r="Q3" s="10">
        <f t="shared" si="0"/>
        <v>13710</v>
      </c>
      <c r="R3" s="10">
        <f t="shared" si="0"/>
        <v>9790</v>
      </c>
      <c r="S3" s="10">
        <f t="shared" si="0"/>
        <v>10720</v>
      </c>
      <c r="T3" s="10">
        <f t="shared" si="0"/>
        <v>10490</v>
      </c>
      <c r="U3" s="10">
        <f t="shared" si="0"/>
        <v>16881</v>
      </c>
      <c r="V3" s="10">
        <f t="shared" si="0"/>
        <v>8468</v>
      </c>
      <c r="W3" s="10">
        <f t="shared" si="0"/>
        <v>16674</v>
      </c>
      <c r="X3" s="10">
        <f t="shared" si="0"/>
        <v>10656</v>
      </c>
      <c r="Y3" s="10">
        <f t="shared" si="0"/>
        <v>11330</v>
      </c>
      <c r="Z3" s="10">
        <f t="shared" si="0"/>
        <v>11727</v>
      </c>
      <c r="AA3" s="10">
        <f t="shared" si="0"/>
        <v>16115</v>
      </c>
      <c r="AB3" s="10">
        <f t="shared" si="0"/>
        <v>9035</v>
      </c>
      <c r="AC3" s="10">
        <f t="shared" si="0"/>
        <v>14667</v>
      </c>
      <c r="AD3" s="10">
        <f t="shared" si="0"/>
        <v>15275</v>
      </c>
      <c r="AE3" s="10">
        <f t="shared" si="0"/>
        <v>13035</v>
      </c>
      <c r="AF3" s="10">
        <f t="shared" si="0"/>
        <v>15784</v>
      </c>
      <c r="AG3" s="10">
        <f t="shared" si="0"/>
        <v>11425</v>
      </c>
      <c r="AH3" s="10">
        <f t="shared" si="0"/>
        <v>13670</v>
      </c>
      <c r="AI3" s="10">
        <f>AI96+AI97+AI101+AI102</f>
        <v>10929</v>
      </c>
      <c r="AJ3" s="11">
        <f>SUM(E3:AI3)</f>
        <v>356073</v>
      </c>
      <c r="AK3" s="12">
        <f>AJ3+'Apr-24'!AI3</f>
        <v>684694</v>
      </c>
    </row>
    <row r="4" spans="1:253" x14ac:dyDescent="0.3">
      <c r="A4" s="8"/>
      <c r="B4" s="9" t="s">
        <v>8</v>
      </c>
      <c r="C4" s="10" t="s">
        <v>6</v>
      </c>
      <c r="D4" s="10" t="s">
        <v>7</v>
      </c>
      <c r="E4" s="10">
        <f>E107+E108+E111+E112</f>
        <v>1510</v>
      </c>
      <c r="F4" s="10">
        <f t="shared" ref="F4:AH4" si="1">F107+F108+F111+F112</f>
        <v>3968</v>
      </c>
      <c r="G4" s="10">
        <f t="shared" si="1"/>
        <v>3172</v>
      </c>
      <c r="H4" s="10">
        <f t="shared" si="1"/>
        <v>2790</v>
      </c>
      <c r="I4" s="10">
        <f t="shared" si="1"/>
        <v>3691</v>
      </c>
      <c r="J4" s="10">
        <f t="shared" si="1"/>
        <v>3316</v>
      </c>
      <c r="K4" s="10">
        <f t="shared" si="1"/>
        <v>3661</v>
      </c>
      <c r="L4" s="10">
        <f t="shared" si="1"/>
        <v>2825</v>
      </c>
      <c r="M4" s="10">
        <f t="shared" si="1"/>
        <v>2189</v>
      </c>
      <c r="N4" s="10">
        <f t="shared" si="1"/>
        <v>2957</v>
      </c>
      <c r="O4" s="10">
        <f>O107+O108+O111+O112</f>
        <v>4138</v>
      </c>
      <c r="P4" s="10">
        <f>P107+P108+P111+P112</f>
        <v>1990</v>
      </c>
      <c r="Q4" s="10">
        <f>Q107+Q108+Q111+Q112</f>
        <v>4365</v>
      </c>
      <c r="R4" s="10">
        <f>R107+R108+R111+R112</f>
        <v>3176</v>
      </c>
      <c r="S4" s="10">
        <f t="shared" si="1"/>
        <v>3423</v>
      </c>
      <c r="T4" s="10">
        <f t="shared" si="1"/>
        <v>3320</v>
      </c>
      <c r="U4" s="10">
        <f t="shared" si="1"/>
        <v>5243</v>
      </c>
      <c r="V4" s="10">
        <f t="shared" si="1"/>
        <v>2636</v>
      </c>
      <c r="W4" s="10">
        <f t="shared" si="1"/>
        <v>5296</v>
      </c>
      <c r="X4" s="10">
        <f t="shared" si="1"/>
        <v>3281</v>
      </c>
      <c r="Y4" s="10">
        <f t="shared" si="1"/>
        <v>3669</v>
      </c>
      <c r="Z4" s="10">
        <f t="shared" si="1"/>
        <v>3561</v>
      </c>
      <c r="AA4" s="10">
        <f t="shared" si="1"/>
        <v>5099</v>
      </c>
      <c r="AB4" s="10">
        <f t="shared" si="1"/>
        <v>3004</v>
      </c>
      <c r="AC4" s="10">
        <f t="shared" si="1"/>
        <v>4650</v>
      </c>
      <c r="AD4" s="10">
        <f t="shared" si="1"/>
        <v>5168</v>
      </c>
      <c r="AE4" s="10">
        <f t="shared" si="1"/>
        <v>4396</v>
      </c>
      <c r="AF4" s="10">
        <f t="shared" si="1"/>
        <v>4992</v>
      </c>
      <c r="AG4" s="10">
        <f t="shared" si="1"/>
        <v>3687</v>
      </c>
      <c r="AH4" s="10">
        <f t="shared" si="1"/>
        <v>4346</v>
      </c>
      <c r="AI4" s="10">
        <f>AI107+AI108+AI111+AI112</f>
        <v>3667</v>
      </c>
      <c r="AJ4" s="11">
        <f>SUM(E4:AI4)</f>
        <v>113186</v>
      </c>
      <c r="AK4" s="12">
        <f>AJ4+'Apr-24'!AI4</f>
        <v>219182</v>
      </c>
    </row>
    <row r="5" spans="1:253" s="19" customFormat="1" x14ac:dyDescent="0.3">
      <c r="A5" s="13">
        <v>1</v>
      </c>
      <c r="B5" s="14" t="s">
        <v>9</v>
      </c>
      <c r="C5" s="15" t="s">
        <v>6</v>
      </c>
      <c r="D5" s="15" t="s">
        <v>10</v>
      </c>
      <c r="E5" s="16">
        <f t="shared" ref="E5:AH5" si="2">E4/E3</f>
        <v>0.31822971548998946</v>
      </c>
      <c r="F5" s="16">
        <f t="shared" si="2"/>
        <v>0.30227774815266245</v>
      </c>
      <c r="G5" s="16">
        <f t="shared" si="2"/>
        <v>0.31034145386948442</v>
      </c>
      <c r="H5" s="16">
        <f t="shared" si="2"/>
        <v>0.31780385009682194</v>
      </c>
      <c r="I5" s="16">
        <f t="shared" si="2"/>
        <v>0.31514685792349728</v>
      </c>
      <c r="J5" s="16">
        <f t="shared" si="2"/>
        <v>0.30717924965261695</v>
      </c>
      <c r="K5" s="16">
        <f t="shared" si="2"/>
        <v>0.31940324550689236</v>
      </c>
      <c r="L5" s="16">
        <f t="shared" si="2"/>
        <v>0.32098625156232247</v>
      </c>
      <c r="M5" s="17">
        <f t="shared" si="2"/>
        <v>0.31473759884974839</v>
      </c>
      <c r="N5" s="16">
        <f t="shared" si="2"/>
        <v>0.31129592588693544</v>
      </c>
      <c r="O5" s="16">
        <f t="shared" si="2"/>
        <v>0.31204283236558328</v>
      </c>
      <c r="P5" s="16">
        <f t="shared" si="2"/>
        <v>0.31412786108918705</v>
      </c>
      <c r="Q5" s="16">
        <f t="shared" si="2"/>
        <v>0.31838074398249455</v>
      </c>
      <c r="R5" s="16">
        <f t="shared" si="2"/>
        <v>0.32441266598569968</v>
      </c>
      <c r="S5" s="16">
        <f t="shared" si="2"/>
        <v>0.31930970149253729</v>
      </c>
      <c r="T5" s="16">
        <f t="shared" si="2"/>
        <v>0.31649189704480457</v>
      </c>
      <c r="U5" s="16">
        <f t="shared" si="2"/>
        <v>0.31058586576624608</v>
      </c>
      <c r="V5" s="16">
        <f t="shared" si="2"/>
        <v>0.31128956069910252</v>
      </c>
      <c r="W5" s="16">
        <f t="shared" si="2"/>
        <v>0.31762024709127984</v>
      </c>
      <c r="X5" s="16">
        <f t="shared" si="2"/>
        <v>0.30790165165165168</v>
      </c>
      <c r="Y5" s="16">
        <f t="shared" si="2"/>
        <v>0.32383053839364517</v>
      </c>
      <c r="Z5" s="16">
        <f t="shared" si="2"/>
        <v>0.30365822460987463</v>
      </c>
      <c r="AA5" s="16">
        <f t="shared" si="2"/>
        <v>0.3164132795532113</v>
      </c>
      <c r="AB5" s="16">
        <f t="shared" si="2"/>
        <v>0.33248478140564469</v>
      </c>
      <c r="AC5" s="16">
        <f t="shared" si="2"/>
        <v>0.31703824913070155</v>
      </c>
      <c r="AD5" s="16">
        <f t="shared" si="2"/>
        <v>0.33833060556464811</v>
      </c>
      <c r="AE5" s="16">
        <f t="shared" si="2"/>
        <v>0.33724587648638282</v>
      </c>
      <c r="AF5" s="16">
        <f t="shared" si="2"/>
        <v>0.31626964014191589</v>
      </c>
      <c r="AG5" s="16">
        <f t="shared" si="2"/>
        <v>0.32271334792122536</v>
      </c>
      <c r="AH5" s="16">
        <f t="shared" si="2"/>
        <v>0.31792245793708851</v>
      </c>
      <c r="AI5" s="16">
        <f>AI4/AI3</f>
        <v>0.33552932564736021</v>
      </c>
      <c r="AJ5" s="18">
        <f>AJ4/AJ3</f>
        <v>0.31787302041997006</v>
      </c>
      <c r="AK5" s="18">
        <f>AK4/AK3</f>
        <v>0.32011672367510158</v>
      </c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</row>
    <row r="6" spans="1:253" x14ac:dyDescent="0.3">
      <c r="A6" s="8"/>
      <c r="B6" s="9" t="s">
        <v>8</v>
      </c>
      <c r="C6" s="10" t="s">
        <v>6</v>
      </c>
      <c r="D6" s="10" t="s">
        <v>7</v>
      </c>
      <c r="E6" s="10">
        <f>E109</f>
        <v>0</v>
      </c>
      <c r="F6" s="10">
        <f t="shared" ref="F6:AH6" si="3">F109</f>
        <v>192</v>
      </c>
      <c r="G6" s="10">
        <f t="shared" si="3"/>
        <v>0</v>
      </c>
      <c r="H6" s="10">
        <f t="shared" si="3"/>
        <v>147</v>
      </c>
      <c r="I6" s="10">
        <f t="shared" si="3"/>
        <v>0</v>
      </c>
      <c r="J6" s="10">
        <f>J109</f>
        <v>442</v>
      </c>
      <c r="K6" s="10">
        <f t="shared" si="3"/>
        <v>144</v>
      </c>
      <c r="L6" s="10">
        <f t="shared" si="3"/>
        <v>0</v>
      </c>
      <c r="M6" s="10">
        <f t="shared" si="3"/>
        <v>109</v>
      </c>
      <c r="N6" s="10">
        <f t="shared" si="3"/>
        <v>149</v>
      </c>
      <c r="O6" s="10">
        <f>O109</f>
        <v>0</v>
      </c>
      <c r="P6" s="10">
        <f>P109</f>
        <v>360</v>
      </c>
      <c r="Q6" s="10">
        <f>Q109</f>
        <v>0</v>
      </c>
      <c r="R6" s="10">
        <f>R109</f>
        <v>0</v>
      </c>
      <c r="S6" s="10">
        <f t="shared" si="3"/>
        <v>0</v>
      </c>
      <c r="T6" s="10">
        <f t="shared" si="3"/>
        <v>809</v>
      </c>
      <c r="U6" s="10">
        <f t="shared" si="3"/>
        <v>0</v>
      </c>
      <c r="V6" s="10">
        <f t="shared" si="3"/>
        <v>0</v>
      </c>
      <c r="W6" s="10">
        <f t="shared" si="3"/>
        <v>0</v>
      </c>
      <c r="X6" s="10">
        <f t="shared" si="3"/>
        <v>205</v>
      </c>
      <c r="Y6" s="10">
        <f t="shared" si="3"/>
        <v>278</v>
      </c>
      <c r="Z6" s="10">
        <f t="shared" si="3"/>
        <v>0</v>
      </c>
      <c r="AA6" s="10">
        <f t="shared" si="3"/>
        <v>0</v>
      </c>
      <c r="AB6" s="10">
        <f t="shared" si="3"/>
        <v>279</v>
      </c>
      <c r="AC6" s="10">
        <f t="shared" si="3"/>
        <v>626</v>
      </c>
      <c r="AD6" s="10">
        <f t="shared" si="3"/>
        <v>0</v>
      </c>
      <c r="AE6" s="10">
        <f t="shared" si="3"/>
        <v>395</v>
      </c>
      <c r="AF6" s="10">
        <f t="shared" si="3"/>
        <v>0</v>
      </c>
      <c r="AG6" s="10">
        <f t="shared" si="3"/>
        <v>0</v>
      </c>
      <c r="AH6" s="10">
        <f t="shared" si="3"/>
        <v>0</v>
      </c>
      <c r="AI6" s="10">
        <f>AI109</f>
        <v>527</v>
      </c>
      <c r="AJ6" s="11">
        <f>SUM(E6:AI6)</f>
        <v>4662</v>
      </c>
      <c r="AK6" s="12">
        <f>AJ6+'Apr-24'!AI6</f>
        <v>9959</v>
      </c>
    </row>
    <row r="7" spans="1:253" x14ac:dyDescent="0.3">
      <c r="A7" s="8"/>
      <c r="B7" s="9" t="s">
        <v>11</v>
      </c>
      <c r="C7" s="10" t="s">
        <v>6</v>
      </c>
      <c r="D7" s="10" t="s">
        <v>7</v>
      </c>
      <c r="E7" s="10">
        <f>E98</f>
        <v>0</v>
      </c>
      <c r="F7" s="10">
        <f t="shared" ref="F7:AH7" si="4">F98</f>
        <v>711</v>
      </c>
      <c r="G7" s="10">
        <f t="shared" si="4"/>
        <v>0</v>
      </c>
      <c r="H7" s="10">
        <f t="shared" si="4"/>
        <v>539</v>
      </c>
      <c r="I7" s="10">
        <f t="shared" si="4"/>
        <v>0</v>
      </c>
      <c r="J7" s="10">
        <f t="shared" si="4"/>
        <v>1635</v>
      </c>
      <c r="K7" s="10">
        <f t="shared" si="4"/>
        <v>531</v>
      </c>
      <c r="L7" s="10">
        <f t="shared" si="4"/>
        <v>0</v>
      </c>
      <c r="M7" s="10">
        <f t="shared" si="4"/>
        <v>400</v>
      </c>
      <c r="N7" s="10">
        <f t="shared" si="4"/>
        <v>570</v>
      </c>
      <c r="O7" s="10">
        <f t="shared" si="4"/>
        <v>0</v>
      </c>
      <c r="P7" s="10">
        <f t="shared" si="4"/>
        <v>1331</v>
      </c>
      <c r="Q7" s="10">
        <f t="shared" si="4"/>
        <v>0</v>
      </c>
      <c r="R7" s="10">
        <f t="shared" si="4"/>
        <v>0</v>
      </c>
      <c r="S7" s="10">
        <f t="shared" si="4"/>
        <v>0</v>
      </c>
      <c r="T7" s="10">
        <f t="shared" si="4"/>
        <v>2940</v>
      </c>
      <c r="U7" s="10">
        <f t="shared" si="4"/>
        <v>0</v>
      </c>
      <c r="V7" s="10">
        <f t="shared" si="4"/>
        <v>0</v>
      </c>
      <c r="W7" s="10">
        <f t="shared" si="4"/>
        <v>0</v>
      </c>
      <c r="X7" s="10">
        <f t="shared" si="4"/>
        <v>745</v>
      </c>
      <c r="Y7" s="10">
        <f t="shared" si="4"/>
        <v>1010</v>
      </c>
      <c r="Z7" s="10">
        <f t="shared" si="4"/>
        <v>0</v>
      </c>
      <c r="AA7" s="10">
        <f t="shared" si="4"/>
        <v>0</v>
      </c>
      <c r="AB7" s="10">
        <f t="shared" si="4"/>
        <v>1031</v>
      </c>
      <c r="AC7" s="10">
        <f t="shared" si="4"/>
        <v>2302</v>
      </c>
      <c r="AD7" s="10">
        <f t="shared" si="4"/>
        <v>0</v>
      </c>
      <c r="AE7" s="10">
        <f t="shared" si="4"/>
        <v>1470</v>
      </c>
      <c r="AF7" s="10">
        <f t="shared" si="4"/>
        <v>0</v>
      </c>
      <c r="AG7" s="10">
        <f t="shared" si="4"/>
        <v>0</v>
      </c>
      <c r="AH7" s="10">
        <f t="shared" si="4"/>
        <v>0</v>
      </c>
      <c r="AI7" s="10">
        <f>AI98</f>
        <v>1895</v>
      </c>
      <c r="AJ7" s="11">
        <f>SUM(E7:AI7)</f>
        <v>17110</v>
      </c>
      <c r="AK7" s="12">
        <f>AJ7+'Apr-24'!AI7</f>
        <v>36340</v>
      </c>
    </row>
    <row r="8" spans="1:253" s="19" customFormat="1" x14ac:dyDescent="0.3">
      <c r="A8" s="13">
        <v>2</v>
      </c>
      <c r="B8" s="14" t="s">
        <v>12</v>
      </c>
      <c r="C8" s="15" t="s">
        <v>6</v>
      </c>
      <c r="D8" s="15" t="s">
        <v>10</v>
      </c>
      <c r="E8" s="21" t="str">
        <f t="shared" ref="E8:AH8" si="5">IFERROR(E6/E7,"-")</f>
        <v>-</v>
      </c>
      <c r="F8" s="21">
        <f t="shared" si="5"/>
        <v>0.27004219409282698</v>
      </c>
      <c r="G8" s="21" t="str">
        <f t="shared" si="5"/>
        <v>-</v>
      </c>
      <c r="H8" s="21">
        <f t="shared" si="5"/>
        <v>0.27272727272727271</v>
      </c>
      <c r="I8" s="21" t="str">
        <f t="shared" si="5"/>
        <v>-</v>
      </c>
      <c r="J8" s="21">
        <f t="shared" si="5"/>
        <v>0.27033639143730887</v>
      </c>
      <c r="K8" s="21">
        <f t="shared" si="5"/>
        <v>0.2711864406779661</v>
      </c>
      <c r="L8" s="21" t="str">
        <f t="shared" si="5"/>
        <v>-</v>
      </c>
      <c r="M8" s="21">
        <f t="shared" si="5"/>
        <v>0.27250000000000002</v>
      </c>
      <c r="N8" s="21">
        <f t="shared" si="5"/>
        <v>0.2614035087719298</v>
      </c>
      <c r="O8" s="21" t="str">
        <f t="shared" si="5"/>
        <v>-</v>
      </c>
      <c r="P8" s="21">
        <f t="shared" si="5"/>
        <v>0.270473328324568</v>
      </c>
      <c r="Q8" s="21" t="str">
        <f t="shared" si="5"/>
        <v>-</v>
      </c>
      <c r="R8" s="21" t="str">
        <f t="shared" si="5"/>
        <v>-</v>
      </c>
      <c r="S8" s="21" t="str">
        <f t="shared" si="5"/>
        <v>-</v>
      </c>
      <c r="T8" s="21">
        <f t="shared" si="5"/>
        <v>0.27517006802721089</v>
      </c>
      <c r="U8" s="21" t="str">
        <f t="shared" si="5"/>
        <v>-</v>
      </c>
      <c r="V8" s="21" t="str">
        <f t="shared" si="5"/>
        <v>-</v>
      </c>
      <c r="W8" s="21" t="str">
        <f t="shared" si="5"/>
        <v>-</v>
      </c>
      <c r="X8" s="21">
        <f t="shared" si="5"/>
        <v>0.27516778523489932</v>
      </c>
      <c r="Y8" s="21">
        <f t="shared" si="5"/>
        <v>0.27524752475247527</v>
      </c>
      <c r="Z8" s="21" t="str">
        <f t="shared" si="5"/>
        <v>-</v>
      </c>
      <c r="AA8" s="21" t="str">
        <f t="shared" si="5"/>
        <v>-</v>
      </c>
      <c r="AB8" s="21">
        <f t="shared" si="5"/>
        <v>0.27061105722599416</v>
      </c>
      <c r="AC8" s="21">
        <f t="shared" si="5"/>
        <v>0.27193744569939182</v>
      </c>
      <c r="AD8" s="21" t="str">
        <f t="shared" si="5"/>
        <v>-</v>
      </c>
      <c r="AE8" s="21">
        <f t="shared" si="5"/>
        <v>0.2687074829931973</v>
      </c>
      <c r="AF8" s="21" t="str">
        <f t="shared" si="5"/>
        <v>-</v>
      </c>
      <c r="AG8" s="21" t="str">
        <f t="shared" si="5"/>
        <v>-</v>
      </c>
      <c r="AH8" s="21" t="str">
        <f t="shared" si="5"/>
        <v>-</v>
      </c>
      <c r="AI8" s="21">
        <f>IFERROR(AI6/AI7,"-")</f>
        <v>0.27810026385224274</v>
      </c>
      <c r="AJ8" s="18">
        <f>AJ6/AJ7</f>
        <v>0.27247223845704266</v>
      </c>
      <c r="AK8" s="18">
        <f>AK6/AK7</f>
        <v>0.27405063291139242</v>
      </c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</row>
    <row r="9" spans="1:253" x14ac:dyDescent="0.3">
      <c r="A9" s="8"/>
      <c r="B9" s="9" t="s">
        <v>8</v>
      </c>
      <c r="C9" s="10" t="s">
        <v>6</v>
      </c>
      <c r="D9" s="10" t="s">
        <v>7</v>
      </c>
      <c r="E9" s="10">
        <f>E110</f>
        <v>472</v>
      </c>
      <c r="F9" s="10">
        <f t="shared" ref="F9:AH9" si="6">F110</f>
        <v>0</v>
      </c>
      <c r="G9" s="10">
        <f t="shared" si="6"/>
        <v>0</v>
      </c>
      <c r="H9" s="10">
        <f t="shared" si="6"/>
        <v>0</v>
      </c>
      <c r="I9" s="10">
        <f t="shared" si="6"/>
        <v>371</v>
      </c>
      <c r="J9" s="10">
        <f t="shared" si="6"/>
        <v>0</v>
      </c>
      <c r="K9" s="10">
        <f t="shared" si="6"/>
        <v>0</v>
      </c>
      <c r="L9" s="10">
        <f t="shared" si="6"/>
        <v>0</v>
      </c>
      <c r="M9" s="10">
        <f t="shared" si="6"/>
        <v>644</v>
      </c>
      <c r="N9" s="10">
        <f t="shared" si="6"/>
        <v>0</v>
      </c>
      <c r="O9" s="10">
        <f t="shared" si="6"/>
        <v>440</v>
      </c>
      <c r="P9" s="10">
        <f t="shared" si="6"/>
        <v>324</v>
      </c>
      <c r="Q9" s="10">
        <f t="shared" si="6"/>
        <v>0</v>
      </c>
      <c r="R9" s="10">
        <f t="shared" si="6"/>
        <v>801</v>
      </c>
      <c r="S9" s="10">
        <f t="shared" si="6"/>
        <v>0</v>
      </c>
      <c r="T9" s="10">
        <f t="shared" si="6"/>
        <v>0</v>
      </c>
      <c r="U9" s="10">
        <f t="shared" si="6"/>
        <v>337</v>
      </c>
      <c r="V9" s="10">
        <f t="shared" si="6"/>
        <v>719</v>
      </c>
      <c r="W9" s="10">
        <f t="shared" si="6"/>
        <v>0</v>
      </c>
      <c r="X9" s="10">
        <f t="shared" si="6"/>
        <v>0</v>
      </c>
      <c r="Y9" s="10">
        <f t="shared" si="6"/>
        <v>0</v>
      </c>
      <c r="Z9" s="10">
        <f t="shared" si="6"/>
        <v>271</v>
      </c>
      <c r="AA9" s="10">
        <f t="shared" si="6"/>
        <v>925</v>
      </c>
      <c r="AB9" s="10">
        <f t="shared" si="6"/>
        <v>0</v>
      </c>
      <c r="AC9" s="10">
        <f t="shared" si="6"/>
        <v>1039</v>
      </c>
      <c r="AD9" s="10">
        <f t="shared" si="6"/>
        <v>0</v>
      </c>
      <c r="AE9" s="10">
        <f t="shared" si="6"/>
        <v>0</v>
      </c>
      <c r="AF9" s="10">
        <f t="shared" si="6"/>
        <v>0</v>
      </c>
      <c r="AG9" s="10">
        <f t="shared" si="6"/>
        <v>1028</v>
      </c>
      <c r="AH9" s="10">
        <f t="shared" si="6"/>
        <v>0</v>
      </c>
      <c r="AI9" s="10">
        <f>AI110</f>
        <v>0</v>
      </c>
      <c r="AJ9" s="69">
        <f>SUM(E9:AI9)</f>
        <v>7371</v>
      </c>
      <c r="AK9" s="12">
        <f>AJ9+'Apr-24'!AI9</f>
        <v>15169</v>
      </c>
    </row>
    <row r="10" spans="1:253" x14ac:dyDescent="0.3">
      <c r="A10" s="8"/>
      <c r="B10" s="9" t="s">
        <v>207</v>
      </c>
      <c r="C10" s="10" t="s">
        <v>6</v>
      </c>
      <c r="D10" s="10" t="s">
        <v>7</v>
      </c>
      <c r="E10" s="10">
        <f>E99</f>
        <v>1570</v>
      </c>
      <c r="F10" s="10">
        <f t="shared" ref="F10:AH10" si="7">F99</f>
        <v>0</v>
      </c>
      <c r="G10" s="10">
        <f t="shared" si="7"/>
        <v>0</v>
      </c>
      <c r="H10" s="10">
        <f t="shared" si="7"/>
        <v>0</v>
      </c>
      <c r="I10" s="10">
        <f t="shared" si="7"/>
        <v>1215</v>
      </c>
      <c r="J10" s="10">
        <f t="shared" si="7"/>
        <v>0</v>
      </c>
      <c r="K10" s="10">
        <f t="shared" si="7"/>
        <v>0</v>
      </c>
      <c r="L10" s="10">
        <f t="shared" si="7"/>
        <v>0</v>
      </c>
      <c r="M10" s="10">
        <f t="shared" si="7"/>
        <v>2135</v>
      </c>
      <c r="N10" s="10">
        <f t="shared" si="7"/>
        <v>0</v>
      </c>
      <c r="O10" s="10">
        <f t="shared" si="7"/>
        <v>1457</v>
      </c>
      <c r="P10" s="10">
        <f t="shared" si="7"/>
        <v>1075</v>
      </c>
      <c r="Q10" s="10">
        <f t="shared" si="7"/>
        <v>0</v>
      </c>
      <c r="R10" s="10">
        <f t="shared" si="7"/>
        <v>2630</v>
      </c>
      <c r="S10" s="10">
        <f t="shared" si="7"/>
        <v>0</v>
      </c>
      <c r="T10" s="10">
        <f t="shared" si="7"/>
        <v>0</v>
      </c>
      <c r="U10" s="10">
        <f t="shared" si="7"/>
        <v>1131</v>
      </c>
      <c r="V10" s="10">
        <f t="shared" si="7"/>
        <v>2380</v>
      </c>
      <c r="W10" s="10">
        <f t="shared" si="7"/>
        <v>0</v>
      </c>
      <c r="X10" s="10">
        <f t="shared" si="7"/>
        <v>0</v>
      </c>
      <c r="Y10" s="10">
        <f t="shared" si="7"/>
        <v>0</v>
      </c>
      <c r="Z10" s="10">
        <f t="shared" si="7"/>
        <v>885</v>
      </c>
      <c r="AA10" s="10">
        <f t="shared" si="7"/>
        <v>3150</v>
      </c>
      <c r="AB10" s="10">
        <f t="shared" si="7"/>
        <v>0</v>
      </c>
      <c r="AC10" s="10">
        <f t="shared" si="7"/>
        <v>3483</v>
      </c>
      <c r="AD10" s="10">
        <f t="shared" si="7"/>
        <v>0</v>
      </c>
      <c r="AE10" s="10">
        <f t="shared" si="7"/>
        <v>0</v>
      </c>
      <c r="AF10" s="10">
        <f t="shared" si="7"/>
        <v>0</v>
      </c>
      <c r="AG10" s="10">
        <f t="shared" si="7"/>
        <v>3655</v>
      </c>
      <c r="AH10" s="10">
        <f t="shared" si="7"/>
        <v>0</v>
      </c>
      <c r="AI10" s="10">
        <f>AI99</f>
        <v>0</v>
      </c>
      <c r="AJ10" s="69">
        <f>SUM(E10:AI10)</f>
        <v>24766</v>
      </c>
      <c r="AK10" s="12">
        <f>AJ10+'Apr-24'!AI10</f>
        <v>50618</v>
      </c>
    </row>
    <row r="11" spans="1:253" x14ac:dyDescent="0.3">
      <c r="A11" s="13">
        <v>3</v>
      </c>
      <c r="B11" s="14" t="s">
        <v>206</v>
      </c>
      <c r="C11" s="15" t="s">
        <v>6</v>
      </c>
      <c r="D11" s="15" t="s">
        <v>10</v>
      </c>
      <c r="E11" s="21">
        <f>IFERROR(E9/E10,"-")</f>
        <v>0.30063694267515922</v>
      </c>
      <c r="F11" s="21" t="str">
        <f t="shared" ref="F11:AH11" si="8">IFERROR(F9/F10,"-")</f>
        <v>-</v>
      </c>
      <c r="G11" s="21" t="str">
        <f t="shared" si="8"/>
        <v>-</v>
      </c>
      <c r="H11" s="21" t="str">
        <f t="shared" si="8"/>
        <v>-</v>
      </c>
      <c r="I11" s="21">
        <f t="shared" si="8"/>
        <v>0.30534979423868314</v>
      </c>
      <c r="J11" s="21" t="str">
        <f t="shared" si="8"/>
        <v>-</v>
      </c>
      <c r="K11" s="21" t="str">
        <f t="shared" si="8"/>
        <v>-</v>
      </c>
      <c r="L11" s="21" t="str">
        <f t="shared" si="8"/>
        <v>-</v>
      </c>
      <c r="M11" s="21">
        <f t="shared" si="8"/>
        <v>0.30163934426229511</v>
      </c>
      <c r="N11" s="21" t="str">
        <f t="shared" si="8"/>
        <v>-</v>
      </c>
      <c r="O11" s="21">
        <f t="shared" si="8"/>
        <v>0.30199039121482496</v>
      </c>
      <c r="P11" s="21">
        <f t="shared" si="8"/>
        <v>0.30139534883720931</v>
      </c>
      <c r="Q11" s="21" t="str">
        <f t="shared" si="8"/>
        <v>-</v>
      </c>
      <c r="R11" s="21">
        <f t="shared" si="8"/>
        <v>0.30456273764258557</v>
      </c>
      <c r="S11" s="21" t="str">
        <f t="shared" si="8"/>
        <v>-</v>
      </c>
      <c r="T11" s="21" t="str">
        <f t="shared" si="8"/>
        <v>-</v>
      </c>
      <c r="U11" s="21">
        <f t="shared" si="8"/>
        <v>0.29796640141467728</v>
      </c>
      <c r="V11" s="21">
        <f t="shared" si="8"/>
        <v>0.30210084033613444</v>
      </c>
      <c r="W11" s="21" t="str">
        <f t="shared" si="8"/>
        <v>-</v>
      </c>
      <c r="X11" s="21" t="str">
        <f t="shared" si="8"/>
        <v>-</v>
      </c>
      <c r="Y11" s="21" t="str">
        <f t="shared" si="8"/>
        <v>-</v>
      </c>
      <c r="Z11" s="21">
        <f t="shared" si="8"/>
        <v>0.30621468926553674</v>
      </c>
      <c r="AA11" s="21">
        <f t="shared" si="8"/>
        <v>0.29365079365079366</v>
      </c>
      <c r="AB11" s="21" t="str">
        <f t="shared" si="8"/>
        <v>-</v>
      </c>
      <c r="AC11" s="21">
        <f t="shared" si="8"/>
        <v>0.29830605799598048</v>
      </c>
      <c r="AD11" s="21" t="str">
        <f t="shared" si="8"/>
        <v>-</v>
      </c>
      <c r="AE11" s="21" t="str">
        <f t="shared" si="8"/>
        <v>-</v>
      </c>
      <c r="AF11" s="21" t="str">
        <f t="shared" si="8"/>
        <v>-</v>
      </c>
      <c r="AG11" s="21">
        <f t="shared" si="8"/>
        <v>0.28125854993160054</v>
      </c>
      <c r="AH11" s="21" t="str">
        <f t="shared" si="8"/>
        <v>-</v>
      </c>
      <c r="AI11" s="21" t="str">
        <f>IFERROR(AI9/AI10,"-")</f>
        <v>-</v>
      </c>
      <c r="AJ11" s="223">
        <f>AJ9/AJ10</f>
        <v>0.29762577727529677</v>
      </c>
      <c r="AK11" s="223">
        <f>AK9/AK10</f>
        <v>0.29967600458334981</v>
      </c>
    </row>
    <row r="12" spans="1:253" x14ac:dyDescent="0.3">
      <c r="A12" s="8"/>
      <c r="B12" s="9" t="s">
        <v>13</v>
      </c>
      <c r="C12" s="10" t="s">
        <v>14</v>
      </c>
      <c r="D12" s="10" t="s">
        <v>15</v>
      </c>
      <c r="E12" s="22">
        <v>1051.99</v>
      </c>
      <c r="F12" s="22">
        <v>1103.8900000000001</v>
      </c>
      <c r="G12" s="22">
        <v>899.5</v>
      </c>
      <c r="H12" s="22">
        <v>832.2</v>
      </c>
      <c r="I12" s="22">
        <v>1044.6400000000001</v>
      </c>
      <c r="J12" s="23">
        <v>1064.3599999999999</v>
      </c>
      <c r="K12" s="23">
        <v>1055.0899999999999</v>
      </c>
      <c r="L12" s="22">
        <v>1108.99</v>
      </c>
      <c r="M12" s="22">
        <v>1087.2</v>
      </c>
      <c r="N12" s="22">
        <v>1082.4000000000001</v>
      </c>
      <c r="O12" s="22">
        <v>1088.5</v>
      </c>
      <c r="P12" s="22">
        <v>1023.58</v>
      </c>
      <c r="Q12" s="22">
        <v>1025.8699999999999</v>
      </c>
      <c r="R12" s="22">
        <v>701.77</v>
      </c>
      <c r="S12" s="22">
        <v>904.2</v>
      </c>
      <c r="T12" s="22">
        <v>1045.5899999999999</v>
      </c>
      <c r="U12" s="22">
        <v>1048.29</v>
      </c>
      <c r="V12" s="22">
        <v>1003.54</v>
      </c>
      <c r="W12" s="22">
        <v>1049.6099999999999</v>
      </c>
      <c r="X12" s="22">
        <v>1072.31</v>
      </c>
      <c r="Y12" s="22">
        <v>1056.0999999999999</v>
      </c>
      <c r="Z12" s="22">
        <v>1019.15</v>
      </c>
      <c r="AA12" s="22">
        <v>972.9</v>
      </c>
      <c r="AB12" s="22">
        <v>1046.9000000000001</v>
      </c>
      <c r="AC12" s="22">
        <v>1141.5999999999999</v>
      </c>
      <c r="AD12" s="22">
        <v>1068.46</v>
      </c>
      <c r="AE12" s="22">
        <v>1092.51</v>
      </c>
      <c r="AF12" s="22">
        <v>817.52</v>
      </c>
      <c r="AG12" s="22">
        <v>1010.75</v>
      </c>
      <c r="AH12" s="22">
        <v>1042.27</v>
      </c>
      <c r="AI12" s="22">
        <v>1087.33</v>
      </c>
      <c r="AJ12" s="22"/>
    </row>
    <row r="13" spans="1:253" x14ac:dyDescent="0.3">
      <c r="A13" s="8"/>
      <c r="B13" s="24" t="s">
        <v>16</v>
      </c>
      <c r="C13" s="10" t="s">
        <v>14</v>
      </c>
      <c r="D13" s="10" t="s">
        <v>17</v>
      </c>
      <c r="E13" s="26">
        <v>5.24</v>
      </c>
      <c r="F13" s="26">
        <v>5.3</v>
      </c>
      <c r="G13" s="26">
        <v>5.71</v>
      </c>
      <c r="H13" s="26">
        <v>5.55</v>
      </c>
      <c r="I13" s="26">
        <v>5.44</v>
      </c>
      <c r="J13" s="26">
        <v>5.38</v>
      </c>
      <c r="K13" s="25">
        <v>5.31</v>
      </c>
      <c r="L13" s="25">
        <v>5.3</v>
      </c>
      <c r="M13" s="25">
        <v>4.8899999999999997</v>
      </c>
      <c r="N13" s="26">
        <v>5.43</v>
      </c>
      <c r="O13" s="26">
        <v>5.32</v>
      </c>
      <c r="P13" s="26">
        <v>5.45</v>
      </c>
      <c r="Q13" s="26">
        <v>5.52</v>
      </c>
      <c r="R13" s="26">
        <v>6.32</v>
      </c>
      <c r="S13" s="26">
        <v>5.56</v>
      </c>
      <c r="T13" s="22">
        <v>5.27</v>
      </c>
      <c r="U13" s="22">
        <v>5.3</v>
      </c>
      <c r="V13" s="22">
        <v>5.35</v>
      </c>
      <c r="W13" s="22">
        <v>5.32</v>
      </c>
      <c r="X13" s="22">
        <v>5.28</v>
      </c>
      <c r="Y13" s="22">
        <v>5.32</v>
      </c>
      <c r="Z13" s="22">
        <v>5.32</v>
      </c>
      <c r="AA13" s="22">
        <v>5.39</v>
      </c>
      <c r="AB13" s="22">
        <v>5.39</v>
      </c>
      <c r="AC13" s="22">
        <v>5.28</v>
      </c>
      <c r="AD13" s="22">
        <v>5.34</v>
      </c>
      <c r="AE13" s="26">
        <v>5.3</v>
      </c>
      <c r="AF13" s="26">
        <v>5.48</v>
      </c>
      <c r="AG13" s="26">
        <v>5.4</v>
      </c>
      <c r="AH13" s="26">
        <v>5.37</v>
      </c>
      <c r="AI13" s="26">
        <v>5.32</v>
      </c>
      <c r="AJ13" s="27"/>
    </row>
    <row r="14" spans="1:253" x14ac:dyDescent="0.3">
      <c r="A14" s="8"/>
      <c r="B14" s="24" t="s">
        <v>18</v>
      </c>
      <c r="C14" s="10" t="s">
        <v>14</v>
      </c>
      <c r="D14" s="10" t="s">
        <v>19</v>
      </c>
      <c r="E14" s="23">
        <f>E12/E13*1000</f>
        <v>200761.4503816794</v>
      </c>
      <c r="F14" s="23">
        <f>F12/F13*1000</f>
        <v>208281.13207547175</v>
      </c>
      <c r="G14" s="23">
        <f>G12/G13*1000</f>
        <v>157530.64798598949</v>
      </c>
      <c r="H14" s="23">
        <f>H12/H13*1000</f>
        <v>149945.94594594598</v>
      </c>
      <c r="I14" s="23">
        <f t="shared" ref="I14:AH14" si="9">I12/I13*1000</f>
        <v>192029.41176470587</v>
      </c>
      <c r="J14" s="23">
        <f t="shared" si="9"/>
        <v>197836.4312267658</v>
      </c>
      <c r="K14" s="23">
        <f t="shared" si="9"/>
        <v>198698.68173258004</v>
      </c>
      <c r="L14" s="23">
        <f t="shared" si="9"/>
        <v>209243.39622641512</v>
      </c>
      <c r="M14" s="23">
        <f t="shared" si="9"/>
        <v>222331.28834355829</v>
      </c>
      <c r="N14" s="23">
        <f t="shared" si="9"/>
        <v>199337.01657458566</v>
      </c>
      <c r="O14" s="23">
        <f t="shared" si="9"/>
        <v>204605.26315789475</v>
      </c>
      <c r="P14" s="23">
        <f t="shared" si="9"/>
        <v>187812.84403669724</v>
      </c>
      <c r="Q14" s="23">
        <f t="shared" si="9"/>
        <v>185846.01449275363</v>
      </c>
      <c r="R14" s="23">
        <f>R12/R13*1000</f>
        <v>111039.55696202532</v>
      </c>
      <c r="S14" s="23">
        <f>S12/S13*1000</f>
        <v>162625.89928057557</v>
      </c>
      <c r="T14" s="23">
        <f t="shared" si="9"/>
        <v>198404.17457305503</v>
      </c>
      <c r="U14" s="23">
        <f t="shared" si="9"/>
        <v>197790.56603773584</v>
      </c>
      <c r="V14" s="23">
        <f t="shared" si="9"/>
        <v>187577.57009345794</v>
      </c>
      <c r="W14" s="23">
        <f>W12/W13*1000</f>
        <v>197295.11278195484</v>
      </c>
      <c r="X14" s="23">
        <f t="shared" si="9"/>
        <v>203089.01515151514</v>
      </c>
      <c r="Y14" s="23">
        <f t="shared" si="9"/>
        <v>198515.03759398495</v>
      </c>
      <c r="Z14" s="23">
        <f t="shared" si="9"/>
        <v>191569.54887218043</v>
      </c>
      <c r="AA14" s="23">
        <f t="shared" si="9"/>
        <v>180500.92764378479</v>
      </c>
      <c r="AB14" s="23">
        <f t="shared" si="9"/>
        <v>194230.05565862713</v>
      </c>
      <c r="AC14" s="23">
        <f t="shared" si="9"/>
        <v>216212.12121212119</v>
      </c>
      <c r="AD14" s="23">
        <f t="shared" si="9"/>
        <v>200086.14232209741</v>
      </c>
      <c r="AE14" s="23">
        <f t="shared" si="9"/>
        <v>206133.96226415093</v>
      </c>
      <c r="AF14" s="23">
        <f t="shared" si="9"/>
        <v>149182.48175182482</v>
      </c>
      <c r="AG14" s="23">
        <f t="shared" si="9"/>
        <v>187175.92592592593</v>
      </c>
      <c r="AH14" s="23">
        <f t="shared" si="9"/>
        <v>194091.24767225326</v>
      </c>
      <c r="AI14" s="23">
        <f>AI12/AI13*1000</f>
        <v>204385.33834586461</v>
      </c>
      <c r="AJ14" s="28">
        <f>SUMIF(E15:AI15,"&gt;5950",E14:AI14)</f>
        <v>5894164.2080881782</v>
      </c>
    </row>
    <row r="15" spans="1:253" x14ac:dyDescent="0.3">
      <c r="A15" s="8"/>
      <c r="B15" s="9" t="s">
        <v>20</v>
      </c>
      <c r="C15" s="10" t="s">
        <v>14</v>
      </c>
      <c r="D15" s="10" t="s">
        <v>15</v>
      </c>
      <c r="E15" s="29">
        <f>E89</f>
        <v>6911</v>
      </c>
      <c r="F15" s="29">
        <f t="shared" ref="F15:AH15" si="10">F89</f>
        <v>7145</v>
      </c>
      <c r="G15" s="29">
        <f t="shared" si="10"/>
        <v>6408</v>
      </c>
      <c r="H15" s="29">
        <f t="shared" si="10"/>
        <v>6005</v>
      </c>
      <c r="I15" s="29">
        <f t="shared" si="10"/>
        <v>6080</v>
      </c>
      <c r="J15" s="29">
        <f t="shared" si="10"/>
        <v>6170</v>
      </c>
      <c r="K15" s="29">
        <f t="shared" si="10"/>
        <v>6885</v>
      </c>
      <c r="L15" s="29">
        <f t="shared" si="10"/>
        <v>6801</v>
      </c>
      <c r="M15" s="29">
        <f t="shared" si="10"/>
        <v>7005</v>
      </c>
      <c r="N15" s="29">
        <f t="shared" si="10"/>
        <v>7118</v>
      </c>
      <c r="O15" s="29">
        <f t="shared" si="10"/>
        <v>7101</v>
      </c>
      <c r="P15" s="29">
        <f t="shared" si="10"/>
        <v>7223</v>
      </c>
      <c r="Q15" s="29">
        <f t="shared" si="10"/>
        <v>7013</v>
      </c>
      <c r="R15" s="29">
        <f t="shared" si="10"/>
        <v>7341</v>
      </c>
      <c r="S15" s="29">
        <f t="shared" si="10"/>
        <v>6846</v>
      </c>
      <c r="T15" s="29">
        <f t="shared" si="10"/>
        <v>7244</v>
      </c>
      <c r="U15" s="29">
        <f t="shared" si="10"/>
        <v>6847</v>
      </c>
      <c r="V15" s="29">
        <f t="shared" si="10"/>
        <v>6914</v>
      </c>
      <c r="W15" s="29">
        <f t="shared" si="10"/>
        <v>6969</v>
      </c>
      <c r="X15" s="29">
        <f t="shared" si="10"/>
        <v>7005</v>
      </c>
      <c r="Y15" s="29">
        <f t="shared" si="10"/>
        <v>7273</v>
      </c>
      <c r="Z15" s="29">
        <f t="shared" si="10"/>
        <v>7007</v>
      </c>
      <c r="AA15" s="29">
        <f t="shared" si="10"/>
        <v>7009</v>
      </c>
      <c r="AB15" s="29">
        <f t="shared" si="10"/>
        <v>7129</v>
      </c>
      <c r="AC15" s="29">
        <f t="shared" si="10"/>
        <v>7203</v>
      </c>
      <c r="AD15" s="29">
        <f t="shared" si="10"/>
        <v>7307</v>
      </c>
      <c r="AE15" s="29">
        <f t="shared" si="10"/>
        <v>7156</v>
      </c>
      <c r="AF15" s="29">
        <f t="shared" si="10"/>
        <v>6573</v>
      </c>
      <c r="AG15" s="29">
        <f t="shared" si="10"/>
        <v>7002</v>
      </c>
      <c r="AH15" s="29">
        <f t="shared" si="10"/>
        <v>7183</v>
      </c>
      <c r="AI15" s="29">
        <f>AI89</f>
        <v>7268</v>
      </c>
      <c r="AJ15" s="30">
        <f>SUM(E15:AI15)</f>
        <v>215141</v>
      </c>
      <c r="AK15" s="31">
        <f>AJ15+'Apr-24'!AI15</f>
        <v>429456</v>
      </c>
    </row>
    <row r="16" spans="1:253" s="19" customFormat="1" x14ac:dyDescent="0.3">
      <c r="A16" s="13">
        <v>4</v>
      </c>
      <c r="B16" s="14" t="s">
        <v>21</v>
      </c>
      <c r="C16" s="15" t="s">
        <v>14</v>
      </c>
      <c r="D16" s="15" t="s">
        <v>22</v>
      </c>
      <c r="E16" s="32">
        <f>E14/E15</f>
        <v>29.04955149496157</v>
      </c>
      <c r="F16" s="32">
        <f>F14/F15</f>
        <v>29.150613306574073</v>
      </c>
      <c r="G16" s="32">
        <f t="shared" ref="G16:AH16" si="11">G14/G15</f>
        <v>24.583434454742431</v>
      </c>
      <c r="H16" s="32">
        <f t="shared" si="11"/>
        <v>24.970182505569689</v>
      </c>
      <c r="I16" s="32">
        <f t="shared" si="11"/>
        <v>31.58378482972136</v>
      </c>
      <c r="J16" s="32">
        <f t="shared" si="11"/>
        <v>32.064251414386675</v>
      </c>
      <c r="K16" s="32">
        <f t="shared" si="11"/>
        <v>28.859648762901966</v>
      </c>
      <c r="L16" s="32">
        <f t="shared" si="11"/>
        <v>30.766563185769023</v>
      </c>
      <c r="M16" s="32">
        <f t="shared" si="11"/>
        <v>31.738941947688549</v>
      </c>
      <c r="N16" s="32">
        <f t="shared" si="11"/>
        <v>28.004638462290764</v>
      </c>
      <c r="O16" s="32">
        <f t="shared" si="11"/>
        <v>28.813584446964477</v>
      </c>
      <c r="P16" s="32">
        <f t="shared" si="11"/>
        <v>26.002055106838881</v>
      </c>
      <c r="Q16" s="32">
        <f t="shared" si="11"/>
        <v>26.500215955048287</v>
      </c>
      <c r="R16" s="32">
        <f t="shared" si="11"/>
        <v>15.125944280346728</v>
      </c>
      <c r="S16" s="32">
        <f t="shared" si="11"/>
        <v>23.75487865623365</v>
      </c>
      <c r="T16" s="32">
        <f t="shared" si="11"/>
        <v>27.388759604231783</v>
      </c>
      <c r="U16" s="32">
        <f t="shared" si="11"/>
        <v>28.887186510549999</v>
      </c>
      <c r="V16" s="32">
        <f t="shared" si="11"/>
        <v>27.130108489074043</v>
      </c>
      <c r="W16" s="32">
        <f>W14/W15</f>
        <v>28.310390699089517</v>
      </c>
      <c r="X16" s="32">
        <f t="shared" si="11"/>
        <v>28.992007873164187</v>
      </c>
      <c r="Y16" s="32">
        <f t="shared" si="11"/>
        <v>27.294794114393639</v>
      </c>
      <c r="Z16" s="32">
        <f t="shared" si="11"/>
        <v>27.33973867163985</v>
      </c>
      <c r="AA16" s="32">
        <f t="shared" si="11"/>
        <v>25.752736145496474</v>
      </c>
      <c r="AB16" s="32">
        <f t="shared" si="11"/>
        <v>27.245063214844595</v>
      </c>
      <c r="AC16" s="32">
        <f t="shared" si="11"/>
        <v>30.01695421520494</v>
      </c>
      <c r="AD16" s="32">
        <f t="shared" si="11"/>
        <v>27.382803109634242</v>
      </c>
      <c r="AE16" s="32">
        <f t="shared" si="11"/>
        <v>28.805752133056306</v>
      </c>
      <c r="AF16" s="32">
        <f t="shared" si="11"/>
        <v>22.696254640472358</v>
      </c>
      <c r="AG16" s="32">
        <f t="shared" si="11"/>
        <v>26.731780337892879</v>
      </c>
      <c r="AH16" s="32">
        <f t="shared" si="11"/>
        <v>27.020917119901608</v>
      </c>
      <c r="AI16" s="32">
        <f>AI14/AI15</f>
        <v>28.121262843404597</v>
      </c>
      <c r="AJ16" s="33">
        <f>AJ14/AJ15</f>
        <v>27.396750075941721</v>
      </c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</row>
    <row r="17" spans="1:253" x14ac:dyDescent="0.3">
      <c r="A17" s="8"/>
      <c r="B17" s="9" t="s">
        <v>23</v>
      </c>
      <c r="C17" s="10" t="s">
        <v>14</v>
      </c>
      <c r="D17" s="10" t="s">
        <v>15</v>
      </c>
      <c r="E17" s="22">
        <v>1291.74</v>
      </c>
      <c r="F17" s="22">
        <v>1248.2</v>
      </c>
      <c r="G17" s="22">
        <v>943.9</v>
      </c>
      <c r="H17" s="22">
        <v>560.70000000000005</v>
      </c>
      <c r="I17" s="22">
        <v>842.19</v>
      </c>
      <c r="J17" s="22">
        <v>1122.29</v>
      </c>
      <c r="K17" s="22">
        <v>1100.8399999999999</v>
      </c>
      <c r="L17" s="22">
        <v>1115.8800000000001</v>
      </c>
      <c r="M17" s="22">
        <v>983.2</v>
      </c>
      <c r="N17" s="22">
        <v>1087.7</v>
      </c>
      <c r="O17" s="22">
        <v>1187.7</v>
      </c>
      <c r="P17" s="22">
        <v>1023.58</v>
      </c>
      <c r="Q17" s="22">
        <v>715.36</v>
      </c>
      <c r="R17" s="22">
        <v>0</v>
      </c>
      <c r="S17" s="22">
        <v>582.85</v>
      </c>
      <c r="T17" s="22">
        <v>1181.5999999999999</v>
      </c>
      <c r="U17" s="22">
        <v>1185.2</v>
      </c>
      <c r="V17" s="22">
        <v>1230.8699999999999</v>
      </c>
      <c r="W17" s="22">
        <v>1191.76</v>
      </c>
      <c r="X17" s="22">
        <v>1251.55</v>
      </c>
      <c r="Y17" s="22">
        <v>1174.47</v>
      </c>
      <c r="Z17" s="22">
        <v>1115.1099999999999</v>
      </c>
      <c r="AA17" s="22">
        <v>1070.18</v>
      </c>
      <c r="AB17" s="22">
        <v>1027.5</v>
      </c>
      <c r="AC17" s="22">
        <v>1163.55</v>
      </c>
      <c r="AD17" s="22">
        <v>1110.3399999999999</v>
      </c>
      <c r="AE17" s="22">
        <v>1172.1099999999999</v>
      </c>
      <c r="AF17" s="22">
        <v>1144.53</v>
      </c>
      <c r="AG17" s="22">
        <v>1104.73</v>
      </c>
      <c r="AH17" s="22">
        <v>1074.6199999999999</v>
      </c>
      <c r="AI17" s="22">
        <v>1092.42</v>
      </c>
      <c r="AJ17" s="11"/>
    </row>
    <row r="18" spans="1:253" x14ac:dyDescent="0.3">
      <c r="A18" s="8"/>
      <c r="B18" s="9" t="s">
        <v>24</v>
      </c>
      <c r="C18" s="10" t="s">
        <v>14</v>
      </c>
      <c r="D18" s="10" t="s">
        <v>15</v>
      </c>
      <c r="E18" s="22">
        <v>137.29</v>
      </c>
      <c r="F18" s="22">
        <v>137.02000000000001</v>
      </c>
      <c r="G18" s="22">
        <v>107.7</v>
      </c>
      <c r="H18" s="22">
        <v>110.3</v>
      </c>
      <c r="I18" s="22">
        <v>86.73</v>
      </c>
      <c r="J18" s="22">
        <v>122.74</v>
      </c>
      <c r="K18" s="22">
        <v>122.32</v>
      </c>
      <c r="L18" s="22">
        <v>126.81</v>
      </c>
      <c r="M18" s="22">
        <v>121.06</v>
      </c>
      <c r="N18" s="22">
        <v>130.1</v>
      </c>
      <c r="O18" s="22">
        <v>131.4</v>
      </c>
      <c r="P18" s="22">
        <v>126.59</v>
      </c>
      <c r="Q18" s="23">
        <v>93.09</v>
      </c>
      <c r="R18" s="22">
        <v>0</v>
      </c>
      <c r="S18" s="22">
        <v>59.9</v>
      </c>
      <c r="T18" s="22">
        <v>124.61</v>
      </c>
      <c r="U18" s="22">
        <v>121.87</v>
      </c>
      <c r="V18" s="22">
        <v>133.03</v>
      </c>
      <c r="W18" s="22">
        <v>130.76</v>
      </c>
      <c r="X18" s="22">
        <v>133.26</v>
      </c>
      <c r="Y18" s="22">
        <v>121.27</v>
      </c>
      <c r="Z18" s="22">
        <v>111.5</v>
      </c>
      <c r="AA18" s="22">
        <v>110.57</v>
      </c>
      <c r="AB18" s="22">
        <v>107.82</v>
      </c>
      <c r="AC18" s="22">
        <v>122.86</v>
      </c>
      <c r="AD18" s="22">
        <v>116.08</v>
      </c>
      <c r="AE18" s="22">
        <v>119.28</v>
      </c>
      <c r="AF18" s="22">
        <v>122.15</v>
      </c>
      <c r="AG18" s="22">
        <v>122.43</v>
      </c>
      <c r="AH18" s="22">
        <v>118.18</v>
      </c>
      <c r="AI18" s="22">
        <v>107.15</v>
      </c>
      <c r="AJ18" s="11"/>
    </row>
    <row r="19" spans="1:253" x14ac:dyDescent="0.3">
      <c r="A19" s="8"/>
      <c r="B19" s="9" t="s">
        <v>16</v>
      </c>
      <c r="C19" s="10" t="s">
        <v>14</v>
      </c>
      <c r="D19" s="10" t="s">
        <v>17</v>
      </c>
      <c r="E19" s="26">
        <f t="shared" ref="E19:J19" si="12">E13</f>
        <v>5.24</v>
      </c>
      <c r="F19" s="26">
        <f t="shared" si="12"/>
        <v>5.3</v>
      </c>
      <c r="G19" s="26">
        <f t="shared" si="12"/>
        <v>5.71</v>
      </c>
      <c r="H19" s="26">
        <f t="shared" si="12"/>
        <v>5.55</v>
      </c>
      <c r="I19" s="26">
        <f t="shared" si="12"/>
        <v>5.44</v>
      </c>
      <c r="J19" s="26">
        <f t="shared" si="12"/>
        <v>5.38</v>
      </c>
      <c r="K19" s="26">
        <f t="shared" ref="K19:AH19" si="13">K13</f>
        <v>5.31</v>
      </c>
      <c r="L19" s="26">
        <f t="shared" si="13"/>
        <v>5.3</v>
      </c>
      <c r="M19" s="26">
        <f t="shared" si="13"/>
        <v>4.8899999999999997</v>
      </c>
      <c r="N19" s="26">
        <f t="shared" si="13"/>
        <v>5.43</v>
      </c>
      <c r="O19" s="26">
        <f t="shared" si="13"/>
        <v>5.32</v>
      </c>
      <c r="P19" s="26">
        <f t="shared" si="13"/>
        <v>5.45</v>
      </c>
      <c r="Q19" s="26">
        <f t="shared" si="13"/>
        <v>5.52</v>
      </c>
      <c r="R19" s="26">
        <f>R13</f>
        <v>6.32</v>
      </c>
      <c r="S19" s="26">
        <f>S13</f>
        <v>5.56</v>
      </c>
      <c r="T19" s="26">
        <f t="shared" si="13"/>
        <v>5.27</v>
      </c>
      <c r="U19" s="26">
        <f t="shared" si="13"/>
        <v>5.3</v>
      </c>
      <c r="V19" s="26">
        <f t="shared" si="13"/>
        <v>5.35</v>
      </c>
      <c r="W19" s="26">
        <f t="shared" si="13"/>
        <v>5.32</v>
      </c>
      <c r="X19" s="26">
        <f t="shared" si="13"/>
        <v>5.28</v>
      </c>
      <c r="Y19" s="26">
        <f t="shared" si="13"/>
        <v>5.32</v>
      </c>
      <c r="Z19" s="26">
        <f t="shared" si="13"/>
        <v>5.32</v>
      </c>
      <c r="AA19" s="26">
        <f t="shared" si="13"/>
        <v>5.39</v>
      </c>
      <c r="AB19" s="26">
        <f t="shared" si="13"/>
        <v>5.39</v>
      </c>
      <c r="AC19" s="26">
        <f t="shared" si="13"/>
        <v>5.28</v>
      </c>
      <c r="AD19" s="26">
        <f t="shared" si="13"/>
        <v>5.34</v>
      </c>
      <c r="AE19" s="26">
        <f t="shared" si="13"/>
        <v>5.3</v>
      </c>
      <c r="AF19" s="26">
        <f t="shared" si="13"/>
        <v>5.48</v>
      </c>
      <c r="AG19" s="26">
        <f t="shared" si="13"/>
        <v>5.4</v>
      </c>
      <c r="AH19" s="26">
        <f t="shared" si="13"/>
        <v>5.37</v>
      </c>
      <c r="AI19" s="26">
        <f>AI13</f>
        <v>5.32</v>
      </c>
      <c r="AJ19" s="11"/>
    </row>
    <row r="20" spans="1:253" x14ac:dyDescent="0.3">
      <c r="A20" s="8"/>
      <c r="B20" s="24" t="s">
        <v>25</v>
      </c>
      <c r="C20" s="10" t="s">
        <v>14</v>
      </c>
      <c r="D20" s="10" t="s">
        <v>19</v>
      </c>
      <c r="E20" s="23">
        <f t="shared" ref="E20:AH20" si="14">(E17+E18)/E19*1000</f>
        <v>272715.64885496185</v>
      </c>
      <c r="F20" s="23">
        <f t="shared" si="14"/>
        <v>261362.2641509434</v>
      </c>
      <c r="G20" s="23">
        <f t="shared" si="14"/>
        <v>184168.12609457091</v>
      </c>
      <c r="H20" s="23">
        <f t="shared" si="14"/>
        <v>120900.9009009009</v>
      </c>
      <c r="I20" s="23">
        <f t="shared" si="14"/>
        <v>170757.35294117648</v>
      </c>
      <c r="J20" s="23">
        <f t="shared" si="14"/>
        <v>231418.2156133829</v>
      </c>
      <c r="K20" s="23">
        <f t="shared" si="14"/>
        <v>230350.28248587571</v>
      </c>
      <c r="L20" s="23">
        <f t="shared" si="14"/>
        <v>234469.81132075473</v>
      </c>
      <c r="M20" s="23">
        <f t="shared" si="14"/>
        <v>225820.04089979551</v>
      </c>
      <c r="N20" s="23">
        <f t="shared" si="14"/>
        <v>224272.55985267035</v>
      </c>
      <c r="O20" s="23">
        <f t="shared" si="14"/>
        <v>247951.12781954888</v>
      </c>
      <c r="P20" s="23">
        <f t="shared" si="14"/>
        <v>211040.36697247709</v>
      </c>
      <c r="Q20" s="23">
        <f t="shared" si="14"/>
        <v>146458.33333333334</v>
      </c>
      <c r="R20" s="23">
        <f t="shared" si="14"/>
        <v>0</v>
      </c>
      <c r="S20" s="23">
        <f t="shared" si="14"/>
        <v>115602.51798561151</v>
      </c>
      <c r="T20" s="23">
        <f t="shared" si="14"/>
        <v>247857.68500948764</v>
      </c>
      <c r="U20" s="23">
        <f t="shared" si="14"/>
        <v>246616.98113207551</v>
      </c>
      <c r="V20" s="23">
        <f t="shared" si="14"/>
        <v>254934.57943925232</v>
      </c>
      <c r="W20" s="23">
        <f t="shared" si="14"/>
        <v>248593.98496240602</v>
      </c>
      <c r="X20" s="23">
        <f t="shared" si="14"/>
        <v>262274.62121212122</v>
      </c>
      <c r="Y20" s="23">
        <f t="shared" si="14"/>
        <v>243560.15037593982</v>
      </c>
      <c r="Z20" s="23">
        <f t="shared" si="14"/>
        <v>230565.78947368418</v>
      </c>
      <c r="AA20" s="23">
        <f t="shared" si="14"/>
        <v>219063.07977736552</v>
      </c>
      <c r="AB20" s="23">
        <f t="shared" si="14"/>
        <v>210634.50834879407</v>
      </c>
      <c r="AC20" s="23">
        <f t="shared" si="14"/>
        <v>243638.25757575754</v>
      </c>
      <c r="AD20" s="23">
        <f t="shared" si="14"/>
        <v>229666.66666666666</v>
      </c>
      <c r="AE20" s="23">
        <f t="shared" si="14"/>
        <v>243658.49056603774</v>
      </c>
      <c r="AF20" s="23">
        <f t="shared" si="14"/>
        <v>231145.98540145985</v>
      </c>
      <c r="AG20" s="23">
        <f t="shared" si="14"/>
        <v>227251.85185185185</v>
      </c>
      <c r="AH20" s="23">
        <f t="shared" si="14"/>
        <v>222122.90502793295</v>
      </c>
      <c r="AI20" s="23">
        <f>(AI17+AI18)/AI19*1000</f>
        <v>225483.08270676693</v>
      </c>
      <c r="AJ20" s="28">
        <f>SUMIF(E21:AI21,"&gt;7905",E20:AI20)</f>
        <v>5810653.23987024</v>
      </c>
    </row>
    <row r="21" spans="1:253" x14ac:dyDescent="0.3">
      <c r="A21" s="8"/>
      <c r="B21" s="9" t="s">
        <v>20</v>
      </c>
      <c r="C21" s="10" t="s">
        <v>14</v>
      </c>
      <c r="D21" s="10" t="s">
        <v>15</v>
      </c>
      <c r="E21" s="34">
        <f>E90</f>
        <v>9375</v>
      </c>
      <c r="F21" s="34">
        <f t="shared" ref="F21:AH21" si="15">F90</f>
        <v>8770</v>
      </c>
      <c r="G21" s="34">
        <f t="shared" si="15"/>
        <v>7093</v>
      </c>
      <c r="H21" s="34">
        <f t="shared" si="15"/>
        <v>7519</v>
      </c>
      <c r="I21" s="34">
        <f t="shared" si="15"/>
        <v>6982</v>
      </c>
      <c r="J21" s="34">
        <f t="shared" si="15"/>
        <v>7740</v>
      </c>
      <c r="K21" s="34">
        <f t="shared" si="15"/>
        <v>8428</v>
      </c>
      <c r="L21" s="34">
        <f t="shared" si="15"/>
        <v>8817</v>
      </c>
      <c r="M21" s="34">
        <f t="shared" si="15"/>
        <v>8510</v>
      </c>
      <c r="N21" s="34">
        <f t="shared" si="15"/>
        <v>8708</v>
      </c>
      <c r="O21" s="34">
        <f t="shared" si="15"/>
        <v>9225</v>
      </c>
      <c r="P21" s="34">
        <f t="shared" si="15"/>
        <v>8820</v>
      </c>
      <c r="Q21" s="34">
        <f t="shared" si="15"/>
        <v>6825</v>
      </c>
      <c r="R21" s="34">
        <f t="shared" si="15"/>
        <v>0</v>
      </c>
      <c r="S21" s="34">
        <f t="shared" si="15"/>
        <v>9102</v>
      </c>
      <c r="T21" s="34">
        <f t="shared" si="15"/>
        <v>9038</v>
      </c>
      <c r="U21" s="34">
        <f t="shared" si="15"/>
        <v>9003</v>
      </c>
      <c r="V21" s="34">
        <f t="shared" si="15"/>
        <v>8973</v>
      </c>
      <c r="W21" s="34">
        <f t="shared" si="15"/>
        <v>9009</v>
      </c>
      <c r="X21" s="34">
        <f t="shared" si="15"/>
        <v>9010</v>
      </c>
      <c r="Y21" s="34">
        <f t="shared" si="15"/>
        <v>9005</v>
      </c>
      <c r="Z21" s="34">
        <f t="shared" si="15"/>
        <v>9002</v>
      </c>
      <c r="AA21" s="34">
        <f t="shared" si="15"/>
        <v>9007</v>
      </c>
      <c r="AB21" s="34">
        <f t="shared" si="15"/>
        <v>8533</v>
      </c>
      <c r="AC21" s="34">
        <f t="shared" si="15"/>
        <v>8890</v>
      </c>
      <c r="AD21" s="34">
        <f t="shared" si="15"/>
        <v>9009</v>
      </c>
      <c r="AE21" s="34">
        <f t="shared" si="15"/>
        <v>9122</v>
      </c>
      <c r="AF21" s="34">
        <f t="shared" si="15"/>
        <v>9002</v>
      </c>
      <c r="AG21" s="34">
        <f t="shared" si="15"/>
        <v>8866</v>
      </c>
      <c r="AH21" s="34">
        <f t="shared" si="15"/>
        <v>8734</v>
      </c>
      <c r="AI21" s="34">
        <f>AI90</f>
        <v>9267</v>
      </c>
      <c r="AJ21" s="30">
        <f>SUM(,E21:AI21)</f>
        <v>259384</v>
      </c>
      <c r="AK21" s="31">
        <f>AJ21+'Apr-24'!AI21</f>
        <v>514051</v>
      </c>
    </row>
    <row r="22" spans="1:253" s="19" customFormat="1" x14ac:dyDescent="0.3">
      <c r="A22" s="13">
        <v>5</v>
      </c>
      <c r="B22" s="14" t="s">
        <v>26</v>
      </c>
      <c r="C22" s="15" t="s">
        <v>14</v>
      </c>
      <c r="D22" s="15" t="s">
        <v>22</v>
      </c>
      <c r="E22" s="32">
        <f>E20/E21</f>
        <v>29.089669211195933</v>
      </c>
      <c r="F22" s="32">
        <f>F20/F21</f>
        <v>29.801854521202213</v>
      </c>
      <c r="G22" s="32">
        <f>G20/G21</f>
        <v>25.964771760125604</v>
      </c>
      <c r="H22" s="32">
        <f t="shared" ref="H22:AH22" si="16">H20/H21</f>
        <v>16.079385676406556</v>
      </c>
      <c r="I22" s="32">
        <f t="shared" si="16"/>
        <v>24.456796468229228</v>
      </c>
      <c r="J22" s="32">
        <f t="shared" si="16"/>
        <v>29.898994265294949</v>
      </c>
      <c r="K22" s="32">
        <f t="shared" si="16"/>
        <v>27.331547518494983</v>
      </c>
      <c r="L22" s="32">
        <f t="shared" si="16"/>
        <v>26.592924046813511</v>
      </c>
      <c r="M22" s="35">
        <f t="shared" si="16"/>
        <v>26.535844994100529</v>
      </c>
      <c r="N22" s="32">
        <f t="shared" si="16"/>
        <v>25.754772605956632</v>
      </c>
      <c r="O22" s="32">
        <f t="shared" si="16"/>
        <v>26.878171037349471</v>
      </c>
      <c r="P22" s="32">
        <f t="shared" si="16"/>
        <v>23.92747924858017</v>
      </c>
      <c r="Q22" s="32">
        <f t="shared" si="16"/>
        <v>21.459096459096461</v>
      </c>
      <c r="R22" s="32" t="e">
        <f t="shared" si="16"/>
        <v>#DIV/0!</v>
      </c>
      <c r="S22" s="32">
        <f t="shared" si="16"/>
        <v>12.700782024347562</v>
      </c>
      <c r="T22" s="32">
        <f t="shared" si="16"/>
        <v>27.423952756084049</v>
      </c>
      <c r="U22" s="32">
        <f t="shared" si="16"/>
        <v>27.392755873828225</v>
      </c>
      <c r="V22" s="32">
        <f t="shared" si="16"/>
        <v>28.411298276970058</v>
      </c>
      <c r="W22" s="32">
        <f t="shared" si="16"/>
        <v>27.593959924786994</v>
      </c>
      <c r="X22" s="32">
        <f t="shared" si="16"/>
        <v>29.109280933642754</v>
      </c>
      <c r="Y22" s="32">
        <f t="shared" si="16"/>
        <v>27.047212701381433</v>
      </c>
      <c r="Z22" s="32">
        <f t="shared" si="16"/>
        <v>25.612729335001575</v>
      </c>
      <c r="AA22" s="32">
        <f>AA20/AA21</f>
        <v>24.321425533181472</v>
      </c>
      <c r="AB22" s="32">
        <f t="shared" si="16"/>
        <v>24.684695693049814</v>
      </c>
      <c r="AC22" s="32">
        <f t="shared" si="16"/>
        <v>27.405878242492413</v>
      </c>
      <c r="AD22" s="32">
        <f t="shared" si="16"/>
        <v>25.493025493025492</v>
      </c>
      <c r="AE22" s="32">
        <f t="shared" si="16"/>
        <v>26.711082061613432</v>
      </c>
      <c r="AF22" s="32">
        <f t="shared" si="16"/>
        <v>25.677181226556304</v>
      </c>
      <c r="AG22" s="32">
        <f t="shared" si="16"/>
        <v>25.631835309254665</v>
      </c>
      <c r="AH22" s="32">
        <f t="shared" si="16"/>
        <v>25.431979050599146</v>
      </c>
      <c r="AI22" s="32">
        <f>AI20/AI21</f>
        <v>24.331831521179122</v>
      </c>
      <c r="AJ22" s="36">
        <f>AJ20/AJ21</f>
        <v>22.401741201732719</v>
      </c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</row>
    <row r="23" spans="1:253" s="19" customFormat="1" x14ac:dyDescent="0.3">
      <c r="A23" s="13"/>
      <c r="B23" s="14" t="s">
        <v>27</v>
      </c>
      <c r="C23" s="15" t="s">
        <v>14</v>
      </c>
      <c r="D23" s="15" t="s">
        <v>19</v>
      </c>
      <c r="E23" s="32">
        <v>470980</v>
      </c>
      <c r="F23" s="32">
        <v>467370</v>
      </c>
      <c r="G23" s="32">
        <v>339540</v>
      </c>
      <c r="H23" s="32">
        <v>352080</v>
      </c>
      <c r="I23" s="32">
        <v>361000</v>
      </c>
      <c r="J23" s="32">
        <v>427360</v>
      </c>
      <c r="K23" s="32">
        <v>427460</v>
      </c>
      <c r="L23" s="32">
        <v>442030</v>
      </c>
      <c r="M23" s="35">
        <v>446920</v>
      </c>
      <c r="N23" s="32">
        <v>422110</v>
      </c>
      <c r="O23" s="32">
        <v>450530</v>
      </c>
      <c r="P23" s="32">
        <v>401530</v>
      </c>
      <c r="Q23" s="32">
        <v>328860</v>
      </c>
      <c r="R23" s="32">
        <v>109170</v>
      </c>
      <c r="S23" s="32">
        <v>275740</v>
      </c>
      <c r="T23" s="32">
        <v>444250</v>
      </c>
      <c r="U23" s="32">
        <v>442920</v>
      </c>
      <c r="V23" s="32">
        <v>440500</v>
      </c>
      <c r="W23" s="32">
        <v>444210</v>
      </c>
      <c r="X23" s="32">
        <v>463750</v>
      </c>
      <c r="Y23" s="32">
        <v>441020</v>
      </c>
      <c r="Z23" s="32">
        <v>421260</v>
      </c>
      <c r="AA23" s="32">
        <v>398380</v>
      </c>
      <c r="AB23" s="32">
        <v>403530</v>
      </c>
      <c r="AC23" s="32">
        <v>458710</v>
      </c>
      <c r="AD23" s="32">
        <v>428640</v>
      </c>
      <c r="AE23" s="32">
        <v>448510</v>
      </c>
      <c r="AF23" s="32">
        <v>377650</v>
      </c>
      <c r="AG23" s="32">
        <v>411730</v>
      </c>
      <c r="AH23" s="32">
        <v>415170</v>
      </c>
      <c r="AI23" s="32">
        <v>428480</v>
      </c>
      <c r="AJ23" s="28">
        <f>SUM(E23:AI23)</f>
        <v>12591390</v>
      </c>
      <c r="AK23" s="31">
        <f>AJ23+'Apr-24'!AI23+'May-24'!AJ23</f>
        <v>37876860</v>
      </c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</row>
    <row r="24" spans="1:253" s="19" customFormat="1" x14ac:dyDescent="0.3">
      <c r="A24" s="13">
        <v>6</v>
      </c>
      <c r="B24" s="14" t="s">
        <v>28</v>
      </c>
      <c r="C24" s="15" t="s">
        <v>14</v>
      </c>
      <c r="D24" s="15" t="s">
        <v>22</v>
      </c>
      <c r="E24" s="32">
        <f t="shared" ref="E24:AE24" si="17">E23/(E89+E90)</f>
        <v>28.919317204961317</v>
      </c>
      <c r="F24" s="32">
        <f t="shared" si="17"/>
        <v>29.366635249764375</v>
      </c>
      <c r="G24" s="32">
        <f t="shared" si="17"/>
        <v>25.149248203836752</v>
      </c>
      <c r="H24" s="32">
        <f t="shared" si="17"/>
        <v>26.033717834960072</v>
      </c>
      <c r="I24" s="32">
        <f>I23/(I89+I90)</f>
        <v>27.63742152809677</v>
      </c>
      <c r="J24" s="32">
        <f t="shared" si="17"/>
        <v>30.723220704529115</v>
      </c>
      <c r="K24" s="32">
        <f t="shared" si="17"/>
        <v>27.914843596943772</v>
      </c>
      <c r="L24" s="32">
        <f t="shared" si="17"/>
        <v>28.302599564604943</v>
      </c>
      <c r="M24" s="35">
        <f t="shared" si="17"/>
        <v>28.805671930389945</v>
      </c>
      <c r="N24" s="32">
        <f t="shared" si="17"/>
        <v>26.671932263364084</v>
      </c>
      <c r="O24" s="32">
        <f t="shared" si="17"/>
        <v>27.595859365429376</v>
      </c>
      <c r="P24" s="32">
        <f t="shared" si="17"/>
        <v>25.028361279062519</v>
      </c>
      <c r="Q24" s="32">
        <f t="shared" si="17"/>
        <v>23.764994941465531</v>
      </c>
      <c r="R24" s="32">
        <f>R23/(R89+R90)</f>
        <v>14.871270944013077</v>
      </c>
      <c r="S24" s="32">
        <f t="shared" si="17"/>
        <v>17.289942312515677</v>
      </c>
      <c r="T24" s="32">
        <f t="shared" si="17"/>
        <v>27.284731605453874</v>
      </c>
      <c r="U24" s="32">
        <f t="shared" si="17"/>
        <v>27.944479495268141</v>
      </c>
      <c r="V24" s="32">
        <f t="shared" si="17"/>
        <v>27.72707244917228</v>
      </c>
      <c r="W24" s="32">
        <f t="shared" si="17"/>
        <v>27.801351858805859</v>
      </c>
      <c r="X24" s="32">
        <f t="shared" si="17"/>
        <v>28.957227599125819</v>
      </c>
      <c r="Y24" s="32">
        <f t="shared" si="17"/>
        <v>27.093008969160831</v>
      </c>
      <c r="Z24" s="32">
        <f t="shared" si="17"/>
        <v>26.313948404022739</v>
      </c>
      <c r="AA24" s="32">
        <f t="shared" si="17"/>
        <v>24.873876123876123</v>
      </c>
      <c r="AB24" s="32">
        <f t="shared" si="17"/>
        <v>25.764908696207382</v>
      </c>
      <c r="AC24" s="32">
        <f t="shared" si="17"/>
        <v>28.50369725967812</v>
      </c>
      <c r="AD24" s="32">
        <f t="shared" si="17"/>
        <v>26.271144888453051</v>
      </c>
      <c r="AE24" s="32">
        <f t="shared" si="17"/>
        <v>27.553139206290698</v>
      </c>
      <c r="AF24" s="32">
        <f>AF23/(AF89+AF90)</f>
        <v>24.247191011235955</v>
      </c>
      <c r="AG24" s="32">
        <f>AG23/(AG89+AG90)</f>
        <v>25.947189311822537</v>
      </c>
      <c r="AH24" s="32">
        <f>AH23/(AH89+AH90)</f>
        <v>26.083432807689892</v>
      </c>
      <c r="AI24" s="32">
        <f>AI23/(AI89+AI90)</f>
        <v>25.913516782582402</v>
      </c>
      <c r="AJ24" s="33">
        <f>AJ23/(AJ15+AJ21)</f>
        <v>26.534724197882092</v>
      </c>
      <c r="AK24" s="33">
        <f>AK23/(AK15+AK21)</f>
        <v>40.144757802538827</v>
      </c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</row>
    <row r="25" spans="1:253" x14ac:dyDescent="0.3">
      <c r="A25" s="8"/>
      <c r="B25" s="9" t="s">
        <v>29</v>
      </c>
      <c r="C25" s="10" t="s">
        <v>30</v>
      </c>
      <c r="D25" s="10" t="s">
        <v>31</v>
      </c>
      <c r="E25" s="38"/>
      <c r="F25" s="38"/>
      <c r="G25" s="38"/>
      <c r="H25" s="38"/>
      <c r="I25" s="38"/>
      <c r="J25" s="38"/>
      <c r="K25" s="38"/>
      <c r="L25" s="38"/>
      <c r="M25" s="39"/>
      <c r="N25" s="40"/>
      <c r="O25" s="40"/>
      <c r="P25" s="40"/>
      <c r="Q25" s="39"/>
      <c r="R25" s="40"/>
      <c r="S25" s="40"/>
      <c r="T25" s="40"/>
      <c r="U25" s="40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8"/>
    </row>
    <row r="26" spans="1:253" x14ac:dyDescent="0.3">
      <c r="A26" s="8"/>
      <c r="B26" s="9" t="s">
        <v>32</v>
      </c>
      <c r="C26" s="10" t="s">
        <v>30</v>
      </c>
      <c r="D26" s="10" t="s">
        <v>31</v>
      </c>
      <c r="E26" s="38"/>
      <c r="F26" s="38"/>
      <c r="G26" s="38"/>
      <c r="H26" s="38"/>
      <c r="I26" s="38"/>
      <c r="J26" s="38"/>
      <c r="K26" s="38"/>
      <c r="L26" s="38"/>
      <c r="M26" s="39"/>
      <c r="N26" s="40"/>
      <c r="O26" s="40"/>
      <c r="P26" s="40"/>
      <c r="Q26" s="39"/>
      <c r="R26" s="40"/>
      <c r="S26" s="40"/>
      <c r="T26" s="40"/>
      <c r="U26" s="40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8"/>
    </row>
    <row r="27" spans="1:253" s="19" customFormat="1" x14ac:dyDescent="0.3">
      <c r="A27" s="13">
        <v>7</v>
      </c>
      <c r="B27" s="14" t="s">
        <v>33</v>
      </c>
      <c r="C27" s="15" t="s">
        <v>30</v>
      </c>
      <c r="D27" s="15" t="s">
        <v>34</v>
      </c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28" t="e">
        <f>(AVERAGE(E27:AI27)*31)/1000</f>
        <v>#DIV/0!</v>
      </c>
      <c r="AK27" s="12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</row>
    <row r="28" spans="1:253" x14ac:dyDescent="0.3">
      <c r="A28" s="24"/>
      <c r="B28" s="9" t="s">
        <v>35</v>
      </c>
      <c r="C28" s="10" t="s">
        <v>36</v>
      </c>
      <c r="D28" s="10" t="s">
        <v>7</v>
      </c>
      <c r="E28" s="10">
        <v>23</v>
      </c>
      <c r="F28" s="10">
        <v>64</v>
      </c>
      <c r="G28" s="10">
        <v>0</v>
      </c>
      <c r="H28" s="10">
        <v>32</v>
      </c>
      <c r="I28" s="10">
        <v>55</v>
      </c>
      <c r="J28" s="10">
        <v>0</v>
      </c>
      <c r="K28" s="10">
        <v>54</v>
      </c>
      <c r="L28" s="10">
        <v>46</v>
      </c>
      <c r="M28" s="10">
        <v>34</v>
      </c>
      <c r="N28" s="10">
        <v>47</v>
      </c>
      <c r="O28" s="10">
        <v>65</v>
      </c>
      <c r="P28" s="10">
        <v>37</v>
      </c>
      <c r="Q28" s="10">
        <v>67</v>
      </c>
      <c r="R28" s="10">
        <v>53</v>
      </c>
      <c r="S28" s="10">
        <v>53</v>
      </c>
      <c r="T28" s="10">
        <v>66</v>
      </c>
      <c r="U28" s="10">
        <v>85</v>
      </c>
      <c r="V28" s="10">
        <v>56</v>
      </c>
      <c r="W28" s="10">
        <v>65</v>
      </c>
      <c r="X28" s="10">
        <v>58</v>
      </c>
      <c r="Y28" s="10">
        <v>43</v>
      </c>
      <c r="Z28" s="10">
        <v>72</v>
      </c>
      <c r="AA28" s="10">
        <v>81</v>
      </c>
      <c r="AB28" s="10">
        <v>48</v>
      </c>
      <c r="AC28" s="10">
        <v>92</v>
      </c>
      <c r="AD28" s="10">
        <v>68</v>
      </c>
      <c r="AE28" s="10">
        <v>69</v>
      </c>
      <c r="AF28" s="10">
        <v>76</v>
      </c>
      <c r="AG28" s="10">
        <v>55</v>
      </c>
      <c r="AH28" s="10">
        <v>63</v>
      </c>
      <c r="AI28" s="10">
        <v>72</v>
      </c>
      <c r="AJ28" s="28">
        <f t="shared" ref="AJ28:AJ32" si="18">SUM(E28:AI28)</f>
        <v>1699</v>
      </c>
      <c r="AK28" s="31">
        <f>AJ28+'Apr-24'!AI28</f>
        <v>2579</v>
      </c>
      <c r="AL28" s="12">
        <f>AJ29+AJ30</f>
        <v>2492</v>
      </c>
    </row>
    <row r="29" spans="1:253" x14ac:dyDescent="0.3">
      <c r="A29" s="24"/>
      <c r="B29" s="9" t="s">
        <v>37</v>
      </c>
      <c r="C29" s="10" t="s">
        <v>36</v>
      </c>
      <c r="D29" s="10" t="s">
        <v>7</v>
      </c>
      <c r="E29" s="10">
        <v>34</v>
      </c>
      <c r="F29" s="10">
        <v>0</v>
      </c>
      <c r="G29" s="10">
        <v>41</v>
      </c>
      <c r="H29" s="10">
        <v>0</v>
      </c>
      <c r="I29" s="10">
        <v>93</v>
      </c>
      <c r="J29" s="10">
        <v>23</v>
      </c>
      <c r="K29" s="10">
        <v>0</v>
      </c>
      <c r="L29" s="10">
        <v>65</v>
      </c>
      <c r="M29" s="10">
        <v>0</v>
      </c>
      <c r="N29" s="10">
        <v>0</v>
      </c>
      <c r="O29" s="10">
        <v>67</v>
      </c>
      <c r="P29" s="10">
        <v>37</v>
      </c>
      <c r="Q29" s="10">
        <v>29</v>
      </c>
      <c r="R29" s="10">
        <v>0</v>
      </c>
      <c r="S29" s="10">
        <v>52</v>
      </c>
      <c r="T29" s="22">
        <v>15</v>
      </c>
      <c r="U29" s="10">
        <v>38</v>
      </c>
      <c r="V29" s="10">
        <v>42</v>
      </c>
      <c r="W29" s="10">
        <v>44</v>
      </c>
      <c r="X29" s="10">
        <v>79</v>
      </c>
      <c r="Y29" s="10">
        <v>16</v>
      </c>
      <c r="Z29" s="10">
        <v>65</v>
      </c>
      <c r="AA29" s="10">
        <v>24</v>
      </c>
      <c r="AB29" s="10">
        <v>75</v>
      </c>
      <c r="AC29" s="10">
        <v>0</v>
      </c>
      <c r="AD29" s="10">
        <v>35</v>
      </c>
      <c r="AE29" s="10">
        <v>41</v>
      </c>
      <c r="AF29" s="10">
        <v>34</v>
      </c>
      <c r="AG29" s="10">
        <v>13</v>
      </c>
      <c r="AH29" s="10">
        <v>18</v>
      </c>
      <c r="AI29" s="10">
        <v>109</v>
      </c>
      <c r="AJ29" s="28">
        <f>SUM(E29:AI29)</f>
        <v>1089</v>
      </c>
      <c r="AK29" s="31">
        <f>AJ29+'Apr-24'!AI29</f>
        <v>2412</v>
      </c>
      <c r="AL29">
        <f>AJ100+AJ103</f>
        <v>88966</v>
      </c>
    </row>
    <row r="30" spans="1:253" x14ac:dyDescent="0.3">
      <c r="A30" s="24"/>
      <c r="B30" s="9" t="s">
        <v>38</v>
      </c>
      <c r="C30" s="10" t="s">
        <v>36</v>
      </c>
      <c r="D30" s="10" t="s">
        <v>7</v>
      </c>
      <c r="E30" s="10">
        <v>64</v>
      </c>
      <c r="F30" s="10">
        <v>65</v>
      </c>
      <c r="G30" s="10">
        <v>38</v>
      </c>
      <c r="H30" s="10">
        <v>36</v>
      </c>
      <c r="I30" s="10">
        <v>0</v>
      </c>
      <c r="J30" s="10">
        <v>73</v>
      </c>
      <c r="K30" s="10">
        <v>29</v>
      </c>
      <c r="L30" s="10">
        <v>68</v>
      </c>
      <c r="M30" s="10">
        <v>29</v>
      </c>
      <c r="N30" s="10">
        <v>0</v>
      </c>
      <c r="O30" s="10">
        <v>0</v>
      </c>
      <c r="P30" s="10">
        <v>97</v>
      </c>
      <c r="Q30" s="10">
        <v>27</v>
      </c>
      <c r="R30" s="10">
        <v>0</v>
      </c>
      <c r="S30" s="10">
        <v>92</v>
      </c>
      <c r="T30" s="22">
        <v>29</v>
      </c>
      <c r="U30" s="10">
        <v>0</v>
      </c>
      <c r="V30" s="10">
        <v>0</v>
      </c>
      <c r="W30" s="10">
        <v>67</v>
      </c>
      <c r="X30" s="10">
        <v>119</v>
      </c>
      <c r="Y30" s="10">
        <v>60</v>
      </c>
      <c r="Z30" s="10">
        <v>0</v>
      </c>
      <c r="AA30" s="10">
        <v>0</v>
      </c>
      <c r="AB30" s="10">
        <v>156</v>
      </c>
      <c r="AC30" s="10">
        <v>0</v>
      </c>
      <c r="AD30" s="10">
        <v>0</v>
      </c>
      <c r="AE30" s="10">
        <v>49</v>
      </c>
      <c r="AF30" s="10">
        <v>67</v>
      </c>
      <c r="AG30" s="10">
        <v>51</v>
      </c>
      <c r="AH30" s="10">
        <v>101</v>
      </c>
      <c r="AI30" s="10">
        <v>86</v>
      </c>
      <c r="AJ30" s="28">
        <f t="shared" si="18"/>
        <v>1403</v>
      </c>
      <c r="AK30" s="31">
        <f>AJ30+'Apr-24'!AI30</f>
        <v>2856</v>
      </c>
      <c r="AL30" s="296">
        <f>AL28/AL29</f>
        <v>2.8010700717127891E-2</v>
      </c>
      <c r="AM30" t="s">
        <v>275</v>
      </c>
    </row>
    <row r="31" spans="1:253" x14ac:dyDescent="0.3">
      <c r="A31" s="24"/>
      <c r="B31" s="9" t="s">
        <v>39</v>
      </c>
      <c r="C31" s="10" t="s">
        <v>36</v>
      </c>
      <c r="D31" s="10" t="s">
        <v>7</v>
      </c>
      <c r="E31" s="42">
        <f t="shared" ref="E31:AH32" si="19">E135+E137</f>
        <v>186</v>
      </c>
      <c r="F31" s="42">
        <f t="shared" si="19"/>
        <v>392</v>
      </c>
      <c r="G31" s="42">
        <f>G135+G137</f>
        <v>385</v>
      </c>
      <c r="H31" s="42">
        <f t="shared" si="19"/>
        <v>165</v>
      </c>
      <c r="I31" s="42">
        <f t="shared" si="19"/>
        <v>154</v>
      </c>
      <c r="J31" s="42">
        <f t="shared" si="19"/>
        <v>114</v>
      </c>
      <c r="K31" s="42">
        <f t="shared" si="19"/>
        <v>128</v>
      </c>
      <c r="L31" s="42">
        <f t="shared" si="19"/>
        <v>60</v>
      </c>
      <c r="M31" s="42">
        <f t="shared" si="19"/>
        <v>142</v>
      </c>
      <c r="N31" s="42">
        <f t="shared" si="19"/>
        <v>96</v>
      </c>
      <c r="O31" s="42">
        <f t="shared" si="19"/>
        <v>163</v>
      </c>
      <c r="P31" s="42">
        <f t="shared" si="19"/>
        <v>105</v>
      </c>
      <c r="Q31" s="42">
        <f t="shared" si="19"/>
        <v>385</v>
      </c>
      <c r="R31" s="42">
        <f>R135+R137</f>
        <v>357</v>
      </c>
      <c r="S31" s="42">
        <f t="shared" si="19"/>
        <v>301</v>
      </c>
      <c r="T31" s="42">
        <f t="shared" si="19"/>
        <v>378</v>
      </c>
      <c r="U31" s="42">
        <f t="shared" si="19"/>
        <v>510</v>
      </c>
      <c r="V31" s="42">
        <f t="shared" si="19"/>
        <v>302</v>
      </c>
      <c r="W31" s="42">
        <f t="shared" si="19"/>
        <v>485</v>
      </c>
      <c r="X31" s="42">
        <f t="shared" si="19"/>
        <v>319</v>
      </c>
      <c r="Y31" s="42">
        <f t="shared" si="19"/>
        <v>364</v>
      </c>
      <c r="Z31" s="42">
        <f t="shared" si="19"/>
        <v>344</v>
      </c>
      <c r="AA31" s="42">
        <f t="shared" si="19"/>
        <v>555</v>
      </c>
      <c r="AB31" s="42">
        <f t="shared" si="19"/>
        <v>284</v>
      </c>
      <c r="AC31" s="42">
        <f t="shared" si="19"/>
        <v>583</v>
      </c>
      <c r="AD31" s="42">
        <f t="shared" si="19"/>
        <v>370</v>
      </c>
      <c r="AE31" s="42">
        <f t="shared" si="19"/>
        <v>409</v>
      </c>
      <c r="AF31" s="42">
        <f t="shared" si="19"/>
        <v>445</v>
      </c>
      <c r="AG31" s="42">
        <f t="shared" si="19"/>
        <v>443</v>
      </c>
      <c r="AH31" s="42">
        <f t="shared" si="19"/>
        <v>414</v>
      </c>
      <c r="AI31" s="42">
        <f>AI135+AI137</f>
        <v>352</v>
      </c>
      <c r="AJ31" s="28">
        <f t="shared" si="18"/>
        <v>9690</v>
      </c>
      <c r="AK31" s="31">
        <f>AJ31+'Apr-24'!AI31</f>
        <v>21190</v>
      </c>
      <c r="AL31" s="12">
        <f>SUM(AJ28,AJ31)</f>
        <v>11389</v>
      </c>
    </row>
    <row r="32" spans="1:253" x14ac:dyDescent="0.3">
      <c r="A32" s="24"/>
      <c r="B32" s="9" t="s">
        <v>40</v>
      </c>
      <c r="C32" s="10" t="s">
        <v>36</v>
      </c>
      <c r="D32" s="10" t="s">
        <v>7</v>
      </c>
      <c r="E32" s="10">
        <f t="shared" si="19"/>
        <v>111</v>
      </c>
      <c r="F32" s="10">
        <f t="shared" si="19"/>
        <v>252</v>
      </c>
      <c r="G32" s="10">
        <f t="shared" si="19"/>
        <v>106</v>
      </c>
      <c r="H32" s="10">
        <f t="shared" si="19"/>
        <v>152</v>
      </c>
      <c r="I32" s="10">
        <f t="shared" si="19"/>
        <v>81</v>
      </c>
      <c r="J32" s="10">
        <f t="shared" si="19"/>
        <v>34</v>
      </c>
      <c r="K32" s="10">
        <f t="shared" si="19"/>
        <v>38</v>
      </c>
      <c r="L32" s="10">
        <f t="shared" si="19"/>
        <v>18</v>
      </c>
      <c r="M32" s="10">
        <f t="shared" si="19"/>
        <v>43</v>
      </c>
      <c r="N32" s="10">
        <f t="shared" si="19"/>
        <v>29</v>
      </c>
      <c r="O32" s="10">
        <f t="shared" si="19"/>
        <v>85</v>
      </c>
      <c r="P32" s="10">
        <f t="shared" si="19"/>
        <v>32</v>
      </c>
      <c r="Q32" s="10">
        <f t="shared" si="19"/>
        <v>274</v>
      </c>
      <c r="R32" s="10">
        <f t="shared" si="19"/>
        <v>222</v>
      </c>
      <c r="S32" s="10">
        <f t="shared" si="19"/>
        <v>215</v>
      </c>
      <c r="T32" s="10">
        <f t="shared" si="19"/>
        <v>239</v>
      </c>
      <c r="U32" s="10">
        <f t="shared" si="19"/>
        <v>348</v>
      </c>
      <c r="V32" s="10">
        <f t="shared" si="19"/>
        <v>193</v>
      </c>
      <c r="W32" s="10">
        <f t="shared" si="19"/>
        <v>334</v>
      </c>
      <c r="X32" s="10">
        <f t="shared" si="19"/>
        <v>228</v>
      </c>
      <c r="Y32" s="10">
        <f t="shared" si="19"/>
        <v>237</v>
      </c>
      <c r="Z32" s="10">
        <f t="shared" si="19"/>
        <v>244</v>
      </c>
      <c r="AA32" s="10">
        <f t="shared" si="19"/>
        <v>355</v>
      </c>
      <c r="AB32" s="10">
        <f t="shared" si="19"/>
        <v>191</v>
      </c>
      <c r="AC32" s="10">
        <f t="shared" si="19"/>
        <v>351</v>
      </c>
      <c r="AD32" s="10">
        <f t="shared" si="19"/>
        <v>372</v>
      </c>
      <c r="AE32" s="10">
        <f t="shared" si="19"/>
        <v>276</v>
      </c>
      <c r="AF32" s="10">
        <f t="shared" si="19"/>
        <v>316</v>
      </c>
      <c r="AG32" s="10">
        <f t="shared" si="19"/>
        <v>265</v>
      </c>
      <c r="AH32" s="10">
        <f t="shared" si="19"/>
        <v>290</v>
      </c>
      <c r="AI32" s="10">
        <f>AI136+AI138</f>
        <v>257</v>
      </c>
      <c r="AJ32" s="28">
        <f t="shared" si="18"/>
        <v>6188</v>
      </c>
      <c r="AK32" s="31">
        <f>AJ32+'Apr-24'!AI32</f>
        <v>13215</v>
      </c>
      <c r="AL32">
        <f>SUM(AJ96:AJ99,AJ101:AJ102)</f>
        <v>397949</v>
      </c>
    </row>
    <row r="33" spans="1:253" x14ac:dyDescent="0.3">
      <c r="A33" s="24"/>
      <c r="B33" s="9" t="s">
        <v>41</v>
      </c>
      <c r="C33" s="10" t="s">
        <v>36</v>
      </c>
      <c r="D33" s="10" t="s">
        <v>7</v>
      </c>
      <c r="E33" s="43">
        <f>SUM(E28:E32)</f>
        <v>418</v>
      </c>
      <c r="F33" s="43">
        <f t="shared" ref="F33:AH33" si="20">SUM(F28:F32)</f>
        <v>773</v>
      </c>
      <c r="G33" s="43">
        <f t="shared" si="20"/>
        <v>570</v>
      </c>
      <c r="H33" s="43">
        <f t="shared" si="20"/>
        <v>385</v>
      </c>
      <c r="I33" s="43">
        <f t="shared" si="20"/>
        <v>383</v>
      </c>
      <c r="J33" s="43">
        <f t="shared" si="20"/>
        <v>244</v>
      </c>
      <c r="K33" s="43">
        <f t="shared" si="20"/>
        <v>249</v>
      </c>
      <c r="L33" s="43">
        <f t="shared" si="20"/>
        <v>257</v>
      </c>
      <c r="M33" s="43">
        <f t="shared" si="20"/>
        <v>248</v>
      </c>
      <c r="N33" s="43">
        <f t="shared" si="20"/>
        <v>172</v>
      </c>
      <c r="O33" s="43">
        <f t="shared" si="20"/>
        <v>380</v>
      </c>
      <c r="P33" s="43">
        <f t="shared" si="20"/>
        <v>308</v>
      </c>
      <c r="Q33" s="43">
        <f t="shared" si="20"/>
        <v>782</v>
      </c>
      <c r="R33" s="43">
        <f>SUM(R28:R32)</f>
        <v>632</v>
      </c>
      <c r="S33" s="43">
        <f t="shared" si="20"/>
        <v>713</v>
      </c>
      <c r="T33" s="43">
        <f t="shared" si="20"/>
        <v>727</v>
      </c>
      <c r="U33" s="43">
        <f t="shared" si="20"/>
        <v>981</v>
      </c>
      <c r="V33" s="43">
        <f t="shared" si="20"/>
        <v>593</v>
      </c>
      <c r="W33" s="43">
        <f t="shared" si="20"/>
        <v>995</v>
      </c>
      <c r="X33" s="43">
        <f t="shared" si="20"/>
        <v>803</v>
      </c>
      <c r="Y33" s="43">
        <f t="shared" si="20"/>
        <v>720</v>
      </c>
      <c r="Z33" s="43">
        <f t="shared" si="20"/>
        <v>725</v>
      </c>
      <c r="AA33" s="43">
        <f t="shared" si="20"/>
        <v>1015</v>
      </c>
      <c r="AB33" s="43">
        <f t="shared" si="20"/>
        <v>754</v>
      </c>
      <c r="AC33" s="43">
        <f t="shared" si="20"/>
        <v>1026</v>
      </c>
      <c r="AD33" s="43">
        <f t="shared" si="20"/>
        <v>845</v>
      </c>
      <c r="AE33" s="43">
        <f t="shared" si="20"/>
        <v>844</v>
      </c>
      <c r="AF33" s="43">
        <f t="shared" si="20"/>
        <v>938</v>
      </c>
      <c r="AG33" s="43">
        <f t="shared" si="20"/>
        <v>827</v>
      </c>
      <c r="AH33" s="43">
        <f t="shared" si="20"/>
        <v>886</v>
      </c>
      <c r="AI33" s="43">
        <f>SUM(AI28:AI32)</f>
        <v>876</v>
      </c>
      <c r="AJ33" s="28">
        <f>SUM(E33:AI33)</f>
        <v>20069</v>
      </c>
      <c r="AK33" s="31">
        <f>AJ33+'Apr-24'!AI33</f>
        <v>42252</v>
      </c>
      <c r="AL33" s="294">
        <f>AL31/AL32</f>
        <v>2.8619245179658699E-2</v>
      </c>
      <c r="AM33" t="s">
        <v>274</v>
      </c>
    </row>
    <row r="34" spans="1:253" s="19" customFormat="1" x14ac:dyDescent="0.3">
      <c r="A34" s="44">
        <v>8</v>
      </c>
      <c r="B34" s="44" t="s">
        <v>42</v>
      </c>
      <c r="C34" s="15" t="s">
        <v>36</v>
      </c>
      <c r="D34" s="15" t="s">
        <v>43</v>
      </c>
      <c r="E34" s="16">
        <f>(E28+E32)/E33</f>
        <v>0.32057416267942584</v>
      </c>
      <c r="F34" s="16">
        <f t="shared" ref="F34:AH34" si="21">(F28+F32)/F33</f>
        <v>0.40879689521345408</v>
      </c>
      <c r="G34" s="16">
        <f t="shared" si="21"/>
        <v>0.18596491228070175</v>
      </c>
      <c r="H34" s="16">
        <f t="shared" si="21"/>
        <v>0.47792207792207791</v>
      </c>
      <c r="I34" s="16">
        <f t="shared" si="21"/>
        <v>0.35509138381201044</v>
      </c>
      <c r="J34" s="16">
        <f t="shared" si="21"/>
        <v>0.13934426229508196</v>
      </c>
      <c r="K34" s="16">
        <f t="shared" si="21"/>
        <v>0.36947791164658633</v>
      </c>
      <c r="L34" s="16">
        <f t="shared" si="21"/>
        <v>0.24902723735408561</v>
      </c>
      <c r="M34" s="16">
        <f t="shared" si="21"/>
        <v>0.31048387096774194</v>
      </c>
      <c r="N34" s="16">
        <f t="shared" si="21"/>
        <v>0.44186046511627908</v>
      </c>
      <c r="O34" s="16">
        <f t="shared" si="21"/>
        <v>0.39473684210526316</v>
      </c>
      <c r="P34" s="16">
        <f t="shared" si="21"/>
        <v>0.22402597402597402</v>
      </c>
      <c r="Q34" s="16">
        <f t="shared" si="21"/>
        <v>0.43606138107416881</v>
      </c>
      <c r="R34" s="16">
        <f t="shared" si="21"/>
        <v>0.435126582278481</v>
      </c>
      <c r="S34" s="16">
        <f t="shared" si="21"/>
        <v>0.37587657784011219</v>
      </c>
      <c r="T34" s="16">
        <f t="shared" si="21"/>
        <v>0.41953232462173318</v>
      </c>
      <c r="U34" s="16">
        <f t="shared" si="21"/>
        <v>0.44138634046890929</v>
      </c>
      <c r="V34" s="16">
        <f t="shared" si="21"/>
        <v>0.41989881956155145</v>
      </c>
      <c r="W34" s="16">
        <f t="shared" si="21"/>
        <v>0.40100502512562813</v>
      </c>
      <c r="X34" s="16">
        <f t="shared" si="21"/>
        <v>0.35616438356164382</v>
      </c>
      <c r="Y34" s="16">
        <f t="shared" si="21"/>
        <v>0.3888888888888889</v>
      </c>
      <c r="Z34" s="16">
        <f t="shared" si="21"/>
        <v>0.43586206896551727</v>
      </c>
      <c r="AA34" s="16">
        <f t="shared" si="21"/>
        <v>0.4295566502463054</v>
      </c>
      <c r="AB34" s="21">
        <f t="shared" si="21"/>
        <v>0.31697612732095493</v>
      </c>
      <c r="AC34" s="21">
        <f t="shared" si="21"/>
        <v>0.4317738791423002</v>
      </c>
      <c r="AD34" s="21">
        <f t="shared" si="21"/>
        <v>0.52071005917159763</v>
      </c>
      <c r="AE34" s="21">
        <f t="shared" si="21"/>
        <v>0.40876777251184832</v>
      </c>
      <c r="AF34" s="21">
        <f t="shared" si="21"/>
        <v>0.41791044776119401</v>
      </c>
      <c r="AG34" s="21">
        <f t="shared" si="21"/>
        <v>0.38694074969770254</v>
      </c>
      <c r="AH34" s="21">
        <f t="shared" si="21"/>
        <v>0.39841986455981943</v>
      </c>
      <c r="AI34" s="21">
        <f>(AI28+AI32)/AI33</f>
        <v>0.37557077625570778</v>
      </c>
      <c r="AJ34" s="21">
        <f>(AJ28+AJ32)/AJ33</f>
        <v>0.39299417011310978</v>
      </c>
      <c r="AK34" s="21">
        <f>(AK28+AK32)/AK33</f>
        <v>0.37380479030578434</v>
      </c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</row>
    <row r="35" spans="1:253" x14ac:dyDescent="0.3">
      <c r="A35" s="24"/>
      <c r="B35" s="24" t="s">
        <v>44</v>
      </c>
      <c r="C35" s="10" t="s">
        <v>36</v>
      </c>
      <c r="D35" s="10" t="s">
        <v>7</v>
      </c>
      <c r="E35" s="45">
        <f t="shared" ref="E35:AH35" si="22">E140+E142</f>
        <v>615</v>
      </c>
      <c r="F35" s="45">
        <f t="shared" si="22"/>
        <v>1258</v>
      </c>
      <c r="G35" s="45">
        <f t="shared" si="22"/>
        <v>924</v>
      </c>
      <c r="H35" s="45">
        <f t="shared" si="22"/>
        <v>706</v>
      </c>
      <c r="I35" s="45">
        <f t="shared" si="22"/>
        <v>1310</v>
      </c>
      <c r="J35" s="45">
        <f t="shared" si="22"/>
        <v>983</v>
      </c>
      <c r="K35" s="45">
        <f t="shared" si="22"/>
        <v>1097</v>
      </c>
      <c r="L35" s="45">
        <f t="shared" si="22"/>
        <v>940</v>
      </c>
      <c r="M35" s="45">
        <f t="shared" si="22"/>
        <v>535</v>
      </c>
      <c r="N35" s="45">
        <f t="shared" si="22"/>
        <v>800</v>
      </c>
      <c r="O35" s="45">
        <f t="shared" si="22"/>
        <v>1084</v>
      </c>
      <c r="P35" s="45">
        <f t="shared" si="22"/>
        <v>1100</v>
      </c>
      <c r="Q35" s="45">
        <f t="shared" si="22"/>
        <v>532</v>
      </c>
      <c r="R35" s="45">
        <f t="shared" si="22"/>
        <v>1250</v>
      </c>
      <c r="S35" s="45">
        <f t="shared" si="22"/>
        <v>854</v>
      </c>
      <c r="T35" s="45">
        <f t="shared" si="22"/>
        <v>800</v>
      </c>
      <c r="U35" s="45">
        <f t="shared" si="22"/>
        <v>1119</v>
      </c>
      <c r="V35" s="45">
        <f t="shared" si="22"/>
        <v>995</v>
      </c>
      <c r="W35" s="45">
        <f t="shared" si="22"/>
        <v>500</v>
      </c>
      <c r="X35" s="45">
        <f t="shared" si="22"/>
        <v>700</v>
      </c>
      <c r="Y35" s="45">
        <f t="shared" si="22"/>
        <v>735</v>
      </c>
      <c r="Z35" s="45">
        <f>Z140+Z142</f>
        <v>1000</v>
      </c>
      <c r="AA35" s="45">
        <f t="shared" si="22"/>
        <v>1090</v>
      </c>
      <c r="AB35" s="45">
        <f t="shared" si="22"/>
        <v>1017</v>
      </c>
      <c r="AC35" s="45">
        <f t="shared" si="22"/>
        <v>1020</v>
      </c>
      <c r="AD35" s="45">
        <f t="shared" si="22"/>
        <v>1200</v>
      </c>
      <c r="AE35" s="45">
        <f t="shared" si="22"/>
        <v>910</v>
      </c>
      <c r="AF35" s="45">
        <f t="shared" si="22"/>
        <v>980</v>
      </c>
      <c r="AG35" s="45">
        <f t="shared" si="22"/>
        <v>700</v>
      </c>
      <c r="AH35" s="45">
        <f t="shared" si="22"/>
        <v>950</v>
      </c>
      <c r="AI35" s="45">
        <f>AI140+AI142</f>
        <v>900</v>
      </c>
      <c r="AJ35" s="11">
        <f>SUM(E35:AI35)</f>
        <v>28604</v>
      </c>
      <c r="AK35" s="31">
        <f>AJ35+'Apr-24'!AI35</f>
        <v>56662</v>
      </c>
    </row>
    <row r="36" spans="1:253" x14ac:dyDescent="0.3">
      <c r="A36" s="24"/>
      <c r="B36" s="24" t="s">
        <v>45</v>
      </c>
      <c r="C36" s="10" t="s">
        <v>36</v>
      </c>
      <c r="D36" s="10" t="s">
        <v>7</v>
      </c>
      <c r="E36" s="45">
        <f t="shared" ref="E36:AH36" si="23">SUM(E140:E143)</f>
        <v>1982</v>
      </c>
      <c r="F36" s="45">
        <f t="shared" si="23"/>
        <v>4160</v>
      </c>
      <c r="G36" s="45">
        <f t="shared" si="23"/>
        <v>3172</v>
      </c>
      <c r="H36" s="45">
        <f t="shared" si="23"/>
        <v>2937</v>
      </c>
      <c r="I36" s="45">
        <f t="shared" si="23"/>
        <v>4062</v>
      </c>
      <c r="J36" s="45">
        <f t="shared" si="23"/>
        <v>3758</v>
      </c>
      <c r="K36" s="45">
        <f t="shared" si="23"/>
        <v>3805</v>
      </c>
      <c r="L36" s="45">
        <f t="shared" si="23"/>
        <v>2825</v>
      </c>
      <c r="M36" s="45">
        <f t="shared" si="23"/>
        <v>2942</v>
      </c>
      <c r="N36" s="45">
        <f t="shared" si="23"/>
        <v>3106</v>
      </c>
      <c r="O36" s="45">
        <f t="shared" si="23"/>
        <v>4578</v>
      </c>
      <c r="P36" s="45">
        <f t="shared" si="23"/>
        <v>2674</v>
      </c>
      <c r="Q36" s="45">
        <f t="shared" si="23"/>
        <v>4365</v>
      </c>
      <c r="R36" s="45">
        <f t="shared" si="23"/>
        <v>3977</v>
      </c>
      <c r="S36" s="45">
        <f t="shared" si="23"/>
        <v>3423</v>
      </c>
      <c r="T36" s="45">
        <f t="shared" si="23"/>
        <v>4129</v>
      </c>
      <c r="U36" s="45">
        <f t="shared" si="23"/>
        <v>5580</v>
      </c>
      <c r="V36" s="45">
        <f t="shared" si="23"/>
        <v>3355</v>
      </c>
      <c r="W36" s="45">
        <f t="shared" si="23"/>
        <v>5296</v>
      </c>
      <c r="X36" s="45">
        <f t="shared" si="23"/>
        <v>3486</v>
      </c>
      <c r="Y36" s="45">
        <f t="shared" si="23"/>
        <v>3947</v>
      </c>
      <c r="Z36" s="45">
        <f t="shared" si="23"/>
        <v>3832</v>
      </c>
      <c r="AA36" s="45">
        <f t="shared" si="23"/>
        <v>6024</v>
      </c>
      <c r="AB36" s="45">
        <f t="shared" si="23"/>
        <v>3283</v>
      </c>
      <c r="AC36" s="45">
        <f t="shared" si="23"/>
        <v>6315</v>
      </c>
      <c r="AD36" s="45">
        <f t="shared" si="23"/>
        <v>5168</v>
      </c>
      <c r="AE36" s="45">
        <f t="shared" si="23"/>
        <v>4791</v>
      </c>
      <c r="AF36" s="45">
        <f t="shared" si="23"/>
        <v>4992</v>
      </c>
      <c r="AG36" s="45">
        <f t="shared" si="23"/>
        <v>4715</v>
      </c>
      <c r="AH36" s="45">
        <f t="shared" si="23"/>
        <v>4346</v>
      </c>
      <c r="AI36" s="45">
        <f>SUM(AI140:AI143)</f>
        <v>4194</v>
      </c>
      <c r="AJ36" s="11">
        <f>SUM(E36:AI36)</f>
        <v>125219</v>
      </c>
      <c r="AK36" s="31">
        <f>AJ36+'Apr-24'!AI36</f>
        <v>244310</v>
      </c>
    </row>
    <row r="37" spans="1:253" x14ac:dyDescent="0.3">
      <c r="A37" s="44">
        <v>9</v>
      </c>
      <c r="B37" s="44" t="s">
        <v>46</v>
      </c>
      <c r="C37" s="15" t="s">
        <v>36</v>
      </c>
      <c r="D37" s="15" t="s">
        <v>43</v>
      </c>
      <c r="E37" s="48">
        <f t="shared" ref="E37:AK37" si="24">E35/E36</f>
        <v>0.31029263370332999</v>
      </c>
      <c r="F37" s="48">
        <f t="shared" si="24"/>
        <v>0.30240384615384613</v>
      </c>
      <c r="G37" s="48">
        <f t="shared" si="24"/>
        <v>0.29129886506935687</v>
      </c>
      <c r="H37" s="48">
        <f t="shared" si="24"/>
        <v>0.24038134150493701</v>
      </c>
      <c r="I37" s="48">
        <f t="shared" si="24"/>
        <v>0.32250123092072869</v>
      </c>
      <c r="J37" s="48">
        <f t="shared" si="24"/>
        <v>0.26157530601383716</v>
      </c>
      <c r="K37" s="48">
        <f t="shared" si="24"/>
        <v>0.28830486202365307</v>
      </c>
      <c r="L37" s="48">
        <f t="shared" si="24"/>
        <v>0.3327433628318584</v>
      </c>
      <c r="M37" s="49">
        <f t="shared" si="24"/>
        <v>0.18184908225696805</v>
      </c>
      <c r="N37" s="48">
        <f t="shared" si="24"/>
        <v>0.25756600128783003</v>
      </c>
      <c r="O37" s="48">
        <f t="shared" si="24"/>
        <v>0.23678462210572301</v>
      </c>
      <c r="P37" s="48">
        <f t="shared" si="24"/>
        <v>0.41136873597606582</v>
      </c>
      <c r="Q37" s="48">
        <f>Q35/Q36</f>
        <v>0.12187857961053837</v>
      </c>
      <c r="R37" s="48">
        <f t="shared" si="24"/>
        <v>0.31430726678400805</v>
      </c>
      <c r="S37" s="48">
        <f t="shared" si="24"/>
        <v>0.24948875255623723</v>
      </c>
      <c r="T37" s="48">
        <f t="shared" si="24"/>
        <v>0.19375151368370067</v>
      </c>
      <c r="U37" s="48">
        <f t="shared" si="24"/>
        <v>0.20053763440860214</v>
      </c>
      <c r="V37" s="48">
        <f t="shared" si="24"/>
        <v>0.29657228017883758</v>
      </c>
      <c r="W37" s="48">
        <f t="shared" si="24"/>
        <v>9.4410876132930519E-2</v>
      </c>
      <c r="X37" s="48">
        <f t="shared" si="24"/>
        <v>0.20080321285140562</v>
      </c>
      <c r="Y37" s="48">
        <f t="shared" si="24"/>
        <v>0.18621738028882695</v>
      </c>
      <c r="Z37" s="48">
        <f>Z35/Z36</f>
        <v>0.26096033402922758</v>
      </c>
      <c r="AA37" s="48">
        <f t="shared" si="24"/>
        <v>0.18094289508632139</v>
      </c>
      <c r="AB37" s="48">
        <f t="shared" si="24"/>
        <v>0.30977764240024369</v>
      </c>
      <c r="AC37" s="48">
        <f t="shared" si="24"/>
        <v>0.16152019002375298</v>
      </c>
      <c r="AD37" s="48">
        <f t="shared" si="24"/>
        <v>0.23219814241486067</v>
      </c>
      <c r="AE37" s="48">
        <f t="shared" si="24"/>
        <v>0.18993946983928198</v>
      </c>
      <c r="AF37" s="48">
        <f t="shared" si="24"/>
        <v>0.19631410256410256</v>
      </c>
      <c r="AG37" s="48">
        <f t="shared" si="24"/>
        <v>0.14846235418875928</v>
      </c>
      <c r="AH37" s="48">
        <f t="shared" si="24"/>
        <v>0.21859180855959504</v>
      </c>
      <c r="AI37" s="48">
        <f>AI35/AI36</f>
        <v>0.21459227467811159</v>
      </c>
      <c r="AJ37" s="48">
        <f t="shared" si="24"/>
        <v>0.22843178750828549</v>
      </c>
      <c r="AK37" s="48">
        <f t="shared" si="24"/>
        <v>0.2319266505669027</v>
      </c>
    </row>
    <row r="38" spans="1:253" x14ac:dyDescent="0.3">
      <c r="A38" s="24"/>
      <c r="B38" s="24" t="s">
        <v>47</v>
      </c>
      <c r="C38" s="10" t="s">
        <v>6</v>
      </c>
      <c r="D38" s="10" t="s">
        <v>7</v>
      </c>
      <c r="E38" s="45">
        <f t="shared" ref="E38:AH38" si="25">E100+E103</f>
        <v>3520</v>
      </c>
      <c r="F38" s="45">
        <f t="shared" si="25"/>
        <v>2326</v>
      </c>
      <c r="G38" s="45">
        <f t="shared" si="25"/>
        <v>2838</v>
      </c>
      <c r="H38" s="45">
        <f t="shared" si="25"/>
        <v>1282</v>
      </c>
      <c r="I38" s="45">
        <f t="shared" si="25"/>
        <v>3315</v>
      </c>
      <c r="J38" s="45">
        <f t="shared" si="25"/>
        <v>3421</v>
      </c>
      <c r="K38" s="45">
        <f t="shared" si="25"/>
        <v>1047</v>
      </c>
      <c r="L38" s="45">
        <f t="shared" si="25"/>
        <v>4746</v>
      </c>
      <c r="M38" s="45">
        <f t="shared" si="25"/>
        <v>1030</v>
      </c>
      <c r="N38" s="45">
        <f t="shared" si="25"/>
        <v>0</v>
      </c>
      <c r="O38" s="45">
        <f t="shared" si="25"/>
        <v>2386</v>
      </c>
      <c r="P38" s="45">
        <f t="shared" si="25"/>
        <v>4780</v>
      </c>
      <c r="Q38" s="45">
        <f t="shared" si="25"/>
        <v>2015</v>
      </c>
      <c r="R38" s="45">
        <f t="shared" si="25"/>
        <v>0</v>
      </c>
      <c r="S38" s="45">
        <f>S100+S103</f>
        <v>5136</v>
      </c>
      <c r="T38" s="45">
        <f t="shared" si="25"/>
        <v>1595</v>
      </c>
      <c r="U38" s="45">
        <f t="shared" si="25"/>
        <v>1340</v>
      </c>
      <c r="V38" s="45">
        <f t="shared" si="25"/>
        <v>1509</v>
      </c>
      <c r="W38" s="45">
        <f t="shared" si="25"/>
        <v>3980</v>
      </c>
      <c r="X38" s="45">
        <f t="shared" si="25"/>
        <v>7095</v>
      </c>
      <c r="Y38" s="45">
        <f t="shared" si="25"/>
        <v>2635</v>
      </c>
      <c r="Z38" s="45">
        <f t="shared" si="25"/>
        <v>2330</v>
      </c>
      <c r="AA38" s="45">
        <f t="shared" si="25"/>
        <v>855</v>
      </c>
      <c r="AB38" s="45">
        <f t="shared" si="25"/>
        <v>8247</v>
      </c>
      <c r="AC38" s="45">
        <f t="shared" si="25"/>
        <v>0</v>
      </c>
      <c r="AD38" s="45">
        <f t="shared" si="25"/>
        <v>1250</v>
      </c>
      <c r="AE38" s="45">
        <f t="shared" si="25"/>
        <v>3200</v>
      </c>
      <c r="AF38" s="45">
        <f t="shared" si="25"/>
        <v>3620</v>
      </c>
      <c r="AG38" s="45">
        <f t="shared" si="25"/>
        <v>2300</v>
      </c>
      <c r="AH38" s="45">
        <f t="shared" si="25"/>
        <v>4225</v>
      </c>
      <c r="AI38" s="45">
        <f>AI100+AI103</f>
        <v>6943</v>
      </c>
      <c r="AJ38" s="11">
        <f>SUM(E38:AI38)</f>
        <v>88966</v>
      </c>
      <c r="AK38" s="31">
        <f>AJ38+'Apr-24'!AI38</f>
        <v>186631</v>
      </c>
    </row>
    <row r="39" spans="1:253" x14ac:dyDescent="0.3">
      <c r="A39" s="24"/>
      <c r="B39" s="24" t="s">
        <v>48</v>
      </c>
      <c r="C39" s="10" t="s">
        <v>6</v>
      </c>
      <c r="D39" s="10" t="s">
        <v>7</v>
      </c>
      <c r="E39" s="45">
        <f>E113+E114</f>
        <v>172</v>
      </c>
      <c r="F39" s="45">
        <f t="shared" ref="F39:AH39" si="26">F113+F114</f>
        <v>114</v>
      </c>
      <c r="G39" s="45">
        <f t="shared" si="26"/>
        <v>139.91</v>
      </c>
      <c r="H39" s="45">
        <f t="shared" si="26"/>
        <v>0</v>
      </c>
      <c r="I39" s="45">
        <f t="shared" si="26"/>
        <v>162</v>
      </c>
      <c r="J39" s="45">
        <f t="shared" si="26"/>
        <v>40</v>
      </c>
      <c r="K39" s="45">
        <f t="shared" si="26"/>
        <v>0</v>
      </c>
      <c r="L39" s="45">
        <f t="shared" si="26"/>
        <v>113</v>
      </c>
      <c r="M39" s="45">
        <f t="shared" si="26"/>
        <v>0</v>
      </c>
      <c r="N39" s="45">
        <f t="shared" si="26"/>
        <v>0</v>
      </c>
      <c r="O39" s="45">
        <f>O113+O114</f>
        <v>117</v>
      </c>
      <c r="P39" s="45">
        <f>P113+P114</f>
        <v>65</v>
      </c>
      <c r="Q39" s="45">
        <f>Q113+Q114</f>
        <v>99</v>
      </c>
      <c r="R39" s="45">
        <f>R113+R114</f>
        <v>0</v>
      </c>
      <c r="S39" s="45">
        <f t="shared" si="26"/>
        <v>252</v>
      </c>
      <c r="T39" s="45">
        <f t="shared" si="26"/>
        <v>78</v>
      </c>
      <c r="U39" s="45">
        <f t="shared" si="26"/>
        <v>66</v>
      </c>
      <c r="V39" s="45">
        <f t="shared" si="26"/>
        <v>74</v>
      </c>
      <c r="W39" s="45">
        <f t="shared" si="26"/>
        <v>195</v>
      </c>
      <c r="X39" s="45">
        <f t="shared" si="26"/>
        <v>348</v>
      </c>
      <c r="Y39" s="45">
        <f t="shared" si="26"/>
        <v>129</v>
      </c>
      <c r="Z39" s="45">
        <f t="shared" si="26"/>
        <v>114</v>
      </c>
      <c r="AA39" s="45">
        <f t="shared" si="26"/>
        <v>42</v>
      </c>
      <c r="AB39" s="45">
        <f t="shared" si="26"/>
        <v>404</v>
      </c>
      <c r="AC39" s="45">
        <f t="shared" si="26"/>
        <v>0</v>
      </c>
      <c r="AD39" s="45">
        <f t="shared" si="26"/>
        <v>61</v>
      </c>
      <c r="AE39" s="45">
        <f t="shared" si="26"/>
        <v>157</v>
      </c>
      <c r="AF39" s="45">
        <f t="shared" si="26"/>
        <v>178</v>
      </c>
      <c r="AG39" s="45">
        <f t="shared" si="26"/>
        <v>113</v>
      </c>
      <c r="AH39" s="45">
        <f t="shared" si="26"/>
        <v>207</v>
      </c>
      <c r="AI39" s="45">
        <f>AI113+AI114</f>
        <v>341</v>
      </c>
      <c r="AJ39" s="11">
        <f>SUM(E39:AI39)</f>
        <v>3780.91</v>
      </c>
      <c r="AK39" s="31">
        <f>AJ39+'Apr-24'!AI39</f>
        <v>8568.91</v>
      </c>
    </row>
    <row r="40" spans="1:253" x14ac:dyDescent="0.3">
      <c r="A40" s="44">
        <v>10</v>
      </c>
      <c r="B40" s="44" t="s">
        <v>49</v>
      </c>
      <c r="C40" s="15" t="s">
        <v>36</v>
      </c>
      <c r="D40" s="15" t="s">
        <v>43</v>
      </c>
      <c r="E40" s="48">
        <f t="shared" ref="E40:AH40" si="27">IFERROR(E39/E38,"-")</f>
        <v>4.8863636363636366E-2</v>
      </c>
      <c r="F40" s="48">
        <f t="shared" si="27"/>
        <v>4.9011177987962166E-2</v>
      </c>
      <c r="G40" s="48">
        <f t="shared" si="27"/>
        <v>4.9298801973220577E-2</v>
      </c>
      <c r="H40" s="48">
        <f t="shared" si="27"/>
        <v>0</v>
      </c>
      <c r="I40" s="48">
        <f t="shared" si="27"/>
        <v>4.8868778280542986E-2</v>
      </c>
      <c r="J40" s="48">
        <f t="shared" si="27"/>
        <v>1.169248757673195E-2</v>
      </c>
      <c r="K40" s="48">
        <f t="shared" si="27"/>
        <v>0</v>
      </c>
      <c r="L40" s="48">
        <f t="shared" si="27"/>
        <v>2.3809523809523808E-2</v>
      </c>
      <c r="M40" s="48">
        <f t="shared" si="27"/>
        <v>0</v>
      </c>
      <c r="N40" s="48" t="str">
        <f t="shared" si="27"/>
        <v>-</v>
      </c>
      <c r="O40" s="48">
        <f t="shared" si="27"/>
        <v>4.9036043587594301E-2</v>
      </c>
      <c r="P40" s="48">
        <f t="shared" si="27"/>
        <v>1.3598326359832637E-2</v>
      </c>
      <c r="Q40" s="48">
        <f t="shared" si="27"/>
        <v>4.9131513647642677E-2</v>
      </c>
      <c r="R40" s="48" t="str">
        <f t="shared" si="27"/>
        <v>-</v>
      </c>
      <c r="S40" s="48">
        <f t="shared" si="27"/>
        <v>4.9065420560747662E-2</v>
      </c>
      <c r="T40" s="48">
        <f t="shared" si="27"/>
        <v>4.8902821316614421E-2</v>
      </c>
      <c r="U40" s="48">
        <f t="shared" si="27"/>
        <v>4.9253731343283584E-2</v>
      </c>
      <c r="V40" s="48">
        <f t="shared" si="27"/>
        <v>4.9039098740888007E-2</v>
      </c>
      <c r="W40" s="48">
        <f t="shared" si="27"/>
        <v>4.8994974874371856E-2</v>
      </c>
      <c r="X40" s="48">
        <f t="shared" si="27"/>
        <v>4.9048625792811842E-2</v>
      </c>
      <c r="Y40" s="48">
        <f t="shared" si="27"/>
        <v>4.8956356736242886E-2</v>
      </c>
      <c r="Z40" s="48">
        <f t="shared" si="27"/>
        <v>4.8927038626609444E-2</v>
      </c>
      <c r="AA40" s="48">
        <f t="shared" si="27"/>
        <v>4.912280701754386E-2</v>
      </c>
      <c r="AB40" s="48">
        <f t="shared" si="27"/>
        <v>4.8987510609918759E-2</v>
      </c>
      <c r="AC40" s="48" t="str">
        <f t="shared" si="27"/>
        <v>-</v>
      </c>
      <c r="AD40" s="48">
        <f t="shared" si="27"/>
        <v>4.8800000000000003E-2</v>
      </c>
      <c r="AE40" s="48">
        <f t="shared" si="27"/>
        <v>4.9062500000000002E-2</v>
      </c>
      <c r="AF40" s="48">
        <f t="shared" si="27"/>
        <v>4.9171270718232046E-2</v>
      </c>
      <c r="AG40" s="48">
        <f t="shared" si="27"/>
        <v>4.9130434782608694E-2</v>
      </c>
      <c r="AH40" s="48">
        <f t="shared" si="27"/>
        <v>4.8994082840236687E-2</v>
      </c>
      <c r="AI40" s="48">
        <f>IFERROR(AI39/AI38,"-")</f>
        <v>4.9114215756877432E-2</v>
      </c>
      <c r="AJ40" s="16">
        <f>AJ39/AJ38</f>
        <v>4.2498370163882832E-2</v>
      </c>
      <c r="AK40" s="16">
        <f>AK39/AK38</f>
        <v>4.5913647786273451E-2</v>
      </c>
    </row>
    <row r="41" spans="1:253" x14ac:dyDescent="0.3">
      <c r="A41" s="24"/>
      <c r="B41" s="24" t="s">
        <v>216</v>
      </c>
      <c r="C41" s="10" t="s">
        <v>51</v>
      </c>
      <c r="D41" s="10" t="s">
        <v>7</v>
      </c>
      <c r="E41" s="52">
        <v>320</v>
      </c>
      <c r="F41" s="52">
        <v>298</v>
      </c>
      <c r="G41" s="52">
        <v>248</v>
      </c>
      <c r="H41" s="52">
        <v>255</v>
      </c>
      <c r="I41" s="52">
        <v>243</v>
      </c>
      <c r="J41" s="52">
        <v>276</v>
      </c>
      <c r="K41" s="52">
        <v>173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42">
        <v>0</v>
      </c>
      <c r="T41" s="10">
        <v>0</v>
      </c>
      <c r="U41" s="10">
        <v>0</v>
      </c>
      <c r="V41" s="10">
        <v>0</v>
      </c>
      <c r="W41" s="10">
        <v>0</v>
      </c>
      <c r="X41" s="53">
        <v>0</v>
      </c>
      <c r="Y41" s="53">
        <v>0</v>
      </c>
      <c r="Z41" s="53">
        <v>0</v>
      </c>
      <c r="AA41" s="53"/>
      <c r="AB41" s="53"/>
      <c r="AC41" s="53"/>
      <c r="AD41" s="53"/>
      <c r="AE41" s="53"/>
      <c r="AF41" s="53"/>
      <c r="AG41" s="53"/>
      <c r="AH41" s="53"/>
      <c r="AI41" s="53">
        <v>374</v>
      </c>
      <c r="AJ41" s="11">
        <f t="shared" ref="AJ41:AJ43" si="28">SUM(E41:AI41)</f>
        <v>2187</v>
      </c>
      <c r="AK41" s="31">
        <f>AJ41+'Apr-24'!AI41</f>
        <v>11958</v>
      </c>
      <c r="AL41" s="54">
        <f>AJ44/AJ43</f>
        <v>9.1601973038660731E-2</v>
      </c>
    </row>
    <row r="42" spans="1:253" x14ac:dyDescent="0.3">
      <c r="A42" s="24"/>
      <c r="B42" s="24" t="s">
        <v>217</v>
      </c>
      <c r="C42" s="10" t="s">
        <v>51</v>
      </c>
      <c r="D42" s="10"/>
      <c r="E42" s="60">
        <v>8046</v>
      </c>
      <c r="F42" s="60">
        <v>8048</v>
      </c>
      <c r="G42" s="60">
        <v>8052</v>
      </c>
      <c r="H42" s="60">
        <v>8053</v>
      </c>
      <c r="I42" s="60">
        <v>8048</v>
      </c>
      <c r="J42" s="60">
        <v>8046</v>
      </c>
      <c r="K42" s="60">
        <v>8043</v>
      </c>
      <c r="L42" s="60">
        <v>0</v>
      </c>
      <c r="M42" s="60">
        <v>0</v>
      </c>
      <c r="N42" s="60">
        <v>0</v>
      </c>
      <c r="O42" s="60">
        <v>0</v>
      </c>
      <c r="P42" s="60">
        <v>0</v>
      </c>
      <c r="Q42" s="60">
        <v>0</v>
      </c>
      <c r="R42" s="60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/>
      <c r="AB42" s="23"/>
      <c r="AC42" s="23"/>
      <c r="AD42" s="23"/>
      <c r="AE42" s="23"/>
      <c r="AF42" s="23"/>
      <c r="AG42" s="23"/>
      <c r="AH42" s="23"/>
      <c r="AI42" s="23">
        <v>8046</v>
      </c>
      <c r="AJ42" s="11">
        <f t="shared" si="28"/>
        <v>64382</v>
      </c>
      <c r="AK42" s="31">
        <f>AJ42+'Apr-24'!AI42</f>
        <v>297797.53079999995</v>
      </c>
    </row>
    <row r="43" spans="1:253" x14ac:dyDescent="0.3">
      <c r="A43" s="24"/>
      <c r="B43" s="24" t="s">
        <v>53</v>
      </c>
      <c r="C43" s="10" t="s">
        <v>51</v>
      </c>
      <c r="D43" s="10"/>
      <c r="E43" s="23">
        <f>E78*E84</f>
        <v>6918750</v>
      </c>
      <c r="F43" s="23">
        <f>F78*F84</f>
        <v>6489800</v>
      </c>
      <c r="G43" s="23">
        <f t="shared" ref="G43:AH43" si="29">G78*G84</f>
        <v>5298471</v>
      </c>
      <c r="H43" s="23">
        <f t="shared" si="29"/>
        <v>5609174</v>
      </c>
      <c r="I43" s="23">
        <f t="shared" si="29"/>
        <v>5250464</v>
      </c>
      <c r="J43" s="23">
        <f t="shared" si="29"/>
        <v>5797260</v>
      </c>
      <c r="K43" s="23">
        <f>K78*K84</f>
        <v>6278860</v>
      </c>
      <c r="L43" s="23">
        <f t="shared" si="29"/>
        <v>6542214</v>
      </c>
      <c r="M43" s="42">
        <f t="shared" si="29"/>
        <v>6314420</v>
      </c>
      <c r="N43" s="23">
        <f>N78*N84</f>
        <v>6461336</v>
      </c>
      <c r="O43" s="23">
        <f t="shared" si="29"/>
        <v>6872625</v>
      </c>
      <c r="P43" s="23">
        <f t="shared" si="29"/>
        <v>6579720</v>
      </c>
      <c r="Q43" s="23">
        <f t="shared" si="29"/>
        <v>5064150</v>
      </c>
      <c r="R43" s="23">
        <f t="shared" si="29"/>
        <v>0</v>
      </c>
      <c r="S43" s="23">
        <f t="shared" si="29"/>
        <v>6926622</v>
      </c>
      <c r="T43" s="23">
        <f t="shared" si="29"/>
        <v>6706196</v>
      </c>
      <c r="U43" s="23">
        <f>U78*U84</f>
        <v>6662220</v>
      </c>
      <c r="V43" s="23">
        <f>V78*V84</f>
        <v>6622074</v>
      </c>
      <c r="W43" s="23">
        <f>W78*W84</f>
        <v>6675669</v>
      </c>
      <c r="X43" s="23">
        <f>X78*X84</f>
        <v>6658390</v>
      </c>
      <c r="Y43" s="23">
        <f t="shared" si="29"/>
        <v>6654695</v>
      </c>
      <c r="Z43" s="23">
        <f t="shared" si="29"/>
        <v>6661480</v>
      </c>
      <c r="AA43" s="23">
        <f t="shared" si="29"/>
        <v>6656173</v>
      </c>
      <c r="AB43" s="23">
        <f>AB78*AB84</f>
        <v>6280288</v>
      </c>
      <c r="AC43" s="23">
        <f t="shared" si="29"/>
        <v>6551930</v>
      </c>
      <c r="AD43" s="23">
        <f t="shared" si="29"/>
        <v>6621615</v>
      </c>
      <c r="AE43" s="23">
        <f>AE78*AE84</f>
        <v>6704670</v>
      </c>
      <c r="AF43" s="23">
        <f t="shared" si="29"/>
        <v>6652478</v>
      </c>
      <c r="AG43" s="23">
        <f t="shared" si="29"/>
        <v>6534242</v>
      </c>
      <c r="AH43" s="23">
        <f t="shared" si="29"/>
        <v>6375820</v>
      </c>
      <c r="AI43" s="23">
        <f>AI78*AI84</f>
        <v>6718575</v>
      </c>
      <c r="AJ43" s="11">
        <f t="shared" si="28"/>
        <v>192140381</v>
      </c>
      <c r="AK43" s="31">
        <f>AJ43+'Apr-24'!AI43</f>
        <v>380070503.30000001</v>
      </c>
    </row>
    <row r="44" spans="1:253" x14ac:dyDescent="0.3">
      <c r="A44" s="24"/>
      <c r="B44" s="24" t="s">
        <v>54</v>
      </c>
      <c r="C44" s="10" t="s">
        <v>51</v>
      </c>
      <c r="D44" s="10"/>
      <c r="E44" s="55">
        <f>E41*E42</f>
        <v>2574720</v>
      </c>
      <c r="F44" s="55">
        <f>F41*F42</f>
        <v>2398304</v>
      </c>
      <c r="G44" s="55">
        <f t="shared" ref="G44:AH44" si="30">G41*G42</f>
        <v>1996896</v>
      </c>
      <c r="H44" s="55">
        <f t="shared" si="30"/>
        <v>2053515</v>
      </c>
      <c r="I44" s="55">
        <f t="shared" si="30"/>
        <v>1955664</v>
      </c>
      <c r="J44" s="55">
        <f t="shared" si="30"/>
        <v>2220696</v>
      </c>
      <c r="K44" s="55">
        <f t="shared" si="30"/>
        <v>1391439</v>
      </c>
      <c r="L44" s="55">
        <f t="shared" si="30"/>
        <v>0</v>
      </c>
      <c r="M44" s="42">
        <f>M41*M42</f>
        <v>0</v>
      </c>
      <c r="N44" s="55">
        <f t="shared" si="30"/>
        <v>0</v>
      </c>
      <c r="O44" s="55">
        <f t="shared" si="30"/>
        <v>0</v>
      </c>
      <c r="P44" s="55">
        <f t="shared" si="30"/>
        <v>0</v>
      </c>
      <c r="Q44" s="55">
        <f t="shared" si="30"/>
        <v>0</v>
      </c>
      <c r="R44" s="55">
        <f t="shared" si="30"/>
        <v>0</v>
      </c>
      <c r="S44" s="55">
        <f t="shared" si="30"/>
        <v>0</v>
      </c>
      <c r="T44" s="55">
        <f t="shared" si="30"/>
        <v>0</v>
      </c>
      <c r="U44" s="55">
        <f t="shared" si="30"/>
        <v>0</v>
      </c>
      <c r="V44" s="55">
        <f t="shared" si="30"/>
        <v>0</v>
      </c>
      <c r="W44" s="55">
        <f t="shared" si="30"/>
        <v>0</v>
      </c>
      <c r="X44" s="55">
        <f t="shared" si="30"/>
        <v>0</v>
      </c>
      <c r="Y44" s="55">
        <f t="shared" si="30"/>
        <v>0</v>
      </c>
      <c r="Z44" s="55">
        <f t="shared" si="30"/>
        <v>0</v>
      </c>
      <c r="AA44" s="55">
        <f t="shared" si="30"/>
        <v>0</v>
      </c>
      <c r="AB44" s="55">
        <f t="shared" si="30"/>
        <v>0</v>
      </c>
      <c r="AC44" s="55">
        <f t="shared" si="30"/>
        <v>0</v>
      </c>
      <c r="AD44" s="55">
        <f t="shared" si="30"/>
        <v>0</v>
      </c>
      <c r="AE44" s="55">
        <f t="shared" si="30"/>
        <v>0</v>
      </c>
      <c r="AF44" s="55">
        <f t="shared" si="30"/>
        <v>0</v>
      </c>
      <c r="AG44" s="55">
        <f t="shared" si="30"/>
        <v>0</v>
      </c>
      <c r="AH44" s="55">
        <f t="shared" si="30"/>
        <v>0</v>
      </c>
      <c r="AI44" s="55">
        <f>AI41*AI42</f>
        <v>3009204</v>
      </c>
      <c r="AJ44" s="28">
        <f>SUM(E44:AI44)</f>
        <v>17600438</v>
      </c>
      <c r="AK44" s="31">
        <f>AJ44+'Apr-24'!AI44</f>
        <v>96311582.489999995</v>
      </c>
    </row>
    <row r="45" spans="1:253" x14ac:dyDescent="0.3">
      <c r="A45" s="44"/>
      <c r="B45" s="44" t="s">
        <v>221</v>
      </c>
      <c r="C45" s="15"/>
      <c r="D45" s="15"/>
      <c r="E45" s="56">
        <f>E44/E43</f>
        <v>0.37213658536585364</v>
      </c>
      <c r="F45" s="56">
        <f t="shared" ref="F45:AH45" si="31">F44/F43</f>
        <v>0.36954975500015408</v>
      </c>
      <c r="G45" s="56">
        <f t="shared" si="31"/>
        <v>0.37688155696237652</v>
      </c>
      <c r="H45" s="56">
        <f t="shared" si="31"/>
        <v>0.36609935794468135</v>
      </c>
      <c r="I45" s="56">
        <f t="shared" si="31"/>
        <v>0.37247450891959261</v>
      </c>
      <c r="J45" s="56">
        <f t="shared" si="31"/>
        <v>0.38305958332039619</v>
      </c>
      <c r="K45" s="56">
        <f t="shared" si="31"/>
        <v>0.2216069477580325</v>
      </c>
      <c r="L45" s="56">
        <f t="shared" si="31"/>
        <v>0</v>
      </c>
      <c r="M45" s="56">
        <f t="shared" si="31"/>
        <v>0</v>
      </c>
      <c r="N45" s="56">
        <f t="shared" si="31"/>
        <v>0</v>
      </c>
      <c r="O45" s="56">
        <f t="shared" si="31"/>
        <v>0</v>
      </c>
      <c r="P45" s="56">
        <f t="shared" si="31"/>
        <v>0</v>
      </c>
      <c r="Q45" s="56">
        <f t="shared" si="31"/>
        <v>0</v>
      </c>
      <c r="R45" s="56" t="e">
        <f t="shared" si="31"/>
        <v>#DIV/0!</v>
      </c>
      <c r="S45" s="56">
        <f t="shared" si="31"/>
        <v>0</v>
      </c>
      <c r="T45" s="56">
        <f t="shared" si="31"/>
        <v>0</v>
      </c>
      <c r="U45" s="56">
        <f t="shared" si="31"/>
        <v>0</v>
      </c>
      <c r="V45" s="56">
        <f t="shared" si="31"/>
        <v>0</v>
      </c>
      <c r="W45" s="56">
        <f t="shared" si="31"/>
        <v>0</v>
      </c>
      <c r="X45" s="56">
        <f t="shared" si="31"/>
        <v>0</v>
      </c>
      <c r="Y45" s="56">
        <f t="shared" si="31"/>
        <v>0</v>
      </c>
      <c r="Z45" s="56">
        <f t="shared" si="31"/>
        <v>0</v>
      </c>
      <c r="AA45" s="56">
        <f t="shared" si="31"/>
        <v>0</v>
      </c>
      <c r="AB45" s="56">
        <f t="shared" si="31"/>
        <v>0</v>
      </c>
      <c r="AC45" s="56">
        <f t="shared" si="31"/>
        <v>0</v>
      </c>
      <c r="AD45" s="56">
        <f t="shared" si="31"/>
        <v>0</v>
      </c>
      <c r="AE45" s="56">
        <f t="shared" si="31"/>
        <v>0</v>
      </c>
      <c r="AF45" s="56">
        <f t="shared" si="31"/>
        <v>0</v>
      </c>
      <c r="AG45" s="56">
        <f t="shared" si="31"/>
        <v>0</v>
      </c>
      <c r="AH45" s="56">
        <f t="shared" si="31"/>
        <v>0</v>
      </c>
      <c r="AI45" s="56">
        <f>AI44/AI43</f>
        <v>0.44789319163661939</v>
      </c>
      <c r="AJ45" s="16">
        <f>AJ44/AJ43</f>
        <v>9.1601973038660731E-2</v>
      </c>
      <c r="AK45" s="16">
        <f>AK44/AK43</f>
        <v>0.25340451746127385</v>
      </c>
    </row>
    <row r="46" spans="1:253" s="51" customFormat="1" x14ac:dyDescent="0.3">
      <c r="B46" s="58" t="s">
        <v>215</v>
      </c>
      <c r="C46" s="59" t="s">
        <v>51</v>
      </c>
      <c r="D46" s="59" t="s">
        <v>7</v>
      </c>
      <c r="E46" s="53">
        <v>417</v>
      </c>
      <c r="F46" s="53">
        <v>389</v>
      </c>
      <c r="G46" s="53">
        <v>324</v>
      </c>
      <c r="H46" s="53">
        <v>333</v>
      </c>
      <c r="I46" s="53">
        <v>318</v>
      </c>
      <c r="J46" s="53">
        <v>361</v>
      </c>
      <c r="K46" s="53">
        <v>446</v>
      </c>
      <c r="L46" s="53">
        <v>617</v>
      </c>
      <c r="M46" s="53">
        <v>650</v>
      </c>
      <c r="N46" s="53">
        <v>630</v>
      </c>
      <c r="O46" s="53">
        <v>665</v>
      </c>
      <c r="P46" s="53">
        <v>642</v>
      </c>
      <c r="Q46" s="53">
        <v>485</v>
      </c>
      <c r="R46" s="53">
        <v>0</v>
      </c>
      <c r="S46" s="53">
        <v>740</v>
      </c>
      <c r="T46" s="10">
        <v>647</v>
      </c>
      <c r="U46" s="10">
        <v>633</v>
      </c>
      <c r="V46" s="10">
        <v>672</v>
      </c>
      <c r="W46" s="10">
        <v>637</v>
      </c>
      <c r="X46" s="10">
        <v>693</v>
      </c>
      <c r="Y46" s="10">
        <v>670</v>
      </c>
      <c r="Z46" s="53">
        <v>661</v>
      </c>
      <c r="AA46" s="22">
        <v>682</v>
      </c>
      <c r="AB46" s="22">
        <v>672</v>
      </c>
      <c r="AC46" s="22">
        <v>698</v>
      </c>
      <c r="AD46" s="22">
        <v>1150</v>
      </c>
      <c r="AE46" s="22">
        <v>1197</v>
      </c>
      <c r="AF46" s="22">
        <v>1183</v>
      </c>
      <c r="AG46" s="22">
        <v>1226</v>
      </c>
      <c r="AH46" s="22">
        <v>647</v>
      </c>
      <c r="AI46" s="22">
        <v>397</v>
      </c>
      <c r="AJ46" s="11">
        <f t="shared" ref="AJ46:AJ48" si="32">SUM(E46:AI46)</f>
        <v>19482</v>
      </c>
      <c r="AK46" s="31">
        <f>AJ46+'Apr-24'!AI46</f>
        <v>28758</v>
      </c>
      <c r="AL46" s="62">
        <f>AJ48/AJ43</f>
        <v>0.50718839263673576</v>
      </c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  <c r="BN46" s="62"/>
      <c r="BO46" s="62"/>
      <c r="BP46" s="62"/>
      <c r="BQ46" s="62"/>
      <c r="BR46" s="62"/>
      <c r="BS46" s="62"/>
      <c r="BT46" s="62"/>
      <c r="BU46" s="62"/>
      <c r="BV46" s="62"/>
      <c r="BW46" s="62"/>
      <c r="BX46" s="62"/>
      <c r="BY46" s="62"/>
      <c r="BZ46" s="62"/>
      <c r="CA46" s="62"/>
      <c r="CB46" s="62"/>
      <c r="CC46" s="62"/>
      <c r="CD46" s="62"/>
      <c r="CE46" s="62"/>
      <c r="CF46" s="62"/>
      <c r="CG46" s="62"/>
      <c r="CH46" s="62"/>
      <c r="CI46" s="62"/>
      <c r="CJ46" s="62"/>
      <c r="CK46" s="62"/>
      <c r="CL46" s="62"/>
      <c r="CM46" s="62"/>
      <c r="CN46" s="62"/>
      <c r="CO46" s="62"/>
      <c r="CP46" s="62"/>
      <c r="CQ46" s="62"/>
      <c r="CR46" s="62"/>
      <c r="CS46" s="62"/>
      <c r="CT46" s="62"/>
      <c r="CU46" s="62"/>
      <c r="CV46" s="62"/>
      <c r="CW46" s="62"/>
      <c r="CX46" s="62"/>
      <c r="CY46" s="62"/>
      <c r="CZ46" s="62"/>
      <c r="DA46" s="62"/>
      <c r="DB46" s="62"/>
      <c r="DC46" s="62"/>
      <c r="DD46" s="62"/>
      <c r="DE46" s="62"/>
      <c r="DF46" s="62"/>
      <c r="DG46" s="62"/>
      <c r="DH46" s="62"/>
      <c r="DI46" s="62"/>
      <c r="DJ46" s="62"/>
      <c r="DK46" s="62"/>
      <c r="DL46" s="62"/>
      <c r="DM46" s="62"/>
      <c r="DN46" s="62"/>
      <c r="DO46" s="62"/>
      <c r="DP46" s="62"/>
      <c r="DQ46" s="62"/>
      <c r="DR46" s="62"/>
      <c r="DS46" s="62"/>
      <c r="DT46" s="62"/>
      <c r="DU46" s="62"/>
      <c r="DV46" s="62"/>
      <c r="DW46" s="62"/>
      <c r="DX46" s="62"/>
      <c r="DY46" s="62"/>
      <c r="DZ46" s="62"/>
      <c r="EA46" s="62"/>
      <c r="EB46" s="62"/>
      <c r="EC46" s="62"/>
      <c r="ED46" s="62"/>
      <c r="EE46" s="62"/>
      <c r="EF46" s="62"/>
      <c r="EG46" s="62"/>
      <c r="EH46" s="62"/>
      <c r="EI46" s="62"/>
      <c r="EJ46" s="62"/>
      <c r="EK46" s="62"/>
      <c r="EL46" s="62"/>
      <c r="EM46" s="62"/>
      <c r="EN46" s="62"/>
      <c r="EO46" s="62"/>
      <c r="EP46" s="62"/>
      <c r="EQ46" s="62"/>
      <c r="ER46" s="62"/>
      <c r="ES46" s="62"/>
      <c r="ET46" s="62"/>
      <c r="EU46" s="62"/>
      <c r="EV46" s="62"/>
      <c r="EW46" s="62"/>
      <c r="EX46" s="62"/>
      <c r="EY46" s="62"/>
      <c r="EZ46" s="62"/>
      <c r="FA46" s="62"/>
      <c r="FB46" s="62"/>
      <c r="FC46" s="62"/>
      <c r="FD46" s="62"/>
      <c r="FE46" s="62"/>
      <c r="FF46" s="62"/>
      <c r="FG46" s="62"/>
      <c r="FH46" s="62"/>
      <c r="FI46" s="62"/>
      <c r="FJ46" s="62"/>
      <c r="FK46" s="62"/>
      <c r="FL46" s="62"/>
      <c r="FM46" s="62"/>
      <c r="FN46" s="62"/>
      <c r="FO46" s="62"/>
      <c r="FP46" s="62"/>
      <c r="FQ46" s="62"/>
      <c r="FR46" s="62"/>
      <c r="FS46" s="62"/>
      <c r="FT46" s="62"/>
      <c r="FU46" s="62"/>
      <c r="FV46" s="62"/>
      <c r="FW46" s="62"/>
      <c r="FX46" s="62"/>
      <c r="FY46" s="62"/>
      <c r="FZ46" s="62"/>
      <c r="GA46" s="62"/>
      <c r="GB46" s="62"/>
      <c r="GC46" s="62"/>
      <c r="GD46" s="62"/>
      <c r="GE46" s="62"/>
      <c r="GF46" s="62"/>
      <c r="GG46" s="62"/>
      <c r="GH46" s="62"/>
      <c r="GI46" s="62"/>
      <c r="GJ46" s="62"/>
      <c r="GK46" s="62"/>
      <c r="GL46" s="62"/>
      <c r="GM46" s="62"/>
      <c r="GN46" s="62"/>
      <c r="GO46" s="62"/>
      <c r="GP46" s="62"/>
      <c r="GQ46" s="62"/>
      <c r="GR46" s="62"/>
      <c r="GS46" s="62"/>
      <c r="GT46" s="62"/>
      <c r="GU46" s="62"/>
      <c r="GV46" s="62"/>
      <c r="GW46" s="62"/>
      <c r="GX46" s="62"/>
      <c r="GY46" s="62"/>
      <c r="GZ46" s="62"/>
      <c r="HA46" s="62"/>
      <c r="HB46" s="62"/>
      <c r="HC46" s="62"/>
      <c r="HD46" s="62"/>
      <c r="HE46" s="62"/>
      <c r="HF46" s="62"/>
      <c r="HG46" s="62"/>
      <c r="HH46" s="62"/>
      <c r="HI46" s="62"/>
      <c r="HJ46" s="62"/>
      <c r="HK46" s="62"/>
      <c r="HL46" s="62"/>
      <c r="HM46" s="62"/>
      <c r="HN46" s="62"/>
      <c r="HO46" s="62"/>
      <c r="HP46" s="62"/>
      <c r="HQ46" s="62"/>
      <c r="HR46" s="62"/>
      <c r="HS46" s="62"/>
      <c r="HT46" s="62"/>
      <c r="HU46" s="62"/>
      <c r="HV46" s="62"/>
      <c r="HW46" s="62"/>
      <c r="HX46" s="62"/>
      <c r="HY46" s="62"/>
      <c r="HZ46" s="62"/>
      <c r="IA46" s="62"/>
      <c r="IB46" s="62"/>
      <c r="IC46" s="62"/>
      <c r="ID46" s="62"/>
      <c r="IE46" s="62"/>
      <c r="IF46" s="62"/>
      <c r="IG46" s="62"/>
      <c r="IH46" s="62"/>
      <c r="II46" s="62"/>
      <c r="IJ46" s="62"/>
      <c r="IK46" s="62"/>
      <c r="IL46" s="62"/>
      <c r="IM46" s="62"/>
      <c r="IN46" s="62"/>
      <c r="IO46" s="62"/>
      <c r="IP46" s="62"/>
      <c r="IQ46" s="62"/>
      <c r="IR46" s="62"/>
      <c r="IS46" s="62"/>
    </row>
    <row r="47" spans="1:253" s="51" customFormat="1" x14ac:dyDescent="0.3">
      <c r="B47" s="58" t="s">
        <v>218</v>
      </c>
      <c r="C47" s="59" t="s">
        <v>51</v>
      </c>
      <c r="D47" s="59" t="s">
        <v>55</v>
      </c>
      <c r="E47" s="60">
        <v>4970</v>
      </c>
      <c r="F47" s="60">
        <v>4952</v>
      </c>
      <c r="G47" s="60">
        <v>4950</v>
      </c>
      <c r="H47" s="60">
        <v>4960</v>
      </c>
      <c r="I47" s="60">
        <v>4965</v>
      </c>
      <c r="J47" s="60">
        <v>4978</v>
      </c>
      <c r="K47" s="60">
        <v>4975</v>
      </c>
      <c r="L47" s="60">
        <v>4980</v>
      </c>
      <c r="M47" s="60">
        <v>4978</v>
      </c>
      <c r="N47" s="60">
        <v>4985</v>
      </c>
      <c r="O47" s="60">
        <v>4980</v>
      </c>
      <c r="P47" s="60">
        <v>4965</v>
      </c>
      <c r="Q47" s="60">
        <v>4970</v>
      </c>
      <c r="R47" s="60">
        <v>0</v>
      </c>
      <c r="S47" s="60">
        <v>5060</v>
      </c>
      <c r="T47" s="60">
        <v>5065</v>
      </c>
      <c r="U47" s="23">
        <v>5095</v>
      </c>
      <c r="V47" s="23">
        <v>5055</v>
      </c>
      <c r="W47" s="23">
        <v>5050</v>
      </c>
      <c r="X47" s="23">
        <v>5060</v>
      </c>
      <c r="Y47" s="23">
        <v>5055</v>
      </c>
      <c r="Z47" s="23">
        <v>5050</v>
      </c>
      <c r="AA47" s="23">
        <v>5055</v>
      </c>
      <c r="AB47" s="23">
        <v>5050</v>
      </c>
      <c r="AC47" s="22">
        <v>5055</v>
      </c>
      <c r="AD47" s="22">
        <v>5050</v>
      </c>
      <c r="AE47" s="22">
        <v>5045</v>
      </c>
      <c r="AF47" s="22">
        <v>5040</v>
      </c>
      <c r="AG47" s="22">
        <v>4840</v>
      </c>
      <c r="AH47" s="22">
        <v>4835</v>
      </c>
      <c r="AI47" s="22">
        <v>4815</v>
      </c>
      <c r="AJ47" s="11">
        <f t="shared" si="32"/>
        <v>149883</v>
      </c>
      <c r="AK47" s="31">
        <f>AJ47+'Apr-24'!AI47</f>
        <v>296319.52800000005</v>
      </c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62"/>
      <c r="BL47" s="62"/>
      <c r="BM47" s="62"/>
      <c r="BN47" s="62"/>
      <c r="BO47" s="62"/>
      <c r="BP47" s="62"/>
      <c r="BQ47" s="62"/>
      <c r="BR47" s="62"/>
      <c r="BS47" s="62"/>
      <c r="BT47" s="62"/>
      <c r="BU47" s="62"/>
      <c r="BV47" s="62"/>
      <c r="BW47" s="62"/>
      <c r="BX47" s="62"/>
      <c r="BY47" s="62"/>
      <c r="BZ47" s="62"/>
      <c r="CA47" s="62"/>
      <c r="CB47" s="62"/>
      <c r="CC47" s="62"/>
      <c r="CD47" s="62"/>
      <c r="CE47" s="62"/>
      <c r="CF47" s="62"/>
      <c r="CG47" s="62"/>
      <c r="CH47" s="62"/>
      <c r="CI47" s="62"/>
      <c r="CJ47" s="62"/>
      <c r="CK47" s="62"/>
      <c r="CL47" s="62"/>
      <c r="CM47" s="62"/>
      <c r="CN47" s="62"/>
      <c r="CO47" s="62"/>
      <c r="CP47" s="62"/>
      <c r="CQ47" s="62"/>
      <c r="CR47" s="62"/>
      <c r="CS47" s="62"/>
      <c r="CT47" s="62"/>
      <c r="CU47" s="62"/>
      <c r="CV47" s="62"/>
      <c r="CW47" s="62"/>
      <c r="CX47" s="62"/>
      <c r="CY47" s="62"/>
      <c r="CZ47" s="62"/>
      <c r="DA47" s="62"/>
      <c r="DB47" s="62"/>
      <c r="DC47" s="62"/>
      <c r="DD47" s="62"/>
      <c r="DE47" s="62"/>
      <c r="DF47" s="62"/>
      <c r="DG47" s="62"/>
      <c r="DH47" s="62"/>
      <c r="DI47" s="62"/>
      <c r="DJ47" s="62"/>
      <c r="DK47" s="62"/>
      <c r="DL47" s="62"/>
      <c r="DM47" s="62"/>
      <c r="DN47" s="62"/>
      <c r="DO47" s="62"/>
      <c r="DP47" s="62"/>
      <c r="DQ47" s="62"/>
      <c r="DR47" s="62"/>
      <c r="DS47" s="62"/>
      <c r="DT47" s="62"/>
      <c r="DU47" s="62"/>
      <c r="DV47" s="62"/>
      <c r="DW47" s="62"/>
      <c r="DX47" s="62"/>
      <c r="DY47" s="62"/>
      <c r="DZ47" s="62"/>
      <c r="EA47" s="62"/>
      <c r="EB47" s="62"/>
      <c r="EC47" s="62"/>
      <c r="ED47" s="62"/>
      <c r="EE47" s="62"/>
      <c r="EF47" s="62"/>
      <c r="EG47" s="62"/>
      <c r="EH47" s="62"/>
      <c r="EI47" s="62"/>
      <c r="EJ47" s="62"/>
      <c r="EK47" s="62"/>
      <c r="EL47" s="62"/>
      <c r="EM47" s="62"/>
      <c r="EN47" s="62"/>
      <c r="EO47" s="62"/>
      <c r="EP47" s="62"/>
      <c r="EQ47" s="62"/>
      <c r="ER47" s="62"/>
      <c r="ES47" s="62"/>
      <c r="ET47" s="62"/>
      <c r="EU47" s="62"/>
      <c r="EV47" s="62"/>
      <c r="EW47" s="62"/>
      <c r="EX47" s="62"/>
      <c r="EY47" s="62"/>
      <c r="EZ47" s="62"/>
      <c r="FA47" s="62"/>
      <c r="FB47" s="62"/>
      <c r="FC47" s="62"/>
      <c r="FD47" s="62"/>
      <c r="FE47" s="62"/>
      <c r="FF47" s="62"/>
      <c r="FG47" s="62"/>
      <c r="FH47" s="62"/>
      <c r="FI47" s="62"/>
      <c r="FJ47" s="62"/>
      <c r="FK47" s="62"/>
      <c r="FL47" s="62"/>
      <c r="FM47" s="62"/>
      <c r="FN47" s="62"/>
      <c r="FO47" s="62"/>
      <c r="FP47" s="62"/>
      <c r="FQ47" s="62"/>
      <c r="FR47" s="62"/>
      <c r="FS47" s="62"/>
      <c r="FT47" s="62"/>
      <c r="FU47" s="62"/>
      <c r="FV47" s="62"/>
      <c r="FW47" s="62"/>
      <c r="FX47" s="62"/>
      <c r="FY47" s="62"/>
      <c r="FZ47" s="62"/>
      <c r="GA47" s="62"/>
      <c r="GB47" s="62"/>
      <c r="GC47" s="62"/>
      <c r="GD47" s="62"/>
      <c r="GE47" s="62"/>
      <c r="GF47" s="62"/>
      <c r="GG47" s="62"/>
      <c r="GH47" s="62"/>
      <c r="GI47" s="62"/>
      <c r="GJ47" s="62"/>
      <c r="GK47" s="62"/>
      <c r="GL47" s="62"/>
      <c r="GM47" s="62"/>
      <c r="GN47" s="62"/>
      <c r="GO47" s="62"/>
      <c r="GP47" s="62"/>
      <c r="GQ47" s="62"/>
      <c r="GR47" s="62"/>
      <c r="GS47" s="62"/>
      <c r="GT47" s="62"/>
      <c r="GU47" s="62"/>
      <c r="GV47" s="62"/>
      <c r="GW47" s="62"/>
      <c r="GX47" s="62"/>
      <c r="GY47" s="62"/>
      <c r="GZ47" s="62"/>
      <c r="HA47" s="62"/>
      <c r="HB47" s="62"/>
      <c r="HC47" s="62"/>
      <c r="HD47" s="62"/>
      <c r="HE47" s="62"/>
      <c r="HF47" s="62"/>
      <c r="HG47" s="62"/>
      <c r="HH47" s="62"/>
      <c r="HI47" s="62"/>
      <c r="HJ47" s="62"/>
      <c r="HK47" s="62"/>
      <c r="HL47" s="62"/>
      <c r="HM47" s="62"/>
      <c r="HN47" s="62"/>
      <c r="HO47" s="62"/>
      <c r="HP47" s="62"/>
      <c r="HQ47" s="62"/>
      <c r="HR47" s="62"/>
      <c r="HS47" s="62"/>
      <c r="HT47" s="62"/>
      <c r="HU47" s="62"/>
      <c r="HV47" s="62"/>
      <c r="HW47" s="62"/>
      <c r="HX47" s="62"/>
      <c r="HY47" s="62"/>
      <c r="HZ47" s="62"/>
      <c r="IA47" s="62"/>
      <c r="IB47" s="62"/>
      <c r="IC47" s="62"/>
      <c r="ID47" s="62"/>
      <c r="IE47" s="62"/>
      <c r="IF47" s="62"/>
      <c r="IG47" s="62"/>
      <c r="IH47" s="62"/>
      <c r="II47" s="62"/>
      <c r="IJ47" s="62"/>
      <c r="IK47" s="62"/>
      <c r="IL47" s="62"/>
      <c r="IM47" s="62"/>
      <c r="IN47" s="62"/>
      <c r="IO47" s="62"/>
      <c r="IP47" s="62"/>
      <c r="IQ47" s="62"/>
      <c r="IR47" s="62"/>
      <c r="IS47" s="62"/>
    </row>
    <row r="48" spans="1:253" s="51" customFormat="1" x14ac:dyDescent="0.3">
      <c r="B48" s="58" t="s">
        <v>219</v>
      </c>
      <c r="C48" s="59" t="s">
        <v>51</v>
      </c>
      <c r="D48" s="59" t="s">
        <v>55</v>
      </c>
      <c r="E48" s="63">
        <f>E46*E47</f>
        <v>2072490</v>
      </c>
      <c r="F48" s="63">
        <f>F46*F47</f>
        <v>1926328</v>
      </c>
      <c r="G48" s="63">
        <f t="shared" ref="G48:AH48" si="33">G46*G47</f>
        <v>1603800</v>
      </c>
      <c r="H48" s="63">
        <f t="shared" si="33"/>
        <v>1651680</v>
      </c>
      <c r="I48" s="63">
        <f t="shared" si="33"/>
        <v>1578870</v>
      </c>
      <c r="J48" s="63">
        <f t="shared" si="33"/>
        <v>1797058</v>
      </c>
      <c r="K48" s="63">
        <f t="shared" si="33"/>
        <v>2218850</v>
      </c>
      <c r="L48" s="63">
        <f t="shared" si="33"/>
        <v>3072660</v>
      </c>
      <c r="M48" s="63">
        <f>M46*M47</f>
        <v>3235700</v>
      </c>
      <c r="N48" s="63">
        <f t="shared" si="33"/>
        <v>3140550</v>
      </c>
      <c r="O48" s="63">
        <f t="shared" si="33"/>
        <v>3311700</v>
      </c>
      <c r="P48" s="63">
        <f t="shared" si="33"/>
        <v>3187530</v>
      </c>
      <c r="Q48" s="63">
        <f t="shared" si="33"/>
        <v>2410450</v>
      </c>
      <c r="R48" s="63">
        <f t="shared" si="33"/>
        <v>0</v>
      </c>
      <c r="S48" s="63">
        <f t="shared" si="33"/>
        <v>3744400</v>
      </c>
      <c r="T48" s="63">
        <f t="shared" si="33"/>
        <v>3277055</v>
      </c>
      <c r="U48" s="63">
        <f t="shared" si="33"/>
        <v>3225135</v>
      </c>
      <c r="V48" s="23">
        <f t="shared" si="33"/>
        <v>3396960</v>
      </c>
      <c r="W48" s="23">
        <f t="shared" si="33"/>
        <v>3216850</v>
      </c>
      <c r="X48" s="23">
        <f t="shared" si="33"/>
        <v>3506580</v>
      </c>
      <c r="Y48" s="23">
        <f t="shared" si="33"/>
        <v>3386850</v>
      </c>
      <c r="Z48" s="23">
        <f t="shared" si="33"/>
        <v>3338050</v>
      </c>
      <c r="AA48" s="23">
        <f t="shared" si="33"/>
        <v>3447510</v>
      </c>
      <c r="AB48" s="23">
        <f t="shared" si="33"/>
        <v>3393600</v>
      </c>
      <c r="AC48" s="63">
        <f t="shared" si="33"/>
        <v>3528390</v>
      </c>
      <c r="AD48" s="63">
        <f t="shared" si="33"/>
        <v>5807500</v>
      </c>
      <c r="AE48" s="63">
        <f t="shared" si="33"/>
        <v>6038865</v>
      </c>
      <c r="AF48" s="63">
        <f t="shared" si="33"/>
        <v>5962320</v>
      </c>
      <c r="AG48" s="63">
        <f t="shared" si="33"/>
        <v>5933840</v>
      </c>
      <c r="AH48" s="63">
        <f t="shared" si="33"/>
        <v>3128245</v>
      </c>
      <c r="AI48" s="63">
        <f>AI46*AI47</f>
        <v>1911555</v>
      </c>
      <c r="AJ48" s="11">
        <f t="shared" si="32"/>
        <v>97451371</v>
      </c>
      <c r="AK48" s="31">
        <f>AJ48+'Apr-24'!AI48</f>
        <v>144295845.68400002</v>
      </c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2"/>
      <c r="BH48" s="62"/>
      <c r="BI48" s="62"/>
      <c r="BJ48" s="62"/>
      <c r="BK48" s="62"/>
      <c r="BL48" s="62"/>
      <c r="BM48" s="62"/>
      <c r="BN48" s="62"/>
      <c r="BO48" s="62"/>
      <c r="BP48" s="62"/>
      <c r="BQ48" s="62"/>
      <c r="BR48" s="62"/>
      <c r="BS48" s="62"/>
      <c r="BT48" s="62"/>
      <c r="BU48" s="62"/>
      <c r="BV48" s="62"/>
      <c r="BW48" s="62"/>
      <c r="BX48" s="62"/>
      <c r="BY48" s="62"/>
      <c r="BZ48" s="62"/>
      <c r="CA48" s="62"/>
      <c r="CB48" s="62"/>
      <c r="CC48" s="62"/>
      <c r="CD48" s="62"/>
      <c r="CE48" s="62"/>
      <c r="CF48" s="62"/>
      <c r="CG48" s="62"/>
      <c r="CH48" s="62"/>
      <c r="CI48" s="62"/>
      <c r="CJ48" s="62"/>
      <c r="CK48" s="62"/>
      <c r="CL48" s="62"/>
      <c r="CM48" s="62"/>
      <c r="CN48" s="62"/>
      <c r="CO48" s="62"/>
      <c r="CP48" s="62"/>
      <c r="CQ48" s="62"/>
      <c r="CR48" s="62"/>
      <c r="CS48" s="62"/>
      <c r="CT48" s="62"/>
      <c r="CU48" s="62"/>
      <c r="CV48" s="62"/>
      <c r="CW48" s="62"/>
      <c r="CX48" s="62"/>
      <c r="CY48" s="62"/>
      <c r="CZ48" s="62"/>
      <c r="DA48" s="62"/>
      <c r="DB48" s="62"/>
      <c r="DC48" s="62"/>
      <c r="DD48" s="62"/>
      <c r="DE48" s="62"/>
      <c r="DF48" s="62"/>
      <c r="DG48" s="62"/>
      <c r="DH48" s="62"/>
      <c r="DI48" s="62"/>
      <c r="DJ48" s="62"/>
      <c r="DK48" s="62"/>
      <c r="DL48" s="62"/>
      <c r="DM48" s="62"/>
      <c r="DN48" s="62"/>
      <c r="DO48" s="62"/>
      <c r="DP48" s="62"/>
      <c r="DQ48" s="62"/>
      <c r="DR48" s="62"/>
      <c r="DS48" s="62"/>
      <c r="DT48" s="62"/>
      <c r="DU48" s="62"/>
      <c r="DV48" s="62"/>
      <c r="DW48" s="62"/>
      <c r="DX48" s="62"/>
      <c r="DY48" s="62"/>
      <c r="DZ48" s="62"/>
      <c r="EA48" s="62"/>
      <c r="EB48" s="62"/>
      <c r="EC48" s="62"/>
      <c r="ED48" s="62"/>
      <c r="EE48" s="62"/>
      <c r="EF48" s="62"/>
      <c r="EG48" s="62"/>
      <c r="EH48" s="62"/>
      <c r="EI48" s="62"/>
      <c r="EJ48" s="62"/>
      <c r="EK48" s="62"/>
      <c r="EL48" s="62"/>
      <c r="EM48" s="62"/>
      <c r="EN48" s="62"/>
      <c r="EO48" s="62"/>
      <c r="EP48" s="62"/>
      <c r="EQ48" s="62"/>
      <c r="ER48" s="62"/>
      <c r="ES48" s="62"/>
      <c r="ET48" s="62"/>
      <c r="EU48" s="62"/>
      <c r="EV48" s="62"/>
      <c r="EW48" s="62"/>
      <c r="EX48" s="62"/>
      <c r="EY48" s="62"/>
      <c r="EZ48" s="62"/>
      <c r="FA48" s="62"/>
      <c r="FB48" s="62"/>
      <c r="FC48" s="62"/>
      <c r="FD48" s="62"/>
      <c r="FE48" s="62"/>
      <c r="FF48" s="62"/>
      <c r="FG48" s="62"/>
      <c r="FH48" s="62"/>
      <c r="FI48" s="62"/>
      <c r="FJ48" s="62"/>
      <c r="FK48" s="62"/>
      <c r="FL48" s="62"/>
      <c r="FM48" s="62"/>
      <c r="FN48" s="62"/>
      <c r="FO48" s="62"/>
      <c r="FP48" s="62"/>
      <c r="FQ48" s="62"/>
      <c r="FR48" s="62"/>
      <c r="FS48" s="62"/>
      <c r="FT48" s="62"/>
      <c r="FU48" s="62"/>
      <c r="FV48" s="62"/>
      <c r="FW48" s="62"/>
      <c r="FX48" s="62"/>
      <c r="FY48" s="62"/>
      <c r="FZ48" s="62"/>
      <c r="GA48" s="62"/>
      <c r="GB48" s="62"/>
      <c r="GC48" s="62"/>
      <c r="GD48" s="62"/>
      <c r="GE48" s="62"/>
      <c r="GF48" s="62"/>
      <c r="GG48" s="62"/>
      <c r="GH48" s="62"/>
      <c r="GI48" s="62"/>
      <c r="GJ48" s="62"/>
      <c r="GK48" s="62"/>
      <c r="GL48" s="62"/>
      <c r="GM48" s="62"/>
      <c r="GN48" s="62"/>
      <c r="GO48" s="62"/>
      <c r="GP48" s="62"/>
      <c r="GQ48" s="62"/>
      <c r="GR48" s="62"/>
      <c r="GS48" s="62"/>
      <c r="GT48" s="62"/>
      <c r="GU48" s="62"/>
      <c r="GV48" s="62"/>
      <c r="GW48" s="62"/>
      <c r="GX48" s="62"/>
      <c r="GY48" s="62"/>
      <c r="GZ48" s="62"/>
      <c r="HA48" s="62"/>
      <c r="HB48" s="62"/>
      <c r="HC48" s="62"/>
      <c r="HD48" s="62"/>
      <c r="HE48" s="62"/>
      <c r="HF48" s="62"/>
      <c r="HG48" s="62"/>
      <c r="HH48" s="62"/>
      <c r="HI48" s="62"/>
      <c r="HJ48" s="62"/>
      <c r="HK48" s="62"/>
      <c r="HL48" s="62"/>
      <c r="HM48" s="62"/>
      <c r="HN48" s="62"/>
      <c r="HO48" s="62"/>
      <c r="HP48" s="62"/>
      <c r="HQ48" s="62"/>
      <c r="HR48" s="62"/>
      <c r="HS48" s="62"/>
      <c r="HT48" s="62"/>
      <c r="HU48" s="62"/>
      <c r="HV48" s="62"/>
      <c r="HW48" s="62"/>
      <c r="HX48" s="62"/>
      <c r="HY48" s="62"/>
      <c r="HZ48" s="62"/>
      <c r="IA48" s="62"/>
      <c r="IB48" s="62"/>
      <c r="IC48" s="62"/>
      <c r="ID48" s="62"/>
      <c r="IE48" s="62"/>
      <c r="IF48" s="62"/>
      <c r="IG48" s="62"/>
      <c r="IH48" s="62"/>
      <c r="II48" s="62"/>
      <c r="IJ48" s="62"/>
      <c r="IK48" s="62"/>
      <c r="IL48" s="62"/>
      <c r="IM48" s="62"/>
      <c r="IN48" s="62"/>
      <c r="IO48" s="62"/>
      <c r="IP48" s="62"/>
      <c r="IQ48" s="62"/>
      <c r="IR48" s="62"/>
      <c r="IS48" s="62"/>
    </row>
    <row r="49" spans="1:679" x14ac:dyDescent="0.3">
      <c r="A49" s="19">
        <v>11</v>
      </c>
      <c r="B49" s="44" t="s">
        <v>220</v>
      </c>
      <c r="C49" s="15"/>
      <c r="D49" s="15"/>
      <c r="E49" s="21">
        <f>E48/E43</f>
        <v>0.29954688346883468</v>
      </c>
      <c r="F49" s="21">
        <f>F48/F43</f>
        <v>0.29682393910444083</v>
      </c>
      <c r="G49" s="21">
        <f t="shared" ref="G49:AG49" si="34">G48/G43</f>
        <v>0.30269109711084574</v>
      </c>
      <c r="H49" s="21">
        <f t="shared" si="34"/>
        <v>0.29446046779793245</v>
      </c>
      <c r="I49" s="21">
        <f t="shared" si="34"/>
        <v>0.30071056577094901</v>
      </c>
      <c r="J49" s="21">
        <f t="shared" si="34"/>
        <v>0.30998402693686328</v>
      </c>
      <c r="K49" s="21">
        <f t="shared" si="34"/>
        <v>0.35338421305778439</v>
      </c>
      <c r="L49" s="21">
        <f t="shared" si="34"/>
        <v>0.46966669081751222</v>
      </c>
      <c r="M49" s="21">
        <f t="shared" si="34"/>
        <v>0.51243027863208335</v>
      </c>
      <c r="N49" s="21">
        <f t="shared" si="34"/>
        <v>0.48605272965219576</v>
      </c>
      <c r="O49" s="21">
        <f t="shared" si="34"/>
        <v>0.48186828177006602</v>
      </c>
      <c r="P49" s="21">
        <f t="shared" si="34"/>
        <v>0.48444766646605025</v>
      </c>
      <c r="Q49" s="21">
        <f t="shared" si="34"/>
        <v>0.47598313636049483</v>
      </c>
      <c r="R49" s="21" t="e">
        <f t="shared" si="34"/>
        <v>#DIV/0!</v>
      </c>
      <c r="S49" s="21">
        <f t="shared" si="34"/>
        <v>0.54058096428533275</v>
      </c>
      <c r="T49" s="21">
        <f t="shared" si="34"/>
        <v>0.48866078474294516</v>
      </c>
      <c r="U49" s="21">
        <f t="shared" si="34"/>
        <v>0.48409314012446303</v>
      </c>
      <c r="V49" s="21">
        <f t="shared" si="34"/>
        <v>0.51297524008339379</v>
      </c>
      <c r="W49" s="21">
        <f t="shared" si="34"/>
        <v>0.48187679766627134</v>
      </c>
      <c r="X49" s="21">
        <f t="shared" si="34"/>
        <v>0.52664082458372063</v>
      </c>
      <c r="Y49" s="21">
        <f t="shared" si="34"/>
        <v>0.50894143157575211</v>
      </c>
      <c r="Z49" s="21">
        <f t="shared" si="34"/>
        <v>0.50109735374121067</v>
      </c>
      <c r="AA49" s="21">
        <f t="shared" si="34"/>
        <v>0.51794176623714561</v>
      </c>
      <c r="AB49" s="21">
        <f t="shared" si="34"/>
        <v>0.54035738488426011</v>
      </c>
      <c r="AC49" s="21">
        <f t="shared" si="34"/>
        <v>0.53852681576268369</v>
      </c>
      <c r="AD49" s="21">
        <f t="shared" si="34"/>
        <v>0.87705189746006074</v>
      </c>
      <c r="AE49" s="21">
        <f t="shared" si="34"/>
        <v>0.9006953362357879</v>
      </c>
      <c r="AF49" s="21">
        <f t="shared" si="34"/>
        <v>0.89625550058188841</v>
      </c>
      <c r="AG49" s="21">
        <f t="shared" si="34"/>
        <v>0.90811451427724899</v>
      </c>
      <c r="AH49" s="216">
        <f>AH48/AH43</f>
        <v>0.49064198801095388</v>
      </c>
      <c r="AI49" s="216">
        <f>AI48/AI43</f>
        <v>0.28451792232727924</v>
      </c>
      <c r="AJ49" s="16">
        <f>AJ48/AJ43</f>
        <v>0.50718839263673576</v>
      </c>
      <c r="AK49" s="16">
        <f>AK48/AK43</f>
        <v>0.3796554703170516</v>
      </c>
    </row>
    <row r="50" spans="1:679" s="51" customFormat="1" x14ac:dyDescent="0.3">
      <c r="B50" s="24" t="s">
        <v>59</v>
      </c>
      <c r="C50" s="59" t="s">
        <v>51</v>
      </c>
      <c r="D50" s="59" t="s">
        <v>55</v>
      </c>
      <c r="E50" s="52">
        <v>151</v>
      </c>
      <c r="F50" s="52">
        <v>141</v>
      </c>
      <c r="G50" s="52">
        <v>117</v>
      </c>
      <c r="H50" s="52">
        <v>120</v>
      </c>
      <c r="I50" s="52">
        <v>115</v>
      </c>
      <c r="J50" s="52">
        <v>130</v>
      </c>
      <c r="K50" s="52">
        <v>267</v>
      </c>
      <c r="L50" s="52">
        <v>412</v>
      </c>
      <c r="M50" s="52">
        <v>433</v>
      </c>
      <c r="N50" s="52">
        <v>420</v>
      </c>
      <c r="O50" s="52">
        <v>443</v>
      </c>
      <c r="P50" s="52">
        <v>428</v>
      </c>
      <c r="Q50" s="52">
        <v>323</v>
      </c>
      <c r="R50" s="52">
        <v>0</v>
      </c>
      <c r="S50" s="53">
        <v>493</v>
      </c>
      <c r="T50" s="53">
        <v>431</v>
      </c>
      <c r="U50" s="53">
        <v>422</v>
      </c>
      <c r="V50" s="53">
        <v>448</v>
      </c>
      <c r="W50" s="53">
        <v>424</v>
      </c>
      <c r="X50" s="53">
        <v>462</v>
      </c>
      <c r="Y50" s="53">
        <v>447</v>
      </c>
      <c r="Z50" s="53">
        <v>441</v>
      </c>
      <c r="AA50" s="53">
        <v>455</v>
      </c>
      <c r="AB50" s="53">
        <v>448</v>
      </c>
      <c r="AC50" s="53">
        <v>465</v>
      </c>
      <c r="AD50" s="53">
        <v>0</v>
      </c>
      <c r="AE50" s="53">
        <v>0</v>
      </c>
      <c r="AF50" s="53">
        <v>0</v>
      </c>
      <c r="AG50" s="53">
        <v>0</v>
      </c>
      <c r="AH50" s="53">
        <v>647</v>
      </c>
      <c r="AI50" s="53">
        <v>397</v>
      </c>
      <c r="AJ50" s="11">
        <f t="shared" ref="AJ50:AJ52" si="35">SUM(E50:AI50)</f>
        <v>9480</v>
      </c>
      <c r="AK50" s="31">
        <f>AJ50+'Apr-24'!AI50</f>
        <v>16071</v>
      </c>
      <c r="AL50" s="62">
        <f>AJ52/AJ43</f>
        <v>0.2481152048928226</v>
      </c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2"/>
      <c r="BH50" s="62"/>
      <c r="BI50" s="62"/>
      <c r="BJ50" s="62"/>
      <c r="BK50" s="62"/>
      <c r="BL50" s="62"/>
      <c r="BM50" s="62"/>
      <c r="BN50" s="62"/>
      <c r="BO50" s="62"/>
      <c r="BP50" s="62"/>
      <c r="BQ50" s="62"/>
      <c r="BR50" s="62"/>
      <c r="BS50" s="62"/>
      <c r="BT50" s="62"/>
      <c r="BU50" s="62"/>
      <c r="BV50" s="62"/>
      <c r="BW50" s="62"/>
      <c r="BX50" s="62"/>
      <c r="BY50" s="62"/>
      <c r="BZ50" s="62"/>
      <c r="CA50" s="62"/>
      <c r="CB50" s="62"/>
      <c r="CC50" s="62"/>
      <c r="CD50" s="62"/>
      <c r="CE50" s="62"/>
      <c r="CF50" s="62"/>
      <c r="CG50" s="62"/>
      <c r="CH50" s="62"/>
      <c r="CI50" s="62"/>
      <c r="CJ50" s="62"/>
      <c r="CK50" s="62"/>
      <c r="CL50" s="62"/>
      <c r="CM50" s="62"/>
      <c r="CN50" s="62"/>
      <c r="CO50" s="62"/>
      <c r="CP50" s="62"/>
      <c r="CQ50" s="62"/>
      <c r="CR50" s="62"/>
      <c r="CS50" s="62"/>
      <c r="CT50" s="62"/>
      <c r="CU50" s="62"/>
      <c r="CV50" s="62"/>
      <c r="CW50" s="62"/>
      <c r="CX50" s="62"/>
      <c r="CY50" s="62"/>
      <c r="CZ50" s="62"/>
      <c r="DA50" s="62"/>
      <c r="DB50" s="62"/>
      <c r="DC50" s="62"/>
      <c r="DD50" s="62"/>
      <c r="DE50" s="62"/>
      <c r="DF50" s="62"/>
      <c r="DG50" s="62"/>
      <c r="DH50" s="62"/>
      <c r="DI50" s="62"/>
      <c r="DJ50" s="62"/>
      <c r="DK50" s="62"/>
      <c r="DL50" s="62"/>
      <c r="DM50" s="62"/>
      <c r="DN50" s="62"/>
      <c r="DO50" s="62"/>
      <c r="DP50" s="62"/>
      <c r="DQ50" s="62"/>
      <c r="DR50" s="62"/>
      <c r="DS50" s="62"/>
      <c r="DT50" s="62"/>
      <c r="DU50" s="62"/>
      <c r="DV50" s="62"/>
      <c r="DW50" s="62"/>
      <c r="DX50" s="62"/>
      <c r="DY50" s="62"/>
      <c r="DZ50" s="62"/>
      <c r="EA50" s="62"/>
      <c r="EB50" s="62"/>
      <c r="EC50" s="62"/>
      <c r="ED50" s="62"/>
      <c r="EE50" s="62"/>
      <c r="EF50" s="62"/>
      <c r="EG50" s="62"/>
      <c r="EH50" s="62"/>
      <c r="EI50" s="62"/>
      <c r="EJ50" s="62"/>
      <c r="EK50" s="62"/>
      <c r="EL50" s="62"/>
      <c r="EM50" s="62"/>
      <c r="EN50" s="62"/>
      <c r="EO50" s="62"/>
      <c r="EP50" s="62"/>
      <c r="EQ50" s="62"/>
      <c r="ER50" s="62"/>
      <c r="ES50" s="62"/>
      <c r="ET50" s="62"/>
      <c r="EU50" s="62"/>
      <c r="EV50" s="62"/>
      <c r="EW50" s="62"/>
      <c r="EX50" s="62"/>
      <c r="EY50" s="62"/>
      <c r="EZ50" s="62"/>
      <c r="FA50" s="62"/>
      <c r="FB50" s="62"/>
      <c r="FC50" s="62"/>
      <c r="FD50" s="62"/>
      <c r="FE50" s="62"/>
      <c r="FF50" s="62"/>
      <c r="FG50" s="62"/>
      <c r="FH50" s="62"/>
      <c r="FI50" s="62"/>
      <c r="FJ50" s="62"/>
      <c r="FK50" s="62"/>
      <c r="FL50" s="62"/>
      <c r="FM50" s="62"/>
      <c r="FN50" s="62"/>
      <c r="FO50" s="62"/>
      <c r="FP50" s="62"/>
      <c r="FQ50" s="62"/>
      <c r="FR50" s="62"/>
      <c r="FS50" s="62"/>
      <c r="FT50" s="62"/>
      <c r="FU50" s="62"/>
      <c r="FV50" s="62"/>
      <c r="FW50" s="62"/>
      <c r="FX50" s="62"/>
      <c r="FY50" s="62"/>
      <c r="FZ50" s="62"/>
      <c r="GA50" s="62"/>
      <c r="GB50" s="62"/>
      <c r="GC50" s="62"/>
      <c r="GD50" s="62"/>
      <c r="GE50" s="62"/>
      <c r="GF50" s="62"/>
      <c r="GG50" s="62"/>
      <c r="GH50" s="62"/>
      <c r="GI50" s="62"/>
      <c r="GJ50" s="62"/>
      <c r="GK50" s="62"/>
      <c r="GL50" s="62"/>
      <c r="GM50" s="62"/>
      <c r="GN50" s="62"/>
      <c r="GO50" s="62"/>
      <c r="GP50" s="62"/>
      <c r="GQ50" s="62"/>
      <c r="GR50" s="62"/>
      <c r="GS50" s="62"/>
      <c r="GT50" s="62"/>
      <c r="GU50" s="62"/>
      <c r="GV50" s="62"/>
      <c r="GW50" s="62"/>
      <c r="GX50" s="62"/>
      <c r="GY50" s="62"/>
      <c r="GZ50" s="62"/>
      <c r="HA50" s="62"/>
      <c r="HB50" s="62"/>
      <c r="HC50" s="62"/>
      <c r="HD50" s="62"/>
      <c r="HE50" s="62"/>
      <c r="HF50" s="62"/>
      <c r="HG50" s="62"/>
      <c r="HH50" s="62"/>
      <c r="HI50" s="62"/>
      <c r="HJ50" s="62"/>
      <c r="HK50" s="62"/>
      <c r="HL50" s="62"/>
      <c r="HM50" s="62"/>
      <c r="HN50" s="62"/>
      <c r="HO50" s="62"/>
      <c r="HP50" s="62"/>
      <c r="HQ50" s="62"/>
      <c r="HR50" s="62"/>
      <c r="HS50" s="62"/>
      <c r="HT50" s="62"/>
      <c r="HU50" s="62"/>
      <c r="HV50" s="62"/>
      <c r="HW50" s="62"/>
      <c r="HX50" s="62"/>
      <c r="HY50" s="62"/>
      <c r="HZ50" s="62"/>
      <c r="IA50" s="62"/>
      <c r="IB50" s="62"/>
      <c r="IC50" s="62"/>
      <c r="ID50" s="62"/>
      <c r="IE50" s="62"/>
      <c r="IF50" s="62"/>
      <c r="IG50" s="62"/>
      <c r="IH50" s="62"/>
      <c r="II50" s="62"/>
      <c r="IJ50" s="62"/>
      <c r="IK50" s="62"/>
      <c r="IL50" s="62"/>
      <c r="IM50" s="62"/>
      <c r="IN50" s="62"/>
      <c r="IO50" s="62"/>
      <c r="IP50" s="62"/>
      <c r="IQ50" s="62"/>
      <c r="IR50" s="62"/>
      <c r="IS50" s="62"/>
    </row>
    <row r="51" spans="1:679" s="51" customFormat="1" x14ac:dyDescent="0.3">
      <c r="B51" s="24" t="s">
        <v>60</v>
      </c>
      <c r="C51" s="59" t="s">
        <v>51</v>
      </c>
      <c r="D51" s="59" t="s">
        <v>55</v>
      </c>
      <c r="E51" s="60">
        <v>5120</v>
      </c>
      <c r="F51" s="60">
        <v>5095</v>
      </c>
      <c r="G51" s="60">
        <v>5100</v>
      </c>
      <c r="H51" s="60">
        <v>5095</v>
      </c>
      <c r="I51" s="60">
        <v>5090</v>
      </c>
      <c r="J51" s="60">
        <v>5074</v>
      </c>
      <c r="K51" s="60">
        <v>5075</v>
      </c>
      <c r="L51" s="60">
        <v>5070</v>
      </c>
      <c r="M51" s="60">
        <v>5065</v>
      </c>
      <c r="N51" s="60">
        <v>5080</v>
      </c>
      <c r="O51" s="60">
        <v>5070</v>
      </c>
      <c r="P51" s="60">
        <v>4834</v>
      </c>
      <c r="Q51" s="60">
        <v>4835</v>
      </c>
      <c r="R51" s="60">
        <v>0</v>
      </c>
      <c r="S51" s="23">
        <v>5320</v>
      </c>
      <c r="T51" s="23">
        <v>5315</v>
      </c>
      <c r="U51" s="23">
        <v>5365</v>
      </c>
      <c r="V51" s="23">
        <v>5335</v>
      </c>
      <c r="W51" s="23">
        <v>5315</v>
      </c>
      <c r="X51" s="23">
        <v>5330</v>
      </c>
      <c r="Y51" s="23">
        <v>5235</v>
      </c>
      <c r="Z51" s="23">
        <v>5240</v>
      </c>
      <c r="AA51" s="23">
        <v>4720</v>
      </c>
      <c r="AB51" s="23">
        <v>4797</v>
      </c>
      <c r="AC51" s="23">
        <v>4800</v>
      </c>
      <c r="AD51" s="23">
        <v>0</v>
      </c>
      <c r="AE51" s="23">
        <v>0</v>
      </c>
      <c r="AF51" s="23">
        <v>0</v>
      </c>
      <c r="AG51" s="23">
        <v>0</v>
      </c>
      <c r="AH51" s="23">
        <v>4440</v>
      </c>
      <c r="AI51" s="23">
        <v>4396</v>
      </c>
      <c r="AJ51" s="11">
        <f t="shared" si="35"/>
        <v>131211</v>
      </c>
      <c r="AK51" s="31">
        <f>AJ51+'Apr-24'!AI51</f>
        <v>281270.52800000005</v>
      </c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62"/>
      <c r="BJ51" s="62"/>
      <c r="BK51" s="62"/>
      <c r="BL51" s="62"/>
      <c r="BM51" s="62"/>
      <c r="BN51" s="62"/>
      <c r="BO51" s="62"/>
      <c r="BP51" s="62"/>
      <c r="BQ51" s="62"/>
      <c r="BR51" s="62"/>
      <c r="BS51" s="62"/>
      <c r="BT51" s="62"/>
      <c r="BU51" s="62"/>
      <c r="BV51" s="62"/>
      <c r="BW51" s="62"/>
      <c r="BX51" s="62"/>
      <c r="BY51" s="62"/>
      <c r="BZ51" s="62"/>
      <c r="CA51" s="62"/>
      <c r="CB51" s="62"/>
      <c r="CC51" s="62"/>
      <c r="CD51" s="62"/>
      <c r="CE51" s="62"/>
      <c r="CF51" s="62"/>
      <c r="CG51" s="62"/>
      <c r="CH51" s="62"/>
      <c r="CI51" s="62"/>
      <c r="CJ51" s="62"/>
      <c r="CK51" s="62"/>
      <c r="CL51" s="62"/>
      <c r="CM51" s="62"/>
      <c r="CN51" s="62"/>
      <c r="CO51" s="62"/>
      <c r="CP51" s="62"/>
      <c r="CQ51" s="62"/>
      <c r="CR51" s="62"/>
      <c r="CS51" s="62"/>
      <c r="CT51" s="62"/>
      <c r="CU51" s="62"/>
      <c r="CV51" s="62"/>
      <c r="CW51" s="62"/>
      <c r="CX51" s="62"/>
      <c r="CY51" s="62"/>
      <c r="CZ51" s="62"/>
      <c r="DA51" s="62"/>
      <c r="DB51" s="62"/>
      <c r="DC51" s="62"/>
      <c r="DD51" s="62"/>
      <c r="DE51" s="62"/>
      <c r="DF51" s="62"/>
      <c r="DG51" s="62"/>
      <c r="DH51" s="62"/>
      <c r="DI51" s="62"/>
      <c r="DJ51" s="62"/>
      <c r="DK51" s="62"/>
      <c r="DL51" s="62"/>
      <c r="DM51" s="62"/>
      <c r="DN51" s="62"/>
      <c r="DO51" s="62"/>
      <c r="DP51" s="62"/>
      <c r="DQ51" s="62"/>
      <c r="DR51" s="62"/>
      <c r="DS51" s="62"/>
      <c r="DT51" s="62"/>
      <c r="DU51" s="62"/>
      <c r="DV51" s="62"/>
      <c r="DW51" s="62"/>
      <c r="DX51" s="62"/>
      <c r="DY51" s="62"/>
      <c r="DZ51" s="62"/>
      <c r="EA51" s="62"/>
      <c r="EB51" s="62"/>
      <c r="EC51" s="62"/>
      <c r="ED51" s="62"/>
      <c r="EE51" s="62"/>
      <c r="EF51" s="62"/>
      <c r="EG51" s="62"/>
      <c r="EH51" s="62"/>
      <c r="EI51" s="62"/>
      <c r="EJ51" s="62"/>
      <c r="EK51" s="62"/>
      <c r="EL51" s="62"/>
      <c r="EM51" s="62"/>
      <c r="EN51" s="62"/>
      <c r="EO51" s="62"/>
      <c r="EP51" s="62"/>
      <c r="EQ51" s="62"/>
      <c r="ER51" s="62"/>
      <c r="ES51" s="62"/>
      <c r="ET51" s="62"/>
      <c r="EU51" s="62"/>
      <c r="EV51" s="62"/>
      <c r="EW51" s="62"/>
      <c r="EX51" s="62"/>
      <c r="EY51" s="62"/>
      <c r="EZ51" s="62"/>
      <c r="FA51" s="62"/>
      <c r="FB51" s="62"/>
      <c r="FC51" s="62"/>
      <c r="FD51" s="62"/>
      <c r="FE51" s="62"/>
      <c r="FF51" s="62"/>
      <c r="FG51" s="62"/>
      <c r="FH51" s="62"/>
      <c r="FI51" s="62"/>
      <c r="FJ51" s="62"/>
      <c r="FK51" s="62"/>
      <c r="FL51" s="62"/>
      <c r="FM51" s="62"/>
      <c r="FN51" s="62"/>
      <c r="FO51" s="62"/>
      <c r="FP51" s="62"/>
      <c r="FQ51" s="62"/>
      <c r="FR51" s="62"/>
      <c r="FS51" s="62"/>
      <c r="FT51" s="62"/>
      <c r="FU51" s="62"/>
      <c r="FV51" s="62"/>
      <c r="FW51" s="62"/>
      <c r="FX51" s="62"/>
      <c r="FY51" s="62"/>
      <c r="FZ51" s="62"/>
      <c r="GA51" s="62"/>
      <c r="GB51" s="62"/>
      <c r="GC51" s="62"/>
      <c r="GD51" s="62"/>
      <c r="GE51" s="62"/>
      <c r="GF51" s="62"/>
      <c r="GG51" s="62"/>
      <c r="GH51" s="62"/>
      <c r="GI51" s="62"/>
      <c r="GJ51" s="62"/>
      <c r="GK51" s="62"/>
      <c r="GL51" s="62"/>
      <c r="GM51" s="62"/>
      <c r="GN51" s="62"/>
      <c r="GO51" s="62"/>
      <c r="GP51" s="62"/>
      <c r="GQ51" s="62"/>
      <c r="GR51" s="62"/>
      <c r="GS51" s="62"/>
      <c r="GT51" s="62"/>
      <c r="GU51" s="62"/>
      <c r="GV51" s="62"/>
      <c r="GW51" s="62"/>
      <c r="GX51" s="62"/>
      <c r="GY51" s="62"/>
      <c r="GZ51" s="62"/>
      <c r="HA51" s="62"/>
      <c r="HB51" s="62"/>
      <c r="HC51" s="62"/>
      <c r="HD51" s="62"/>
      <c r="HE51" s="62"/>
      <c r="HF51" s="62"/>
      <c r="HG51" s="62"/>
      <c r="HH51" s="62"/>
      <c r="HI51" s="62"/>
      <c r="HJ51" s="62"/>
      <c r="HK51" s="62"/>
      <c r="HL51" s="62"/>
      <c r="HM51" s="62"/>
      <c r="HN51" s="62"/>
      <c r="HO51" s="62"/>
      <c r="HP51" s="62"/>
      <c r="HQ51" s="62"/>
      <c r="HR51" s="62"/>
      <c r="HS51" s="62"/>
      <c r="HT51" s="62"/>
      <c r="HU51" s="62"/>
      <c r="HV51" s="62"/>
      <c r="HW51" s="62"/>
      <c r="HX51" s="62"/>
      <c r="HY51" s="62"/>
      <c r="HZ51" s="62"/>
      <c r="IA51" s="62"/>
      <c r="IB51" s="62"/>
      <c r="IC51" s="62"/>
      <c r="ID51" s="62"/>
      <c r="IE51" s="62"/>
      <c r="IF51" s="62"/>
      <c r="IG51" s="62"/>
      <c r="IH51" s="62"/>
      <c r="II51" s="62"/>
      <c r="IJ51" s="62"/>
      <c r="IK51" s="62"/>
      <c r="IL51" s="62"/>
      <c r="IM51" s="62"/>
      <c r="IN51" s="62"/>
      <c r="IO51" s="62"/>
      <c r="IP51" s="62"/>
      <c r="IQ51" s="62"/>
      <c r="IR51" s="62"/>
      <c r="IS51" s="62"/>
    </row>
    <row r="52" spans="1:679" s="51" customFormat="1" x14ac:dyDescent="0.3">
      <c r="B52" s="24" t="s">
        <v>61</v>
      </c>
      <c r="C52" s="59" t="s">
        <v>51</v>
      </c>
      <c r="D52" s="59" t="s">
        <v>55</v>
      </c>
      <c r="E52" s="63">
        <f>E50*E51</f>
        <v>773120</v>
      </c>
      <c r="F52" s="63">
        <f>F50*F51</f>
        <v>718395</v>
      </c>
      <c r="G52" s="63">
        <f t="shared" ref="G52:AH52" si="36">G50*G51</f>
        <v>596700</v>
      </c>
      <c r="H52" s="63">
        <f t="shared" si="36"/>
        <v>611400</v>
      </c>
      <c r="I52" s="63">
        <f t="shared" si="36"/>
        <v>585350</v>
      </c>
      <c r="J52" s="63">
        <f t="shared" si="36"/>
        <v>659620</v>
      </c>
      <c r="K52" s="63">
        <f t="shared" si="36"/>
        <v>1355025</v>
      </c>
      <c r="L52" s="63">
        <f t="shared" si="36"/>
        <v>2088840</v>
      </c>
      <c r="M52" s="64">
        <f t="shared" si="36"/>
        <v>2193145</v>
      </c>
      <c r="N52" s="63">
        <f t="shared" si="36"/>
        <v>2133600</v>
      </c>
      <c r="O52" s="63">
        <f t="shared" si="36"/>
        <v>2246010</v>
      </c>
      <c r="P52" s="63">
        <f t="shared" si="36"/>
        <v>2068952</v>
      </c>
      <c r="Q52" s="63">
        <f t="shared" si="36"/>
        <v>1561705</v>
      </c>
      <c r="R52" s="63">
        <f>R50*R51</f>
        <v>0</v>
      </c>
      <c r="S52" s="63">
        <f>S50*S51</f>
        <v>2622760</v>
      </c>
      <c r="T52" s="63">
        <f>T50*T51</f>
        <v>2290765</v>
      </c>
      <c r="U52" s="63">
        <f>U50*U51</f>
        <v>2264030</v>
      </c>
      <c r="V52" s="63">
        <f t="shared" si="36"/>
        <v>2390080</v>
      </c>
      <c r="W52" s="63">
        <f t="shared" si="36"/>
        <v>2253560</v>
      </c>
      <c r="X52" s="63">
        <f t="shared" si="36"/>
        <v>2462460</v>
      </c>
      <c r="Y52" s="63">
        <f t="shared" si="36"/>
        <v>2340045</v>
      </c>
      <c r="Z52" s="63">
        <f t="shared" si="36"/>
        <v>2310840</v>
      </c>
      <c r="AA52" s="63">
        <f t="shared" si="36"/>
        <v>2147600</v>
      </c>
      <c r="AB52" s="63">
        <f t="shared" si="36"/>
        <v>2149056</v>
      </c>
      <c r="AC52" s="63">
        <f t="shared" si="36"/>
        <v>2232000</v>
      </c>
      <c r="AD52" s="63">
        <f t="shared" si="36"/>
        <v>0</v>
      </c>
      <c r="AE52" s="63">
        <f t="shared" si="36"/>
        <v>0</v>
      </c>
      <c r="AF52" s="63">
        <f t="shared" si="36"/>
        <v>0</v>
      </c>
      <c r="AG52" s="63">
        <f t="shared" si="36"/>
        <v>0</v>
      </c>
      <c r="AH52" s="63">
        <f t="shared" si="36"/>
        <v>2872680</v>
      </c>
      <c r="AI52" s="63">
        <f>AI50*AI51</f>
        <v>1745212</v>
      </c>
      <c r="AJ52" s="11">
        <f t="shared" si="35"/>
        <v>47672950</v>
      </c>
      <c r="AK52" s="31">
        <f>AJ52+'Apr-24'!AI52</f>
        <v>81050525.719999999</v>
      </c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2"/>
      <c r="BJ52" s="62"/>
      <c r="BK52" s="62"/>
      <c r="BL52" s="62"/>
      <c r="BM52" s="62"/>
      <c r="BN52" s="62"/>
      <c r="BO52" s="62"/>
      <c r="BP52" s="62"/>
      <c r="BQ52" s="62"/>
      <c r="BR52" s="62"/>
      <c r="BS52" s="62"/>
      <c r="BT52" s="62"/>
      <c r="BU52" s="62"/>
      <c r="BV52" s="62"/>
      <c r="BW52" s="62"/>
      <c r="BX52" s="62"/>
      <c r="BY52" s="62"/>
      <c r="BZ52" s="62"/>
      <c r="CA52" s="62"/>
      <c r="CB52" s="62"/>
      <c r="CC52" s="62"/>
      <c r="CD52" s="62"/>
      <c r="CE52" s="62"/>
      <c r="CF52" s="62"/>
      <c r="CG52" s="62"/>
      <c r="CH52" s="62"/>
      <c r="CI52" s="62"/>
      <c r="CJ52" s="62"/>
      <c r="CK52" s="62"/>
      <c r="CL52" s="62"/>
      <c r="CM52" s="62"/>
      <c r="CN52" s="62"/>
      <c r="CO52" s="62"/>
      <c r="CP52" s="62"/>
      <c r="CQ52" s="62"/>
      <c r="CR52" s="62"/>
      <c r="CS52" s="62"/>
      <c r="CT52" s="62"/>
      <c r="CU52" s="62"/>
      <c r="CV52" s="62"/>
      <c r="CW52" s="62"/>
      <c r="CX52" s="62"/>
      <c r="CY52" s="62"/>
      <c r="CZ52" s="62"/>
      <c r="DA52" s="62"/>
      <c r="DB52" s="62"/>
      <c r="DC52" s="62"/>
      <c r="DD52" s="62"/>
      <c r="DE52" s="62"/>
      <c r="DF52" s="62"/>
      <c r="DG52" s="62"/>
      <c r="DH52" s="62"/>
      <c r="DI52" s="62"/>
      <c r="DJ52" s="62"/>
      <c r="DK52" s="62"/>
      <c r="DL52" s="62"/>
      <c r="DM52" s="62"/>
      <c r="DN52" s="62"/>
      <c r="DO52" s="62"/>
      <c r="DP52" s="62"/>
      <c r="DQ52" s="62"/>
      <c r="DR52" s="62"/>
      <c r="DS52" s="62"/>
      <c r="DT52" s="62"/>
      <c r="DU52" s="62"/>
      <c r="DV52" s="62"/>
      <c r="DW52" s="62"/>
      <c r="DX52" s="62"/>
      <c r="DY52" s="62"/>
      <c r="DZ52" s="62"/>
      <c r="EA52" s="62"/>
      <c r="EB52" s="62"/>
      <c r="EC52" s="62"/>
      <c r="ED52" s="62"/>
      <c r="EE52" s="62"/>
      <c r="EF52" s="62"/>
      <c r="EG52" s="62"/>
      <c r="EH52" s="62"/>
      <c r="EI52" s="62"/>
      <c r="EJ52" s="62"/>
      <c r="EK52" s="62"/>
      <c r="EL52" s="62"/>
      <c r="EM52" s="62"/>
      <c r="EN52" s="62"/>
      <c r="EO52" s="62"/>
      <c r="EP52" s="62"/>
      <c r="EQ52" s="62"/>
      <c r="ER52" s="62"/>
      <c r="ES52" s="62"/>
      <c r="ET52" s="62"/>
      <c r="EU52" s="62"/>
      <c r="EV52" s="62"/>
      <c r="EW52" s="62"/>
      <c r="EX52" s="62"/>
      <c r="EY52" s="62"/>
      <c r="EZ52" s="62"/>
      <c r="FA52" s="62"/>
      <c r="FB52" s="62"/>
      <c r="FC52" s="62"/>
      <c r="FD52" s="62"/>
      <c r="FE52" s="62"/>
      <c r="FF52" s="62"/>
      <c r="FG52" s="62"/>
      <c r="FH52" s="62"/>
      <c r="FI52" s="62"/>
      <c r="FJ52" s="62"/>
      <c r="FK52" s="62"/>
      <c r="FL52" s="62"/>
      <c r="FM52" s="62"/>
      <c r="FN52" s="62"/>
      <c r="FO52" s="62"/>
      <c r="FP52" s="62"/>
      <c r="FQ52" s="62"/>
      <c r="FR52" s="62"/>
      <c r="FS52" s="62"/>
      <c r="FT52" s="62"/>
      <c r="FU52" s="62"/>
      <c r="FV52" s="62"/>
      <c r="FW52" s="62"/>
      <c r="FX52" s="62"/>
      <c r="FY52" s="62"/>
      <c r="FZ52" s="62"/>
      <c r="GA52" s="62"/>
      <c r="GB52" s="62"/>
      <c r="GC52" s="62"/>
      <c r="GD52" s="62"/>
      <c r="GE52" s="62"/>
      <c r="GF52" s="62"/>
      <c r="GG52" s="62"/>
      <c r="GH52" s="62"/>
      <c r="GI52" s="62"/>
      <c r="GJ52" s="62"/>
      <c r="GK52" s="62"/>
      <c r="GL52" s="62"/>
      <c r="GM52" s="62"/>
      <c r="GN52" s="62"/>
      <c r="GO52" s="62"/>
      <c r="GP52" s="62"/>
      <c r="GQ52" s="62"/>
      <c r="GR52" s="62"/>
      <c r="GS52" s="62"/>
      <c r="GT52" s="62"/>
      <c r="GU52" s="62"/>
      <c r="GV52" s="62"/>
      <c r="GW52" s="62"/>
      <c r="GX52" s="62"/>
      <c r="GY52" s="62"/>
      <c r="GZ52" s="62"/>
      <c r="HA52" s="62"/>
      <c r="HB52" s="62"/>
      <c r="HC52" s="62"/>
      <c r="HD52" s="62"/>
      <c r="HE52" s="62"/>
      <c r="HF52" s="62"/>
      <c r="HG52" s="62"/>
      <c r="HH52" s="62"/>
      <c r="HI52" s="62"/>
      <c r="HJ52" s="62"/>
      <c r="HK52" s="62"/>
      <c r="HL52" s="62"/>
      <c r="HM52" s="62"/>
      <c r="HN52" s="62"/>
      <c r="HO52" s="62"/>
      <c r="HP52" s="62"/>
      <c r="HQ52" s="62"/>
      <c r="HR52" s="62"/>
      <c r="HS52" s="62"/>
      <c r="HT52" s="62"/>
      <c r="HU52" s="62"/>
      <c r="HV52" s="62"/>
      <c r="HW52" s="62"/>
      <c r="HX52" s="62"/>
      <c r="HY52" s="62"/>
      <c r="HZ52" s="62"/>
      <c r="IA52" s="62"/>
      <c r="IB52" s="62"/>
      <c r="IC52" s="62"/>
      <c r="ID52" s="62"/>
      <c r="IE52" s="62"/>
      <c r="IF52" s="62"/>
      <c r="IG52" s="62"/>
      <c r="IH52" s="62"/>
      <c r="II52" s="62"/>
      <c r="IJ52" s="62"/>
      <c r="IK52" s="62"/>
      <c r="IL52" s="62"/>
      <c r="IM52" s="62"/>
      <c r="IN52" s="62"/>
      <c r="IO52" s="62"/>
      <c r="IP52" s="62"/>
      <c r="IQ52" s="62"/>
      <c r="IR52" s="62"/>
      <c r="IS52" s="62"/>
    </row>
    <row r="53" spans="1:679" x14ac:dyDescent="0.3">
      <c r="A53" s="19">
        <v>14</v>
      </c>
      <c r="B53" s="44" t="s">
        <v>62</v>
      </c>
      <c r="C53" s="15"/>
      <c r="D53" s="15"/>
      <c r="E53" s="21">
        <f>E52/E43</f>
        <v>0.11174272809394761</v>
      </c>
      <c r="F53" s="21">
        <f>F52/F43</f>
        <v>0.11069601528552497</v>
      </c>
      <c r="G53" s="21">
        <f>G52/G43</f>
        <v>0.11261739471632477</v>
      </c>
      <c r="H53" s="21">
        <f>H52/H43</f>
        <v>0.10900000606149854</v>
      </c>
      <c r="I53" s="21">
        <f>I52/I43</f>
        <v>0.11148538491074313</v>
      </c>
      <c r="J53" s="21">
        <f>J52/(J84*J78)</f>
        <v>0.1137813380804035</v>
      </c>
      <c r="K53" s="21">
        <f>K52/(K84*K78)</f>
        <v>0.21580748734642913</v>
      </c>
      <c r="L53" s="21">
        <f>L52/(L84*L78)</f>
        <v>0.31928640671185626</v>
      </c>
      <c r="M53" s="65">
        <f>M52/(M84*M78)</f>
        <v>0.34732326959562398</v>
      </c>
      <c r="N53" s="21">
        <f t="shared" ref="N53:AH53" si="37">N52/N43</f>
        <v>0.33021034659085985</v>
      </c>
      <c r="O53" s="21">
        <f t="shared" si="37"/>
        <v>0.32680525999890869</v>
      </c>
      <c r="P53" s="21">
        <f t="shared" si="37"/>
        <v>0.3144437757229791</v>
      </c>
      <c r="Q53" s="21">
        <f t="shared" si="37"/>
        <v>0.30838442779143588</v>
      </c>
      <c r="R53" s="21" t="e">
        <f t="shared" si="37"/>
        <v>#DIV/0!</v>
      </c>
      <c r="S53" s="21">
        <f t="shared" si="37"/>
        <v>0.37864921746848607</v>
      </c>
      <c r="T53" s="21">
        <f>T52/T43</f>
        <v>0.34158933022536175</v>
      </c>
      <c r="U53" s="21">
        <f t="shared" si="37"/>
        <v>0.33983116738864821</v>
      </c>
      <c r="V53" s="21">
        <f t="shared" si="37"/>
        <v>0.36092619925419134</v>
      </c>
      <c r="W53" s="21">
        <f t="shared" si="37"/>
        <v>0.33757815134333352</v>
      </c>
      <c r="X53" s="21">
        <f t="shared" si="37"/>
        <v>0.36982814163784339</v>
      </c>
      <c r="Y53" s="21">
        <f t="shared" si="37"/>
        <v>0.3516382043053814</v>
      </c>
      <c r="Z53" s="21">
        <f t="shared" si="37"/>
        <v>0.34689588499852886</v>
      </c>
      <c r="AA53" s="21">
        <f t="shared" si="37"/>
        <v>0.32264786387012478</v>
      </c>
      <c r="AB53" s="21">
        <f t="shared" si="37"/>
        <v>0.34219067660591362</v>
      </c>
      <c r="AC53" s="21">
        <f t="shared" si="37"/>
        <v>0.34066298022109515</v>
      </c>
      <c r="AD53" s="21">
        <f t="shared" si="37"/>
        <v>0</v>
      </c>
      <c r="AE53" s="21">
        <f t="shared" si="37"/>
        <v>0</v>
      </c>
      <c r="AF53" s="21">
        <f t="shared" si="37"/>
        <v>0</v>
      </c>
      <c r="AG53" s="21">
        <f t="shared" si="37"/>
        <v>0</v>
      </c>
      <c r="AH53" s="21">
        <f t="shared" si="37"/>
        <v>0.45055851639475392</v>
      </c>
      <c r="AI53" s="21">
        <f>AI52/AI43</f>
        <v>0.25975924954324392</v>
      </c>
      <c r="AJ53" s="16">
        <f>AJ52/AJ43</f>
        <v>0.2481152048928226</v>
      </c>
      <c r="AK53" s="16">
        <f>AK52/AK43</f>
        <v>0.21325129157951153</v>
      </c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2"/>
      <c r="BH53" s="62"/>
      <c r="BI53" s="62"/>
      <c r="BJ53" s="62"/>
      <c r="BK53" s="62"/>
      <c r="BL53" s="62"/>
      <c r="BM53" s="62"/>
      <c r="BN53" s="62"/>
      <c r="BO53" s="62"/>
      <c r="BP53" s="62"/>
      <c r="BQ53" s="62"/>
      <c r="BR53" s="62"/>
      <c r="BS53" s="62"/>
      <c r="BT53" s="62"/>
      <c r="BU53" s="62"/>
      <c r="BV53" s="62"/>
      <c r="BW53" s="62"/>
      <c r="BX53" s="62"/>
      <c r="BY53" s="62"/>
      <c r="BZ53" s="62"/>
      <c r="CA53" s="62"/>
      <c r="CB53" s="62"/>
      <c r="CC53" s="62"/>
      <c r="CD53" s="62"/>
      <c r="CE53" s="62"/>
      <c r="CF53" s="62"/>
      <c r="CG53" s="62"/>
      <c r="CH53" s="62"/>
      <c r="CI53" s="62"/>
      <c r="CJ53" s="62"/>
      <c r="CK53" s="62"/>
      <c r="CL53" s="62"/>
      <c r="CM53" s="62"/>
      <c r="CN53" s="62"/>
      <c r="CO53" s="62"/>
      <c r="CP53" s="62"/>
      <c r="CQ53" s="62"/>
      <c r="CR53" s="62"/>
      <c r="CS53" s="62"/>
      <c r="CT53" s="62"/>
      <c r="CU53" s="62"/>
      <c r="CV53" s="62"/>
      <c r="CW53" s="62"/>
      <c r="CX53" s="62"/>
      <c r="CY53" s="62"/>
      <c r="CZ53" s="62"/>
      <c r="DA53" s="62"/>
      <c r="DB53" s="62"/>
      <c r="DC53" s="62"/>
      <c r="DD53" s="62"/>
      <c r="DE53" s="62"/>
      <c r="DF53" s="62"/>
      <c r="DG53" s="62"/>
      <c r="DH53" s="62"/>
      <c r="DI53" s="62"/>
      <c r="DJ53" s="62"/>
      <c r="DK53" s="62"/>
      <c r="DL53" s="62"/>
      <c r="DM53" s="62"/>
      <c r="DN53" s="62"/>
      <c r="DO53" s="62"/>
      <c r="DP53" s="62"/>
      <c r="DQ53" s="62"/>
      <c r="DR53" s="62"/>
      <c r="DS53" s="62"/>
      <c r="DT53" s="62"/>
      <c r="DU53" s="62"/>
      <c r="DV53" s="62"/>
      <c r="DW53" s="62"/>
      <c r="DX53" s="62"/>
      <c r="DY53" s="62"/>
      <c r="DZ53" s="62"/>
      <c r="EA53" s="62"/>
      <c r="EB53" s="62"/>
      <c r="EC53" s="62"/>
      <c r="ED53" s="62"/>
      <c r="EE53" s="62"/>
      <c r="EF53" s="62"/>
      <c r="EG53" s="62"/>
      <c r="EH53" s="62"/>
      <c r="EI53" s="62"/>
      <c r="EJ53" s="62"/>
      <c r="EK53" s="62"/>
      <c r="EL53" s="62"/>
      <c r="EM53" s="62"/>
      <c r="EN53" s="62"/>
      <c r="EO53" s="62"/>
      <c r="EP53" s="62"/>
      <c r="EQ53" s="62"/>
      <c r="ER53" s="62"/>
      <c r="ES53" s="62"/>
      <c r="ET53" s="62"/>
      <c r="EU53" s="62"/>
      <c r="EV53" s="62"/>
      <c r="EW53" s="62"/>
      <c r="EX53" s="62"/>
      <c r="EY53" s="62"/>
      <c r="EZ53" s="62"/>
      <c r="FA53" s="62"/>
      <c r="FB53" s="62"/>
      <c r="FC53" s="62"/>
      <c r="FD53" s="62"/>
      <c r="FE53" s="62"/>
      <c r="FF53" s="62"/>
      <c r="FG53" s="62"/>
      <c r="FH53" s="62"/>
      <c r="FI53" s="62"/>
      <c r="FJ53" s="62"/>
      <c r="FK53" s="62"/>
      <c r="FL53" s="62"/>
      <c r="FM53" s="62"/>
      <c r="FN53" s="62"/>
      <c r="FO53" s="62"/>
      <c r="FP53" s="62"/>
      <c r="FQ53" s="62"/>
      <c r="FR53" s="62"/>
      <c r="FS53" s="62"/>
      <c r="FT53" s="62"/>
      <c r="FU53" s="62"/>
      <c r="FV53" s="62"/>
      <c r="FW53" s="62"/>
      <c r="FX53" s="62"/>
      <c r="FY53" s="62"/>
      <c r="FZ53" s="62"/>
      <c r="GA53" s="62"/>
      <c r="GB53" s="62"/>
      <c r="GC53" s="62"/>
      <c r="GD53" s="62"/>
      <c r="GE53" s="62"/>
      <c r="GF53" s="62"/>
      <c r="GG53" s="62"/>
      <c r="GH53" s="62"/>
      <c r="GI53" s="62"/>
      <c r="GJ53" s="62"/>
      <c r="GK53" s="62"/>
      <c r="GL53" s="62"/>
      <c r="GM53" s="62"/>
      <c r="GN53" s="62"/>
      <c r="GO53" s="62"/>
      <c r="GP53" s="62"/>
      <c r="GQ53" s="62"/>
      <c r="GR53" s="62"/>
      <c r="GS53" s="62"/>
      <c r="GT53" s="62"/>
      <c r="GU53" s="62"/>
      <c r="GV53" s="62"/>
      <c r="GW53" s="62"/>
      <c r="GX53" s="62"/>
      <c r="GY53" s="62"/>
      <c r="GZ53" s="62"/>
      <c r="HA53" s="62"/>
      <c r="HB53" s="62"/>
      <c r="HC53" s="62"/>
      <c r="HD53" s="62"/>
      <c r="HE53" s="62"/>
      <c r="HF53" s="62"/>
      <c r="HG53" s="62"/>
      <c r="HH53" s="62"/>
      <c r="HI53" s="62"/>
      <c r="HJ53" s="62"/>
      <c r="HK53" s="62"/>
      <c r="HL53" s="62"/>
      <c r="HM53" s="62"/>
      <c r="HN53" s="62"/>
      <c r="HO53" s="62"/>
      <c r="HP53" s="62"/>
      <c r="HQ53" s="62"/>
      <c r="HR53" s="62"/>
      <c r="HS53" s="62"/>
      <c r="HT53" s="62"/>
      <c r="HU53" s="62"/>
      <c r="HV53" s="62"/>
      <c r="HW53" s="62"/>
      <c r="HX53" s="62"/>
      <c r="HY53" s="62"/>
      <c r="HZ53" s="62"/>
      <c r="IA53" s="62"/>
      <c r="IB53" s="62"/>
      <c r="IC53" s="62"/>
      <c r="ID53" s="62"/>
      <c r="IE53" s="62"/>
      <c r="IF53" s="62"/>
      <c r="IG53" s="62"/>
      <c r="IH53" s="62"/>
      <c r="II53" s="62"/>
      <c r="IJ53" s="62"/>
      <c r="IK53" s="62"/>
      <c r="IL53" s="62"/>
      <c r="IM53" s="62"/>
      <c r="IN53" s="62"/>
      <c r="IO53" s="62"/>
      <c r="IP53" s="62"/>
      <c r="IQ53" s="62"/>
      <c r="IR53" s="62"/>
      <c r="IS53" s="62"/>
    </row>
    <row r="54" spans="1:679" x14ac:dyDescent="0.3">
      <c r="A54" s="24"/>
      <c r="B54" s="24" t="s">
        <v>50</v>
      </c>
      <c r="C54" s="10" t="s">
        <v>51</v>
      </c>
      <c r="D54" s="10" t="s">
        <v>7</v>
      </c>
      <c r="E54" s="10">
        <v>92</v>
      </c>
      <c r="F54" s="10">
        <v>96</v>
      </c>
      <c r="G54" s="23">
        <v>128.20099999999999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55">
        <v>0</v>
      </c>
      <c r="O54" s="55">
        <v>0</v>
      </c>
      <c r="P54" s="55">
        <v>0</v>
      </c>
      <c r="Q54" s="55">
        <v>0</v>
      </c>
      <c r="R54" s="55">
        <v>0</v>
      </c>
      <c r="S54" s="55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22"/>
      <c r="AB54" s="22"/>
      <c r="AC54" s="22"/>
      <c r="AD54" s="53"/>
      <c r="AE54" s="53"/>
      <c r="AF54" s="22"/>
      <c r="AG54" s="22"/>
      <c r="AH54" s="22"/>
      <c r="AI54" s="22"/>
      <c r="AJ54" s="11">
        <f t="shared" ref="AJ54:AJ57" si="38">SUM(E54:AI54)</f>
        <v>316.20100000000002</v>
      </c>
      <c r="AK54" s="31">
        <f>AJ54+'Apr-24'!AI54</f>
        <v>3559.201</v>
      </c>
    </row>
    <row r="55" spans="1:679" x14ac:dyDescent="0.3">
      <c r="A55" s="24"/>
      <c r="B55" s="24" t="s">
        <v>52</v>
      </c>
      <c r="C55" s="10" t="s">
        <v>51</v>
      </c>
      <c r="D55" s="10"/>
      <c r="E55" s="23">
        <v>8003</v>
      </c>
      <c r="F55" s="23">
        <v>8004</v>
      </c>
      <c r="G55" s="23">
        <v>8009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55">
        <v>0</v>
      </c>
      <c r="O55" s="55">
        <v>0</v>
      </c>
      <c r="P55" s="55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/>
      <c r="AB55" s="22"/>
      <c r="AC55" s="22"/>
      <c r="AD55" s="53"/>
      <c r="AE55" s="53"/>
      <c r="AF55" s="22"/>
      <c r="AG55" s="22"/>
      <c r="AH55" s="22"/>
      <c r="AI55" s="22"/>
      <c r="AJ55" s="11">
        <f t="shared" si="38"/>
        <v>24016</v>
      </c>
      <c r="AK55" s="31">
        <f>AJ55+'Apr-24'!AI55</f>
        <v>264099.83999999997</v>
      </c>
    </row>
    <row r="56" spans="1:679" x14ac:dyDescent="0.3">
      <c r="A56" s="24"/>
      <c r="B56" s="24" t="s">
        <v>53</v>
      </c>
      <c r="C56" s="10" t="s">
        <v>51</v>
      </c>
      <c r="D56" s="10"/>
      <c r="E56" s="23">
        <f>E77*E89</f>
        <v>5045030</v>
      </c>
      <c r="F56" s="23">
        <f>F77*F89</f>
        <v>5151545</v>
      </c>
      <c r="G56" s="23">
        <f t="shared" ref="G56:AH56" si="39">G77*G89</f>
        <v>4684248</v>
      </c>
      <c r="H56" s="23">
        <f>H77*H89</f>
        <v>4383650</v>
      </c>
      <c r="I56" s="23">
        <f t="shared" si="39"/>
        <v>4438400</v>
      </c>
      <c r="J56" s="23">
        <f t="shared" si="39"/>
        <v>4491760</v>
      </c>
      <c r="K56" s="23">
        <f t="shared" si="39"/>
        <v>4998510</v>
      </c>
      <c r="L56" s="23">
        <f t="shared" si="39"/>
        <v>4903521</v>
      </c>
      <c r="M56" s="42">
        <f t="shared" si="39"/>
        <v>5071620</v>
      </c>
      <c r="N56" s="23">
        <f t="shared" si="39"/>
        <v>5153432</v>
      </c>
      <c r="O56" s="23">
        <f t="shared" si="39"/>
        <v>5141124</v>
      </c>
      <c r="P56" s="23">
        <f t="shared" si="39"/>
        <v>5215006</v>
      </c>
      <c r="Q56" s="23">
        <f t="shared" si="39"/>
        <v>5063386</v>
      </c>
      <c r="R56" s="23">
        <f t="shared" si="39"/>
        <v>5307543</v>
      </c>
      <c r="S56" s="23">
        <f t="shared" si="39"/>
        <v>4956504</v>
      </c>
      <c r="T56" s="23">
        <f t="shared" si="39"/>
        <v>5230168</v>
      </c>
      <c r="U56" s="23">
        <f>U77*U89</f>
        <v>4957228</v>
      </c>
      <c r="V56" s="23">
        <f t="shared" si="39"/>
        <v>5005736</v>
      </c>
      <c r="W56" s="23">
        <f>W77*W89</f>
        <v>5045556</v>
      </c>
      <c r="X56" s="23">
        <f t="shared" si="39"/>
        <v>5071620</v>
      </c>
      <c r="Y56" s="23">
        <f t="shared" si="39"/>
        <v>5265652</v>
      </c>
      <c r="Z56" s="23">
        <f t="shared" si="39"/>
        <v>5073068</v>
      </c>
      <c r="AA56" s="23">
        <f t="shared" si="39"/>
        <v>5053489</v>
      </c>
      <c r="AB56" s="23">
        <f t="shared" si="39"/>
        <v>5161396</v>
      </c>
      <c r="AC56" s="23">
        <f t="shared" si="39"/>
        <v>5214972</v>
      </c>
      <c r="AD56" s="23">
        <f t="shared" si="39"/>
        <v>5290268</v>
      </c>
      <c r="AE56" s="23">
        <f t="shared" si="39"/>
        <v>5166632</v>
      </c>
      <c r="AF56" s="23">
        <f t="shared" si="39"/>
        <v>4864020</v>
      </c>
      <c r="AG56" s="23">
        <f t="shared" si="39"/>
        <v>5048442</v>
      </c>
      <c r="AH56" s="23">
        <f t="shared" si="39"/>
        <v>5171760</v>
      </c>
      <c r="AI56" s="23">
        <f>AI77*AI89</f>
        <v>5262032</v>
      </c>
      <c r="AJ56" s="11">
        <f t="shared" si="38"/>
        <v>155887318</v>
      </c>
      <c r="AK56" s="31">
        <f>AJ56+'Apr-24'!AI56</f>
        <v>310753402.89999998</v>
      </c>
    </row>
    <row r="57" spans="1:679" s="51" customFormat="1" x14ac:dyDescent="0.3">
      <c r="A57" s="58"/>
      <c r="B57" s="58" t="s">
        <v>54</v>
      </c>
      <c r="C57" s="59" t="s">
        <v>51</v>
      </c>
      <c r="D57" s="59"/>
      <c r="E57" s="67">
        <f>E55*E54</f>
        <v>736276</v>
      </c>
      <c r="F57" s="67">
        <f t="shared" ref="F57:AH57" si="40">F55*F54</f>
        <v>768384</v>
      </c>
      <c r="G57" s="67">
        <f t="shared" si="40"/>
        <v>1026761.8089999999</v>
      </c>
      <c r="H57" s="67">
        <f>H55*H54</f>
        <v>0</v>
      </c>
      <c r="I57" s="67">
        <f t="shared" si="40"/>
        <v>0</v>
      </c>
      <c r="J57" s="67">
        <f t="shared" si="40"/>
        <v>0</v>
      </c>
      <c r="K57" s="67">
        <f t="shared" si="40"/>
        <v>0</v>
      </c>
      <c r="L57" s="67">
        <f t="shared" si="40"/>
        <v>0</v>
      </c>
      <c r="M57" s="68">
        <f t="shared" si="40"/>
        <v>0</v>
      </c>
      <c r="N57" s="68">
        <f t="shared" si="40"/>
        <v>0</v>
      </c>
      <c r="O57" s="68">
        <f t="shared" si="40"/>
        <v>0</v>
      </c>
      <c r="P57" s="68">
        <f t="shared" si="40"/>
        <v>0</v>
      </c>
      <c r="Q57" s="68">
        <f t="shared" si="40"/>
        <v>0</v>
      </c>
      <c r="R57" s="68">
        <f t="shared" si="40"/>
        <v>0</v>
      </c>
      <c r="S57" s="68">
        <f t="shared" si="40"/>
        <v>0</v>
      </c>
      <c r="T57" s="68">
        <f t="shared" si="40"/>
        <v>0</v>
      </c>
      <c r="U57" s="68">
        <f t="shared" si="40"/>
        <v>0</v>
      </c>
      <c r="V57" s="67">
        <f t="shared" si="40"/>
        <v>0</v>
      </c>
      <c r="W57" s="67">
        <f t="shared" si="40"/>
        <v>0</v>
      </c>
      <c r="X57" s="67">
        <f t="shared" si="40"/>
        <v>0</v>
      </c>
      <c r="Y57" s="67">
        <f t="shared" si="40"/>
        <v>0</v>
      </c>
      <c r="Z57" s="67">
        <f t="shared" si="40"/>
        <v>0</v>
      </c>
      <c r="AA57" s="67">
        <f t="shared" si="40"/>
        <v>0</v>
      </c>
      <c r="AB57" s="67">
        <f t="shared" si="40"/>
        <v>0</v>
      </c>
      <c r="AC57" s="67">
        <f t="shared" si="40"/>
        <v>0</v>
      </c>
      <c r="AD57" s="67">
        <f t="shared" si="40"/>
        <v>0</v>
      </c>
      <c r="AE57" s="67">
        <f t="shared" si="40"/>
        <v>0</v>
      </c>
      <c r="AF57" s="67">
        <f t="shared" si="40"/>
        <v>0</v>
      </c>
      <c r="AG57" s="67">
        <f t="shared" si="40"/>
        <v>0</v>
      </c>
      <c r="AH57" s="67">
        <f t="shared" si="40"/>
        <v>0</v>
      </c>
      <c r="AI57" s="67">
        <f>AI55*AI54</f>
        <v>0</v>
      </c>
      <c r="AJ57" s="11">
        <f t="shared" si="38"/>
        <v>2531421.8089999999</v>
      </c>
      <c r="AK57" s="31">
        <f>AJ57+'Apr-24'!AI57</f>
        <v>28484448.808999997</v>
      </c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</row>
    <row r="58" spans="1:679" s="19" customFormat="1" x14ac:dyDescent="0.3">
      <c r="A58" s="44"/>
      <c r="B58" s="44" t="s">
        <v>222</v>
      </c>
      <c r="C58" s="15" t="s">
        <v>51</v>
      </c>
      <c r="D58" s="15" t="s">
        <v>7</v>
      </c>
      <c r="E58" s="56">
        <f>E57/E56</f>
        <v>0.14594085664505463</v>
      </c>
      <c r="F58" s="56">
        <f>F57/F56</f>
        <v>0.1491560298900621</v>
      </c>
      <c r="G58" s="56">
        <f t="shared" ref="G58:AH58" si="41">G57/G56</f>
        <v>0.21919458769048947</v>
      </c>
      <c r="H58" s="56">
        <f t="shared" si="41"/>
        <v>0</v>
      </c>
      <c r="I58" s="56">
        <f t="shared" si="41"/>
        <v>0</v>
      </c>
      <c r="J58" s="56">
        <f t="shared" si="41"/>
        <v>0</v>
      </c>
      <c r="K58" s="56">
        <f t="shared" si="41"/>
        <v>0</v>
      </c>
      <c r="L58" s="56">
        <f t="shared" si="41"/>
        <v>0</v>
      </c>
      <c r="M58" s="56">
        <f t="shared" si="41"/>
        <v>0</v>
      </c>
      <c r="N58" s="56">
        <f t="shared" si="41"/>
        <v>0</v>
      </c>
      <c r="O58" s="56">
        <f t="shared" si="41"/>
        <v>0</v>
      </c>
      <c r="P58" s="56">
        <f t="shared" si="41"/>
        <v>0</v>
      </c>
      <c r="Q58" s="56">
        <f t="shared" si="41"/>
        <v>0</v>
      </c>
      <c r="R58" s="56">
        <f t="shared" si="41"/>
        <v>0</v>
      </c>
      <c r="S58" s="56">
        <f t="shared" si="41"/>
        <v>0</v>
      </c>
      <c r="T58" s="56">
        <f t="shared" si="41"/>
        <v>0</v>
      </c>
      <c r="U58" s="56">
        <f t="shared" si="41"/>
        <v>0</v>
      </c>
      <c r="V58" s="56">
        <f t="shared" si="41"/>
        <v>0</v>
      </c>
      <c r="W58" s="56">
        <f t="shared" si="41"/>
        <v>0</v>
      </c>
      <c r="X58" s="56">
        <f t="shared" si="41"/>
        <v>0</v>
      </c>
      <c r="Y58" s="56">
        <f t="shared" si="41"/>
        <v>0</v>
      </c>
      <c r="Z58" s="56">
        <f t="shared" si="41"/>
        <v>0</v>
      </c>
      <c r="AA58" s="56">
        <f t="shared" si="41"/>
        <v>0</v>
      </c>
      <c r="AB58" s="56">
        <f t="shared" si="41"/>
        <v>0</v>
      </c>
      <c r="AC58" s="56">
        <f t="shared" si="41"/>
        <v>0</v>
      </c>
      <c r="AD58" s="56">
        <f t="shared" si="41"/>
        <v>0</v>
      </c>
      <c r="AE58" s="56">
        <f t="shared" si="41"/>
        <v>0</v>
      </c>
      <c r="AF58" s="56">
        <f t="shared" si="41"/>
        <v>0</v>
      </c>
      <c r="AG58" s="56">
        <f t="shared" si="41"/>
        <v>0</v>
      </c>
      <c r="AH58" s="56">
        <f t="shared" si="41"/>
        <v>0</v>
      </c>
      <c r="AI58" s="56">
        <f>AI57/AI56</f>
        <v>0</v>
      </c>
      <c r="AJ58" s="16">
        <f>AJ57/AJ56</f>
        <v>1.6238792491124903E-2</v>
      </c>
      <c r="AK58" s="16">
        <f>AK57/AK56</f>
        <v>9.1662548320239165E-2</v>
      </c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</row>
    <row r="59" spans="1:679" x14ac:dyDescent="0.3">
      <c r="A59" s="24"/>
      <c r="B59" s="24" t="s">
        <v>213</v>
      </c>
      <c r="C59" s="10" t="s">
        <v>51</v>
      </c>
      <c r="D59" s="10"/>
      <c r="E59" s="55">
        <v>277</v>
      </c>
      <c r="F59" s="55">
        <v>287</v>
      </c>
      <c r="G59" s="55">
        <v>262</v>
      </c>
      <c r="H59" s="55">
        <v>263</v>
      </c>
      <c r="I59" s="55">
        <v>266</v>
      </c>
      <c r="J59" s="55">
        <v>258</v>
      </c>
      <c r="K59" s="55">
        <v>300</v>
      </c>
      <c r="L59" s="55">
        <v>295</v>
      </c>
      <c r="M59" s="42">
        <v>302</v>
      </c>
      <c r="N59" s="55">
        <v>311</v>
      </c>
      <c r="O59" s="55">
        <v>309</v>
      </c>
      <c r="P59" s="55">
        <v>320</v>
      </c>
      <c r="Q59" s="55">
        <v>308</v>
      </c>
      <c r="R59" s="55">
        <v>317</v>
      </c>
      <c r="S59" s="55">
        <v>290</v>
      </c>
      <c r="T59" s="55">
        <v>304</v>
      </c>
      <c r="U59" s="55">
        <v>282</v>
      </c>
      <c r="V59" s="55">
        <v>291</v>
      </c>
      <c r="W59" s="55">
        <v>294</v>
      </c>
      <c r="X59" s="55">
        <v>295</v>
      </c>
      <c r="Y59" s="55">
        <v>322</v>
      </c>
      <c r="Z59" s="55">
        <v>317</v>
      </c>
      <c r="AA59" s="55">
        <v>333</v>
      </c>
      <c r="AB59" s="55">
        <v>373</v>
      </c>
      <c r="AC59" s="55">
        <v>377</v>
      </c>
      <c r="AD59" s="55">
        <v>375</v>
      </c>
      <c r="AE59" s="55">
        <v>306</v>
      </c>
      <c r="AF59" s="55">
        <v>284</v>
      </c>
      <c r="AG59" s="55">
        <v>305</v>
      </c>
      <c r="AH59" s="55">
        <v>314</v>
      </c>
      <c r="AI59" s="55">
        <v>320</v>
      </c>
      <c r="AJ59" s="11">
        <f t="shared" ref="AJ59:AJ61" si="42">SUM(E59:AI59)</f>
        <v>9457</v>
      </c>
      <c r="AK59" s="31">
        <f>AJ59+'Apr-24'!AI59</f>
        <v>21103</v>
      </c>
    </row>
    <row r="60" spans="1:679" x14ac:dyDescent="0.3">
      <c r="A60" s="24"/>
      <c r="B60" s="24" t="s">
        <v>224</v>
      </c>
      <c r="C60" s="10" t="s">
        <v>51</v>
      </c>
      <c r="D60" s="10"/>
      <c r="E60" s="55">
        <v>4662</v>
      </c>
      <c r="F60" s="55">
        <v>4699</v>
      </c>
      <c r="G60" s="55">
        <v>4700</v>
      </c>
      <c r="H60" s="55">
        <v>4695</v>
      </c>
      <c r="I60" s="55">
        <v>4685</v>
      </c>
      <c r="J60" s="55">
        <v>4736</v>
      </c>
      <c r="K60" s="55">
        <v>4735</v>
      </c>
      <c r="L60" s="55">
        <v>4740</v>
      </c>
      <c r="M60" s="42">
        <v>4736</v>
      </c>
      <c r="N60" s="55">
        <v>4740</v>
      </c>
      <c r="O60" s="55">
        <v>4735</v>
      </c>
      <c r="P60" s="55">
        <v>4740</v>
      </c>
      <c r="Q60" s="55">
        <v>4730</v>
      </c>
      <c r="R60" s="55">
        <v>4766</v>
      </c>
      <c r="S60" s="55">
        <v>4780</v>
      </c>
      <c r="T60" s="55">
        <v>4770</v>
      </c>
      <c r="U60" s="55">
        <v>4766</v>
      </c>
      <c r="V60" s="55">
        <v>4765</v>
      </c>
      <c r="W60" s="55">
        <v>4760</v>
      </c>
      <c r="X60" s="55">
        <v>4770</v>
      </c>
      <c r="Y60" s="55">
        <v>4766</v>
      </c>
      <c r="Z60" s="55">
        <v>4760</v>
      </c>
      <c r="AA60" s="55">
        <v>4765</v>
      </c>
      <c r="AB60" s="55">
        <v>3860</v>
      </c>
      <c r="AC60" s="55">
        <v>3865</v>
      </c>
      <c r="AD60" s="55">
        <v>3860</v>
      </c>
      <c r="AE60" s="55">
        <v>5015</v>
      </c>
      <c r="AF60" s="55">
        <v>5020</v>
      </c>
      <c r="AG60" s="55">
        <v>4765</v>
      </c>
      <c r="AH60" s="55">
        <v>4760</v>
      </c>
      <c r="AI60" s="55">
        <v>4772</v>
      </c>
      <c r="AJ60" s="11">
        <f t="shared" si="42"/>
        <v>144918</v>
      </c>
      <c r="AK60" s="31">
        <f>AJ60+'Apr-24'!AI60</f>
        <v>290363.05200000003</v>
      </c>
    </row>
    <row r="61" spans="1:679" x14ac:dyDescent="0.3">
      <c r="A61" s="24"/>
      <c r="B61" s="24" t="s">
        <v>214</v>
      </c>
      <c r="C61" s="10" t="s">
        <v>51</v>
      </c>
      <c r="D61" s="10"/>
      <c r="E61" s="55">
        <f t="shared" ref="E61:AH61" si="43">E60*E59</f>
        <v>1291374</v>
      </c>
      <c r="F61" s="55">
        <f t="shared" si="43"/>
        <v>1348613</v>
      </c>
      <c r="G61" s="55">
        <f t="shared" si="43"/>
        <v>1231400</v>
      </c>
      <c r="H61" s="55">
        <f t="shared" si="43"/>
        <v>1234785</v>
      </c>
      <c r="I61" s="55">
        <f t="shared" si="43"/>
        <v>1246210</v>
      </c>
      <c r="J61" s="55">
        <f t="shared" si="43"/>
        <v>1221888</v>
      </c>
      <c r="K61" s="55">
        <f t="shared" si="43"/>
        <v>1420500</v>
      </c>
      <c r="L61" s="55">
        <f t="shared" si="43"/>
        <v>1398300</v>
      </c>
      <c r="M61" s="55">
        <f t="shared" si="43"/>
        <v>1430272</v>
      </c>
      <c r="N61" s="55">
        <f t="shared" si="43"/>
        <v>1474140</v>
      </c>
      <c r="O61" s="55">
        <f t="shared" si="43"/>
        <v>1463115</v>
      </c>
      <c r="P61" s="55">
        <f t="shared" si="43"/>
        <v>1516800</v>
      </c>
      <c r="Q61" s="55">
        <f t="shared" si="43"/>
        <v>1456840</v>
      </c>
      <c r="R61" s="55">
        <f t="shared" si="43"/>
        <v>1510822</v>
      </c>
      <c r="S61" s="55">
        <f t="shared" si="43"/>
        <v>1386200</v>
      </c>
      <c r="T61" s="55">
        <f t="shared" si="43"/>
        <v>1450080</v>
      </c>
      <c r="U61" s="55">
        <f t="shared" si="43"/>
        <v>1344012</v>
      </c>
      <c r="V61" s="55">
        <f t="shared" si="43"/>
        <v>1386615</v>
      </c>
      <c r="W61" s="55">
        <f t="shared" si="43"/>
        <v>1399440</v>
      </c>
      <c r="X61" s="55">
        <f t="shared" si="43"/>
        <v>1407150</v>
      </c>
      <c r="Y61" s="55">
        <f t="shared" si="43"/>
        <v>1534652</v>
      </c>
      <c r="Z61" s="55">
        <f t="shared" si="43"/>
        <v>1508920</v>
      </c>
      <c r="AA61" s="55">
        <f t="shared" si="43"/>
        <v>1586745</v>
      </c>
      <c r="AB61" s="55">
        <f t="shared" si="43"/>
        <v>1439780</v>
      </c>
      <c r="AC61" s="55">
        <f t="shared" si="43"/>
        <v>1457105</v>
      </c>
      <c r="AD61" s="55">
        <f t="shared" si="43"/>
        <v>1447500</v>
      </c>
      <c r="AE61" s="55">
        <f t="shared" si="43"/>
        <v>1534590</v>
      </c>
      <c r="AF61" s="55">
        <f t="shared" si="43"/>
        <v>1425680</v>
      </c>
      <c r="AG61" s="55">
        <f t="shared" si="43"/>
        <v>1453325</v>
      </c>
      <c r="AH61" s="55">
        <f t="shared" si="43"/>
        <v>1494640</v>
      </c>
      <c r="AI61" s="55">
        <f>AI60*AI59</f>
        <v>1527040</v>
      </c>
      <c r="AJ61" s="11">
        <f t="shared" si="42"/>
        <v>44028533</v>
      </c>
      <c r="AK61" s="31">
        <f>AJ61+'Apr-24'!AI61</f>
        <v>100488043.54800001</v>
      </c>
    </row>
    <row r="62" spans="1:679" x14ac:dyDescent="0.3">
      <c r="A62" s="44">
        <v>12</v>
      </c>
      <c r="B62" s="44" t="s">
        <v>223</v>
      </c>
      <c r="C62" s="15" t="s">
        <v>51</v>
      </c>
      <c r="D62" s="15" t="s">
        <v>55</v>
      </c>
      <c r="E62" s="21">
        <f>E61/E56</f>
        <v>0.2559695383377304</v>
      </c>
      <c r="F62" s="21">
        <f t="shared" ref="F62:AH62" si="44">F61/F56</f>
        <v>0.26178806552209094</v>
      </c>
      <c r="G62" s="21">
        <f t="shared" si="44"/>
        <v>0.26288104301907156</v>
      </c>
      <c r="H62" s="21">
        <f t="shared" si="44"/>
        <v>0.28167965051954419</v>
      </c>
      <c r="I62" s="21">
        <f t="shared" si="44"/>
        <v>0.28077910958904112</v>
      </c>
      <c r="J62" s="21">
        <f t="shared" si="44"/>
        <v>0.27202878159118027</v>
      </c>
      <c r="K62" s="21">
        <f t="shared" si="44"/>
        <v>0.28418468703673694</v>
      </c>
      <c r="L62" s="21">
        <f t="shared" si="44"/>
        <v>0.28516243735878771</v>
      </c>
      <c r="M62" s="21">
        <f t="shared" si="44"/>
        <v>0.2820148197222978</v>
      </c>
      <c r="N62" s="21">
        <f t="shared" si="44"/>
        <v>0.28605015065688266</v>
      </c>
      <c r="O62" s="21">
        <f t="shared" si="44"/>
        <v>0.28459049032857409</v>
      </c>
      <c r="P62" s="21">
        <f t="shared" si="44"/>
        <v>0.29085297313176628</v>
      </c>
      <c r="Q62" s="21">
        <f t="shared" si="44"/>
        <v>0.28772050955625345</v>
      </c>
      <c r="R62" s="21">
        <f t="shared" si="44"/>
        <v>0.28465563067506</v>
      </c>
      <c r="S62" s="21">
        <f t="shared" si="44"/>
        <v>0.27967293075926097</v>
      </c>
      <c r="T62" s="21">
        <f t="shared" si="44"/>
        <v>0.27725304426167574</v>
      </c>
      <c r="U62" s="21">
        <f t="shared" si="44"/>
        <v>0.27112168332785985</v>
      </c>
      <c r="V62" s="21">
        <f t="shared" si="44"/>
        <v>0.27700521961206104</v>
      </c>
      <c r="W62" s="21">
        <f t="shared" si="44"/>
        <v>0.27736090928333768</v>
      </c>
      <c r="X62" s="21">
        <f t="shared" si="44"/>
        <v>0.27745572420646658</v>
      </c>
      <c r="Y62" s="21">
        <f t="shared" si="44"/>
        <v>0.2914457696786647</v>
      </c>
      <c r="Z62" s="21">
        <f t="shared" si="44"/>
        <v>0.29743736926057368</v>
      </c>
      <c r="AA62" s="21">
        <f t="shared" si="44"/>
        <v>0.31398999780151893</v>
      </c>
      <c r="AB62" s="21">
        <f t="shared" si="44"/>
        <v>0.27895166346469058</v>
      </c>
      <c r="AC62" s="21">
        <f t="shared" si="44"/>
        <v>0.27940801983212948</v>
      </c>
      <c r="AD62" s="21">
        <f t="shared" si="44"/>
        <v>0.27361562779050136</v>
      </c>
      <c r="AE62" s="21">
        <f t="shared" si="44"/>
        <v>0.29701941225928224</v>
      </c>
      <c r="AF62" s="21">
        <f t="shared" si="44"/>
        <v>0.29310734742044647</v>
      </c>
      <c r="AG62" s="21">
        <f t="shared" si="44"/>
        <v>0.28787594271658462</v>
      </c>
      <c r="AH62" s="21">
        <f t="shared" si="44"/>
        <v>0.28900026296657233</v>
      </c>
      <c r="AI62" s="21">
        <f>AI61/AI56</f>
        <v>0.29019967951544196</v>
      </c>
      <c r="AJ62" s="16">
        <f>AJ61/AJ56</f>
        <v>0.28243819680058901</v>
      </c>
      <c r="AK62" s="16">
        <f>AK61/AK56</f>
        <v>0.32336908497293887</v>
      </c>
    </row>
    <row r="63" spans="1:679" x14ac:dyDescent="0.3">
      <c r="B63" s="24" t="s">
        <v>59</v>
      </c>
      <c r="C63" s="10" t="s">
        <v>51</v>
      </c>
      <c r="D63" s="10" t="s">
        <v>55</v>
      </c>
      <c r="E63" s="22">
        <v>554</v>
      </c>
      <c r="F63" s="22">
        <v>573</v>
      </c>
      <c r="G63" s="23">
        <v>460.79899999999998</v>
      </c>
      <c r="H63" s="22">
        <v>613</v>
      </c>
      <c r="I63" s="22">
        <v>622</v>
      </c>
      <c r="J63" s="22">
        <v>601</v>
      </c>
      <c r="K63" s="22">
        <v>700</v>
      </c>
      <c r="L63" s="22">
        <v>689</v>
      </c>
      <c r="M63" s="10">
        <v>704</v>
      </c>
      <c r="N63" s="10">
        <v>724</v>
      </c>
      <c r="O63" s="10">
        <v>722</v>
      </c>
      <c r="P63" s="69">
        <v>746</v>
      </c>
      <c r="Q63" s="69">
        <v>719</v>
      </c>
      <c r="R63" s="69">
        <v>739</v>
      </c>
      <c r="S63" s="69">
        <v>676</v>
      </c>
      <c r="T63" s="69">
        <v>709</v>
      </c>
      <c r="U63" s="69">
        <v>659</v>
      </c>
      <c r="V63" s="69">
        <v>680</v>
      </c>
      <c r="W63" s="10">
        <v>686</v>
      </c>
      <c r="X63" s="10">
        <v>689</v>
      </c>
      <c r="Y63" s="10">
        <v>750</v>
      </c>
      <c r="Z63" s="10">
        <v>740</v>
      </c>
      <c r="AA63" s="10">
        <v>776</v>
      </c>
      <c r="AB63" s="22">
        <v>870</v>
      </c>
      <c r="AC63" s="22">
        <v>878</v>
      </c>
      <c r="AD63" s="53">
        <v>875</v>
      </c>
      <c r="AE63" s="53">
        <v>713</v>
      </c>
      <c r="AF63" s="53">
        <v>663</v>
      </c>
      <c r="AG63" s="53">
        <v>711</v>
      </c>
      <c r="AH63" s="53">
        <v>732</v>
      </c>
      <c r="AI63" s="53">
        <v>745</v>
      </c>
      <c r="AJ63" s="11">
        <f t="shared" ref="AJ63:AJ65" si="45">SUM(E63:AI63)</f>
        <v>21718.798999999999</v>
      </c>
      <c r="AK63" s="31">
        <f>AJ63+'Apr-24'!AI63</f>
        <v>36042.798999999999</v>
      </c>
    </row>
    <row r="64" spans="1:679" x14ac:dyDescent="0.3">
      <c r="B64" s="24" t="s">
        <v>60</v>
      </c>
      <c r="C64" s="10" t="s">
        <v>51</v>
      </c>
      <c r="D64" s="10" t="s">
        <v>55</v>
      </c>
      <c r="E64" s="23">
        <v>5400</v>
      </c>
      <c r="F64" s="23">
        <v>5260</v>
      </c>
      <c r="G64" s="23">
        <v>5265</v>
      </c>
      <c r="H64" s="23">
        <v>5140</v>
      </c>
      <c r="I64" s="23">
        <v>5135</v>
      </c>
      <c r="J64" s="23">
        <v>5090</v>
      </c>
      <c r="K64" s="23">
        <v>5095</v>
      </c>
      <c r="L64" s="23">
        <v>5085</v>
      </c>
      <c r="M64" s="23">
        <v>5090</v>
      </c>
      <c r="N64" s="66">
        <v>5085</v>
      </c>
      <c r="O64" s="66">
        <v>5095</v>
      </c>
      <c r="P64" s="66">
        <v>4957</v>
      </c>
      <c r="Q64" s="23">
        <v>4960</v>
      </c>
      <c r="R64" s="23">
        <v>5138</v>
      </c>
      <c r="S64" s="23">
        <v>5280</v>
      </c>
      <c r="T64" s="23">
        <v>5275</v>
      </c>
      <c r="U64" s="23">
        <v>5320</v>
      </c>
      <c r="V64" s="23">
        <v>5325</v>
      </c>
      <c r="W64" s="23">
        <v>5315</v>
      </c>
      <c r="X64" s="23">
        <v>5320</v>
      </c>
      <c r="Y64" s="23">
        <v>4815</v>
      </c>
      <c r="Z64" s="23">
        <v>4820</v>
      </c>
      <c r="AA64" s="23">
        <v>4400</v>
      </c>
      <c r="AB64" s="53">
        <v>4280</v>
      </c>
      <c r="AC64" s="53">
        <v>4285</v>
      </c>
      <c r="AD64" s="53">
        <v>4373</v>
      </c>
      <c r="AE64" s="53">
        <v>5062</v>
      </c>
      <c r="AF64" s="53">
        <v>5070</v>
      </c>
      <c r="AG64" s="53">
        <v>5035</v>
      </c>
      <c r="AH64" s="53">
        <v>5030</v>
      </c>
      <c r="AI64" s="53">
        <v>5015</v>
      </c>
      <c r="AJ64" s="11">
        <f t="shared" si="45"/>
        <v>155815</v>
      </c>
      <c r="AK64" s="31">
        <f>AJ64+'Apr-24'!AI64</f>
        <v>306610.05200000003</v>
      </c>
    </row>
    <row r="65" spans="1:253" x14ac:dyDescent="0.3">
      <c r="B65" s="24" t="s">
        <v>61</v>
      </c>
      <c r="C65" s="10" t="s">
        <v>51</v>
      </c>
      <c r="D65" s="10" t="s">
        <v>55</v>
      </c>
      <c r="E65" s="70">
        <f>E64*E63</f>
        <v>2991600</v>
      </c>
      <c r="F65" s="70">
        <f>F64*F63</f>
        <v>3013980</v>
      </c>
      <c r="G65" s="70">
        <f t="shared" ref="G65:AH65" si="46">G64*G63</f>
        <v>2426106.7349999999</v>
      </c>
      <c r="H65" s="70">
        <f t="shared" si="46"/>
        <v>3150820</v>
      </c>
      <c r="I65" s="70">
        <f t="shared" si="46"/>
        <v>3193970</v>
      </c>
      <c r="J65" s="70">
        <f t="shared" si="46"/>
        <v>3059090</v>
      </c>
      <c r="K65" s="70">
        <f t="shared" si="46"/>
        <v>3566500</v>
      </c>
      <c r="L65" s="70">
        <f t="shared" si="46"/>
        <v>3503565</v>
      </c>
      <c r="M65" s="71">
        <f t="shared" si="46"/>
        <v>3583360</v>
      </c>
      <c r="N65" s="70">
        <f t="shared" si="46"/>
        <v>3681540</v>
      </c>
      <c r="O65" s="70">
        <f t="shared" si="46"/>
        <v>3678590</v>
      </c>
      <c r="P65" s="70">
        <f t="shared" si="46"/>
        <v>3697922</v>
      </c>
      <c r="Q65" s="70">
        <f t="shared" si="46"/>
        <v>3566240</v>
      </c>
      <c r="R65" s="70">
        <f>R64*R63</f>
        <v>3796982</v>
      </c>
      <c r="S65" s="70">
        <f>S64*S63</f>
        <v>3569280</v>
      </c>
      <c r="T65" s="70">
        <f>T64*T63</f>
        <v>3739975</v>
      </c>
      <c r="U65" s="70">
        <f>U64*U63</f>
        <v>3505880</v>
      </c>
      <c r="V65" s="70">
        <f t="shared" si="46"/>
        <v>3621000</v>
      </c>
      <c r="W65" s="70">
        <f t="shared" si="46"/>
        <v>3646090</v>
      </c>
      <c r="X65" s="70">
        <f t="shared" si="46"/>
        <v>3665480</v>
      </c>
      <c r="Y65" s="70">
        <f t="shared" si="46"/>
        <v>3611250</v>
      </c>
      <c r="Z65" s="70">
        <f t="shared" si="46"/>
        <v>3566800</v>
      </c>
      <c r="AA65" s="70">
        <f t="shared" si="46"/>
        <v>3414400</v>
      </c>
      <c r="AB65" s="70">
        <f t="shared" si="46"/>
        <v>3723600</v>
      </c>
      <c r="AC65" s="70">
        <f t="shared" si="46"/>
        <v>3762230</v>
      </c>
      <c r="AD65" s="70">
        <f t="shared" si="46"/>
        <v>3826375</v>
      </c>
      <c r="AE65" s="70">
        <f t="shared" si="46"/>
        <v>3609206</v>
      </c>
      <c r="AF65" s="70">
        <f t="shared" si="46"/>
        <v>3361410</v>
      </c>
      <c r="AG65" s="70">
        <f t="shared" si="46"/>
        <v>3579885</v>
      </c>
      <c r="AH65" s="70">
        <f t="shared" si="46"/>
        <v>3681960</v>
      </c>
      <c r="AI65" s="70">
        <f>AI64*AI63</f>
        <v>3736175</v>
      </c>
      <c r="AJ65" s="11">
        <f t="shared" si="45"/>
        <v>108531261.735</v>
      </c>
      <c r="AK65" s="31">
        <f>AJ65+'Apr-24'!AI65</f>
        <v>180165965.89899999</v>
      </c>
    </row>
    <row r="66" spans="1:253" x14ac:dyDescent="0.3">
      <c r="A66" s="19">
        <v>14</v>
      </c>
      <c r="B66" s="44" t="s">
        <v>63</v>
      </c>
      <c r="C66" s="15" t="s">
        <v>51</v>
      </c>
      <c r="D66" s="15" t="s">
        <v>55</v>
      </c>
      <c r="E66" s="21">
        <f t="shared" ref="E66:AH66" si="47">E65/(E56)</f>
        <v>0.59297962549281169</v>
      </c>
      <c r="F66" s="21">
        <f t="shared" si="47"/>
        <v>0.58506331595666927</v>
      </c>
      <c r="G66" s="21">
        <f t="shared" si="47"/>
        <v>0.51792875505310565</v>
      </c>
      <c r="H66" s="21">
        <f t="shared" si="47"/>
        <v>0.71876632486626446</v>
      </c>
      <c r="I66" s="21">
        <f t="shared" si="47"/>
        <v>0.71962193583273248</v>
      </c>
      <c r="J66" s="21">
        <f t="shared" si="47"/>
        <v>0.68104484656348518</v>
      </c>
      <c r="K66" s="21">
        <f t="shared" si="47"/>
        <v>0.71351262676277527</v>
      </c>
      <c r="L66" s="21">
        <f t="shared" si="47"/>
        <v>0.71449984613097406</v>
      </c>
      <c r="M66" s="21">
        <f t="shared" si="47"/>
        <v>0.70655135834309357</v>
      </c>
      <c r="N66" s="21">
        <f t="shared" si="47"/>
        <v>0.71438606350098344</v>
      </c>
      <c r="O66" s="21">
        <f t="shared" si="47"/>
        <v>0.71552251997812155</v>
      </c>
      <c r="P66" s="21">
        <f t="shared" si="47"/>
        <v>0.70909256863750492</v>
      </c>
      <c r="Q66" s="21">
        <f t="shared" si="47"/>
        <v>0.70431920457970221</v>
      </c>
      <c r="R66" s="21">
        <f t="shared" si="47"/>
        <v>0.71539354462130589</v>
      </c>
      <c r="S66" s="21">
        <f t="shared" si="47"/>
        <v>0.72012047201011031</v>
      </c>
      <c r="T66" s="21">
        <f t="shared" si="47"/>
        <v>0.71507741242728728</v>
      </c>
      <c r="U66" s="21">
        <f t="shared" si="47"/>
        <v>0.70722589318062434</v>
      </c>
      <c r="V66" s="21">
        <f t="shared" si="47"/>
        <v>0.72337014976419056</v>
      </c>
      <c r="W66" s="21">
        <f t="shared" si="47"/>
        <v>0.72263393766712725</v>
      </c>
      <c r="X66" s="21">
        <f t="shared" si="47"/>
        <v>0.72274342320599727</v>
      </c>
      <c r="Y66" s="21">
        <f t="shared" si="47"/>
        <v>0.68581250716910269</v>
      </c>
      <c r="Z66" s="21">
        <f t="shared" si="47"/>
        <v>0.70308539132532821</v>
      </c>
      <c r="AA66" s="21">
        <f>AA65/(AA56)</f>
        <v>0.67565200992819019</v>
      </c>
      <c r="AB66" s="21">
        <f t="shared" si="47"/>
        <v>0.72143272866488062</v>
      </c>
      <c r="AC66" s="21">
        <f t="shared" si="47"/>
        <v>0.72142860977968815</v>
      </c>
      <c r="AD66" s="21">
        <f t="shared" si="47"/>
        <v>0.72328566341062495</v>
      </c>
      <c r="AE66" s="21">
        <f t="shared" si="47"/>
        <v>0.69856068711686836</v>
      </c>
      <c r="AF66" s="21">
        <f t="shared" si="47"/>
        <v>0.69107651695511119</v>
      </c>
      <c r="AG66" s="21">
        <f t="shared" si="47"/>
        <v>0.70910688881837214</v>
      </c>
      <c r="AH66" s="21">
        <f t="shared" si="47"/>
        <v>0.71193558865840645</v>
      </c>
      <c r="AI66" s="21">
        <f>AI65/(AI56)</f>
        <v>0.71002513857764449</v>
      </c>
      <c r="AJ66" s="16">
        <f>AJ65/(AJ56)</f>
        <v>0.69621610742574969</v>
      </c>
      <c r="AK66" s="16">
        <f>AK65/(AK56)</f>
        <v>0.5797714979712616</v>
      </c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62"/>
      <c r="BF66" s="62"/>
      <c r="BG66" s="62"/>
      <c r="BH66" s="62"/>
      <c r="BI66" s="62"/>
      <c r="BJ66" s="62"/>
      <c r="BK66" s="62"/>
      <c r="BL66" s="62"/>
      <c r="BM66" s="62"/>
      <c r="BN66" s="62"/>
      <c r="BO66" s="62"/>
      <c r="BP66" s="62"/>
      <c r="BQ66" s="62"/>
      <c r="BR66" s="62"/>
      <c r="BS66" s="62"/>
      <c r="BT66" s="62"/>
      <c r="BU66" s="62"/>
      <c r="BV66" s="62"/>
      <c r="BW66" s="62"/>
      <c r="BX66" s="62"/>
      <c r="BY66" s="62"/>
      <c r="BZ66" s="62"/>
      <c r="CA66" s="62"/>
      <c r="CB66" s="62"/>
      <c r="CC66" s="62"/>
      <c r="CD66" s="62"/>
      <c r="CE66" s="62"/>
      <c r="CF66" s="62"/>
      <c r="CG66" s="62"/>
      <c r="CH66" s="62"/>
      <c r="CI66" s="62"/>
      <c r="CJ66" s="62"/>
      <c r="CK66" s="62"/>
      <c r="CL66" s="62"/>
      <c r="CM66" s="62"/>
      <c r="CN66" s="62"/>
      <c r="CO66" s="62"/>
      <c r="CP66" s="62"/>
      <c r="CQ66" s="62"/>
      <c r="CR66" s="62"/>
      <c r="CS66" s="62"/>
      <c r="CT66" s="62"/>
      <c r="CU66" s="62"/>
      <c r="CV66" s="62"/>
      <c r="CW66" s="62"/>
      <c r="CX66" s="62"/>
      <c r="CY66" s="62"/>
      <c r="CZ66" s="62"/>
      <c r="DA66" s="62"/>
      <c r="DB66" s="62"/>
      <c r="DC66" s="62"/>
      <c r="DD66" s="62"/>
      <c r="DE66" s="62"/>
      <c r="DF66" s="62"/>
      <c r="DG66" s="62"/>
      <c r="DH66" s="62"/>
      <c r="DI66" s="62"/>
      <c r="DJ66" s="62"/>
      <c r="DK66" s="62"/>
      <c r="DL66" s="62"/>
      <c r="DM66" s="62"/>
      <c r="DN66" s="62"/>
      <c r="DO66" s="62"/>
      <c r="DP66" s="62"/>
      <c r="DQ66" s="62"/>
      <c r="DR66" s="62"/>
      <c r="DS66" s="62"/>
      <c r="DT66" s="62"/>
      <c r="DU66" s="62"/>
      <c r="DV66" s="62"/>
      <c r="DW66" s="62"/>
      <c r="DX66" s="62"/>
      <c r="DY66" s="62"/>
      <c r="DZ66" s="62"/>
      <c r="EA66" s="62"/>
      <c r="EB66" s="62"/>
      <c r="EC66" s="62"/>
      <c r="ED66" s="62"/>
      <c r="EE66" s="62"/>
      <c r="EF66" s="62"/>
      <c r="EG66" s="62"/>
      <c r="EH66" s="62"/>
      <c r="EI66" s="62"/>
      <c r="EJ66" s="62"/>
      <c r="EK66" s="62"/>
      <c r="EL66" s="62"/>
      <c r="EM66" s="62"/>
      <c r="EN66" s="62"/>
      <c r="EO66" s="62"/>
      <c r="EP66" s="62"/>
      <c r="EQ66" s="62"/>
      <c r="ER66" s="62"/>
      <c r="ES66" s="62"/>
      <c r="ET66" s="62"/>
      <c r="EU66" s="62"/>
      <c r="EV66" s="62"/>
      <c r="EW66" s="62"/>
      <c r="EX66" s="62"/>
      <c r="EY66" s="62"/>
      <c r="EZ66" s="62"/>
      <c r="FA66" s="62"/>
      <c r="FB66" s="62"/>
      <c r="FC66" s="62"/>
      <c r="FD66" s="62"/>
      <c r="FE66" s="62"/>
      <c r="FF66" s="62"/>
      <c r="FG66" s="62"/>
      <c r="FH66" s="62"/>
      <c r="FI66" s="62"/>
      <c r="FJ66" s="62"/>
      <c r="FK66" s="62"/>
      <c r="FL66" s="62"/>
      <c r="FM66" s="62"/>
      <c r="FN66" s="62"/>
      <c r="FO66" s="62"/>
      <c r="FP66" s="62"/>
      <c r="FQ66" s="62"/>
      <c r="FR66" s="62"/>
      <c r="FS66" s="62"/>
      <c r="FT66" s="62"/>
      <c r="FU66" s="62"/>
      <c r="FV66" s="62"/>
      <c r="FW66" s="62"/>
      <c r="FX66" s="62"/>
      <c r="FY66" s="62"/>
      <c r="FZ66" s="62"/>
      <c r="GA66" s="62"/>
      <c r="GB66" s="62"/>
      <c r="GC66" s="62"/>
      <c r="GD66" s="62"/>
      <c r="GE66" s="62"/>
      <c r="GF66" s="62"/>
      <c r="GG66" s="62"/>
      <c r="GH66" s="62"/>
      <c r="GI66" s="62"/>
      <c r="GJ66" s="62"/>
      <c r="GK66" s="62"/>
      <c r="GL66" s="62"/>
      <c r="GM66" s="62"/>
      <c r="GN66" s="62"/>
      <c r="GO66" s="62"/>
      <c r="GP66" s="62"/>
      <c r="GQ66" s="62"/>
      <c r="GR66" s="62"/>
      <c r="GS66" s="62"/>
      <c r="GT66" s="62"/>
      <c r="GU66" s="62"/>
      <c r="GV66" s="62"/>
      <c r="GW66" s="62"/>
      <c r="GX66" s="62"/>
      <c r="GY66" s="62"/>
      <c r="GZ66" s="62"/>
      <c r="HA66" s="62"/>
      <c r="HB66" s="62"/>
      <c r="HC66" s="62"/>
      <c r="HD66" s="62"/>
      <c r="HE66" s="62"/>
      <c r="HF66" s="62"/>
      <c r="HG66" s="62"/>
      <c r="HH66" s="62"/>
      <c r="HI66" s="62"/>
      <c r="HJ66" s="62"/>
      <c r="HK66" s="62"/>
      <c r="HL66" s="62"/>
      <c r="HM66" s="62"/>
      <c r="HN66" s="62"/>
      <c r="HO66" s="62"/>
      <c r="HP66" s="62"/>
      <c r="HQ66" s="62"/>
      <c r="HR66" s="62"/>
      <c r="HS66" s="62"/>
      <c r="HT66" s="62"/>
      <c r="HU66" s="62"/>
      <c r="HV66" s="62"/>
      <c r="HW66" s="62"/>
      <c r="HX66" s="62"/>
      <c r="HY66" s="62"/>
      <c r="HZ66" s="62"/>
      <c r="IA66" s="62"/>
      <c r="IB66" s="62"/>
      <c r="IC66" s="62"/>
      <c r="ID66" s="62"/>
      <c r="IE66" s="62"/>
      <c r="IF66" s="62"/>
      <c r="IG66" s="62"/>
      <c r="IH66" s="62"/>
      <c r="II66" s="62"/>
      <c r="IJ66" s="62"/>
      <c r="IK66" s="62"/>
      <c r="IL66" s="62"/>
      <c r="IM66" s="62"/>
      <c r="IN66" s="62"/>
      <c r="IO66" s="62"/>
      <c r="IP66" s="62"/>
      <c r="IQ66" s="62"/>
      <c r="IR66" s="62"/>
      <c r="IS66" s="62"/>
    </row>
    <row r="67" spans="1:253" s="51" customFormat="1" hidden="1" x14ac:dyDescent="0.3">
      <c r="B67" s="58" t="s">
        <v>56</v>
      </c>
      <c r="C67" s="59" t="s">
        <v>51</v>
      </c>
      <c r="D67" s="59" t="s">
        <v>55</v>
      </c>
      <c r="E67" s="55"/>
      <c r="F67" s="55"/>
      <c r="G67" s="55"/>
      <c r="H67" s="55"/>
      <c r="I67" s="72"/>
      <c r="J67" s="72"/>
      <c r="K67" s="72"/>
      <c r="L67" s="72"/>
      <c r="M67" s="39"/>
      <c r="N67" s="40"/>
      <c r="O67" s="40"/>
      <c r="P67" s="40"/>
      <c r="Q67" s="39"/>
      <c r="R67" s="39"/>
      <c r="S67" s="39"/>
      <c r="T67" s="39"/>
      <c r="U67" s="39"/>
      <c r="V67" s="39"/>
      <c r="W67" s="53"/>
      <c r="X67" s="53"/>
      <c r="Y67" s="53"/>
      <c r="Z67" s="53"/>
      <c r="AA67" s="53"/>
      <c r="AB67" s="53"/>
      <c r="AC67" s="39"/>
      <c r="AD67" s="39"/>
      <c r="AE67" s="39"/>
      <c r="AF67" s="39"/>
      <c r="AG67" s="39"/>
      <c r="AH67" s="39"/>
      <c r="AI67" s="39"/>
      <c r="AJ67" s="61">
        <f>SUM(E67:AH67)</f>
        <v>0</v>
      </c>
      <c r="AL67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62"/>
      <c r="BN67" s="62"/>
      <c r="BO67" s="62"/>
      <c r="BP67" s="62"/>
      <c r="BQ67" s="62"/>
      <c r="BR67" s="62"/>
      <c r="BS67" s="62"/>
      <c r="BT67" s="62"/>
      <c r="BU67" s="62"/>
      <c r="BV67" s="62"/>
      <c r="BW67" s="62"/>
      <c r="BX67" s="62"/>
      <c r="BY67" s="62"/>
      <c r="BZ67" s="62"/>
      <c r="CA67" s="62"/>
      <c r="CB67" s="62"/>
      <c r="CC67" s="62"/>
      <c r="CD67" s="62"/>
      <c r="CE67" s="62"/>
      <c r="CF67" s="62"/>
      <c r="CG67" s="62"/>
      <c r="CH67" s="62"/>
      <c r="CI67" s="62"/>
      <c r="CJ67" s="62"/>
      <c r="CK67" s="62"/>
      <c r="CL67" s="62"/>
      <c r="CM67" s="62"/>
      <c r="CN67" s="62"/>
      <c r="CO67" s="62"/>
      <c r="CP67" s="62"/>
      <c r="CQ67" s="62"/>
      <c r="CR67" s="62"/>
      <c r="CS67" s="62"/>
      <c r="CT67" s="62"/>
      <c r="CU67" s="62"/>
      <c r="CV67" s="62"/>
      <c r="CW67" s="62"/>
      <c r="CX67" s="62"/>
      <c r="CY67" s="62"/>
      <c r="CZ67" s="62"/>
      <c r="DA67" s="62"/>
      <c r="DB67" s="62"/>
      <c r="DC67" s="62"/>
      <c r="DD67" s="62"/>
      <c r="DE67" s="62"/>
      <c r="DF67" s="62"/>
      <c r="DG67" s="62"/>
      <c r="DH67" s="62"/>
      <c r="DI67" s="62"/>
      <c r="DJ67" s="62"/>
      <c r="DK67" s="62"/>
      <c r="DL67" s="62"/>
      <c r="DM67" s="62"/>
      <c r="DN67" s="62"/>
      <c r="DO67" s="62"/>
      <c r="DP67" s="62"/>
      <c r="DQ67" s="62"/>
      <c r="DR67" s="62"/>
      <c r="DS67" s="62"/>
      <c r="DT67" s="62"/>
      <c r="DU67" s="62"/>
      <c r="DV67" s="62"/>
      <c r="DW67" s="62"/>
      <c r="DX67" s="62"/>
      <c r="DY67" s="62"/>
      <c r="DZ67" s="62"/>
      <c r="EA67" s="62"/>
      <c r="EB67" s="62"/>
      <c r="EC67" s="62"/>
      <c r="ED67" s="62"/>
      <c r="EE67" s="62"/>
      <c r="EF67" s="62"/>
      <c r="EG67" s="62"/>
      <c r="EH67" s="62"/>
      <c r="EI67" s="62"/>
      <c r="EJ67" s="62"/>
      <c r="EK67" s="62"/>
      <c r="EL67" s="62"/>
      <c r="EM67" s="62"/>
      <c r="EN67" s="62"/>
      <c r="EO67" s="62"/>
      <c r="EP67" s="62"/>
      <c r="EQ67" s="62"/>
      <c r="ER67" s="62"/>
      <c r="ES67" s="62"/>
      <c r="ET67" s="62"/>
      <c r="EU67" s="62"/>
      <c r="EV67" s="62"/>
      <c r="EW67" s="62"/>
      <c r="EX67" s="62"/>
      <c r="EY67" s="62"/>
      <c r="EZ67" s="62"/>
      <c r="FA67" s="62"/>
      <c r="FB67" s="62"/>
      <c r="FC67" s="62"/>
      <c r="FD67" s="62"/>
      <c r="FE67" s="62"/>
      <c r="FF67" s="62"/>
      <c r="FG67" s="62"/>
      <c r="FH67" s="62"/>
      <c r="FI67" s="62"/>
      <c r="FJ67" s="62"/>
      <c r="FK67" s="62"/>
      <c r="FL67" s="62"/>
      <c r="FM67" s="62"/>
      <c r="FN67" s="62"/>
      <c r="FO67" s="62"/>
      <c r="FP67" s="62"/>
      <c r="FQ67" s="62"/>
      <c r="FR67" s="62"/>
      <c r="FS67" s="62"/>
      <c r="FT67" s="62"/>
      <c r="FU67" s="62"/>
      <c r="FV67" s="62"/>
      <c r="FW67" s="62"/>
      <c r="FX67" s="62"/>
      <c r="FY67" s="62"/>
      <c r="FZ67" s="62"/>
      <c r="GA67" s="62"/>
      <c r="GB67" s="62"/>
      <c r="GC67" s="62"/>
      <c r="GD67" s="62"/>
      <c r="GE67" s="62"/>
      <c r="GF67" s="62"/>
      <c r="GG67" s="62"/>
      <c r="GH67" s="62"/>
      <c r="GI67" s="62"/>
      <c r="GJ67" s="62"/>
      <c r="GK67" s="62"/>
      <c r="GL67" s="62"/>
      <c r="GM67" s="62"/>
      <c r="GN67" s="62"/>
      <c r="GO67" s="62"/>
      <c r="GP67" s="62"/>
      <c r="GQ67" s="62"/>
      <c r="GR67" s="62"/>
      <c r="GS67" s="62"/>
      <c r="GT67" s="62"/>
      <c r="GU67" s="62"/>
      <c r="GV67" s="62"/>
      <c r="GW67" s="62"/>
      <c r="GX67" s="62"/>
      <c r="GY67" s="62"/>
      <c r="GZ67" s="62"/>
      <c r="HA67" s="62"/>
      <c r="HB67" s="62"/>
      <c r="HC67" s="62"/>
      <c r="HD67" s="62"/>
      <c r="HE67" s="62"/>
      <c r="HF67" s="62"/>
      <c r="HG67" s="62"/>
      <c r="HH67" s="62"/>
      <c r="HI67" s="62"/>
      <c r="HJ67" s="62"/>
      <c r="HK67" s="62"/>
      <c r="HL67" s="62"/>
      <c r="HM67" s="62"/>
      <c r="HN67" s="62"/>
      <c r="HO67" s="62"/>
      <c r="HP67" s="62"/>
      <c r="HQ67" s="62"/>
      <c r="HR67" s="62"/>
      <c r="HS67" s="62"/>
      <c r="HT67" s="62"/>
      <c r="HU67" s="62"/>
      <c r="HV67" s="62"/>
      <c r="HW67" s="62"/>
      <c r="HX67" s="62"/>
      <c r="HY67" s="62"/>
      <c r="HZ67" s="62"/>
      <c r="IA67" s="62"/>
      <c r="IB67" s="62"/>
      <c r="IC67" s="62"/>
      <c r="ID67" s="62"/>
      <c r="IE67" s="62"/>
      <c r="IF67" s="62"/>
      <c r="IG67" s="62"/>
      <c r="IH67" s="62"/>
      <c r="II67" s="62"/>
      <c r="IJ67" s="62"/>
      <c r="IK67" s="62"/>
      <c r="IL67" s="62"/>
      <c r="IM67" s="62"/>
      <c r="IN67" s="62"/>
      <c r="IO67" s="62"/>
      <c r="IP67" s="62"/>
      <c r="IQ67" s="62"/>
      <c r="IR67" s="62"/>
      <c r="IS67" s="62"/>
    </row>
    <row r="68" spans="1:253" s="51" customFormat="1" hidden="1" x14ac:dyDescent="0.3">
      <c r="B68" s="58" t="s">
        <v>57</v>
      </c>
      <c r="C68" s="59" t="s">
        <v>51</v>
      </c>
      <c r="D68" s="59" t="s">
        <v>55</v>
      </c>
      <c r="E68" s="60"/>
      <c r="F68" s="60"/>
      <c r="G68" s="60"/>
      <c r="H68" s="60"/>
      <c r="I68" s="60"/>
      <c r="J68" s="60"/>
      <c r="K68" s="60"/>
      <c r="L68" s="60"/>
      <c r="M68" s="39"/>
      <c r="N68" s="40"/>
      <c r="O68" s="40"/>
      <c r="P68" s="40"/>
      <c r="Q68" s="39"/>
      <c r="R68" s="39"/>
      <c r="S68" s="39"/>
      <c r="T68" s="39"/>
      <c r="U68" s="39"/>
      <c r="V68" s="39"/>
      <c r="W68" s="23"/>
      <c r="X68" s="23"/>
      <c r="Y68" s="23"/>
      <c r="Z68" s="53"/>
      <c r="AA68" s="53"/>
      <c r="AB68" s="53"/>
      <c r="AC68" s="39"/>
      <c r="AD68" s="39"/>
      <c r="AE68" s="39"/>
      <c r="AF68" s="39"/>
      <c r="AG68" s="39"/>
      <c r="AH68" s="39"/>
      <c r="AI68" s="39"/>
      <c r="AJ68" s="61">
        <f>SUM(E68:AH68)</f>
        <v>0</v>
      </c>
      <c r="AL68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62"/>
      <c r="BC68" s="62"/>
      <c r="BD68" s="62"/>
      <c r="BE68" s="62"/>
      <c r="BF68" s="62"/>
      <c r="BG68" s="62"/>
      <c r="BH68" s="62"/>
      <c r="BI68" s="62"/>
      <c r="BJ68" s="62"/>
      <c r="BK68" s="62"/>
      <c r="BL68" s="62"/>
      <c r="BM68" s="62"/>
      <c r="BN68" s="62"/>
      <c r="BO68" s="62"/>
      <c r="BP68" s="62"/>
      <c r="BQ68" s="62"/>
      <c r="BR68" s="62"/>
      <c r="BS68" s="62"/>
      <c r="BT68" s="62"/>
      <c r="BU68" s="62"/>
      <c r="BV68" s="62"/>
      <c r="BW68" s="62"/>
      <c r="BX68" s="62"/>
      <c r="BY68" s="62"/>
      <c r="BZ68" s="62"/>
      <c r="CA68" s="62"/>
      <c r="CB68" s="62"/>
      <c r="CC68" s="62"/>
      <c r="CD68" s="62"/>
      <c r="CE68" s="62"/>
      <c r="CF68" s="62"/>
      <c r="CG68" s="62"/>
      <c r="CH68" s="62"/>
      <c r="CI68" s="62"/>
      <c r="CJ68" s="62"/>
      <c r="CK68" s="62"/>
      <c r="CL68" s="62"/>
      <c r="CM68" s="62"/>
      <c r="CN68" s="62"/>
      <c r="CO68" s="62"/>
      <c r="CP68" s="62"/>
      <c r="CQ68" s="62"/>
      <c r="CR68" s="62"/>
      <c r="CS68" s="62"/>
      <c r="CT68" s="62"/>
      <c r="CU68" s="62"/>
      <c r="CV68" s="62"/>
      <c r="CW68" s="62"/>
      <c r="CX68" s="62"/>
      <c r="CY68" s="62"/>
      <c r="CZ68" s="62"/>
      <c r="DA68" s="62"/>
      <c r="DB68" s="62"/>
      <c r="DC68" s="62"/>
      <c r="DD68" s="62"/>
      <c r="DE68" s="62"/>
      <c r="DF68" s="62"/>
      <c r="DG68" s="62"/>
      <c r="DH68" s="62"/>
      <c r="DI68" s="62"/>
      <c r="DJ68" s="62"/>
      <c r="DK68" s="62"/>
      <c r="DL68" s="62"/>
      <c r="DM68" s="62"/>
      <c r="DN68" s="62"/>
      <c r="DO68" s="62"/>
      <c r="DP68" s="62"/>
      <c r="DQ68" s="62"/>
      <c r="DR68" s="62"/>
      <c r="DS68" s="62"/>
      <c r="DT68" s="62"/>
      <c r="DU68" s="62"/>
      <c r="DV68" s="62"/>
      <c r="DW68" s="62"/>
      <c r="DX68" s="62"/>
      <c r="DY68" s="62"/>
      <c r="DZ68" s="62"/>
      <c r="EA68" s="62"/>
      <c r="EB68" s="62"/>
      <c r="EC68" s="62"/>
      <c r="ED68" s="62"/>
      <c r="EE68" s="62"/>
      <c r="EF68" s="62"/>
      <c r="EG68" s="62"/>
      <c r="EH68" s="62"/>
      <c r="EI68" s="62"/>
      <c r="EJ68" s="62"/>
      <c r="EK68" s="62"/>
      <c r="EL68" s="62"/>
      <c r="EM68" s="62"/>
      <c r="EN68" s="62"/>
      <c r="EO68" s="62"/>
      <c r="EP68" s="62"/>
      <c r="EQ68" s="62"/>
      <c r="ER68" s="62"/>
      <c r="ES68" s="62"/>
      <c r="ET68" s="62"/>
      <c r="EU68" s="62"/>
      <c r="EV68" s="62"/>
      <c r="EW68" s="62"/>
      <c r="EX68" s="62"/>
      <c r="EY68" s="62"/>
      <c r="EZ68" s="62"/>
      <c r="FA68" s="62"/>
      <c r="FB68" s="62"/>
      <c r="FC68" s="62"/>
      <c r="FD68" s="62"/>
      <c r="FE68" s="62"/>
      <c r="FF68" s="62"/>
      <c r="FG68" s="62"/>
      <c r="FH68" s="62"/>
      <c r="FI68" s="62"/>
      <c r="FJ68" s="62"/>
      <c r="FK68" s="62"/>
      <c r="FL68" s="62"/>
      <c r="FM68" s="62"/>
      <c r="FN68" s="62"/>
      <c r="FO68" s="62"/>
      <c r="FP68" s="62"/>
      <c r="FQ68" s="62"/>
      <c r="FR68" s="62"/>
      <c r="FS68" s="62"/>
      <c r="FT68" s="62"/>
      <c r="FU68" s="62"/>
      <c r="FV68" s="62"/>
      <c r="FW68" s="62"/>
      <c r="FX68" s="62"/>
      <c r="FY68" s="62"/>
      <c r="FZ68" s="62"/>
      <c r="GA68" s="62"/>
      <c r="GB68" s="62"/>
      <c r="GC68" s="62"/>
      <c r="GD68" s="62"/>
      <c r="GE68" s="62"/>
      <c r="GF68" s="62"/>
      <c r="GG68" s="62"/>
      <c r="GH68" s="62"/>
      <c r="GI68" s="62"/>
      <c r="GJ68" s="62"/>
      <c r="GK68" s="62"/>
      <c r="GL68" s="62"/>
      <c r="GM68" s="62"/>
      <c r="GN68" s="62"/>
      <c r="GO68" s="62"/>
      <c r="GP68" s="62"/>
      <c r="GQ68" s="62"/>
      <c r="GR68" s="62"/>
      <c r="GS68" s="62"/>
      <c r="GT68" s="62"/>
      <c r="GU68" s="62"/>
      <c r="GV68" s="62"/>
      <c r="GW68" s="62"/>
      <c r="GX68" s="62"/>
      <c r="GY68" s="62"/>
      <c r="GZ68" s="62"/>
      <c r="HA68" s="62"/>
      <c r="HB68" s="62"/>
      <c r="HC68" s="62"/>
      <c r="HD68" s="62"/>
      <c r="HE68" s="62"/>
      <c r="HF68" s="62"/>
      <c r="HG68" s="62"/>
      <c r="HH68" s="62"/>
      <c r="HI68" s="62"/>
      <c r="HJ68" s="62"/>
      <c r="HK68" s="62"/>
      <c r="HL68" s="62"/>
      <c r="HM68" s="62"/>
      <c r="HN68" s="62"/>
      <c r="HO68" s="62"/>
      <c r="HP68" s="62"/>
      <c r="HQ68" s="62"/>
      <c r="HR68" s="62"/>
      <c r="HS68" s="62"/>
      <c r="HT68" s="62"/>
      <c r="HU68" s="62"/>
      <c r="HV68" s="62"/>
      <c r="HW68" s="62"/>
      <c r="HX68" s="62"/>
      <c r="HY68" s="62"/>
      <c r="HZ68" s="62"/>
      <c r="IA68" s="62"/>
      <c r="IB68" s="62"/>
      <c r="IC68" s="62"/>
      <c r="ID68" s="62"/>
      <c r="IE68" s="62"/>
      <c r="IF68" s="62"/>
      <c r="IG68" s="62"/>
      <c r="IH68" s="62"/>
      <c r="II68" s="62"/>
      <c r="IJ68" s="62"/>
      <c r="IK68" s="62"/>
      <c r="IL68" s="62"/>
      <c r="IM68" s="62"/>
      <c r="IN68" s="62"/>
      <c r="IO68" s="62"/>
      <c r="IP68" s="62"/>
      <c r="IQ68" s="62"/>
      <c r="IR68" s="62"/>
      <c r="IS68" s="62"/>
    </row>
    <row r="69" spans="1:253" s="51" customFormat="1" hidden="1" x14ac:dyDescent="0.3">
      <c r="B69" s="58" t="s">
        <v>58</v>
      </c>
      <c r="C69" s="59" t="s">
        <v>51</v>
      </c>
      <c r="D69" s="59" t="s">
        <v>55</v>
      </c>
      <c r="E69" s="63">
        <f>E68*E67</f>
        <v>0</v>
      </c>
      <c r="F69" s="63">
        <f>F68*F67</f>
        <v>0</v>
      </c>
      <c r="G69" s="63">
        <f t="shared" ref="G69:AH69" si="48">G68*G67</f>
        <v>0</v>
      </c>
      <c r="H69" s="63">
        <f t="shared" si="48"/>
        <v>0</v>
      </c>
      <c r="I69" s="63">
        <f t="shared" si="48"/>
        <v>0</v>
      </c>
      <c r="J69" s="63">
        <f t="shared" si="48"/>
        <v>0</v>
      </c>
      <c r="K69" s="63">
        <f t="shared" si="48"/>
        <v>0</v>
      </c>
      <c r="L69" s="63">
        <f t="shared" si="48"/>
        <v>0</v>
      </c>
      <c r="M69" s="64">
        <f t="shared" si="48"/>
        <v>0</v>
      </c>
      <c r="N69" s="63">
        <f t="shared" si="48"/>
        <v>0</v>
      </c>
      <c r="O69" s="63">
        <f t="shared" si="48"/>
        <v>0</v>
      </c>
      <c r="P69" s="63">
        <f t="shared" si="48"/>
        <v>0</v>
      </c>
      <c r="Q69" s="63">
        <f t="shared" si="48"/>
        <v>0</v>
      </c>
      <c r="R69" s="63">
        <f>R68*R67</f>
        <v>0</v>
      </c>
      <c r="S69" s="63">
        <f>S68*S67</f>
        <v>0</v>
      </c>
      <c r="T69" s="63">
        <f>T68*T67</f>
        <v>0</v>
      </c>
      <c r="U69" s="63">
        <f>U68*U67</f>
        <v>0</v>
      </c>
      <c r="V69" s="63">
        <f t="shared" si="48"/>
        <v>0</v>
      </c>
      <c r="W69" s="63">
        <f t="shared" si="48"/>
        <v>0</v>
      </c>
      <c r="X69" s="63">
        <f t="shared" si="48"/>
        <v>0</v>
      </c>
      <c r="Y69" s="63">
        <f t="shared" si="48"/>
        <v>0</v>
      </c>
      <c r="Z69" s="63">
        <f t="shared" si="48"/>
        <v>0</v>
      </c>
      <c r="AA69" s="63">
        <f t="shared" si="48"/>
        <v>0</v>
      </c>
      <c r="AB69" s="63">
        <f t="shared" si="48"/>
        <v>0</v>
      </c>
      <c r="AC69" s="63">
        <f t="shared" si="48"/>
        <v>0</v>
      </c>
      <c r="AD69" s="63">
        <f t="shared" si="48"/>
        <v>0</v>
      </c>
      <c r="AE69" s="63">
        <f t="shared" si="48"/>
        <v>0</v>
      </c>
      <c r="AF69" s="63">
        <f t="shared" si="48"/>
        <v>0</v>
      </c>
      <c r="AG69" s="63">
        <f t="shared" si="48"/>
        <v>0</v>
      </c>
      <c r="AH69" s="63">
        <f t="shared" si="48"/>
        <v>0</v>
      </c>
      <c r="AI69" s="63">
        <f>AI68*AI67</f>
        <v>0</v>
      </c>
      <c r="AJ69" s="61">
        <f>SUM(E69:AH69)</f>
        <v>0</v>
      </c>
      <c r="AL69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62"/>
      <c r="BC69" s="62"/>
      <c r="BD69" s="62"/>
      <c r="BE69" s="62"/>
      <c r="BF69" s="62"/>
      <c r="BG69" s="62"/>
      <c r="BH69" s="62"/>
      <c r="BI69" s="62"/>
      <c r="BJ69" s="62"/>
      <c r="BK69" s="62"/>
      <c r="BL69" s="62"/>
      <c r="BM69" s="62"/>
      <c r="BN69" s="62"/>
      <c r="BO69" s="62"/>
      <c r="BP69" s="62"/>
      <c r="BQ69" s="62"/>
      <c r="BR69" s="62"/>
      <c r="BS69" s="62"/>
      <c r="BT69" s="62"/>
      <c r="BU69" s="62"/>
      <c r="BV69" s="62"/>
      <c r="BW69" s="62"/>
      <c r="BX69" s="62"/>
      <c r="BY69" s="62"/>
      <c r="BZ69" s="62"/>
      <c r="CA69" s="62"/>
      <c r="CB69" s="62"/>
      <c r="CC69" s="62"/>
      <c r="CD69" s="62"/>
      <c r="CE69" s="62"/>
      <c r="CF69" s="62"/>
      <c r="CG69" s="62"/>
      <c r="CH69" s="62"/>
      <c r="CI69" s="62"/>
      <c r="CJ69" s="62"/>
      <c r="CK69" s="62"/>
      <c r="CL69" s="62"/>
      <c r="CM69" s="62"/>
      <c r="CN69" s="62"/>
      <c r="CO69" s="62"/>
      <c r="CP69" s="62"/>
      <c r="CQ69" s="62"/>
      <c r="CR69" s="62"/>
      <c r="CS69" s="62"/>
      <c r="CT69" s="62"/>
      <c r="CU69" s="62"/>
      <c r="CV69" s="62"/>
      <c r="CW69" s="62"/>
      <c r="CX69" s="62"/>
      <c r="CY69" s="62"/>
      <c r="CZ69" s="62"/>
      <c r="DA69" s="62"/>
      <c r="DB69" s="62"/>
      <c r="DC69" s="62"/>
      <c r="DD69" s="62"/>
      <c r="DE69" s="62"/>
      <c r="DF69" s="62"/>
      <c r="DG69" s="62"/>
      <c r="DH69" s="62"/>
      <c r="DI69" s="62"/>
      <c r="DJ69" s="62"/>
      <c r="DK69" s="62"/>
      <c r="DL69" s="62"/>
      <c r="DM69" s="62"/>
      <c r="DN69" s="62"/>
      <c r="DO69" s="62"/>
      <c r="DP69" s="62"/>
      <c r="DQ69" s="62"/>
      <c r="DR69" s="62"/>
      <c r="DS69" s="62"/>
      <c r="DT69" s="62"/>
      <c r="DU69" s="62"/>
      <c r="DV69" s="62"/>
      <c r="DW69" s="62"/>
      <c r="DX69" s="62"/>
      <c r="DY69" s="62"/>
      <c r="DZ69" s="62"/>
      <c r="EA69" s="62"/>
      <c r="EB69" s="62"/>
      <c r="EC69" s="62"/>
      <c r="ED69" s="62"/>
      <c r="EE69" s="62"/>
      <c r="EF69" s="62"/>
      <c r="EG69" s="62"/>
      <c r="EH69" s="62"/>
      <c r="EI69" s="62"/>
      <c r="EJ69" s="62"/>
      <c r="EK69" s="62"/>
      <c r="EL69" s="62"/>
      <c r="EM69" s="62"/>
      <c r="EN69" s="62"/>
      <c r="EO69" s="62"/>
      <c r="EP69" s="62"/>
      <c r="EQ69" s="62"/>
      <c r="ER69" s="62"/>
      <c r="ES69" s="62"/>
      <c r="ET69" s="62"/>
      <c r="EU69" s="62"/>
      <c r="EV69" s="62"/>
      <c r="EW69" s="62"/>
      <c r="EX69" s="62"/>
      <c r="EY69" s="62"/>
      <c r="EZ69" s="62"/>
      <c r="FA69" s="62"/>
      <c r="FB69" s="62"/>
      <c r="FC69" s="62"/>
      <c r="FD69" s="62"/>
      <c r="FE69" s="62"/>
      <c r="FF69" s="62"/>
      <c r="FG69" s="62"/>
      <c r="FH69" s="62"/>
      <c r="FI69" s="62"/>
      <c r="FJ69" s="62"/>
      <c r="FK69" s="62"/>
      <c r="FL69" s="62"/>
      <c r="FM69" s="62"/>
      <c r="FN69" s="62"/>
      <c r="FO69" s="62"/>
      <c r="FP69" s="62"/>
      <c r="FQ69" s="62"/>
      <c r="FR69" s="62"/>
      <c r="FS69" s="62"/>
      <c r="FT69" s="62"/>
      <c r="FU69" s="62"/>
      <c r="FV69" s="62"/>
      <c r="FW69" s="62"/>
      <c r="FX69" s="62"/>
      <c r="FY69" s="62"/>
      <c r="FZ69" s="62"/>
      <c r="GA69" s="62"/>
      <c r="GB69" s="62"/>
      <c r="GC69" s="62"/>
      <c r="GD69" s="62"/>
      <c r="GE69" s="62"/>
      <c r="GF69" s="62"/>
      <c r="GG69" s="62"/>
      <c r="GH69" s="62"/>
      <c r="GI69" s="62"/>
      <c r="GJ69" s="62"/>
      <c r="GK69" s="62"/>
      <c r="GL69" s="62"/>
      <c r="GM69" s="62"/>
      <c r="GN69" s="62"/>
      <c r="GO69" s="62"/>
      <c r="GP69" s="62"/>
      <c r="GQ69" s="62"/>
      <c r="GR69" s="62"/>
      <c r="GS69" s="62"/>
      <c r="GT69" s="62"/>
      <c r="GU69" s="62"/>
      <c r="GV69" s="62"/>
      <c r="GW69" s="62"/>
      <c r="GX69" s="62"/>
      <c r="GY69" s="62"/>
      <c r="GZ69" s="62"/>
      <c r="HA69" s="62"/>
      <c r="HB69" s="62"/>
      <c r="HC69" s="62"/>
      <c r="HD69" s="62"/>
      <c r="HE69" s="62"/>
      <c r="HF69" s="62"/>
      <c r="HG69" s="62"/>
      <c r="HH69" s="62"/>
      <c r="HI69" s="62"/>
      <c r="HJ69" s="62"/>
      <c r="HK69" s="62"/>
      <c r="HL69" s="62"/>
      <c r="HM69" s="62"/>
      <c r="HN69" s="62"/>
      <c r="HO69" s="62"/>
      <c r="HP69" s="62"/>
      <c r="HQ69" s="62"/>
      <c r="HR69" s="62"/>
      <c r="HS69" s="62"/>
      <c r="HT69" s="62"/>
      <c r="HU69" s="62"/>
      <c r="HV69" s="62"/>
      <c r="HW69" s="62"/>
      <c r="HX69" s="62"/>
      <c r="HY69" s="62"/>
      <c r="HZ69" s="62"/>
      <c r="IA69" s="62"/>
      <c r="IB69" s="62"/>
      <c r="IC69" s="62"/>
      <c r="ID69" s="62"/>
      <c r="IE69" s="62"/>
      <c r="IF69" s="62"/>
      <c r="IG69" s="62"/>
      <c r="IH69" s="62"/>
      <c r="II69" s="62"/>
      <c r="IJ69" s="62"/>
      <c r="IK69" s="62"/>
      <c r="IL69" s="62"/>
      <c r="IM69" s="62"/>
      <c r="IN69" s="62"/>
      <c r="IO69" s="62"/>
      <c r="IP69" s="62"/>
      <c r="IQ69" s="62"/>
      <c r="IR69" s="62"/>
      <c r="IS69" s="62"/>
    </row>
    <row r="70" spans="1:253" hidden="1" x14ac:dyDescent="0.3">
      <c r="A70" s="19">
        <v>15</v>
      </c>
      <c r="B70" s="44" t="s">
        <v>64</v>
      </c>
      <c r="C70" s="15"/>
      <c r="D70" s="15"/>
      <c r="E70" s="21">
        <f t="shared" ref="E70:AJ70" si="49">E69/E56</f>
        <v>0</v>
      </c>
      <c r="F70" s="21">
        <f t="shared" si="49"/>
        <v>0</v>
      </c>
      <c r="G70" s="21">
        <f t="shared" si="49"/>
        <v>0</v>
      </c>
      <c r="H70" s="21">
        <f t="shared" si="49"/>
        <v>0</v>
      </c>
      <c r="I70" s="21">
        <f t="shared" si="49"/>
        <v>0</v>
      </c>
      <c r="J70" s="21">
        <f t="shared" si="49"/>
        <v>0</v>
      </c>
      <c r="K70" s="21">
        <f t="shared" si="49"/>
        <v>0</v>
      </c>
      <c r="L70" s="21">
        <f t="shared" si="49"/>
        <v>0</v>
      </c>
      <c r="M70" s="65">
        <f t="shared" si="49"/>
        <v>0</v>
      </c>
      <c r="N70" s="21">
        <f t="shared" si="49"/>
        <v>0</v>
      </c>
      <c r="O70" s="21">
        <f t="shared" si="49"/>
        <v>0</v>
      </c>
      <c r="P70" s="21">
        <f t="shared" si="49"/>
        <v>0</v>
      </c>
      <c r="Q70" s="21">
        <f t="shared" si="49"/>
        <v>0</v>
      </c>
      <c r="R70" s="21">
        <f t="shared" si="49"/>
        <v>0</v>
      </c>
      <c r="S70" s="21">
        <f t="shared" si="49"/>
        <v>0</v>
      </c>
      <c r="T70" s="21">
        <f t="shared" si="49"/>
        <v>0</v>
      </c>
      <c r="U70" s="21">
        <f t="shared" si="49"/>
        <v>0</v>
      </c>
      <c r="V70" s="21">
        <f t="shared" si="49"/>
        <v>0</v>
      </c>
      <c r="W70" s="21">
        <f t="shared" si="49"/>
        <v>0</v>
      </c>
      <c r="X70" s="21">
        <f t="shared" si="49"/>
        <v>0</v>
      </c>
      <c r="Y70" s="21">
        <f t="shared" si="49"/>
        <v>0</v>
      </c>
      <c r="Z70" s="21">
        <f t="shared" si="49"/>
        <v>0</v>
      </c>
      <c r="AA70" s="21">
        <f t="shared" si="49"/>
        <v>0</v>
      </c>
      <c r="AB70" s="21">
        <f t="shared" si="49"/>
        <v>0</v>
      </c>
      <c r="AC70" s="21">
        <f t="shared" si="49"/>
        <v>0</v>
      </c>
      <c r="AD70" s="21">
        <f t="shared" si="49"/>
        <v>0</v>
      </c>
      <c r="AE70" s="21">
        <f t="shared" si="49"/>
        <v>0</v>
      </c>
      <c r="AF70" s="21">
        <f t="shared" si="49"/>
        <v>0</v>
      </c>
      <c r="AG70" s="21">
        <f t="shared" si="49"/>
        <v>0</v>
      </c>
      <c r="AH70" s="21">
        <f t="shared" si="49"/>
        <v>0</v>
      </c>
      <c r="AI70" s="21">
        <f>AI69/AI56</f>
        <v>0</v>
      </c>
      <c r="AJ70" s="21">
        <f t="shared" si="49"/>
        <v>0</v>
      </c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  <c r="BB70" s="62"/>
      <c r="BC70" s="62"/>
      <c r="BD70" s="62"/>
      <c r="BE70" s="62"/>
      <c r="BF70" s="62"/>
      <c r="BG70" s="62"/>
      <c r="BH70" s="62"/>
      <c r="BI70" s="62"/>
      <c r="BJ70" s="62"/>
      <c r="BK70" s="62"/>
      <c r="BL70" s="62"/>
      <c r="BM70" s="62"/>
      <c r="BN70" s="62"/>
      <c r="BO70" s="62"/>
      <c r="BP70" s="62"/>
      <c r="BQ70" s="62"/>
      <c r="BR70" s="62"/>
      <c r="BS70" s="62"/>
      <c r="BT70" s="62"/>
      <c r="BU70" s="62"/>
      <c r="BV70" s="62"/>
      <c r="BW70" s="62"/>
      <c r="BX70" s="62"/>
      <c r="BY70" s="62"/>
      <c r="BZ70" s="62"/>
      <c r="CA70" s="62"/>
      <c r="CB70" s="62"/>
      <c r="CC70" s="62"/>
      <c r="CD70" s="62"/>
      <c r="CE70" s="62"/>
      <c r="CF70" s="62"/>
      <c r="CG70" s="62"/>
      <c r="CH70" s="62"/>
      <c r="CI70" s="62"/>
      <c r="CJ70" s="62"/>
      <c r="CK70" s="62"/>
      <c r="CL70" s="62"/>
      <c r="CM70" s="62"/>
      <c r="CN70" s="62"/>
      <c r="CO70" s="62"/>
      <c r="CP70" s="62"/>
      <c r="CQ70" s="62"/>
      <c r="CR70" s="62"/>
      <c r="CS70" s="62"/>
      <c r="CT70" s="62"/>
      <c r="CU70" s="62"/>
      <c r="CV70" s="62"/>
      <c r="CW70" s="62"/>
      <c r="CX70" s="62"/>
      <c r="CY70" s="62"/>
      <c r="CZ70" s="62"/>
      <c r="DA70" s="62"/>
      <c r="DB70" s="62"/>
      <c r="DC70" s="62"/>
      <c r="DD70" s="62"/>
      <c r="DE70" s="62"/>
      <c r="DF70" s="62"/>
      <c r="DG70" s="62"/>
      <c r="DH70" s="62"/>
      <c r="DI70" s="62"/>
      <c r="DJ70" s="62"/>
      <c r="DK70" s="62"/>
      <c r="DL70" s="62"/>
      <c r="DM70" s="62"/>
      <c r="DN70" s="62"/>
      <c r="DO70" s="62"/>
      <c r="DP70" s="62"/>
      <c r="DQ70" s="62"/>
      <c r="DR70" s="62"/>
      <c r="DS70" s="62"/>
      <c r="DT70" s="62"/>
      <c r="DU70" s="62"/>
      <c r="DV70" s="62"/>
      <c r="DW70" s="62"/>
      <c r="DX70" s="62"/>
      <c r="DY70" s="62"/>
      <c r="DZ70" s="62"/>
      <c r="EA70" s="62"/>
      <c r="EB70" s="62"/>
      <c r="EC70" s="62"/>
      <c r="ED70" s="62"/>
      <c r="EE70" s="62"/>
      <c r="EF70" s="62"/>
      <c r="EG70" s="62"/>
      <c r="EH70" s="62"/>
      <c r="EI70" s="62"/>
      <c r="EJ70" s="62"/>
      <c r="EK70" s="62"/>
      <c r="EL70" s="62"/>
      <c r="EM70" s="62"/>
      <c r="EN70" s="62"/>
      <c r="EO70" s="62"/>
      <c r="EP70" s="62"/>
      <c r="EQ70" s="62"/>
      <c r="ER70" s="62"/>
      <c r="ES70" s="62"/>
      <c r="ET70" s="62"/>
      <c r="EU70" s="62"/>
      <c r="EV70" s="62"/>
      <c r="EW70" s="62"/>
      <c r="EX70" s="62"/>
      <c r="EY70" s="62"/>
      <c r="EZ70" s="62"/>
      <c r="FA70" s="62"/>
      <c r="FB70" s="62"/>
      <c r="FC70" s="62"/>
      <c r="FD70" s="62"/>
      <c r="FE70" s="62"/>
      <c r="FF70" s="62"/>
      <c r="FG70" s="62"/>
      <c r="FH70" s="62"/>
      <c r="FI70" s="62"/>
      <c r="FJ70" s="62"/>
      <c r="FK70" s="62"/>
      <c r="FL70" s="62"/>
      <c r="FM70" s="62"/>
      <c r="FN70" s="62"/>
      <c r="FO70" s="62"/>
      <c r="FP70" s="62"/>
      <c r="FQ70" s="62"/>
      <c r="FR70" s="62"/>
      <c r="FS70" s="62"/>
      <c r="FT70" s="62"/>
      <c r="FU70" s="62"/>
      <c r="FV70" s="62"/>
      <c r="FW70" s="62"/>
      <c r="FX70" s="62"/>
      <c r="FY70" s="62"/>
      <c r="FZ70" s="62"/>
      <c r="GA70" s="62"/>
      <c r="GB70" s="62"/>
      <c r="GC70" s="62"/>
      <c r="GD70" s="62"/>
      <c r="GE70" s="62"/>
      <c r="GF70" s="62"/>
      <c r="GG70" s="62"/>
      <c r="GH70" s="62"/>
      <c r="GI70" s="62"/>
      <c r="GJ70" s="62"/>
      <c r="GK70" s="62"/>
      <c r="GL70" s="62"/>
      <c r="GM70" s="62"/>
      <c r="GN70" s="62"/>
      <c r="GO70" s="62"/>
      <c r="GP70" s="62"/>
      <c r="GQ70" s="62"/>
      <c r="GR70" s="62"/>
      <c r="GS70" s="62"/>
      <c r="GT70" s="62"/>
      <c r="GU70" s="62"/>
      <c r="GV70" s="62"/>
      <c r="GW70" s="62"/>
      <c r="GX70" s="62"/>
      <c r="GY70" s="62"/>
      <c r="GZ70" s="62"/>
      <c r="HA70" s="62"/>
      <c r="HB70" s="62"/>
      <c r="HC70" s="62"/>
      <c r="HD70" s="62"/>
      <c r="HE70" s="62"/>
      <c r="HF70" s="62"/>
      <c r="HG70" s="62"/>
      <c r="HH70" s="62"/>
      <c r="HI70" s="62"/>
      <c r="HJ70" s="62"/>
      <c r="HK70" s="62"/>
      <c r="HL70" s="62"/>
      <c r="HM70" s="62"/>
      <c r="HN70" s="62"/>
      <c r="HO70" s="62"/>
      <c r="HP70" s="62"/>
      <c r="HQ70" s="62"/>
      <c r="HR70" s="62"/>
      <c r="HS70" s="62"/>
      <c r="HT70" s="62"/>
      <c r="HU70" s="62"/>
      <c r="HV70" s="62"/>
      <c r="HW70" s="62"/>
      <c r="HX70" s="62"/>
      <c r="HY70" s="62"/>
      <c r="HZ70" s="62"/>
      <c r="IA70" s="62"/>
      <c r="IB70" s="62"/>
      <c r="IC70" s="62"/>
      <c r="ID70" s="62"/>
      <c r="IE70" s="62"/>
      <c r="IF70" s="62"/>
      <c r="IG70" s="62"/>
      <c r="IH70" s="62"/>
      <c r="II70" s="62"/>
      <c r="IJ70" s="62"/>
      <c r="IK70" s="62"/>
      <c r="IL70" s="62"/>
      <c r="IM70" s="62"/>
      <c r="IN70" s="62"/>
      <c r="IO70" s="62"/>
      <c r="IP70" s="62"/>
      <c r="IQ70" s="62"/>
      <c r="IR70" s="62"/>
      <c r="IS70" s="62"/>
    </row>
    <row r="71" spans="1:253" hidden="1" x14ac:dyDescent="0.3">
      <c r="A71" s="19"/>
      <c r="B71" s="44" t="s">
        <v>65</v>
      </c>
      <c r="C71" s="15"/>
      <c r="D71" s="15"/>
      <c r="E71" s="21">
        <f t="shared" ref="E71:AH71" si="50">(E69+E52)/(E56+E43)</f>
        <v>6.4621716547780053E-2</v>
      </c>
      <c r="F71" s="21">
        <f t="shared" si="50"/>
        <v>6.1710652849821045E-2</v>
      </c>
      <c r="G71" s="21">
        <f t="shared" si="50"/>
        <v>5.9773294229758446E-2</v>
      </c>
      <c r="H71" s="21">
        <f t="shared" si="50"/>
        <v>6.1183905570637492E-2</v>
      </c>
      <c r="I71" s="21">
        <f t="shared" si="50"/>
        <v>6.041471941395813E-2</v>
      </c>
      <c r="J71" s="21">
        <f t="shared" si="50"/>
        <v>6.4109118263935727E-2</v>
      </c>
      <c r="K71" s="21">
        <f t="shared" si="50"/>
        <v>0.12015434449698821</v>
      </c>
      <c r="L71" s="21">
        <f t="shared" si="50"/>
        <v>0.18249942008966658</v>
      </c>
      <c r="M71" s="65">
        <f t="shared" si="50"/>
        <v>0.19261701170907533</v>
      </c>
      <c r="N71" s="21">
        <f t="shared" si="50"/>
        <v>0.18369716898348723</v>
      </c>
      <c r="O71" s="21">
        <f t="shared" si="50"/>
        <v>0.18695329825852031</v>
      </c>
      <c r="P71" s="21">
        <f t="shared" si="50"/>
        <v>0.17541331608720712</v>
      </c>
      <c r="Q71" s="21">
        <f t="shared" si="50"/>
        <v>0.15420384583179955</v>
      </c>
      <c r="R71" s="21">
        <f t="shared" si="50"/>
        <v>0</v>
      </c>
      <c r="S71" s="21">
        <f t="shared" si="50"/>
        <v>0.22071296727813877</v>
      </c>
      <c r="T71" s="21">
        <f t="shared" si="50"/>
        <v>0.1919148075578124</v>
      </c>
      <c r="U71" s="21">
        <f t="shared" si="50"/>
        <v>0.19484832670192251</v>
      </c>
      <c r="V71" s="21">
        <f t="shared" si="50"/>
        <v>0.20554859427527625</v>
      </c>
      <c r="W71" s="21">
        <f t="shared" si="50"/>
        <v>0.19226318068290643</v>
      </c>
      <c r="X71" s="21">
        <f t="shared" si="50"/>
        <v>0.20992820977987231</v>
      </c>
      <c r="Y71" s="21">
        <f t="shared" si="50"/>
        <v>0.19630678536455357</v>
      </c>
      <c r="Z71" s="21">
        <f t="shared" si="50"/>
        <v>0.19692620457132221</v>
      </c>
      <c r="AA71" s="21">
        <f t="shared" si="50"/>
        <v>0.18340409825663628</v>
      </c>
      <c r="AB71" s="21">
        <f t="shared" si="50"/>
        <v>0.1878268968099451</v>
      </c>
      <c r="AC71" s="21">
        <f t="shared" si="50"/>
        <v>0.18968459157729026</v>
      </c>
      <c r="AD71" s="21">
        <f t="shared" si="50"/>
        <v>0</v>
      </c>
      <c r="AE71" s="21">
        <f t="shared" si="50"/>
        <v>0</v>
      </c>
      <c r="AF71" s="21">
        <f t="shared" si="50"/>
        <v>0</v>
      </c>
      <c r="AG71" s="21">
        <f t="shared" si="50"/>
        <v>0</v>
      </c>
      <c r="AH71" s="21">
        <f t="shared" si="50"/>
        <v>0.24876900614674244</v>
      </c>
      <c r="AI71" s="21">
        <f>(AI69+AI52)/(AI56+AI43)</f>
        <v>0.14566974778489938</v>
      </c>
      <c r="AJ71" s="21">
        <f>(AJ69+AJ52)/(AJ56+AJ43)</f>
        <v>0.13698033270621945</v>
      </c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  <c r="BK71" s="62"/>
      <c r="BL71" s="62"/>
      <c r="BM71" s="62"/>
      <c r="BN71" s="62"/>
      <c r="BO71" s="62"/>
      <c r="BP71" s="62"/>
      <c r="BQ71" s="62"/>
      <c r="BR71" s="62"/>
      <c r="BS71" s="62"/>
      <c r="BT71" s="62"/>
      <c r="BU71" s="62"/>
      <c r="BV71" s="62"/>
      <c r="BW71" s="62"/>
      <c r="BX71" s="62"/>
      <c r="BY71" s="62"/>
      <c r="BZ71" s="62"/>
      <c r="CA71" s="62"/>
      <c r="CB71" s="62"/>
      <c r="CC71" s="62"/>
      <c r="CD71" s="62"/>
      <c r="CE71" s="62"/>
      <c r="CF71" s="62"/>
      <c r="CG71" s="62"/>
      <c r="CH71" s="62"/>
      <c r="CI71" s="62"/>
      <c r="CJ71" s="62"/>
      <c r="CK71" s="62"/>
      <c r="CL71" s="62"/>
      <c r="CM71" s="62"/>
      <c r="CN71" s="62"/>
      <c r="CO71" s="62"/>
      <c r="CP71" s="62"/>
      <c r="CQ71" s="62"/>
      <c r="CR71" s="62"/>
      <c r="CS71" s="62"/>
      <c r="CT71" s="62"/>
      <c r="CU71" s="62"/>
      <c r="CV71" s="62"/>
      <c r="CW71" s="62"/>
      <c r="CX71" s="62"/>
      <c r="CY71" s="62"/>
      <c r="CZ71" s="62"/>
      <c r="DA71" s="62"/>
      <c r="DB71" s="62"/>
      <c r="DC71" s="62"/>
      <c r="DD71" s="62"/>
      <c r="DE71" s="62"/>
      <c r="DF71" s="62"/>
      <c r="DG71" s="62"/>
      <c r="DH71" s="62"/>
      <c r="DI71" s="62"/>
      <c r="DJ71" s="62"/>
      <c r="DK71" s="62"/>
      <c r="DL71" s="62"/>
      <c r="DM71" s="62"/>
      <c r="DN71" s="62"/>
      <c r="DO71" s="62"/>
      <c r="DP71" s="62"/>
      <c r="DQ71" s="62"/>
      <c r="DR71" s="62"/>
      <c r="DS71" s="62"/>
      <c r="DT71" s="62"/>
      <c r="DU71" s="62"/>
      <c r="DV71" s="62"/>
      <c r="DW71" s="62"/>
      <c r="DX71" s="62"/>
      <c r="DY71" s="62"/>
      <c r="DZ71" s="62"/>
      <c r="EA71" s="62"/>
      <c r="EB71" s="62"/>
      <c r="EC71" s="62"/>
      <c r="ED71" s="62"/>
      <c r="EE71" s="62"/>
      <c r="EF71" s="62"/>
      <c r="EG71" s="62"/>
      <c r="EH71" s="62"/>
      <c r="EI71" s="62"/>
      <c r="EJ71" s="62"/>
      <c r="EK71" s="62"/>
      <c r="EL71" s="62"/>
      <c r="EM71" s="62"/>
      <c r="EN71" s="62"/>
      <c r="EO71" s="62"/>
      <c r="EP71" s="62"/>
      <c r="EQ71" s="62"/>
      <c r="ER71" s="62"/>
      <c r="ES71" s="62"/>
      <c r="ET71" s="62"/>
      <c r="EU71" s="62"/>
      <c r="EV71" s="62"/>
      <c r="EW71" s="62"/>
      <c r="EX71" s="62"/>
      <c r="EY71" s="62"/>
      <c r="EZ71" s="62"/>
      <c r="FA71" s="62"/>
      <c r="FB71" s="62"/>
      <c r="FC71" s="62"/>
      <c r="FD71" s="62"/>
      <c r="FE71" s="62"/>
      <c r="FF71" s="62"/>
      <c r="FG71" s="62"/>
      <c r="FH71" s="62"/>
      <c r="FI71" s="62"/>
      <c r="FJ71" s="62"/>
      <c r="FK71" s="62"/>
      <c r="FL71" s="62"/>
      <c r="FM71" s="62"/>
      <c r="FN71" s="62"/>
      <c r="FO71" s="62"/>
      <c r="FP71" s="62"/>
      <c r="FQ71" s="62"/>
      <c r="FR71" s="62"/>
      <c r="FS71" s="62"/>
      <c r="FT71" s="62"/>
      <c r="FU71" s="62"/>
      <c r="FV71" s="62"/>
      <c r="FW71" s="62"/>
      <c r="FX71" s="62"/>
      <c r="FY71" s="62"/>
      <c r="FZ71" s="62"/>
      <c r="GA71" s="62"/>
      <c r="GB71" s="62"/>
      <c r="GC71" s="62"/>
      <c r="GD71" s="62"/>
      <c r="GE71" s="62"/>
      <c r="GF71" s="62"/>
      <c r="GG71" s="62"/>
      <c r="GH71" s="62"/>
      <c r="GI71" s="62"/>
      <c r="GJ71" s="62"/>
      <c r="GK71" s="62"/>
      <c r="GL71" s="62"/>
      <c r="GM71" s="62"/>
      <c r="GN71" s="62"/>
      <c r="GO71" s="62"/>
      <c r="GP71" s="62"/>
      <c r="GQ71" s="62"/>
      <c r="GR71" s="62"/>
      <c r="GS71" s="62"/>
      <c r="GT71" s="62"/>
      <c r="GU71" s="62"/>
      <c r="GV71" s="62"/>
      <c r="GW71" s="62"/>
      <c r="GX71" s="62"/>
      <c r="GY71" s="62"/>
      <c r="GZ71" s="62"/>
      <c r="HA71" s="62"/>
      <c r="HB71" s="62"/>
      <c r="HC71" s="62"/>
      <c r="HD71" s="62"/>
      <c r="HE71" s="62"/>
      <c r="HF71" s="62"/>
      <c r="HG71" s="62"/>
      <c r="HH71" s="62"/>
      <c r="HI71" s="62"/>
      <c r="HJ71" s="62"/>
      <c r="HK71" s="62"/>
      <c r="HL71" s="62"/>
      <c r="HM71" s="62"/>
      <c r="HN71" s="62"/>
      <c r="HO71" s="62"/>
      <c r="HP71" s="62"/>
      <c r="HQ71" s="62"/>
      <c r="HR71" s="62"/>
      <c r="HS71" s="62"/>
      <c r="HT71" s="62"/>
      <c r="HU71" s="62"/>
      <c r="HV71" s="62"/>
      <c r="HW71" s="62"/>
      <c r="HX71" s="62"/>
      <c r="HY71" s="62"/>
      <c r="HZ71" s="62"/>
      <c r="IA71" s="62"/>
      <c r="IB71" s="62"/>
      <c r="IC71" s="62"/>
      <c r="ID71" s="62"/>
      <c r="IE71" s="62"/>
      <c r="IF71" s="62"/>
      <c r="IG71" s="62"/>
      <c r="IH71" s="62"/>
      <c r="II71" s="62"/>
      <c r="IJ71" s="62"/>
      <c r="IK71" s="62"/>
      <c r="IL71" s="62"/>
      <c r="IM71" s="62"/>
      <c r="IN71" s="62"/>
      <c r="IO71" s="62"/>
      <c r="IP71" s="62"/>
      <c r="IQ71" s="62"/>
      <c r="IR71" s="62"/>
      <c r="IS71" s="62"/>
    </row>
    <row r="72" spans="1:253" s="51" customFormat="1" hidden="1" x14ac:dyDescent="0.3">
      <c r="B72" s="58" t="s">
        <v>66</v>
      </c>
      <c r="C72" s="59" t="s">
        <v>51</v>
      </c>
      <c r="D72" s="59" t="s">
        <v>55</v>
      </c>
      <c r="E72" s="72"/>
      <c r="F72" s="72"/>
      <c r="G72" s="72"/>
      <c r="H72" s="72"/>
      <c r="I72" s="72"/>
      <c r="J72" s="72">
        <v>86</v>
      </c>
      <c r="K72" s="72"/>
      <c r="L72" s="72">
        <v>0</v>
      </c>
      <c r="M72" s="39">
        <v>0</v>
      </c>
      <c r="N72" s="40">
        <v>0</v>
      </c>
      <c r="O72" s="40">
        <v>0</v>
      </c>
      <c r="P72" s="40">
        <v>0</v>
      </c>
      <c r="Q72" s="39">
        <v>0</v>
      </c>
      <c r="R72" s="40">
        <v>0</v>
      </c>
      <c r="S72" s="40">
        <v>0</v>
      </c>
      <c r="T72" s="40">
        <v>0</v>
      </c>
      <c r="U72" s="40">
        <v>0</v>
      </c>
      <c r="V72" s="39">
        <v>0</v>
      </c>
      <c r="W72" s="39">
        <v>0</v>
      </c>
      <c r="X72" s="39">
        <v>0</v>
      </c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61">
        <f>SUM(E72:AH72)</f>
        <v>86</v>
      </c>
      <c r="AL7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  <c r="BK72" s="62"/>
      <c r="BL72" s="62"/>
      <c r="BM72" s="62"/>
      <c r="BN72" s="62"/>
      <c r="BO72" s="62"/>
      <c r="BP72" s="62"/>
      <c r="BQ72" s="62"/>
      <c r="BR72" s="62"/>
      <c r="BS72" s="62"/>
      <c r="BT72" s="62"/>
      <c r="BU72" s="62"/>
      <c r="BV72" s="62"/>
      <c r="BW72" s="62"/>
      <c r="BX72" s="62"/>
      <c r="BY72" s="62"/>
      <c r="BZ72" s="62"/>
      <c r="CA72" s="62"/>
      <c r="CB72" s="62"/>
      <c r="CC72" s="62"/>
      <c r="CD72" s="62"/>
      <c r="CE72" s="62"/>
      <c r="CF72" s="62"/>
      <c r="CG72" s="62"/>
      <c r="CH72" s="62"/>
      <c r="CI72" s="62"/>
      <c r="CJ72" s="62"/>
      <c r="CK72" s="62"/>
      <c r="CL72" s="62"/>
      <c r="CM72" s="62"/>
      <c r="CN72" s="62"/>
      <c r="CO72" s="62"/>
      <c r="CP72" s="62"/>
      <c r="CQ72" s="62"/>
      <c r="CR72" s="62"/>
      <c r="CS72" s="62"/>
      <c r="CT72" s="62"/>
      <c r="CU72" s="62"/>
      <c r="CV72" s="62"/>
      <c r="CW72" s="62"/>
      <c r="CX72" s="62"/>
      <c r="CY72" s="62"/>
      <c r="CZ72" s="62"/>
      <c r="DA72" s="62"/>
      <c r="DB72" s="62"/>
      <c r="DC72" s="62"/>
      <c r="DD72" s="62"/>
      <c r="DE72" s="62"/>
      <c r="DF72" s="62"/>
      <c r="DG72" s="62"/>
      <c r="DH72" s="62"/>
      <c r="DI72" s="62"/>
      <c r="DJ72" s="62"/>
      <c r="DK72" s="62"/>
      <c r="DL72" s="62"/>
      <c r="DM72" s="62"/>
      <c r="DN72" s="62"/>
      <c r="DO72" s="62"/>
      <c r="DP72" s="62"/>
      <c r="DQ72" s="62"/>
      <c r="DR72" s="62"/>
      <c r="DS72" s="62"/>
      <c r="DT72" s="62"/>
      <c r="DU72" s="62"/>
      <c r="DV72" s="62"/>
      <c r="DW72" s="62"/>
      <c r="DX72" s="62"/>
      <c r="DY72" s="62"/>
      <c r="DZ72" s="62"/>
      <c r="EA72" s="62"/>
      <c r="EB72" s="62"/>
      <c r="EC72" s="62"/>
      <c r="ED72" s="62"/>
      <c r="EE72" s="62"/>
      <c r="EF72" s="62"/>
      <c r="EG72" s="62"/>
      <c r="EH72" s="62"/>
      <c r="EI72" s="62"/>
      <c r="EJ72" s="62"/>
      <c r="EK72" s="62"/>
      <c r="EL72" s="62"/>
      <c r="EM72" s="62"/>
      <c r="EN72" s="62"/>
      <c r="EO72" s="62"/>
      <c r="EP72" s="62"/>
      <c r="EQ72" s="62"/>
      <c r="ER72" s="62"/>
      <c r="ES72" s="62"/>
      <c r="ET72" s="62"/>
      <c r="EU72" s="62"/>
      <c r="EV72" s="62"/>
      <c r="EW72" s="62"/>
      <c r="EX72" s="62"/>
      <c r="EY72" s="62"/>
      <c r="EZ72" s="62"/>
      <c r="FA72" s="62"/>
      <c r="FB72" s="62"/>
      <c r="FC72" s="62"/>
      <c r="FD72" s="62"/>
      <c r="FE72" s="62"/>
      <c r="FF72" s="62"/>
      <c r="FG72" s="62"/>
      <c r="FH72" s="62"/>
      <c r="FI72" s="62"/>
      <c r="FJ72" s="62"/>
      <c r="FK72" s="62"/>
      <c r="FL72" s="62"/>
      <c r="FM72" s="62"/>
      <c r="FN72" s="62"/>
      <c r="FO72" s="62"/>
      <c r="FP72" s="62"/>
      <c r="FQ72" s="62"/>
      <c r="FR72" s="62"/>
      <c r="FS72" s="62"/>
      <c r="FT72" s="62"/>
      <c r="FU72" s="62"/>
      <c r="FV72" s="62"/>
      <c r="FW72" s="62"/>
      <c r="FX72" s="62"/>
      <c r="FY72" s="62"/>
      <c r="FZ72" s="62"/>
      <c r="GA72" s="62"/>
      <c r="GB72" s="62"/>
      <c r="GC72" s="62"/>
      <c r="GD72" s="62"/>
      <c r="GE72" s="62"/>
      <c r="GF72" s="62"/>
      <c r="GG72" s="62"/>
      <c r="GH72" s="62"/>
      <c r="GI72" s="62"/>
      <c r="GJ72" s="62"/>
      <c r="GK72" s="62"/>
      <c r="GL72" s="62"/>
      <c r="GM72" s="62"/>
      <c r="GN72" s="62"/>
      <c r="GO72" s="62"/>
      <c r="GP72" s="62"/>
      <c r="GQ72" s="62"/>
      <c r="GR72" s="62"/>
      <c r="GS72" s="62"/>
      <c r="GT72" s="62"/>
      <c r="GU72" s="62"/>
      <c r="GV72" s="62"/>
      <c r="GW72" s="62"/>
      <c r="GX72" s="62"/>
      <c r="GY72" s="62"/>
      <c r="GZ72" s="62"/>
      <c r="HA72" s="62"/>
      <c r="HB72" s="62"/>
      <c r="HC72" s="62"/>
      <c r="HD72" s="62"/>
      <c r="HE72" s="62"/>
      <c r="HF72" s="62"/>
      <c r="HG72" s="62"/>
      <c r="HH72" s="62"/>
      <c r="HI72" s="62"/>
      <c r="HJ72" s="62"/>
      <c r="HK72" s="62"/>
      <c r="HL72" s="62"/>
      <c r="HM72" s="62"/>
      <c r="HN72" s="62"/>
      <c r="HO72" s="62"/>
      <c r="HP72" s="62"/>
      <c r="HQ72" s="62"/>
      <c r="HR72" s="62"/>
      <c r="HS72" s="62"/>
      <c r="HT72" s="62"/>
      <c r="HU72" s="62"/>
      <c r="HV72" s="62"/>
      <c r="HW72" s="62"/>
      <c r="HX72" s="62"/>
      <c r="HY72" s="62"/>
      <c r="HZ72" s="62"/>
      <c r="IA72" s="62"/>
      <c r="IB72" s="62"/>
      <c r="IC72" s="62"/>
      <c r="ID72" s="62"/>
      <c r="IE72" s="62"/>
      <c r="IF72" s="62"/>
      <c r="IG72" s="62"/>
      <c r="IH72" s="62"/>
      <c r="II72" s="62"/>
      <c r="IJ72" s="62"/>
      <c r="IK72" s="62"/>
      <c r="IL72" s="62"/>
      <c r="IM72" s="62"/>
      <c r="IN72" s="62"/>
      <c r="IO72" s="62"/>
      <c r="IP72" s="62"/>
      <c r="IQ72" s="62"/>
      <c r="IR72" s="62"/>
      <c r="IS72" s="62"/>
    </row>
    <row r="73" spans="1:253" s="51" customFormat="1" hidden="1" x14ac:dyDescent="0.3">
      <c r="B73" s="58" t="s">
        <v>67</v>
      </c>
      <c r="C73" s="59" t="s">
        <v>51</v>
      </c>
      <c r="D73" s="59" t="s">
        <v>55</v>
      </c>
      <c r="E73" s="60"/>
      <c r="F73" s="60"/>
      <c r="G73" s="53"/>
      <c r="H73" s="60"/>
      <c r="I73" s="60"/>
      <c r="J73" s="53">
        <v>7463</v>
      </c>
      <c r="K73" s="53"/>
      <c r="L73" s="53"/>
      <c r="M73" s="39"/>
      <c r="N73" s="40"/>
      <c r="O73" s="40"/>
      <c r="P73" s="40"/>
      <c r="Q73" s="39"/>
      <c r="R73" s="40"/>
      <c r="S73" s="40"/>
      <c r="T73" s="40"/>
      <c r="U73" s="40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61">
        <f>SUM(E73:AH73)</f>
        <v>7463</v>
      </c>
      <c r="AL73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  <c r="BK73" s="62"/>
      <c r="BL73" s="62"/>
      <c r="BM73" s="62"/>
      <c r="BN73" s="62"/>
      <c r="BO73" s="62"/>
      <c r="BP73" s="62"/>
      <c r="BQ73" s="62"/>
      <c r="BR73" s="62"/>
      <c r="BS73" s="62"/>
      <c r="BT73" s="62"/>
      <c r="BU73" s="62"/>
      <c r="BV73" s="62"/>
      <c r="BW73" s="62"/>
      <c r="BX73" s="62"/>
      <c r="BY73" s="62"/>
      <c r="BZ73" s="62"/>
      <c r="CA73" s="62"/>
      <c r="CB73" s="62"/>
      <c r="CC73" s="62"/>
      <c r="CD73" s="62"/>
      <c r="CE73" s="62"/>
      <c r="CF73" s="62"/>
      <c r="CG73" s="62"/>
      <c r="CH73" s="62"/>
      <c r="CI73" s="62"/>
      <c r="CJ73" s="62"/>
      <c r="CK73" s="62"/>
      <c r="CL73" s="62"/>
      <c r="CM73" s="62"/>
      <c r="CN73" s="62"/>
      <c r="CO73" s="62"/>
      <c r="CP73" s="62"/>
      <c r="CQ73" s="62"/>
      <c r="CR73" s="62"/>
      <c r="CS73" s="62"/>
      <c r="CT73" s="62"/>
      <c r="CU73" s="62"/>
      <c r="CV73" s="62"/>
      <c r="CW73" s="62"/>
      <c r="CX73" s="62"/>
      <c r="CY73" s="62"/>
      <c r="CZ73" s="62"/>
      <c r="DA73" s="62"/>
      <c r="DB73" s="62"/>
      <c r="DC73" s="62"/>
      <c r="DD73" s="62"/>
      <c r="DE73" s="62"/>
      <c r="DF73" s="62"/>
      <c r="DG73" s="62"/>
      <c r="DH73" s="62"/>
      <c r="DI73" s="62"/>
      <c r="DJ73" s="62"/>
      <c r="DK73" s="62"/>
      <c r="DL73" s="62"/>
      <c r="DM73" s="62"/>
      <c r="DN73" s="62"/>
      <c r="DO73" s="62"/>
      <c r="DP73" s="62"/>
      <c r="DQ73" s="62"/>
      <c r="DR73" s="62"/>
      <c r="DS73" s="62"/>
      <c r="DT73" s="62"/>
      <c r="DU73" s="62"/>
      <c r="DV73" s="62"/>
      <c r="DW73" s="62"/>
      <c r="DX73" s="62"/>
      <c r="DY73" s="62"/>
      <c r="DZ73" s="62"/>
      <c r="EA73" s="62"/>
      <c r="EB73" s="62"/>
      <c r="EC73" s="62"/>
      <c r="ED73" s="62"/>
      <c r="EE73" s="62"/>
      <c r="EF73" s="62"/>
      <c r="EG73" s="62"/>
      <c r="EH73" s="62"/>
      <c r="EI73" s="62"/>
      <c r="EJ73" s="62"/>
      <c r="EK73" s="62"/>
      <c r="EL73" s="62"/>
      <c r="EM73" s="62"/>
      <c r="EN73" s="62"/>
      <c r="EO73" s="62"/>
      <c r="EP73" s="62"/>
      <c r="EQ73" s="62"/>
      <c r="ER73" s="62"/>
      <c r="ES73" s="62"/>
      <c r="ET73" s="62"/>
      <c r="EU73" s="62"/>
      <c r="EV73" s="62"/>
      <c r="EW73" s="62"/>
      <c r="EX73" s="62"/>
      <c r="EY73" s="62"/>
      <c r="EZ73" s="62"/>
      <c r="FA73" s="62"/>
      <c r="FB73" s="62"/>
      <c r="FC73" s="62"/>
      <c r="FD73" s="62"/>
      <c r="FE73" s="62"/>
      <c r="FF73" s="62"/>
      <c r="FG73" s="62"/>
      <c r="FH73" s="62"/>
      <c r="FI73" s="62"/>
      <c r="FJ73" s="62"/>
      <c r="FK73" s="62"/>
      <c r="FL73" s="62"/>
      <c r="FM73" s="62"/>
      <c r="FN73" s="62"/>
      <c r="FO73" s="62"/>
      <c r="FP73" s="62"/>
      <c r="FQ73" s="62"/>
      <c r="FR73" s="62"/>
      <c r="FS73" s="62"/>
      <c r="FT73" s="62"/>
      <c r="FU73" s="62"/>
      <c r="FV73" s="62"/>
      <c r="FW73" s="62"/>
      <c r="FX73" s="62"/>
      <c r="FY73" s="62"/>
      <c r="FZ73" s="62"/>
      <c r="GA73" s="62"/>
      <c r="GB73" s="62"/>
      <c r="GC73" s="62"/>
      <c r="GD73" s="62"/>
      <c r="GE73" s="62"/>
      <c r="GF73" s="62"/>
      <c r="GG73" s="62"/>
      <c r="GH73" s="62"/>
      <c r="GI73" s="62"/>
      <c r="GJ73" s="62"/>
      <c r="GK73" s="62"/>
      <c r="GL73" s="62"/>
      <c r="GM73" s="62"/>
      <c r="GN73" s="62"/>
      <c r="GO73" s="62"/>
      <c r="GP73" s="62"/>
      <c r="GQ73" s="62"/>
      <c r="GR73" s="62"/>
      <c r="GS73" s="62"/>
      <c r="GT73" s="62"/>
      <c r="GU73" s="62"/>
      <c r="GV73" s="62"/>
      <c r="GW73" s="62"/>
      <c r="GX73" s="62"/>
      <c r="GY73" s="62"/>
      <c r="GZ73" s="62"/>
      <c r="HA73" s="62"/>
      <c r="HB73" s="62"/>
      <c r="HC73" s="62"/>
      <c r="HD73" s="62"/>
      <c r="HE73" s="62"/>
      <c r="HF73" s="62"/>
      <c r="HG73" s="62"/>
      <c r="HH73" s="62"/>
      <c r="HI73" s="62"/>
      <c r="HJ73" s="62"/>
      <c r="HK73" s="62"/>
      <c r="HL73" s="62"/>
      <c r="HM73" s="62"/>
      <c r="HN73" s="62"/>
      <c r="HO73" s="62"/>
      <c r="HP73" s="62"/>
      <c r="HQ73" s="62"/>
      <c r="HR73" s="62"/>
      <c r="HS73" s="62"/>
      <c r="HT73" s="62"/>
      <c r="HU73" s="62"/>
      <c r="HV73" s="62"/>
      <c r="HW73" s="62"/>
      <c r="HX73" s="62"/>
      <c r="HY73" s="62"/>
      <c r="HZ73" s="62"/>
      <c r="IA73" s="62"/>
      <c r="IB73" s="62"/>
      <c r="IC73" s="62"/>
      <c r="ID73" s="62"/>
      <c r="IE73" s="62"/>
      <c r="IF73" s="62"/>
      <c r="IG73" s="62"/>
      <c r="IH73" s="62"/>
      <c r="II73" s="62"/>
      <c r="IJ73" s="62"/>
      <c r="IK73" s="62"/>
      <c r="IL73" s="62"/>
      <c r="IM73" s="62"/>
      <c r="IN73" s="62"/>
      <c r="IO73" s="62"/>
      <c r="IP73" s="62"/>
      <c r="IQ73" s="62"/>
      <c r="IR73" s="62"/>
      <c r="IS73" s="62"/>
    </row>
    <row r="74" spans="1:253" s="51" customFormat="1" hidden="1" x14ac:dyDescent="0.3">
      <c r="B74" s="58" t="s">
        <v>68</v>
      </c>
      <c r="C74" s="59" t="s">
        <v>51</v>
      </c>
      <c r="D74" s="59" t="s">
        <v>55</v>
      </c>
      <c r="E74" s="63">
        <f>E72*E73</f>
        <v>0</v>
      </c>
      <c r="F74" s="63">
        <f t="shared" ref="F74:V74" si="51">F72*F73</f>
        <v>0</v>
      </c>
      <c r="G74" s="63">
        <f t="shared" si="51"/>
        <v>0</v>
      </c>
      <c r="H74" s="63">
        <f t="shared" si="51"/>
        <v>0</v>
      </c>
      <c r="I74" s="63">
        <f t="shared" si="51"/>
        <v>0</v>
      </c>
      <c r="J74" s="63">
        <f t="shared" si="51"/>
        <v>641818</v>
      </c>
      <c r="K74" s="63">
        <f t="shared" si="51"/>
        <v>0</v>
      </c>
      <c r="L74" s="63">
        <f t="shared" si="51"/>
        <v>0</v>
      </c>
      <c r="M74" s="64">
        <f t="shared" si="51"/>
        <v>0</v>
      </c>
      <c r="N74" s="63">
        <f t="shared" si="51"/>
        <v>0</v>
      </c>
      <c r="O74" s="63">
        <f t="shared" si="51"/>
        <v>0</v>
      </c>
      <c r="P74" s="63">
        <f t="shared" si="51"/>
        <v>0</v>
      </c>
      <c r="Q74" s="63">
        <f t="shared" si="51"/>
        <v>0</v>
      </c>
      <c r="R74" s="63">
        <f t="shared" si="51"/>
        <v>0</v>
      </c>
      <c r="S74" s="63">
        <f t="shared" si="51"/>
        <v>0</v>
      </c>
      <c r="T74" s="63">
        <f t="shared" si="51"/>
        <v>0</v>
      </c>
      <c r="U74" s="63">
        <f t="shared" si="51"/>
        <v>0</v>
      </c>
      <c r="V74" s="63">
        <f t="shared" si="51"/>
        <v>0</v>
      </c>
      <c r="W74" s="39">
        <f t="shared" ref="W74:AH74" si="52">W73*W72</f>
        <v>0</v>
      </c>
      <c r="X74" s="39">
        <f t="shared" si="52"/>
        <v>0</v>
      </c>
      <c r="Y74" s="39">
        <f t="shared" si="52"/>
        <v>0</v>
      </c>
      <c r="Z74" s="39">
        <f t="shared" si="52"/>
        <v>0</v>
      </c>
      <c r="AA74" s="39">
        <f t="shared" si="52"/>
        <v>0</v>
      </c>
      <c r="AB74" s="39">
        <f t="shared" si="52"/>
        <v>0</v>
      </c>
      <c r="AC74" s="39">
        <f t="shared" si="52"/>
        <v>0</v>
      </c>
      <c r="AD74" s="39">
        <f t="shared" si="52"/>
        <v>0</v>
      </c>
      <c r="AE74" s="39">
        <f t="shared" si="52"/>
        <v>0</v>
      </c>
      <c r="AF74" s="39">
        <f t="shared" si="52"/>
        <v>0</v>
      </c>
      <c r="AG74" s="39">
        <f t="shared" si="52"/>
        <v>0</v>
      </c>
      <c r="AH74" s="39">
        <f t="shared" si="52"/>
        <v>0</v>
      </c>
      <c r="AI74" s="39">
        <f>AI73*AI72</f>
        <v>0</v>
      </c>
      <c r="AJ74" s="61">
        <f>SUM(E74:AH74)</f>
        <v>641818</v>
      </c>
      <c r="AL74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  <c r="BK74" s="62"/>
      <c r="BL74" s="62"/>
      <c r="BM74" s="62"/>
      <c r="BN74" s="62"/>
      <c r="BO74" s="62"/>
      <c r="BP74" s="62"/>
      <c r="BQ74" s="62"/>
      <c r="BR74" s="62"/>
      <c r="BS74" s="62"/>
      <c r="BT74" s="62"/>
      <c r="BU74" s="62"/>
      <c r="BV74" s="62"/>
      <c r="BW74" s="62"/>
      <c r="BX74" s="62"/>
      <c r="BY74" s="62"/>
      <c r="BZ74" s="62"/>
      <c r="CA74" s="62"/>
      <c r="CB74" s="62"/>
      <c r="CC74" s="62"/>
      <c r="CD74" s="62"/>
      <c r="CE74" s="62"/>
      <c r="CF74" s="62"/>
      <c r="CG74" s="62"/>
      <c r="CH74" s="62"/>
      <c r="CI74" s="62"/>
      <c r="CJ74" s="62"/>
      <c r="CK74" s="62"/>
      <c r="CL74" s="62"/>
      <c r="CM74" s="62"/>
      <c r="CN74" s="62"/>
      <c r="CO74" s="62"/>
      <c r="CP74" s="62"/>
      <c r="CQ74" s="62"/>
      <c r="CR74" s="62"/>
      <c r="CS74" s="62"/>
      <c r="CT74" s="62"/>
      <c r="CU74" s="62"/>
      <c r="CV74" s="62"/>
      <c r="CW74" s="62"/>
      <c r="CX74" s="62"/>
      <c r="CY74" s="62"/>
      <c r="CZ74" s="62"/>
      <c r="DA74" s="62"/>
      <c r="DB74" s="62"/>
      <c r="DC74" s="62"/>
      <c r="DD74" s="62"/>
      <c r="DE74" s="62"/>
      <c r="DF74" s="62"/>
      <c r="DG74" s="62"/>
      <c r="DH74" s="62"/>
      <c r="DI74" s="62"/>
      <c r="DJ74" s="62"/>
      <c r="DK74" s="62"/>
      <c r="DL74" s="62"/>
      <c r="DM74" s="62"/>
      <c r="DN74" s="62"/>
      <c r="DO74" s="62"/>
      <c r="DP74" s="62"/>
      <c r="DQ74" s="62"/>
      <c r="DR74" s="62"/>
      <c r="DS74" s="62"/>
      <c r="DT74" s="62"/>
      <c r="DU74" s="62"/>
      <c r="DV74" s="62"/>
      <c r="DW74" s="62"/>
      <c r="DX74" s="62"/>
      <c r="DY74" s="62"/>
      <c r="DZ74" s="62"/>
      <c r="EA74" s="62"/>
      <c r="EB74" s="62"/>
      <c r="EC74" s="62"/>
      <c r="ED74" s="62"/>
      <c r="EE74" s="62"/>
      <c r="EF74" s="62"/>
      <c r="EG74" s="62"/>
      <c r="EH74" s="62"/>
      <c r="EI74" s="62"/>
      <c r="EJ74" s="62"/>
      <c r="EK74" s="62"/>
      <c r="EL74" s="62"/>
      <c r="EM74" s="62"/>
      <c r="EN74" s="62"/>
      <c r="EO74" s="62"/>
      <c r="EP74" s="62"/>
      <c r="EQ74" s="62"/>
      <c r="ER74" s="62"/>
      <c r="ES74" s="62"/>
      <c r="ET74" s="62"/>
      <c r="EU74" s="62"/>
      <c r="EV74" s="62"/>
      <c r="EW74" s="62"/>
      <c r="EX74" s="62"/>
      <c r="EY74" s="62"/>
      <c r="EZ74" s="62"/>
      <c r="FA74" s="62"/>
      <c r="FB74" s="62"/>
      <c r="FC74" s="62"/>
      <c r="FD74" s="62"/>
      <c r="FE74" s="62"/>
      <c r="FF74" s="62"/>
      <c r="FG74" s="62"/>
      <c r="FH74" s="62"/>
      <c r="FI74" s="62"/>
      <c r="FJ74" s="62"/>
      <c r="FK74" s="62"/>
      <c r="FL74" s="62"/>
      <c r="FM74" s="62"/>
      <c r="FN74" s="62"/>
      <c r="FO74" s="62"/>
      <c r="FP74" s="62"/>
      <c r="FQ74" s="62"/>
      <c r="FR74" s="62"/>
      <c r="FS74" s="62"/>
      <c r="FT74" s="62"/>
      <c r="FU74" s="62"/>
      <c r="FV74" s="62"/>
      <c r="FW74" s="62"/>
      <c r="FX74" s="62"/>
      <c r="FY74" s="62"/>
      <c r="FZ74" s="62"/>
      <c r="GA74" s="62"/>
      <c r="GB74" s="62"/>
      <c r="GC74" s="62"/>
      <c r="GD74" s="62"/>
      <c r="GE74" s="62"/>
      <c r="GF74" s="62"/>
      <c r="GG74" s="62"/>
      <c r="GH74" s="62"/>
      <c r="GI74" s="62"/>
      <c r="GJ74" s="62"/>
      <c r="GK74" s="62"/>
      <c r="GL74" s="62"/>
      <c r="GM74" s="62"/>
      <c r="GN74" s="62"/>
      <c r="GO74" s="62"/>
      <c r="GP74" s="62"/>
      <c r="GQ74" s="62"/>
      <c r="GR74" s="62"/>
      <c r="GS74" s="62"/>
      <c r="GT74" s="62"/>
      <c r="GU74" s="62"/>
      <c r="GV74" s="62"/>
      <c r="GW74" s="62"/>
      <c r="GX74" s="62"/>
      <c r="GY74" s="62"/>
      <c r="GZ74" s="62"/>
      <c r="HA74" s="62"/>
      <c r="HB74" s="62"/>
      <c r="HC74" s="62"/>
      <c r="HD74" s="62"/>
      <c r="HE74" s="62"/>
      <c r="HF74" s="62"/>
      <c r="HG74" s="62"/>
      <c r="HH74" s="62"/>
      <c r="HI74" s="62"/>
      <c r="HJ74" s="62"/>
      <c r="HK74" s="62"/>
      <c r="HL74" s="62"/>
      <c r="HM74" s="62"/>
      <c r="HN74" s="62"/>
      <c r="HO74" s="62"/>
      <c r="HP74" s="62"/>
      <c r="HQ74" s="62"/>
      <c r="HR74" s="62"/>
      <c r="HS74" s="62"/>
      <c r="HT74" s="62"/>
      <c r="HU74" s="62"/>
      <c r="HV74" s="62"/>
      <c r="HW74" s="62"/>
      <c r="HX74" s="62"/>
      <c r="HY74" s="62"/>
      <c r="HZ74" s="62"/>
      <c r="IA74" s="62"/>
      <c r="IB74" s="62"/>
      <c r="IC74" s="62"/>
      <c r="ID74" s="62"/>
      <c r="IE74" s="62"/>
      <c r="IF74" s="62"/>
      <c r="IG74" s="62"/>
      <c r="IH74" s="62"/>
      <c r="II74" s="62"/>
      <c r="IJ74" s="62"/>
      <c r="IK74" s="62"/>
      <c r="IL74" s="62"/>
      <c r="IM74" s="62"/>
      <c r="IN74" s="62"/>
      <c r="IO74" s="62"/>
      <c r="IP74" s="62"/>
      <c r="IQ74" s="62"/>
      <c r="IR74" s="62"/>
      <c r="IS74" s="62"/>
    </row>
    <row r="75" spans="1:253" hidden="1" x14ac:dyDescent="0.3">
      <c r="A75" s="19">
        <v>14</v>
      </c>
      <c r="B75" s="44" t="s">
        <v>69</v>
      </c>
      <c r="C75" s="15"/>
      <c r="D75" s="15"/>
      <c r="E75" s="21">
        <f>E74/(E89*E77)</f>
        <v>0</v>
      </c>
      <c r="F75" s="21">
        <f t="shared" ref="F75:AJ75" si="53">F74/(F89*F77)</f>
        <v>0</v>
      </c>
      <c r="G75" s="21">
        <f t="shared" si="53"/>
        <v>0</v>
      </c>
      <c r="H75" s="21">
        <f t="shared" si="53"/>
        <v>0</v>
      </c>
      <c r="I75" s="21">
        <f t="shared" si="53"/>
        <v>0</v>
      </c>
      <c r="J75" s="21">
        <f t="shared" si="53"/>
        <v>0.14288786578089657</v>
      </c>
      <c r="K75" s="21">
        <f t="shared" si="53"/>
        <v>0</v>
      </c>
      <c r="L75" s="21">
        <f t="shared" si="53"/>
        <v>0</v>
      </c>
      <c r="M75" s="21">
        <f t="shared" si="53"/>
        <v>0</v>
      </c>
      <c r="N75" s="21">
        <f t="shared" si="53"/>
        <v>0</v>
      </c>
      <c r="O75" s="21">
        <f t="shared" si="53"/>
        <v>0</v>
      </c>
      <c r="P75" s="21">
        <f t="shared" si="53"/>
        <v>0</v>
      </c>
      <c r="Q75" s="21">
        <f t="shared" si="53"/>
        <v>0</v>
      </c>
      <c r="R75" s="21">
        <f t="shared" si="53"/>
        <v>0</v>
      </c>
      <c r="S75" s="21">
        <f t="shared" si="53"/>
        <v>0</v>
      </c>
      <c r="T75" s="21">
        <f t="shared" si="53"/>
        <v>0</v>
      </c>
      <c r="U75" s="21">
        <f t="shared" si="53"/>
        <v>0</v>
      </c>
      <c r="V75" s="21">
        <f t="shared" si="53"/>
        <v>0</v>
      </c>
      <c r="W75" s="21">
        <f t="shared" si="53"/>
        <v>0</v>
      </c>
      <c r="X75" s="21">
        <f t="shared" si="53"/>
        <v>0</v>
      </c>
      <c r="Y75" s="21">
        <f t="shared" si="53"/>
        <v>0</v>
      </c>
      <c r="Z75" s="21">
        <f t="shared" si="53"/>
        <v>0</v>
      </c>
      <c r="AA75" s="21">
        <f t="shared" si="53"/>
        <v>0</v>
      </c>
      <c r="AB75" s="21">
        <f t="shared" si="53"/>
        <v>0</v>
      </c>
      <c r="AC75" s="21">
        <f t="shared" si="53"/>
        <v>0</v>
      </c>
      <c r="AD75" s="21">
        <f t="shared" si="53"/>
        <v>0</v>
      </c>
      <c r="AE75" s="21">
        <f t="shared" si="53"/>
        <v>0</v>
      </c>
      <c r="AF75" s="21">
        <f t="shared" si="53"/>
        <v>0</v>
      </c>
      <c r="AG75" s="21">
        <f t="shared" si="53"/>
        <v>0</v>
      </c>
      <c r="AH75" s="21">
        <f t="shared" si="53"/>
        <v>0</v>
      </c>
      <c r="AI75" s="21">
        <f>AI74/(AI89*AI77)</f>
        <v>0</v>
      </c>
      <c r="AJ75" s="21">
        <f t="shared" si="53"/>
        <v>4.1171918808687183E-3</v>
      </c>
      <c r="AM75" s="62"/>
    </row>
    <row r="76" spans="1:253" hidden="1" x14ac:dyDescent="0.3">
      <c r="A76" s="19"/>
      <c r="B76" s="44" t="s">
        <v>70</v>
      </c>
      <c r="C76" s="15"/>
      <c r="D76" s="15"/>
      <c r="E76" s="21">
        <f t="shared" ref="E76:AJ76" si="54">E74/(E43+E56)</f>
        <v>0</v>
      </c>
      <c r="F76" s="21">
        <f t="shared" si="54"/>
        <v>0</v>
      </c>
      <c r="G76" s="21">
        <f t="shared" si="54"/>
        <v>0</v>
      </c>
      <c r="H76" s="21">
        <f t="shared" si="54"/>
        <v>0</v>
      </c>
      <c r="I76" s="21">
        <f t="shared" si="54"/>
        <v>0</v>
      </c>
      <c r="J76" s="21">
        <f t="shared" si="54"/>
        <v>6.2378924329042025E-2</v>
      </c>
      <c r="K76" s="21">
        <f t="shared" si="54"/>
        <v>0</v>
      </c>
      <c r="L76" s="21">
        <f t="shared" si="54"/>
        <v>0</v>
      </c>
      <c r="M76" s="21">
        <f t="shared" si="54"/>
        <v>0</v>
      </c>
      <c r="N76" s="21">
        <f t="shared" si="54"/>
        <v>0</v>
      </c>
      <c r="O76" s="21">
        <f t="shared" si="54"/>
        <v>0</v>
      </c>
      <c r="P76" s="21">
        <f t="shared" si="54"/>
        <v>0</v>
      </c>
      <c r="Q76" s="21">
        <f t="shared" si="54"/>
        <v>0</v>
      </c>
      <c r="R76" s="21">
        <f t="shared" si="54"/>
        <v>0</v>
      </c>
      <c r="S76" s="21">
        <f t="shared" si="54"/>
        <v>0</v>
      </c>
      <c r="T76" s="21">
        <f t="shared" si="54"/>
        <v>0</v>
      </c>
      <c r="U76" s="21">
        <f t="shared" si="54"/>
        <v>0</v>
      </c>
      <c r="V76" s="21">
        <f t="shared" si="54"/>
        <v>0</v>
      </c>
      <c r="W76" s="21">
        <f t="shared" si="54"/>
        <v>0</v>
      </c>
      <c r="X76" s="21">
        <f t="shared" si="54"/>
        <v>0</v>
      </c>
      <c r="Y76" s="21">
        <f t="shared" si="54"/>
        <v>0</v>
      </c>
      <c r="Z76" s="21">
        <f t="shared" si="54"/>
        <v>0</v>
      </c>
      <c r="AA76" s="21">
        <f t="shared" si="54"/>
        <v>0</v>
      </c>
      <c r="AB76" s="21">
        <f t="shared" si="54"/>
        <v>0</v>
      </c>
      <c r="AC76" s="21">
        <f t="shared" si="54"/>
        <v>0</v>
      </c>
      <c r="AD76" s="21">
        <f t="shared" si="54"/>
        <v>0</v>
      </c>
      <c r="AE76" s="21">
        <f t="shared" si="54"/>
        <v>0</v>
      </c>
      <c r="AF76" s="21">
        <f t="shared" si="54"/>
        <v>0</v>
      </c>
      <c r="AG76" s="21">
        <f t="shared" si="54"/>
        <v>0</v>
      </c>
      <c r="AH76" s="21">
        <f t="shared" si="54"/>
        <v>0</v>
      </c>
      <c r="AI76" s="21">
        <f>AI74/(AI43+AI56)</f>
        <v>0</v>
      </c>
      <c r="AJ76" s="48">
        <f t="shared" si="54"/>
        <v>1.8441578122780394E-3</v>
      </c>
    </row>
    <row r="77" spans="1:253" x14ac:dyDescent="0.3">
      <c r="B77" s="58" t="s">
        <v>71</v>
      </c>
      <c r="C77" s="59"/>
      <c r="D77" s="59"/>
      <c r="E77" s="73">
        <v>730</v>
      </c>
      <c r="F77" s="73">
        <v>721</v>
      </c>
      <c r="G77" s="73">
        <v>731</v>
      </c>
      <c r="H77" s="73">
        <v>730</v>
      </c>
      <c r="I77" s="73">
        <v>730</v>
      </c>
      <c r="J77" s="73">
        <v>728</v>
      </c>
      <c r="K77" s="73">
        <v>726</v>
      </c>
      <c r="L77" s="73">
        <v>721</v>
      </c>
      <c r="M77" s="64">
        <v>724</v>
      </c>
      <c r="N77" s="74">
        <v>724</v>
      </c>
      <c r="O77" s="74">
        <v>724</v>
      </c>
      <c r="P77" s="74">
        <v>722</v>
      </c>
      <c r="Q77" s="73">
        <v>722</v>
      </c>
      <c r="R77" s="74">
        <v>723</v>
      </c>
      <c r="S77" s="74">
        <v>724</v>
      </c>
      <c r="T77" s="74">
        <v>722</v>
      </c>
      <c r="U77" s="74">
        <v>724</v>
      </c>
      <c r="V77" s="73">
        <v>724</v>
      </c>
      <c r="W77" s="73">
        <v>724</v>
      </c>
      <c r="X77" s="73">
        <v>724</v>
      </c>
      <c r="Y77" s="73">
        <v>724</v>
      </c>
      <c r="Z77" s="73">
        <v>724</v>
      </c>
      <c r="AA77" s="73">
        <v>721</v>
      </c>
      <c r="AB77" s="73">
        <v>724</v>
      </c>
      <c r="AC77" s="73">
        <v>724</v>
      </c>
      <c r="AD77" s="73">
        <v>724</v>
      </c>
      <c r="AE77" s="73">
        <v>722</v>
      </c>
      <c r="AF77" s="73">
        <v>740</v>
      </c>
      <c r="AG77" s="73">
        <v>721</v>
      </c>
      <c r="AH77" s="73">
        <v>720</v>
      </c>
      <c r="AI77" s="73">
        <v>724</v>
      </c>
      <c r="AJ77" s="63">
        <f>AJ56/AJ15</f>
        <v>724.58210197033577</v>
      </c>
      <c r="AK77" s="63">
        <f>AK56/AK15</f>
        <v>723.59776764092237</v>
      </c>
      <c r="AL77" s="75"/>
    </row>
    <row r="78" spans="1:253" x14ac:dyDescent="0.3">
      <c r="B78" s="58" t="s">
        <v>72</v>
      </c>
      <c r="C78" s="59"/>
      <c r="D78" s="59"/>
      <c r="E78" s="73">
        <v>738</v>
      </c>
      <c r="F78" s="73">
        <v>740</v>
      </c>
      <c r="G78" s="73">
        <v>747</v>
      </c>
      <c r="H78" s="73">
        <v>746</v>
      </c>
      <c r="I78" s="73">
        <v>752</v>
      </c>
      <c r="J78" s="73">
        <v>749</v>
      </c>
      <c r="K78" s="73">
        <v>745</v>
      </c>
      <c r="L78" s="73">
        <v>742</v>
      </c>
      <c r="M78" s="73">
        <v>742</v>
      </c>
      <c r="N78" s="73">
        <v>742</v>
      </c>
      <c r="O78" s="73">
        <v>745</v>
      </c>
      <c r="P78" s="73">
        <v>746</v>
      </c>
      <c r="Q78" s="73">
        <v>742</v>
      </c>
      <c r="R78" s="74">
        <v>0</v>
      </c>
      <c r="S78" s="74">
        <v>761</v>
      </c>
      <c r="T78" s="74">
        <v>742</v>
      </c>
      <c r="U78" s="74">
        <v>740</v>
      </c>
      <c r="V78" s="73">
        <v>738</v>
      </c>
      <c r="W78" s="73">
        <v>741</v>
      </c>
      <c r="X78" s="73">
        <v>739</v>
      </c>
      <c r="Y78" s="73">
        <v>739</v>
      </c>
      <c r="Z78" s="73">
        <v>740</v>
      </c>
      <c r="AA78" s="73">
        <v>739</v>
      </c>
      <c r="AB78" s="73">
        <v>736</v>
      </c>
      <c r="AC78" s="73">
        <v>737</v>
      </c>
      <c r="AD78" s="73">
        <v>735</v>
      </c>
      <c r="AE78" s="73">
        <v>735</v>
      </c>
      <c r="AF78" s="73">
        <v>739</v>
      </c>
      <c r="AG78" s="73">
        <v>737</v>
      </c>
      <c r="AH78" s="73">
        <v>730</v>
      </c>
      <c r="AI78" s="73">
        <v>725</v>
      </c>
      <c r="AJ78" s="76">
        <f>AJ43/AJ21</f>
        <v>740.75648844955742</v>
      </c>
      <c r="AK78" s="76">
        <f>AK43/AK21</f>
        <v>739.36341588675054</v>
      </c>
      <c r="AL78" s="3"/>
    </row>
    <row r="79" spans="1:253" hidden="1" x14ac:dyDescent="0.3">
      <c r="B79" s="24" t="s">
        <v>73</v>
      </c>
      <c r="C79" s="10"/>
      <c r="D79" s="10"/>
      <c r="E79" s="77"/>
      <c r="F79" s="77"/>
      <c r="G79" s="77"/>
      <c r="H79" s="77"/>
      <c r="I79" s="77"/>
      <c r="J79" s="77"/>
      <c r="K79" s="77"/>
      <c r="L79" s="77"/>
      <c r="M79" s="39"/>
      <c r="N79" s="40"/>
      <c r="O79" s="40"/>
      <c r="P79" s="40"/>
      <c r="Q79" s="39"/>
      <c r="R79" s="40"/>
      <c r="S79" s="40"/>
      <c r="T79" s="40"/>
      <c r="U79" s="40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22"/>
      <c r="AK79" s="63"/>
    </row>
    <row r="80" spans="1:253" hidden="1" x14ac:dyDescent="0.3">
      <c r="B80" s="9" t="s">
        <v>74</v>
      </c>
      <c r="C80" s="10"/>
      <c r="D80" s="10"/>
      <c r="E80" s="77"/>
      <c r="F80" s="77"/>
      <c r="G80" s="77"/>
      <c r="H80" s="77"/>
      <c r="I80" s="77"/>
      <c r="J80" s="77"/>
      <c r="K80" s="77"/>
      <c r="L80" s="77"/>
      <c r="M80" s="39"/>
      <c r="N80" s="40"/>
      <c r="O80" s="40"/>
      <c r="P80" s="40"/>
      <c r="Q80" s="39"/>
      <c r="R80" s="40"/>
      <c r="S80" s="40"/>
      <c r="T80" s="40"/>
      <c r="U80" s="40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22"/>
      <c r="AK80" s="63"/>
    </row>
    <row r="81" spans="2:41" hidden="1" x14ac:dyDescent="0.3">
      <c r="B81" s="24" t="s">
        <v>75</v>
      </c>
      <c r="C81" s="10"/>
      <c r="D81" s="10"/>
      <c r="E81" s="22"/>
      <c r="F81" s="22"/>
      <c r="G81" s="22"/>
      <c r="H81" s="22"/>
      <c r="I81" s="22"/>
      <c r="J81" s="22"/>
      <c r="K81" s="22"/>
      <c r="L81" s="22"/>
      <c r="M81" s="10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>
        <f t="shared" ref="AJ81:AJ86" si="55">SUM(E81:AH81)</f>
        <v>0</v>
      </c>
      <c r="AK81" s="63"/>
    </row>
    <row r="82" spans="2:41" hidden="1" x14ac:dyDescent="0.3">
      <c r="B82" s="24" t="s">
        <v>76</v>
      </c>
      <c r="C82" s="10"/>
      <c r="D82" s="10"/>
      <c r="E82" s="22"/>
      <c r="F82" s="22"/>
      <c r="G82" s="22"/>
      <c r="H82" s="22"/>
      <c r="I82" s="22"/>
      <c r="J82" s="22"/>
      <c r="K82" s="22"/>
      <c r="L82" s="22"/>
      <c r="M82" s="10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>
        <f t="shared" si="55"/>
        <v>0</v>
      </c>
      <c r="AK82" s="63"/>
    </row>
    <row r="83" spans="2:41" hidden="1" x14ac:dyDescent="0.3">
      <c r="B83" s="24" t="s">
        <v>77</v>
      </c>
      <c r="C83" s="10"/>
      <c r="D83" s="10"/>
      <c r="E83" s="34">
        <f>E89</f>
        <v>6911</v>
      </c>
      <c r="F83" s="34">
        <f t="shared" ref="F83:AI83" si="56">F89</f>
        <v>7145</v>
      </c>
      <c r="G83" s="34">
        <f t="shared" si="56"/>
        <v>6408</v>
      </c>
      <c r="H83" s="34">
        <f t="shared" si="56"/>
        <v>6005</v>
      </c>
      <c r="I83" s="34">
        <f t="shared" si="56"/>
        <v>6080</v>
      </c>
      <c r="J83" s="34">
        <f t="shared" si="56"/>
        <v>6170</v>
      </c>
      <c r="K83" s="34">
        <f t="shared" si="56"/>
        <v>6885</v>
      </c>
      <c r="L83" s="34">
        <f t="shared" si="56"/>
        <v>6801</v>
      </c>
      <c r="M83" s="34">
        <f t="shared" si="56"/>
        <v>7005</v>
      </c>
      <c r="N83" s="34">
        <f t="shared" si="56"/>
        <v>7118</v>
      </c>
      <c r="O83" s="34">
        <f t="shared" si="56"/>
        <v>7101</v>
      </c>
      <c r="P83" s="34">
        <f t="shared" si="56"/>
        <v>7223</v>
      </c>
      <c r="Q83" s="34">
        <f t="shared" si="56"/>
        <v>7013</v>
      </c>
      <c r="R83" s="34">
        <f t="shared" si="56"/>
        <v>7341</v>
      </c>
      <c r="S83" s="34">
        <f t="shared" si="56"/>
        <v>6846</v>
      </c>
      <c r="T83" s="34">
        <f t="shared" si="56"/>
        <v>7244</v>
      </c>
      <c r="U83" s="34">
        <f t="shared" si="56"/>
        <v>6847</v>
      </c>
      <c r="V83" s="34">
        <f t="shared" si="56"/>
        <v>6914</v>
      </c>
      <c r="W83" s="34">
        <f t="shared" si="56"/>
        <v>6969</v>
      </c>
      <c r="X83" s="34">
        <f t="shared" si="56"/>
        <v>7005</v>
      </c>
      <c r="Y83" s="34">
        <f t="shared" si="56"/>
        <v>7273</v>
      </c>
      <c r="Z83" s="34">
        <f t="shared" si="56"/>
        <v>7007</v>
      </c>
      <c r="AA83" s="34">
        <f t="shared" si="56"/>
        <v>7009</v>
      </c>
      <c r="AB83" s="34">
        <f t="shared" si="56"/>
        <v>7129</v>
      </c>
      <c r="AC83" s="34">
        <f t="shared" si="56"/>
        <v>7203</v>
      </c>
      <c r="AD83" s="34">
        <f t="shared" si="56"/>
        <v>7307</v>
      </c>
      <c r="AE83" s="34">
        <f t="shared" si="56"/>
        <v>7156</v>
      </c>
      <c r="AF83" s="34">
        <f t="shared" si="56"/>
        <v>6573</v>
      </c>
      <c r="AG83" s="34">
        <f t="shared" si="56"/>
        <v>7002</v>
      </c>
      <c r="AH83" s="34">
        <f t="shared" si="56"/>
        <v>7183</v>
      </c>
      <c r="AI83" s="34">
        <f t="shared" si="56"/>
        <v>7268</v>
      </c>
      <c r="AJ83" s="34">
        <f t="shared" si="55"/>
        <v>207873</v>
      </c>
      <c r="AK83" s="63"/>
    </row>
    <row r="84" spans="2:41" hidden="1" x14ac:dyDescent="0.3">
      <c r="B84" s="24" t="s">
        <v>78</v>
      </c>
      <c r="C84" s="10"/>
      <c r="D84" s="10"/>
      <c r="E84" s="34">
        <f>E90</f>
        <v>9375</v>
      </c>
      <c r="F84" s="34">
        <f t="shared" ref="F84:AI84" si="57">F90</f>
        <v>8770</v>
      </c>
      <c r="G84" s="34">
        <f t="shared" si="57"/>
        <v>7093</v>
      </c>
      <c r="H84" s="34">
        <f t="shared" si="57"/>
        <v>7519</v>
      </c>
      <c r="I84" s="34">
        <f t="shared" si="57"/>
        <v>6982</v>
      </c>
      <c r="J84" s="34">
        <f t="shared" si="57"/>
        <v>7740</v>
      </c>
      <c r="K84" s="34">
        <f t="shared" si="57"/>
        <v>8428</v>
      </c>
      <c r="L84" s="34">
        <f t="shared" si="57"/>
        <v>8817</v>
      </c>
      <c r="M84" s="34">
        <f t="shared" si="57"/>
        <v>8510</v>
      </c>
      <c r="N84" s="34">
        <f t="shared" si="57"/>
        <v>8708</v>
      </c>
      <c r="O84" s="34">
        <f t="shared" si="57"/>
        <v>9225</v>
      </c>
      <c r="P84" s="34">
        <f t="shared" si="57"/>
        <v>8820</v>
      </c>
      <c r="Q84" s="34">
        <f t="shared" si="57"/>
        <v>6825</v>
      </c>
      <c r="R84" s="34">
        <f t="shared" si="57"/>
        <v>0</v>
      </c>
      <c r="S84" s="34">
        <f t="shared" si="57"/>
        <v>9102</v>
      </c>
      <c r="T84" s="34">
        <f t="shared" si="57"/>
        <v>9038</v>
      </c>
      <c r="U84" s="34">
        <f t="shared" si="57"/>
        <v>9003</v>
      </c>
      <c r="V84" s="34">
        <f t="shared" si="57"/>
        <v>8973</v>
      </c>
      <c r="W84" s="34">
        <f t="shared" si="57"/>
        <v>9009</v>
      </c>
      <c r="X84" s="34">
        <f t="shared" si="57"/>
        <v>9010</v>
      </c>
      <c r="Y84" s="34">
        <f t="shared" si="57"/>
        <v>9005</v>
      </c>
      <c r="Z84" s="34">
        <f t="shared" si="57"/>
        <v>9002</v>
      </c>
      <c r="AA84" s="34">
        <f t="shared" si="57"/>
        <v>9007</v>
      </c>
      <c r="AB84" s="34">
        <f t="shared" si="57"/>
        <v>8533</v>
      </c>
      <c r="AC84" s="34">
        <f t="shared" si="57"/>
        <v>8890</v>
      </c>
      <c r="AD84" s="34">
        <f t="shared" si="57"/>
        <v>9009</v>
      </c>
      <c r="AE84" s="34">
        <f t="shared" si="57"/>
        <v>9122</v>
      </c>
      <c r="AF84" s="34">
        <f t="shared" si="57"/>
        <v>9002</v>
      </c>
      <c r="AG84" s="34">
        <f t="shared" si="57"/>
        <v>8866</v>
      </c>
      <c r="AH84" s="34">
        <f t="shared" si="57"/>
        <v>8734</v>
      </c>
      <c r="AI84" s="34">
        <f t="shared" si="57"/>
        <v>9267</v>
      </c>
      <c r="AJ84" s="22">
        <f t="shared" si="55"/>
        <v>250117</v>
      </c>
      <c r="AK84" s="63"/>
    </row>
    <row r="85" spans="2:41" hidden="1" x14ac:dyDescent="0.3">
      <c r="B85" s="24" t="s">
        <v>79</v>
      </c>
      <c r="C85" s="10"/>
      <c r="D85" s="10"/>
      <c r="E85" s="79"/>
      <c r="F85" s="79"/>
      <c r="G85" s="79"/>
      <c r="H85" s="79"/>
      <c r="I85" s="79"/>
      <c r="J85" s="79"/>
      <c r="K85" s="79"/>
      <c r="L85" s="79"/>
      <c r="M85" s="80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9"/>
      <c r="AC85" s="79"/>
      <c r="AD85" s="79"/>
      <c r="AE85" s="79"/>
      <c r="AF85" s="79"/>
      <c r="AG85" s="79"/>
      <c r="AH85" s="79"/>
      <c r="AI85" s="79"/>
      <c r="AJ85" s="79">
        <f t="shared" si="55"/>
        <v>0</v>
      </c>
      <c r="AK85" s="63"/>
    </row>
    <row r="86" spans="2:41" ht="15.6" hidden="1" customHeight="1" x14ac:dyDescent="0.3">
      <c r="B86" s="24" t="s">
        <v>80</v>
      </c>
      <c r="C86" s="10"/>
      <c r="D86" s="10"/>
      <c r="E86" s="79"/>
      <c r="F86" s="79"/>
      <c r="G86" s="79"/>
      <c r="H86" s="79"/>
      <c r="I86" s="79"/>
      <c r="J86" s="79"/>
      <c r="K86" s="79"/>
      <c r="L86" s="79"/>
      <c r="M86" s="80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  <c r="AA86" s="79"/>
      <c r="AB86" s="79"/>
      <c r="AC86" s="79"/>
      <c r="AD86" s="79"/>
      <c r="AE86" s="79"/>
      <c r="AF86" s="79"/>
      <c r="AG86" s="79"/>
      <c r="AH86" s="79"/>
      <c r="AI86" s="79"/>
      <c r="AJ86" s="79">
        <f t="shared" si="55"/>
        <v>0</v>
      </c>
      <c r="AK86" s="63"/>
    </row>
    <row r="87" spans="2:41" hidden="1" x14ac:dyDescent="0.3">
      <c r="AK87" s="63"/>
    </row>
    <row r="89" spans="2:41" x14ac:dyDescent="0.3">
      <c r="B89" s="81" t="s">
        <v>81</v>
      </c>
      <c r="C89" s="10"/>
      <c r="D89" s="10"/>
      <c r="E89" s="34">
        <v>6911</v>
      </c>
      <c r="F89" s="34">
        <v>7145</v>
      </c>
      <c r="G89" s="34">
        <v>6408</v>
      </c>
      <c r="H89" s="34">
        <v>6005</v>
      </c>
      <c r="I89" s="34">
        <v>6080</v>
      </c>
      <c r="J89" s="34">
        <v>6170</v>
      </c>
      <c r="K89" s="34">
        <v>6885</v>
      </c>
      <c r="L89" s="34">
        <v>6801</v>
      </c>
      <c r="M89" s="78">
        <v>7005</v>
      </c>
      <c r="N89" s="34">
        <v>7118</v>
      </c>
      <c r="O89" s="34">
        <v>7101</v>
      </c>
      <c r="P89" s="34">
        <v>7223</v>
      </c>
      <c r="Q89" s="34">
        <v>7013</v>
      </c>
      <c r="R89" s="34">
        <v>7341</v>
      </c>
      <c r="S89" s="34">
        <v>6846</v>
      </c>
      <c r="T89" s="34">
        <v>7244</v>
      </c>
      <c r="U89" s="34">
        <v>6847</v>
      </c>
      <c r="V89" s="34">
        <v>6914</v>
      </c>
      <c r="W89" s="34">
        <v>6969</v>
      </c>
      <c r="X89" s="34">
        <v>7005</v>
      </c>
      <c r="Y89" s="34">
        <v>7273</v>
      </c>
      <c r="Z89" s="34">
        <v>7007</v>
      </c>
      <c r="AA89" s="34">
        <v>7009</v>
      </c>
      <c r="AB89" s="34">
        <v>7129</v>
      </c>
      <c r="AC89" s="34">
        <v>7203</v>
      </c>
      <c r="AD89" s="34">
        <v>7307</v>
      </c>
      <c r="AE89" s="34">
        <v>7156</v>
      </c>
      <c r="AF89" s="34">
        <v>6573</v>
      </c>
      <c r="AG89" s="34">
        <v>7002</v>
      </c>
      <c r="AH89" s="34">
        <v>7183</v>
      </c>
      <c r="AI89" s="34">
        <v>7268</v>
      </c>
      <c r="AJ89" s="34">
        <f>SUM(E89:AI89)</f>
        <v>215141</v>
      </c>
      <c r="AK89" s="31">
        <f>AJ89/COUNTIF(E89:AI89,"&gt;0")</f>
        <v>6940.0322580645161</v>
      </c>
      <c r="AL89" s="282">
        <v>215141</v>
      </c>
      <c r="AN89">
        <v>214315</v>
      </c>
    </row>
    <row r="90" spans="2:41" x14ac:dyDescent="0.3">
      <c r="B90" s="81" t="s">
        <v>82</v>
      </c>
      <c r="C90" s="10"/>
      <c r="D90" s="10"/>
      <c r="E90" s="34">
        <v>9375</v>
      </c>
      <c r="F90" s="34">
        <v>8770</v>
      </c>
      <c r="G90" s="34">
        <v>7093</v>
      </c>
      <c r="H90" s="34">
        <v>7519</v>
      </c>
      <c r="I90" s="34">
        <v>6982</v>
      </c>
      <c r="J90" s="34">
        <v>7740</v>
      </c>
      <c r="K90" s="34">
        <v>8428</v>
      </c>
      <c r="L90" s="34">
        <v>8817</v>
      </c>
      <c r="M90" s="34">
        <v>8510</v>
      </c>
      <c r="N90" s="34">
        <v>8708</v>
      </c>
      <c r="O90" s="34">
        <v>9225</v>
      </c>
      <c r="P90" s="34">
        <v>8820</v>
      </c>
      <c r="Q90" s="34">
        <v>6825</v>
      </c>
      <c r="R90" s="34">
        <v>0</v>
      </c>
      <c r="S90" s="34">
        <v>9102</v>
      </c>
      <c r="T90" s="34">
        <v>9038</v>
      </c>
      <c r="U90" s="34">
        <v>9003</v>
      </c>
      <c r="V90" s="34">
        <v>8973</v>
      </c>
      <c r="W90" s="34">
        <v>9009</v>
      </c>
      <c r="X90" s="34">
        <v>9010</v>
      </c>
      <c r="Y90" s="34">
        <v>9005</v>
      </c>
      <c r="Z90" s="34">
        <v>9002</v>
      </c>
      <c r="AA90" s="34">
        <v>9007</v>
      </c>
      <c r="AB90" s="34">
        <v>8533</v>
      </c>
      <c r="AC90" s="34">
        <v>8890</v>
      </c>
      <c r="AD90" s="34">
        <v>9009</v>
      </c>
      <c r="AE90" s="34">
        <v>9122</v>
      </c>
      <c r="AF90" s="34">
        <v>9002</v>
      </c>
      <c r="AG90" s="34">
        <v>8866</v>
      </c>
      <c r="AH90" s="34">
        <v>8734</v>
      </c>
      <c r="AI90" s="34">
        <v>9267</v>
      </c>
      <c r="AJ90" s="34">
        <f>SUM(E90:AI90)</f>
        <v>259384</v>
      </c>
      <c r="AK90" s="31">
        <f>AJ90/COUNTIF(E90:AI90,"&gt;0")</f>
        <v>8646.1333333333332</v>
      </c>
      <c r="AL90" s="282">
        <v>259384</v>
      </c>
    </row>
    <row r="91" spans="2:41" x14ac:dyDescent="0.3">
      <c r="R91"/>
      <c r="S91"/>
      <c r="T91"/>
      <c r="U91"/>
      <c r="AJ91" s="82"/>
      <c r="AK91" s="31"/>
    </row>
    <row r="92" spans="2:41" x14ac:dyDescent="0.3">
      <c r="B92" s="81" t="s">
        <v>83</v>
      </c>
      <c r="C92" s="10"/>
      <c r="D92" s="10" t="s">
        <v>7</v>
      </c>
      <c r="E92" s="42">
        <v>483</v>
      </c>
      <c r="F92" s="42">
        <v>444</v>
      </c>
      <c r="G92" s="42">
        <v>375</v>
      </c>
      <c r="H92" s="42">
        <v>400</v>
      </c>
      <c r="I92" s="42">
        <v>315</v>
      </c>
      <c r="J92" s="42">
        <v>385</v>
      </c>
      <c r="K92" s="42">
        <v>430</v>
      </c>
      <c r="L92" s="42">
        <v>460</v>
      </c>
      <c r="M92" s="42">
        <v>364</v>
      </c>
      <c r="N92" s="42">
        <v>465</v>
      </c>
      <c r="O92" s="42">
        <v>499</v>
      </c>
      <c r="P92" s="42">
        <v>490</v>
      </c>
      <c r="Q92" s="55">
        <v>375</v>
      </c>
      <c r="R92" s="55">
        <v>0</v>
      </c>
      <c r="S92" s="55">
        <v>221</v>
      </c>
      <c r="T92" s="55">
        <v>435</v>
      </c>
      <c r="U92" s="55">
        <v>445</v>
      </c>
      <c r="V92" s="55">
        <v>404</v>
      </c>
      <c r="W92" s="42">
        <v>430</v>
      </c>
      <c r="X92" s="23">
        <v>320</v>
      </c>
      <c r="Y92" s="23">
        <v>344</v>
      </c>
      <c r="Z92" s="23">
        <v>392</v>
      </c>
      <c r="AA92" s="55">
        <v>395</v>
      </c>
      <c r="AB92" s="45">
        <v>228</v>
      </c>
      <c r="AC92" s="45">
        <v>287</v>
      </c>
      <c r="AD92" s="45">
        <v>264</v>
      </c>
      <c r="AE92" s="45">
        <v>227</v>
      </c>
      <c r="AF92" s="45">
        <v>287</v>
      </c>
      <c r="AG92" s="45">
        <v>234</v>
      </c>
      <c r="AH92" s="22">
        <v>151</v>
      </c>
      <c r="AI92" s="22">
        <v>0</v>
      </c>
      <c r="AJ92" s="34">
        <f>SUM(E92:AI92)</f>
        <v>10549</v>
      </c>
      <c r="AK92" s="83">
        <f>AJ92/COUNTIF(E92:AI92,"&gt;0")</f>
        <v>363.75862068965517</v>
      </c>
    </row>
    <row r="93" spans="2:41" x14ac:dyDescent="0.3">
      <c r="B93" s="81" t="s">
        <v>84</v>
      </c>
      <c r="C93" s="10"/>
      <c r="D93" s="10" t="s">
        <v>85</v>
      </c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2"/>
      <c r="X93" s="55"/>
      <c r="Y93" s="55"/>
      <c r="Z93" s="55"/>
      <c r="AA93" s="22"/>
      <c r="AB93" s="22"/>
      <c r="AC93" s="22"/>
      <c r="AD93" s="22"/>
      <c r="AE93" s="22"/>
      <c r="AF93" s="22"/>
      <c r="AG93" s="22"/>
      <c r="AH93" s="22"/>
      <c r="AI93" s="22"/>
      <c r="AJ93" s="22"/>
    </row>
    <row r="94" spans="2:41" x14ac:dyDescent="0.3">
      <c r="B94" s="81" t="s">
        <v>86</v>
      </c>
      <c r="C94" s="10"/>
      <c r="D94" s="10" t="s">
        <v>87</v>
      </c>
      <c r="E94" s="23">
        <v>3024</v>
      </c>
      <c r="F94" s="23">
        <v>3215</v>
      </c>
      <c r="G94" s="23">
        <v>2729</v>
      </c>
      <c r="H94" s="23">
        <v>3226</v>
      </c>
      <c r="I94" s="23">
        <v>3335</v>
      </c>
      <c r="J94" s="23">
        <v>2918</v>
      </c>
      <c r="K94" s="23">
        <v>2918</v>
      </c>
      <c r="L94" s="23">
        <v>3001</v>
      </c>
      <c r="M94" s="23">
        <v>2430</v>
      </c>
      <c r="N94" s="23">
        <v>2552</v>
      </c>
      <c r="O94" s="23">
        <v>2629</v>
      </c>
      <c r="P94" s="23">
        <v>2697</v>
      </c>
      <c r="Q94" s="23">
        <v>2701</v>
      </c>
      <c r="R94" s="23">
        <v>0</v>
      </c>
      <c r="S94" s="23">
        <v>2531</v>
      </c>
      <c r="T94" s="23">
        <v>2536</v>
      </c>
      <c r="U94" s="23">
        <v>2363</v>
      </c>
      <c r="V94" s="23">
        <v>2061</v>
      </c>
      <c r="W94" s="23">
        <v>2488</v>
      </c>
      <c r="X94" s="23">
        <v>2165</v>
      </c>
      <c r="Y94" s="23">
        <v>2582</v>
      </c>
      <c r="Z94" s="23">
        <v>2582</v>
      </c>
      <c r="AA94" s="23">
        <v>2548</v>
      </c>
      <c r="AB94" s="22">
        <v>2877</v>
      </c>
      <c r="AC94" s="22">
        <v>2760</v>
      </c>
      <c r="AD94" s="23">
        <v>2945</v>
      </c>
      <c r="AE94" s="23">
        <v>2943</v>
      </c>
      <c r="AF94" s="23">
        <v>2408</v>
      </c>
      <c r="AG94" s="23">
        <v>2506</v>
      </c>
      <c r="AH94" s="23">
        <v>2506</v>
      </c>
      <c r="AI94" s="23">
        <v>0</v>
      </c>
      <c r="AJ94" s="38">
        <f>IFERROR(SUMPRODUCT(E94:AH94,E92:AH92)/AJ92,0)</f>
        <v>2701.1207697412078</v>
      </c>
    </row>
    <row r="95" spans="2:41" x14ac:dyDescent="0.3">
      <c r="E95" s="84"/>
      <c r="F95" s="84"/>
      <c r="G95" s="84"/>
      <c r="H95" s="84"/>
      <c r="I95" s="84"/>
      <c r="J95" s="84"/>
      <c r="K95" s="84"/>
      <c r="L95" s="84"/>
      <c r="M95" s="85"/>
      <c r="N95" s="84"/>
      <c r="O95" s="84"/>
      <c r="P95" s="84"/>
      <c r="Q95" s="84"/>
      <c r="R95" s="84"/>
      <c r="S95" s="84"/>
      <c r="T95" s="84"/>
      <c r="U95" s="86"/>
      <c r="V95" s="86"/>
      <c r="W95" s="86"/>
    </row>
    <row r="96" spans="2:41" x14ac:dyDescent="0.3">
      <c r="B96" s="81" t="s">
        <v>88</v>
      </c>
      <c r="C96" s="10"/>
      <c r="D96" s="10"/>
      <c r="E96" s="22">
        <v>0</v>
      </c>
      <c r="F96" s="22">
        <v>754</v>
      </c>
      <c r="G96" s="22">
        <v>1392</v>
      </c>
      <c r="H96" s="22">
        <v>2511</v>
      </c>
      <c r="I96" s="22">
        <v>2795</v>
      </c>
      <c r="J96" s="22">
        <v>0</v>
      </c>
      <c r="K96" s="22">
        <v>3340</v>
      </c>
      <c r="L96" s="10">
        <v>1830</v>
      </c>
      <c r="M96" s="10">
        <v>0</v>
      </c>
      <c r="N96" s="22">
        <v>0</v>
      </c>
      <c r="O96" s="23">
        <v>1168</v>
      </c>
      <c r="P96" s="22">
        <v>0</v>
      </c>
      <c r="Q96" s="22">
        <v>0</v>
      </c>
      <c r="R96" s="22">
        <v>1760</v>
      </c>
      <c r="S96" s="22">
        <v>631</v>
      </c>
      <c r="T96" s="22">
        <v>0</v>
      </c>
      <c r="U96" s="10">
        <v>2155</v>
      </c>
      <c r="V96" s="22">
        <v>0</v>
      </c>
      <c r="W96" s="22">
        <v>3948</v>
      </c>
      <c r="X96" s="22">
        <v>1910</v>
      </c>
      <c r="Y96" s="22">
        <v>1095</v>
      </c>
      <c r="Z96" s="22">
        <v>796</v>
      </c>
      <c r="AA96" s="22">
        <v>0</v>
      </c>
      <c r="AB96" s="22">
        <v>1795</v>
      </c>
      <c r="AC96" s="22">
        <v>0</v>
      </c>
      <c r="AD96" s="22">
        <v>4898</v>
      </c>
      <c r="AE96" s="22">
        <v>0</v>
      </c>
      <c r="AF96" s="22">
        <v>886</v>
      </c>
      <c r="AG96" s="22">
        <v>3120</v>
      </c>
      <c r="AH96" s="87">
        <v>2825</v>
      </c>
      <c r="AI96" s="87">
        <v>0</v>
      </c>
      <c r="AJ96" s="88">
        <f t="shared" ref="AJ96:AJ104" si="58">SUM(E96:AI96)</f>
        <v>39609</v>
      </c>
      <c r="AK96" s="89"/>
      <c r="AL96" s="24">
        <f>AJ96-AK96</f>
        <v>39609</v>
      </c>
      <c r="AM96">
        <f>AL100/SUM(AL96:AL100)</f>
        <v>0.23782900974413243</v>
      </c>
      <c r="AN96" s="90">
        <f>(AJ96+AJ101)/$AJ$104</f>
        <v>0.47989484817678651</v>
      </c>
      <c r="AO96" s="90"/>
    </row>
    <row r="97" spans="2:41" x14ac:dyDescent="0.3">
      <c r="B97" s="81" t="s">
        <v>89</v>
      </c>
      <c r="C97" s="10"/>
      <c r="D97" s="10"/>
      <c r="E97" s="22">
        <v>1240</v>
      </c>
      <c r="F97" s="22">
        <v>2663</v>
      </c>
      <c r="G97" s="22">
        <v>1460</v>
      </c>
      <c r="H97" s="22">
        <v>1396</v>
      </c>
      <c r="I97" s="22">
        <v>645</v>
      </c>
      <c r="J97" s="22">
        <v>1810</v>
      </c>
      <c r="K97" s="91">
        <v>0</v>
      </c>
      <c r="L97" s="10">
        <v>0</v>
      </c>
      <c r="M97" s="10">
        <v>1770</v>
      </c>
      <c r="N97" s="22">
        <v>2340</v>
      </c>
      <c r="O97" s="22">
        <v>2313</v>
      </c>
      <c r="P97" s="22">
        <v>775</v>
      </c>
      <c r="Q97" s="22">
        <v>3620</v>
      </c>
      <c r="R97" s="22">
        <v>0</v>
      </c>
      <c r="S97" s="22">
        <v>2051</v>
      </c>
      <c r="T97" s="22">
        <v>535</v>
      </c>
      <c r="U97" s="10">
        <v>1855</v>
      </c>
      <c r="V97" s="22">
        <v>0</v>
      </c>
      <c r="W97" s="22">
        <v>2895</v>
      </c>
      <c r="X97" s="22">
        <v>0</v>
      </c>
      <c r="Y97" s="22">
        <v>3780</v>
      </c>
      <c r="Z97" s="22">
        <v>0</v>
      </c>
      <c r="AA97" s="22">
        <v>3825</v>
      </c>
      <c r="AB97" s="22">
        <v>0</v>
      </c>
      <c r="AC97" s="22">
        <v>769</v>
      </c>
      <c r="AD97" s="22">
        <v>0</v>
      </c>
      <c r="AE97" s="22">
        <v>2600</v>
      </c>
      <c r="AF97" s="22">
        <v>3420</v>
      </c>
      <c r="AG97" s="22">
        <v>0</v>
      </c>
      <c r="AH97" s="87">
        <v>1355</v>
      </c>
      <c r="AI97" s="87">
        <v>0</v>
      </c>
      <c r="AJ97" s="88">
        <f t="shared" si="58"/>
        <v>43117</v>
      </c>
      <c r="AK97" s="89"/>
      <c r="AL97" s="24">
        <f t="shared" ref="AL97:AL102" si="59">AJ97-AK97</f>
        <v>43117</v>
      </c>
      <c r="AM97">
        <f>AL97/SUM(AL96:AL100)</f>
        <v>0.26373996072986183</v>
      </c>
      <c r="AN97" s="90">
        <f>(AJ97+AJ102)/$AJ$104</f>
        <v>0.25138884610250251</v>
      </c>
      <c r="AO97" s="90"/>
    </row>
    <row r="98" spans="2:41" x14ac:dyDescent="0.3">
      <c r="B98" s="81" t="s">
        <v>90</v>
      </c>
      <c r="C98" s="10"/>
      <c r="D98" s="10"/>
      <c r="E98" s="22">
        <v>0</v>
      </c>
      <c r="F98" s="22">
        <v>711</v>
      </c>
      <c r="G98" s="22">
        <v>0</v>
      </c>
      <c r="H98" s="22">
        <v>539</v>
      </c>
      <c r="I98" s="22">
        <v>0</v>
      </c>
      <c r="J98" s="22">
        <v>1635</v>
      </c>
      <c r="K98" s="22">
        <v>531</v>
      </c>
      <c r="L98" s="10">
        <v>0</v>
      </c>
      <c r="M98" s="10">
        <v>400</v>
      </c>
      <c r="N98" s="22">
        <v>570</v>
      </c>
      <c r="O98" s="22">
        <v>0</v>
      </c>
      <c r="P98" s="22">
        <v>1331</v>
      </c>
      <c r="Q98" s="22">
        <v>0</v>
      </c>
      <c r="R98" s="22">
        <v>0</v>
      </c>
      <c r="S98" s="22">
        <v>0</v>
      </c>
      <c r="T98" s="22">
        <v>2940</v>
      </c>
      <c r="U98" s="10">
        <v>0</v>
      </c>
      <c r="V98" s="22">
        <v>0</v>
      </c>
      <c r="W98" s="22">
        <v>0</v>
      </c>
      <c r="X98" s="22">
        <v>745</v>
      </c>
      <c r="Y98" s="22">
        <v>1010</v>
      </c>
      <c r="Z98" s="22">
        <v>0</v>
      </c>
      <c r="AA98" s="22">
        <v>0</v>
      </c>
      <c r="AB98" s="22">
        <v>1031</v>
      </c>
      <c r="AC98" s="22">
        <v>2302</v>
      </c>
      <c r="AD98" s="22">
        <v>0</v>
      </c>
      <c r="AE98" s="22">
        <v>1470</v>
      </c>
      <c r="AF98" s="22">
        <v>0</v>
      </c>
      <c r="AG98" s="22">
        <v>0</v>
      </c>
      <c r="AH98" s="87">
        <v>0</v>
      </c>
      <c r="AI98" s="87">
        <v>1895</v>
      </c>
      <c r="AJ98" s="88">
        <f t="shared" si="58"/>
        <v>17110</v>
      </c>
      <c r="AK98" s="92"/>
      <c r="AL98" s="24">
        <f t="shared" si="59"/>
        <v>17110</v>
      </c>
      <c r="AM98">
        <f>AL98/SUM(AL96:AL100)</f>
        <v>0.1046592000391478</v>
      </c>
      <c r="AN98" s="90">
        <f>(AJ98)/$AJ$104</f>
        <v>3.5139603421541744E-2</v>
      </c>
      <c r="AO98" s="90"/>
    </row>
    <row r="99" spans="2:41" x14ac:dyDescent="0.3">
      <c r="B99" s="81" t="s">
        <v>91</v>
      </c>
      <c r="C99" s="10"/>
      <c r="D99" s="10"/>
      <c r="E99" s="22">
        <v>1570</v>
      </c>
      <c r="F99" s="22">
        <v>0</v>
      </c>
      <c r="G99" s="22">
        <v>0</v>
      </c>
      <c r="H99" s="22">
        <v>0</v>
      </c>
      <c r="I99" s="22">
        <v>1215</v>
      </c>
      <c r="J99" s="22">
        <v>0</v>
      </c>
      <c r="K99" s="22">
        <v>0</v>
      </c>
      <c r="L99" s="10">
        <v>0</v>
      </c>
      <c r="M99" s="10">
        <v>2135</v>
      </c>
      <c r="N99" s="22">
        <v>0</v>
      </c>
      <c r="O99" s="22">
        <v>1457</v>
      </c>
      <c r="P99" s="22">
        <v>1075</v>
      </c>
      <c r="Q99" s="22">
        <v>0</v>
      </c>
      <c r="R99" s="22">
        <v>2630</v>
      </c>
      <c r="S99" s="22">
        <v>0</v>
      </c>
      <c r="T99" s="22">
        <v>0</v>
      </c>
      <c r="U99" s="10">
        <v>1131</v>
      </c>
      <c r="V99" s="22">
        <v>2380</v>
      </c>
      <c r="W99" s="22">
        <v>0</v>
      </c>
      <c r="X99" s="22">
        <v>0</v>
      </c>
      <c r="Y99" s="22">
        <v>0</v>
      </c>
      <c r="Z99" s="22">
        <v>885</v>
      </c>
      <c r="AA99" s="22">
        <v>3150</v>
      </c>
      <c r="AB99" s="22">
        <v>0</v>
      </c>
      <c r="AC99" s="22">
        <v>3483</v>
      </c>
      <c r="AD99" s="22">
        <v>0</v>
      </c>
      <c r="AE99" s="22">
        <v>0</v>
      </c>
      <c r="AF99" s="22">
        <v>0</v>
      </c>
      <c r="AG99" s="22">
        <v>3655</v>
      </c>
      <c r="AH99" s="22">
        <v>0</v>
      </c>
      <c r="AI99" s="22">
        <v>0</v>
      </c>
      <c r="AJ99" s="88">
        <f t="shared" si="58"/>
        <v>24766</v>
      </c>
      <c r="AK99" s="92"/>
      <c r="AL99" s="24">
        <f>AJ99-AK99</f>
        <v>24766</v>
      </c>
      <c r="AM99">
        <f>AL103/SUM(AL99:AL103)</f>
        <v>0.12939219125811527</v>
      </c>
      <c r="AN99" s="90">
        <f>(AJ99)/$AJ$104</f>
        <v>5.0863086986435005E-2</v>
      </c>
      <c r="AO99" s="90"/>
    </row>
    <row r="100" spans="2:41" x14ac:dyDescent="0.3">
      <c r="B100" s="81" t="s">
        <v>92</v>
      </c>
      <c r="C100" s="10"/>
      <c r="D100" s="10"/>
      <c r="E100" s="22">
        <v>1230</v>
      </c>
      <c r="F100" s="22">
        <v>0</v>
      </c>
      <c r="G100" s="22">
        <v>1473</v>
      </c>
      <c r="H100" s="22">
        <v>0</v>
      </c>
      <c r="I100" s="22">
        <v>3315</v>
      </c>
      <c r="J100" s="22">
        <v>826</v>
      </c>
      <c r="K100" s="22">
        <v>0</v>
      </c>
      <c r="L100" s="10">
        <v>2316</v>
      </c>
      <c r="M100" s="10">
        <v>0</v>
      </c>
      <c r="N100" s="22">
        <v>0</v>
      </c>
      <c r="O100" s="22">
        <v>2386</v>
      </c>
      <c r="P100" s="22">
        <v>1325</v>
      </c>
      <c r="Q100" s="22">
        <v>1035</v>
      </c>
      <c r="R100" s="22">
        <v>0</v>
      </c>
      <c r="S100" s="22">
        <v>1840</v>
      </c>
      <c r="T100" s="22">
        <v>550</v>
      </c>
      <c r="U100" s="10">
        <v>1340</v>
      </c>
      <c r="V100" s="22">
        <v>1509</v>
      </c>
      <c r="W100" s="22">
        <v>1580</v>
      </c>
      <c r="X100" s="22">
        <v>2835</v>
      </c>
      <c r="Y100" s="22">
        <v>560</v>
      </c>
      <c r="Z100" s="22">
        <v>2330</v>
      </c>
      <c r="AA100" s="22">
        <v>855</v>
      </c>
      <c r="AB100" s="22">
        <v>2673</v>
      </c>
      <c r="AC100" s="22">
        <v>0</v>
      </c>
      <c r="AD100" s="22">
        <v>1250</v>
      </c>
      <c r="AE100" s="22">
        <v>1460</v>
      </c>
      <c r="AF100" s="3">
        <v>1215</v>
      </c>
      <c r="AG100" s="22">
        <v>465</v>
      </c>
      <c r="AH100" s="87">
        <v>625</v>
      </c>
      <c r="AI100" s="87">
        <v>3888</v>
      </c>
      <c r="AJ100" s="88">
        <f t="shared" si="58"/>
        <v>38881</v>
      </c>
      <c r="AK100" s="92"/>
      <c r="AL100" s="24">
        <f t="shared" si="59"/>
        <v>38881</v>
      </c>
      <c r="AM100">
        <f>AL104/SUM(AL100:AL104)</f>
        <v>0</v>
      </c>
      <c r="AN100" s="90">
        <f>(AJ100+AJ105)/$AJ$104</f>
        <v>7.9853773245843737E-2</v>
      </c>
      <c r="AO100" s="90"/>
    </row>
    <row r="101" spans="2:41" x14ac:dyDescent="0.3">
      <c r="B101" s="81" t="s">
        <v>93</v>
      </c>
      <c r="C101" s="10"/>
      <c r="D101" s="10"/>
      <c r="E101" s="22">
        <v>3505</v>
      </c>
      <c r="F101" s="22">
        <v>5995</v>
      </c>
      <c r="G101" s="22">
        <v>5733</v>
      </c>
      <c r="H101" s="22">
        <v>2690</v>
      </c>
      <c r="I101" s="22">
        <v>8272</v>
      </c>
      <c r="J101" s="22">
        <v>6680</v>
      </c>
      <c r="K101" s="22">
        <v>1847</v>
      </c>
      <c r="L101" s="22">
        <v>6971</v>
      </c>
      <c r="M101" s="10">
        <v>5185</v>
      </c>
      <c r="N101" s="22">
        <v>2150</v>
      </c>
      <c r="O101" s="22">
        <v>6764</v>
      </c>
      <c r="P101" s="22">
        <v>5560</v>
      </c>
      <c r="Q101" s="22">
        <v>7280</v>
      </c>
      <c r="R101" s="22">
        <v>5515</v>
      </c>
      <c r="S101" s="22">
        <v>5014</v>
      </c>
      <c r="T101" s="22">
        <v>7395</v>
      </c>
      <c r="U101" s="10">
        <v>10265</v>
      </c>
      <c r="V101" s="22">
        <v>4314</v>
      </c>
      <c r="W101" s="22">
        <v>7330</v>
      </c>
      <c r="X101" s="22">
        <v>7091</v>
      </c>
      <c r="Y101" s="22">
        <v>4440</v>
      </c>
      <c r="Z101" s="22">
        <v>6965</v>
      </c>
      <c r="AA101" s="22">
        <v>6745</v>
      </c>
      <c r="AB101" s="22">
        <v>5983</v>
      </c>
      <c r="AC101" s="22">
        <v>10474</v>
      </c>
      <c r="AD101" s="22">
        <v>7351</v>
      </c>
      <c r="AE101" s="22">
        <v>7235</v>
      </c>
      <c r="AF101" s="22">
        <v>7140</v>
      </c>
      <c r="AG101" s="22">
        <v>7335</v>
      </c>
      <c r="AH101" s="87">
        <v>7440</v>
      </c>
      <c r="AI101" s="87">
        <v>7395</v>
      </c>
      <c r="AJ101" s="88">
        <f t="shared" si="58"/>
        <v>194059</v>
      </c>
      <c r="AK101" s="89"/>
      <c r="AL101" s="24">
        <f t="shared" si="59"/>
        <v>194059</v>
      </c>
      <c r="AN101" s="90">
        <f>(AJ100+AJ103)/$AJ$104</f>
        <v>0.18271361531273425</v>
      </c>
    </row>
    <row r="102" spans="2:41" x14ac:dyDescent="0.3">
      <c r="B102" s="81" t="s">
        <v>94</v>
      </c>
      <c r="C102" s="10"/>
      <c r="D102" s="10"/>
      <c r="E102" s="22">
        <v>0</v>
      </c>
      <c r="F102" s="22">
        <v>3715</v>
      </c>
      <c r="G102" s="22">
        <v>1636</v>
      </c>
      <c r="H102" s="22">
        <v>2182</v>
      </c>
      <c r="I102" s="22">
        <v>0</v>
      </c>
      <c r="J102" s="22">
        <v>2305</v>
      </c>
      <c r="K102" s="22">
        <v>6275</v>
      </c>
      <c r="L102" s="22">
        <v>0</v>
      </c>
      <c r="M102" s="10">
        <v>0</v>
      </c>
      <c r="N102" s="22">
        <v>5009</v>
      </c>
      <c r="O102" s="22">
        <v>3016</v>
      </c>
      <c r="P102" s="22">
        <v>0</v>
      </c>
      <c r="Q102" s="22">
        <v>2810</v>
      </c>
      <c r="R102" s="22">
        <v>2515</v>
      </c>
      <c r="S102" s="22">
        <v>3024</v>
      </c>
      <c r="T102" s="22">
        <v>2560</v>
      </c>
      <c r="U102" s="10">
        <v>2606</v>
      </c>
      <c r="V102" s="22">
        <v>4154</v>
      </c>
      <c r="W102" s="22">
        <v>2501</v>
      </c>
      <c r="X102" s="22">
        <v>1655</v>
      </c>
      <c r="Y102" s="22">
        <v>2015</v>
      </c>
      <c r="Z102" s="22">
        <v>3966</v>
      </c>
      <c r="AA102" s="22">
        <v>5545</v>
      </c>
      <c r="AB102" s="22">
        <v>1257</v>
      </c>
      <c r="AC102" s="22">
        <v>3424</v>
      </c>
      <c r="AD102" s="22">
        <v>3026</v>
      </c>
      <c r="AE102" s="22">
        <v>3200</v>
      </c>
      <c r="AF102" s="22">
        <v>4338</v>
      </c>
      <c r="AG102" s="22">
        <v>970</v>
      </c>
      <c r="AH102" s="87">
        <v>2050</v>
      </c>
      <c r="AI102" s="87">
        <v>3534</v>
      </c>
      <c r="AJ102" s="88">
        <f t="shared" si="58"/>
        <v>79288</v>
      </c>
      <c r="AK102" s="89"/>
      <c r="AL102" s="24">
        <f t="shared" si="59"/>
        <v>79288</v>
      </c>
      <c r="AN102" s="90">
        <f>(AL100+AL103)/AJ104</f>
        <v>0.18271361531273425</v>
      </c>
    </row>
    <row r="103" spans="2:41" x14ac:dyDescent="0.3">
      <c r="B103" s="81" t="s">
        <v>95</v>
      </c>
      <c r="C103" s="10"/>
      <c r="D103" s="10"/>
      <c r="E103" s="22">
        <v>2290</v>
      </c>
      <c r="F103" s="22">
        <v>2326</v>
      </c>
      <c r="G103" s="22">
        <v>1365</v>
      </c>
      <c r="H103" s="22">
        <v>1282</v>
      </c>
      <c r="I103" s="22">
        <v>0</v>
      </c>
      <c r="J103" s="22">
        <v>2595</v>
      </c>
      <c r="K103" s="22">
        <v>1047</v>
      </c>
      <c r="L103" s="22">
        <v>2430</v>
      </c>
      <c r="M103" s="10">
        <v>1030</v>
      </c>
      <c r="N103" s="22">
        <v>0</v>
      </c>
      <c r="O103" s="22">
        <v>0</v>
      </c>
      <c r="P103" s="22">
        <v>3455</v>
      </c>
      <c r="Q103" s="22">
        <v>980</v>
      </c>
      <c r="R103" s="22">
        <v>0</v>
      </c>
      <c r="S103" s="22">
        <v>3296</v>
      </c>
      <c r="T103" s="22">
        <v>1045</v>
      </c>
      <c r="U103" s="10">
        <v>0</v>
      </c>
      <c r="V103" s="22">
        <v>0</v>
      </c>
      <c r="W103" s="22">
        <v>2400</v>
      </c>
      <c r="X103" s="22">
        <v>4260</v>
      </c>
      <c r="Y103" s="22">
        <v>2075</v>
      </c>
      <c r="Z103" s="22">
        <v>0</v>
      </c>
      <c r="AA103" s="22">
        <v>0</v>
      </c>
      <c r="AB103" s="22">
        <v>5574</v>
      </c>
      <c r="AC103" s="22">
        <v>0</v>
      </c>
      <c r="AD103" s="22">
        <v>0</v>
      </c>
      <c r="AE103" s="22">
        <v>1740</v>
      </c>
      <c r="AF103" s="22">
        <v>2405</v>
      </c>
      <c r="AG103" s="22">
        <v>1835</v>
      </c>
      <c r="AH103" s="87">
        <v>3600</v>
      </c>
      <c r="AI103" s="87">
        <v>3055</v>
      </c>
      <c r="AJ103" s="88">
        <f t="shared" si="58"/>
        <v>50085</v>
      </c>
      <c r="AK103" s="89"/>
      <c r="AL103" s="24">
        <f>AJ103-AK103</f>
        <v>50085</v>
      </c>
      <c r="AN103" s="90"/>
      <c r="AO103" s="90"/>
    </row>
    <row r="104" spans="2:41" x14ac:dyDescent="0.3">
      <c r="B104" s="93" t="s">
        <v>96</v>
      </c>
      <c r="C104" s="94"/>
      <c r="D104" s="94"/>
      <c r="E104" s="95">
        <f>SUM(E96:E103)</f>
        <v>9835</v>
      </c>
      <c r="F104" s="95">
        <f t="shared" ref="F104:AH104" si="60">SUM(F96:F103)</f>
        <v>16164</v>
      </c>
      <c r="G104" s="95">
        <f t="shared" si="60"/>
        <v>13059</v>
      </c>
      <c r="H104" s="95">
        <f t="shared" si="60"/>
        <v>10600</v>
      </c>
      <c r="I104" s="95">
        <f t="shared" si="60"/>
        <v>16242</v>
      </c>
      <c r="J104" s="95">
        <f t="shared" si="60"/>
        <v>15851</v>
      </c>
      <c r="K104" s="95">
        <f>SUM(K96:K103)</f>
        <v>13040</v>
      </c>
      <c r="L104" s="95">
        <f t="shared" si="60"/>
        <v>13547</v>
      </c>
      <c r="M104" s="95">
        <f t="shared" si="60"/>
        <v>10520</v>
      </c>
      <c r="N104" s="95">
        <f t="shared" si="60"/>
        <v>10069</v>
      </c>
      <c r="O104" s="95">
        <f t="shared" si="60"/>
        <v>17104</v>
      </c>
      <c r="P104" s="95">
        <f t="shared" si="60"/>
        <v>13521</v>
      </c>
      <c r="Q104" s="95">
        <f t="shared" si="60"/>
        <v>15725</v>
      </c>
      <c r="R104" s="95">
        <f t="shared" si="60"/>
        <v>12420</v>
      </c>
      <c r="S104" s="95">
        <f t="shared" si="60"/>
        <v>15856</v>
      </c>
      <c r="T104" s="95">
        <f t="shared" si="60"/>
        <v>15025</v>
      </c>
      <c r="U104" s="95">
        <f t="shared" si="60"/>
        <v>19352</v>
      </c>
      <c r="V104" s="95">
        <f t="shared" si="60"/>
        <v>12357</v>
      </c>
      <c r="W104" s="95">
        <f t="shared" si="60"/>
        <v>20654</v>
      </c>
      <c r="X104" s="95">
        <f t="shared" si="60"/>
        <v>18496</v>
      </c>
      <c r="Y104" s="95">
        <f t="shared" si="60"/>
        <v>14975</v>
      </c>
      <c r="Z104" s="95">
        <f t="shared" si="60"/>
        <v>14942</v>
      </c>
      <c r="AA104" s="95">
        <f t="shared" si="60"/>
        <v>20120</v>
      </c>
      <c r="AB104" s="95">
        <f t="shared" si="60"/>
        <v>18313</v>
      </c>
      <c r="AC104" s="95">
        <f t="shared" si="60"/>
        <v>20452</v>
      </c>
      <c r="AD104" s="95">
        <f t="shared" si="60"/>
        <v>16525</v>
      </c>
      <c r="AE104" s="95">
        <f t="shared" si="60"/>
        <v>17705</v>
      </c>
      <c r="AF104" s="95">
        <f t="shared" si="60"/>
        <v>19404</v>
      </c>
      <c r="AG104" s="95">
        <f t="shared" si="60"/>
        <v>17380</v>
      </c>
      <c r="AH104" s="95">
        <f t="shared" si="60"/>
        <v>17895</v>
      </c>
      <c r="AI104" s="95">
        <f>SUM(AI96:AI103)</f>
        <v>19767</v>
      </c>
      <c r="AJ104" s="88">
        <f t="shared" si="58"/>
        <v>486915</v>
      </c>
      <c r="AK104" s="96"/>
      <c r="AL104" s="24"/>
    </row>
    <row r="105" spans="2:41" x14ac:dyDescent="0.3">
      <c r="E105" s="22" t="b">
        <f>IF(SUM(E3,E7,E38,E99)=E104, TRUE, FALSE)</f>
        <v>1</v>
      </c>
      <c r="F105" s="22" t="b">
        <f>IF(SUM(F3,F7,F38,F99)=F104, TRUE, FALSE)</f>
        <v>1</v>
      </c>
      <c r="G105" s="22" t="b">
        <f>IF(SUM(G3,G7,G38,G99)=G104, TRUE, FALSE)</f>
        <v>1</v>
      </c>
      <c r="H105" s="22" t="b">
        <f>IF(SUM(H3,H7,H38,H99)=H104, TRUE, FALSE)</f>
        <v>1</v>
      </c>
      <c r="I105" s="22" t="b">
        <f t="shared" ref="I105:R105" si="61">IF((I3+I7+I38+I99)=I104,TRUE,FALSE)</f>
        <v>1</v>
      </c>
      <c r="J105" s="22" t="b">
        <f t="shared" si="61"/>
        <v>1</v>
      </c>
      <c r="K105" s="22" t="b">
        <f t="shared" si="61"/>
        <v>1</v>
      </c>
      <c r="L105" s="22" t="b">
        <f t="shared" si="61"/>
        <v>1</v>
      </c>
      <c r="M105" s="10" t="b">
        <f t="shared" si="61"/>
        <v>1</v>
      </c>
      <c r="N105" s="22" t="b">
        <f t="shared" si="61"/>
        <v>1</v>
      </c>
      <c r="O105" s="22" t="b">
        <f t="shared" si="61"/>
        <v>1</v>
      </c>
      <c r="P105" s="22" t="b">
        <f t="shared" si="61"/>
        <v>1</v>
      </c>
      <c r="Q105" s="22" t="b">
        <f t="shared" si="61"/>
        <v>1</v>
      </c>
      <c r="R105" s="22" t="b">
        <f t="shared" si="61"/>
        <v>1</v>
      </c>
      <c r="S105" s="22" t="b">
        <v>1</v>
      </c>
      <c r="T105" s="22" t="b">
        <v>1</v>
      </c>
      <c r="U105" s="22" t="b">
        <v>1</v>
      </c>
      <c r="V105" s="22" t="b">
        <f t="shared" ref="V105:AH105" si="62">IF((V3+V7+V38+V99)=V104,TRUE,FALSE)</f>
        <v>1</v>
      </c>
      <c r="W105" s="22" t="b">
        <f t="shared" si="62"/>
        <v>1</v>
      </c>
      <c r="X105" s="22" t="b">
        <f t="shared" si="62"/>
        <v>1</v>
      </c>
      <c r="Y105" s="22" t="b">
        <f t="shared" si="62"/>
        <v>1</v>
      </c>
      <c r="Z105" s="22" t="b">
        <f t="shared" si="62"/>
        <v>1</v>
      </c>
      <c r="AA105" s="22" t="b">
        <f t="shared" si="62"/>
        <v>1</v>
      </c>
      <c r="AB105" s="22" t="b">
        <f t="shared" si="62"/>
        <v>1</v>
      </c>
      <c r="AC105" s="22" t="b">
        <f t="shared" si="62"/>
        <v>1</v>
      </c>
      <c r="AD105" s="22" t="b">
        <f t="shared" si="62"/>
        <v>1</v>
      </c>
      <c r="AE105" s="22" t="b">
        <f t="shared" si="62"/>
        <v>1</v>
      </c>
      <c r="AF105" s="22" t="b">
        <f t="shared" si="62"/>
        <v>1</v>
      </c>
      <c r="AG105" s="22" t="b">
        <f t="shared" si="62"/>
        <v>1</v>
      </c>
      <c r="AH105" s="22" t="b">
        <f t="shared" si="62"/>
        <v>1</v>
      </c>
      <c r="AI105" s="22" t="b">
        <f>IF((AI3+AI7+AI38+AI99)=AI104,TRUE,FALSE)</f>
        <v>1</v>
      </c>
      <c r="AJ105" s="22" t="b">
        <f>IF((AJ3+AJ7+AJ38+AJ99)=AJ104,TRUE,FALSE)</f>
        <v>1</v>
      </c>
      <c r="AK105" s="24"/>
      <c r="AL105" s="24"/>
    </row>
    <row r="106" spans="2:41" ht="15.6" x14ac:dyDescent="0.3">
      <c r="B106" s="97" t="s">
        <v>97</v>
      </c>
      <c r="E106" s="22"/>
      <c r="F106" s="22"/>
      <c r="G106" s="22"/>
      <c r="H106" s="22"/>
      <c r="I106" s="22"/>
      <c r="J106" s="22"/>
      <c r="K106" s="22"/>
      <c r="L106" s="22"/>
      <c r="M106" s="10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87"/>
      <c r="AI106" s="87"/>
      <c r="AJ106" s="22"/>
      <c r="AK106" s="24"/>
      <c r="AL106" s="24"/>
    </row>
    <row r="107" spans="2:41" x14ac:dyDescent="0.3">
      <c r="B107" s="81" t="s">
        <v>88</v>
      </c>
      <c r="C107" s="10"/>
      <c r="D107" s="10"/>
      <c r="E107" s="22">
        <v>0</v>
      </c>
      <c r="F107" s="22">
        <v>255</v>
      </c>
      <c r="G107" s="22">
        <v>468</v>
      </c>
      <c r="H107" s="22">
        <v>842</v>
      </c>
      <c r="I107" s="22">
        <v>946</v>
      </c>
      <c r="J107" s="22">
        <v>0</v>
      </c>
      <c r="K107" s="22">
        <v>1139</v>
      </c>
      <c r="L107" s="22">
        <v>624</v>
      </c>
      <c r="M107" s="10">
        <v>0</v>
      </c>
      <c r="N107" s="22">
        <v>0</v>
      </c>
      <c r="O107" s="23">
        <v>398</v>
      </c>
      <c r="P107" s="22">
        <v>0</v>
      </c>
      <c r="Q107" s="22">
        <v>0</v>
      </c>
      <c r="R107" s="22">
        <v>604</v>
      </c>
      <c r="S107" s="22">
        <v>215</v>
      </c>
      <c r="T107" s="22">
        <v>0</v>
      </c>
      <c r="U107" s="10">
        <v>734</v>
      </c>
      <c r="V107" s="22">
        <v>0</v>
      </c>
      <c r="W107" s="22">
        <v>1346</v>
      </c>
      <c r="X107" s="22">
        <v>651</v>
      </c>
      <c r="Y107" s="22">
        <v>373</v>
      </c>
      <c r="Z107" s="22">
        <v>271</v>
      </c>
      <c r="AA107" s="22">
        <v>0</v>
      </c>
      <c r="AB107" s="22">
        <v>612</v>
      </c>
      <c r="AC107" s="22">
        <v>0</v>
      </c>
      <c r="AD107" s="22">
        <v>1668</v>
      </c>
      <c r="AE107" s="22">
        <v>0</v>
      </c>
      <c r="AF107" s="22">
        <v>291</v>
      </c>
      <c r="AG107" s="22">
        <v>1007</v>
      </c>
      <c r="AH107" s="87">
        <v>948</v>
      </c>
      <c r="AI107" s="87">
        <v>0</v>
      </c>
      <c r="AJ107" s="88">
        <f t="shared" ref="AJ107:AJ114" si="63">SUM(E107:AI107)</f>
        <v>13392</v>
      </c>
      <c r="AK107" s="89"/>
      <c r="AL107" s="24">
        <f t="shared" ref="AL107:AL114" si="64">AJ107-AK107</f>
        <v>13392</v>
      </c>
      <c r="AN107" s="90"/>
      <c r="AO107" s="54"/>
    </row>
    <row r="108" spans="2:41" x14ac:dyDescent="0.3">
      <c r="B108" s="81" t="s">
        <v>89</v>
      </c>
      <c r="C108" s="10"/>
      <c r="D108" s="10"/>
      <c r="E108" s="22">
        <v>422</v>
      </c>
      <c r="F108" s="22">
        <v>899</v>
      </c>
      <c r="G108" s="22">
        <v>490</v>
      </c>
      <c r="H108" s="22">
        <v>468</v>
      </c>
      <c r="I108" s="22">
        <v>218</v>
      </c>
      <c r="J108" s="22">
        <v>616</v>
      </c>
      <c r="K108" s="22">
        <v>0</v>
      </c>
      <c r="L108" s="22">
        <v>0</v>
      </c>
      <c r="M108" s="10">
        <v>604</v>
      </c>
      <c r="N108" s="22">
        <v>770</v>
      </c>
      <c r="O108" s="22">
        <v>787</v>
      </c>
      <c r="P108" s="22">
        <v>264</v>
      </c>
      <c r="Q108" s="22">
        <v>1233</v>
      </c>
      <c r="R108" s="22">
        <v>0</v>
      </c>
      <c r="S108" s="22">
        <v>698</v>
      </c>
      <c r="T108" s="22">
        <v>182</v>
      </c>
      <c r="U108" s="10">
        <v>632</v>
      </c>
      <c r="V108" s="22">
        <v>0</v>
      </c>
      <c r="W108" s="22">
        <v>987</v>
      </c>
      <c r="X108" s="22">
        <v>0</v>
      </c>
      <c r="Y108" s="22">
        <v>1288</v>
      </c>
      <c r="Z108" s="22">
        <v>0</v>
      </c>
      <c r="AA108" s="22">
        <v>1283</v>
      </c>
      <c r="AB108" s="22">
        <v>0</v>
      </c>
      <c r="AC108" s="22">
        <v>262</v>
      </c>
      <c r="AD108" s="22">
        <v>0</v>
      </c>
      <c r="AE108" s="22">
        <v>887</v>
      </c>
      <c r="AF108" s="22">
        <v>1123</v>
      </c>
      <c r="AG108" s="22">
        <v>0</v>
      </c>
      <c r="AH108" s="87">
        <v>455</v>
      </c>
      <c r="AI108" s="87">
        <v>0</v>
      </c>
      <c r="AJ108" s="88">
        <f t="shared" si="63"/>
        <v>14568</v>
      </c>
      <c r="AK108" s="89"/>
      <c r="AL108" s="24">
        <f t="shared" si="64"/>
        <v>14568</v>
      </c>
      <c r="AN108" s="90"/>
      <c r="AO108" s="54"/>
    </row>
    <row r="109" spans="2:41" x14ac:dyDescent="0.3">
      <c r="B109" s="81" t="s">
        <v>90</v>
      </c>
      <c r="C109" s="10"/>
      <c r="D109" s="10"/>
      <c r="E109" s="22">
        <v>0</v>
      </c>
      <c r="F109" s="22">
        <v>192</v>
      </c>
      <c r="G109" s="22">
        <v>0</v>
      </c>
      <c r="H109" s="22">
        <v>147</v>
      </c>
      <c r="I109" s="22">
        <v>0</v>
      </c>
      <c r="J109" s="22">
        <v>442</v>
      </c>
      <c r="K109" s="22">
        <v>144</v>
      </c>
      <c r="L109" s="22">
        <v>0</v>
      </c>
      <c r="M109" s="10">
        <v>109</v>
      </c>
      <c r="N109" s="22">
        <v>149</v>
      </c>
      <c r="O109" s="22">
        <v>0</v>
      </c>
      <c r="P109" s="22">
        <v>360</v>
      </c>
      <c r="Q109" s="22">
        <v>0</v>
      </c>
      <c r="R109" s="22">
        <v>0</v>
      </c>
      <c r="S109" s="22">
        <v>0</v>
      </c>
      <c r="T109" s="22">
        <v>809</v>
      </c>
      <c r="U109" s="10">
        <v>0</v>
      </c>
      <c r="V109" s="22">
        <v>0</v>
      </c>
      <c r="W109" s="22">
        <v>0</v>
      </c>
      <c r="X109" s="22">
        <v>205</v>
      </c>
      <c r="Y109" s="22">
        <v>278</v>
      </c>
      <c r="Z109" s="22">
        <v>0</v>
      </c>
      <c r="AA109" s="22">
        <v>0</v>
      </c>
      <c r="AB109" s="22">
        <v>279</v>
      </c>
      <c r="AC109" s="22">
        <v>626</v>
      </c>
      <c r="AD109" s="22">
        <v>0</v>
      </c>
      <c r="AE109" s="22">
        <v>395</v>
      </c>
      <c r="AF109" s="22">
        <v>0</v>
      </c>
      <c r="AG109" s="22">
        <v>0</v>
      </c>
      <c r="AH109" s="87">
        <v>0</v>
      </c>
      <c r="AI109" s="87">
        <v>527</v>
      </c>
      <c r="AJ109" s="88">
        <f t="shared" si="63"/>
        <v>4662</v>
      </c>
      <c r="AK109" s="89"/>
      <c r="AL109" s="24">
        <f t="shared" si="64"/>
        <v>4662</v>
      </c>
      <c r="AN109" s="90"/>
      <c r="AO109" s="54"/>
    </row>
    <row r="110" spans="2:41" x14ac:dyDescent="0.3">
      <c r="B110" s="81" t="s">
        <v>91</v>
      </c>
      <c r="C110" s="10"/>
      <c r="D110" s="10"/>
      <c r="E110" s="22">
        <v>472</v>
      </c>
      <c r="F110" s="22">
        <v>0</v>
      </c>
      <c r="G110" s="22">
        <v>0</v>
      </c>
      <c r="H110" s="22">
        <v>0</v>
      </c>
      <c r="I110" s="22">
        <v>371</v>
      </c>
      <c r="J110" s="22">
        <v>0</v>
      </c>
      <c r="K110" s="22">
        <v>0</v>
      </c>
      <c r="L110" s="22">
        <v>0</v>
      </c>
      <c r="M110" s="10">
        <v>644</v>
      </c>
      <c r="N110" s="22">
        <v>0</v>
      </c>
      <c r="O110" s="22">
        <v>440</v>
      </c>
      <c r="P110" s="22">
        <v>324</v>
      </c>
      <c r="Q110" s="22">
        <v>0</v>
      </c>
      <c r="R110" s="22">
        <v>801</v>
      </c>
      <c r="S110" s="22">
        <v>0</v>
      </c>
      <c r="T110" s="22">
        <v>0</v>
      </c>
      <c r="U110" s="10">
        <v>337</v>
      </c>
      <c r="V110" s="22">
        <v>719</v>
      </c>
      <c r="W110" s="22">
        <v>0</v>
      </c>
      <c r="X110" s="22">
        <v>0</v>
      </c>
      <c r="Y110" s="22">
        <v>0</v>
      </c>
      <c r="Z110" s="22">
        <v>271</v>
      </c>
      <c r="AA110" s="22">
        <v>925</v>
      </c>
      <c r="AB110" s="22">
        <v>0</v>
      </c>
      <c r="AC110" s="22">
        <v>1039</v>
      </c>
      <c r="AD110" s="22">
        <v>0</v>
      </c>
      <c r="AE110" s="22">
        <v>0</v>
      </c>
      <c r="AF110" s="22">
        <v>0</v>
      </c>
      <c r="AG110" s="22">
        <v>1028</v>
      </c>
      <c r="AH110" s="22">
        <v>0</v>
      </c>
      <c r="AI110" s="22">
        <v>0</v>
      </c>
      <c r="AJ110" s="88">
        <f t="shared" si="63"/>
        <v>7371</v>
      </c>
      <c r="AK110" s="89"/>
      <c r="AL110" s="24">
        <f t="shared" si="64"/>
        <v>7371</v>
      </c>
      <c r="AN110" s="90"/>
      <c r="AO110" s="54"/>
    </row>
    <row r="111" spans="2:41" x14ac:dyDescent="0.3">
      <c r="B111" s="81" t="s">
        <v>93</v>
      </c>
      <c r="C111" s="10"/>
      <c r="D111" s="10"/>
      <c r="E111" s="22">
        <v>1088</v>
      </c>
      <c r="F111" s="22">
        <v>1739</v>
      </c>
      <c r="G111" s="22">
        <v>1723</v>
      </c>
      <c r="H111" s="22">
        <v>818</v>
      </c>
      <c r="I111" s="22">
        <v>2527</v>
      </c>
      <c r="J111" s="22">
        <v>2007</v>
      </c>
      <c r="K111" s="22">
        <v>574</v>
      </c>
      <c r="L111" s="22">
        <v>2201</v>
      </c>
      <c r="M111" s="10">
        <v>1585</v>
      </c>
      <c r="N111" s="22">
        <v>657</v>
      </c>
      <c r="O111" s="22">
        <v>2043</v>
      </c>
      <c r="P111" s="22">
        <v>1726</v>
      </c>
      <c r="Q111" s="22">
        <v>2260</v>
      </c>
      <c r="R111" s="22">
        <v>1766</v>
      </c>
      <c r="S111" s="22">
        <v>1567</v>
      </c>
      <c r="T111" s="22">
        <v>2331</v>
      </c>
      <c r="U111" s="10">
        <v>3092</v>
      </c>
      <c r="V111" s="22">
        <v>1343</v>
      </c>
      <c r="W111" s="22">
        <v>2209</v>
      </c>
      <c r="X111" s="22">
        <v>2132</v>
      </c>
      <c r="Y111" s="22">
        <v>1381</v>
      </c>
      <c r="Z111" s="22">
        <v>2096</v>
      </c>
      <c r="AA111" s="22">
        <v>2094</v>
      </c>
      <c r="AB111" s="22">
        <v>1977</v>
      </c>
      <c r="AC111" s="22">
        <v>3308</v>
      </c>
      <c r="AD111" s="22">
        <v>2479</v>
      </c>
      <c r="AE111" s="22">
        <v>2433</v>
      </c>
      <c r="AF111" s="22">
        <v>2226</v>
      </c>
      <c r="AG111" s="22">
        <v>2367</v>
      </c>
      <c r="AH111" s="87">
        <v>2307</v>
      </c>
      <c r="AI111" s="87">
        <v>2481</v>
      </c>
      <c r="AJ111" s="88">
        <f t="shared" si="63"/>
        <v>60537</v>
      </c>
      <c r="AK111" s="89"/>
      <c r="AL111" s="24">
        <f t="shared" si="64"/>
        <v>60537</v>
      </c>
      <c r="AN111" s="90"/>
      <c r="AO111" s="54"/>
    </row>
    <row r="112" spans="2:41" x14ac:dyDescent="0.3">
      <c r="B112" s="81" t="s">
        <v>94</v>
      </c>
      <c r="C112" s="10"/>
      <c r="D112" s="10"/>
      <c r="E112" s="22">
        <v>0</v>
      </c>
      <c r="F112" s="22">
        <v>1075</v>
      </c>
      <c r="G112" s="22">
        <v>491</v>
      </c>
      <c r="H112" s="22">
        <v>662</v>
      </c>
      <c r="I112" s="22">
        <v>0</v>
      </c>
      <c r="J112" s="22">
        <v>693</v>
      </c>
      <c r="K112" s="22">
        <v>1948</v>
      </c>
      <c r="L112" s="22">
        <v>0</v>
      </c>
      <c r="M112" s="10">
        <v>0</v>
      </c>
      <c r="N112" s="22">
        <v>1530</v>
      </c>
      <c r="O112" s="22">
        <v>910</v>
      </c>
      <c r="P112" s="22">
        <v>0</v>
      </c>
      <c r="Q112" s="22">
        <v>872</v>
      </c>
      <c r="R112" s="22">
        <v>806</v>
      </c>
      <c r="S112" s="22">
        <v>943</v>
      </c>
      <c r="T112" s="22">
        <v>807</v>
      </c>
      <c r="U112" s="10">
        <v>785</v>
      </c>
      <c r="V112" s="22">
        <v>1293</v>
      </c>
      <c r="W112" s="22">
        <v>754</v>
      </c>
      <c r="X112" s="22">
        <v>498</v>
      </c>
      <c r="Y112" s="22">
        <v>627</v>
      </c>
      <c r="Z112" s="22">
        <v>1194</v>
      </c>
      <c r="AA112" s="22">
        <v>1722</v>
      </c>
      <c r="AB112" s="22">
        <v>415</v>
      </c>
      <c r="AC112" s="22">
        <v>1080</v>
      </c>
      <c r="AD112" s="22">
        <v>1021</v>
      </c>
      <c r="AE112" s="22">
        <v>1076</v>
      </c>
      <c r="AF112" s="22">
        <v>1352</v>
      </c>
      <c r="AG112" s="22">
        <v>313</v>
      </c>
      <c r="AH112" s="87">
        <v>636</v>
      </c>
      <c r="AI112" s="87">
        <v>1186</v>
      </c>
      <c r="AJ112" s="88">
        <f t="shared" si="63"/>
        <v>24689</v>
      </c>
      <c r="AK112" s="89"/>
      <c r="AL112" s="24">
        <f t="shared" si="64"/>
        <v>24689</v>
      </c>
      <c r="AN112" s="90"/>
      <c r="AO112" s="54"/>
    </row>
    <row r="113" spans="1:41" s="19" customFormat="1" x14ac:dyDescent="0.3">
      <c r="B113" s="44" t="s">
        <v>98</v>
      </c>
      <c r="C113" s="15"/>
      <c r="D113" s="15"/>
      <c r="E113" s="88">
        <v>60</v>
      </c>
      <c r="F113" s="88">
        <v>0</v>
      </c>
      <c r="G113" s="88">
        <v>72</v>
      </c>
      <c r="H113" s="88">
        <v>0</v>
      </c>
      <c r="I113" s="88">
        <v>162</v>
      </c>
      <c r="J113" s="88">
        <v>40</v>
      </c>
      <c r="K113" s="88">
        <v>0</v>
      </c>
      <c r="L113" s="88">
        <v>113</v>
      </c>
      <c r="M113" s="15">
        <v>0</v>
      </c>
      <c r="N113" s="88">
        <v>0</v>
      </c>
      <c r="O113" s="88">
        <v>117</v>
      </c>
      <c r="P113" s="88">
        <v>65</v>
      </c>
      <c r="Q113" s="88">
        <v>51</v>
      </c>
      <c r="R113" s="88">
        <v>0</v>
      </c>
      <c r="S113" s="88">
        <v>90</v>
      </c>
      <c r="T113" s="88">
        <v>27</v>
      </c>
      <c r="U113" s="15">
        <v>66</v>
      </c>
      <c r="V113" s="88">
        <v>74</v>
      </c>
      <c r="W113" s="88">
        <v>77</v>
      </c>
      <c r="X113" s="88">
        <v>139</v>
      </c>
      <c r="Y113" s="88">
        <v>27</v>
      </c>
      <c r="Z113" s="88">
        <v>114</v>
      </c>
      <c r="AA113" s="88">
        <v>42</v>
      </c>
      <c r="AB113" s="88">
        <v>131</v>
      </c>
      <c r="AC113" s="88">
        <v>0</v>
      </c>
      <c r="AD113" s="88">
        <v>61</v>
      </c>
      <c r="AE113" s="88">
        <v>72</v>
      </c>
      <c r="AF113" s="88">
        <v>60</v>
      </c>
      <c r="AG113" s="88">
        <v>23</v>
      </c>
      <c r="AH113" s="98">
        <v>31</v>
      </c>
      <c r="AI113" s="98">
        <v>191</v>
      </c>
      <c r="AJ113" s="88">
        <f t="shared" si="63"/>
        <v>1905</v>
      </c>
      <c r="AK113" s="92"/>
      <c r="AL113" s="44">
        <f t="shared" si="64"/>
        <v>1905</v>
      </c>
      <c r="AN113" s="99"/>
      <c r="AO113" s="100"/>
    </row>
    <row r="114" spans="1:41" s="19" customFormat="1" x14ac:dyDescent="0.3">
      <c r="B114" s="44" t="s">
        <v>99</v>
      </c>
      <c r="C114" s="15"/>
      <c r="D114" s="15"/>
      <c r="E114" s="88">
        <v>112</v>
      </c>
      <c r="F114" s="88">
        <v>114</v>
      </c>
      <c r="G114" s="88">
        <v>67.91</v>
      </c>
      <c r="H114" s="88">
        <v>0</v>
      </c>
      <c r="I114" s="88">
        <v>0</v>
      </c>
      <c r="J114" s="88">
        <v>0</v>
      </c>
      <c r="K114" s="88">
        <v>0</v>
      </c>
      <c r="L114" s="88">
        <v>0</v>
      </c>
      <c r="M114" s="15">
        <v>0</v>
      </c>
      <c r="N114" s="88">
        <v>0</v>
      </c>
      <c r="O114" s="88">
        <v>0</v>
      </c>
      <c r="P114" s="88">
        <v>0</v>
      </c>
      <c r="Q114" s="88">
        <v>48</v>
      </c>
      <c r="R114" s="88">
        <v>0</v>
      </c>
      <c r="S114" s="88">
        <v>162</v>
      </c>
      <c r="T114" s="88">
        <v>51</v>
      </c>
      <c r="U114" s="15">
        <v>0</v>
      </c>
      <c r="V114" s="88">
        <v>0</v>
      </c>
      <c r="W114" s="88">
        <v>118</v>
      </c>
      <c r="X114" s="88">
        <v>209</v>
      </c>
      <c r="Y114" s="88">
        <v>102</v>
      </c>
      <c r="Z114" s="88">
        <v>0</v>
      </c>
      <c r="AA114" s="88">
        <v>0</v>
      </c>
      <c r="AB114" s="88">
        <v>273</v>
      </c>
      <c r="AC114" s="88">
        <v>0</v>
      </c>
      <c r="AD114" s="88">
        <v>0</v>
      </c>
      <c r="AE114" s="88">
        <v>85</v>
      </c>
      <c r="AF114" s="88">
        <v>118</v>
      </c>
      <c r="AG114" s="88">
        <v>90</v>
      </c>
      <c r="AH114" s="98">
        <v>176</v>
      </c>
      <c r="AI114" s="98">
        <v>150</v>
      </c>
      <c r="AJ114" s="88">
        <f t="shared" si="63"/>
        <v>1875.9099999999999</v>
      </c>
      <c r="AK114" s="92"/>
      <c r="AL114" s="44">
        <f t="shared" si="64"/>
        <v>1875.9099999999999</v>
      </c>
      <c r="AN114" s="99"/>
      <c r="AO114" s="100"/>
    </row>
    <row r="115" spans="1:41" x14ac:dyDescent="0.3">
      <c r="E115" s="3" t="b">
        <f t="shared" ref="E115:AH115" si="65">IF((SUM(E107:E112)=(E140+E141+E142+E143)), TRUE, FALSE)</f>
        <v>1</v>
      </c>
      <c r="F115" s="3" t="b">
        <f t="shared" si="65"/>
        <v>1</v>
      </c>
      <c r="G115" s="3" t="b">
        <f>IF((SUM(G107:G112)=(G140+G141+G142+G143)), TRUE, FALSE)</f>
        <v>1</v>
      </c>
      <c r="H115" s="3" t="b">
        <f t="shared" si="65"/>
        <v>1</v>
      </c>
      <c r="I115" s="3" t="b">
        <f>IF((SUM(I107:I112)=(I140+I141+I142+I143)), TRUE, FALSE)</f>
        <v>1</v>
      </c>
      <c r="J115" s="3" t="b">
        <f t="shared" si="65"/>
        <v>1</v>
      </c>
      <c r="K115" s="3" t="b">
        <f t="shared" si="65"/>
        <v>1</v>
      </c>
      <c r="L115" s="3" t="b">
        <f t="shared" si="65"/>
        <v>1</v>
      </c>
      <c r="M115" s="3" t="b">
        <f t="shared" si="65"/>
        <v>1</v>
      </c>
      <c r="N115" s="3" t="b">
        <f t="shared" si="65"/>
        <v>1</v>
      </c>
      <c r="O115" s="3" t="b">
        <f>IF((SUM(O107:O112)=(O140+O141+O142+O143)), TRUE, FALSE)</f>
        <v>1</v>
      </c>
      <c r="P115" s="3" t="b">
        <f>IF((SUM(P107:P112)=(P140+P141+P142+P143)), TRUE, FALSE)</f>
        <v>1</v>
      </c>
      <c r="Q115" s="3" t="b">
        <f>IF((SUM(Q107:Q112)=(Q140+Q141+Q142+Q143)), TRUE, FALSE)</f>
        <v>1</v>
      </c>
      <c r="R115" s="3" t="b">
        <f>IF((SUM(R107:R112)=(R140+R141+R142+R143)), TRUE, FALSE)</f>
        <v>1</v>
      </c>
      <c r="S115" s="3" t="b">
        <f>IF((SUM(S107:S112)=(S140+S141+S142+S143)), TRUE, FALSE)</f>
        <v>1</v>
      </c>
      <c r="T115" s="3" t="b">
        <f t="shared" si="65"/>
        <v>1</v>
      </c>
      <c r="U115" s="3" t="b">
        <f t="shared" si="65"/>
        <v>1</v>
      </c>
      <c r="V115" s="3" t="b">
        <f t="shared" si="65"/>
        <v>1</v>
      </c>
      <c r="W115" s="3" t="b">
        <f t="shared" si="65"/>
        <v>1</v>
      </c>
      <c r="X115" s="3" t="b">
        <f t="shared" si="65"/>
        <v>1</v>
      </c>
      <c r="Y115" s="3" t="b">
        <f t="shared" si="65"/>
        <v>1</v>
      </c>
      <c r="Z115" s="3" t="b">
        <f t="shared" si="65"/>
        <v>1</v>
      </c>
      <c r="AA115" s="3" t="b">
        <f t="shared" si="65"/>
        <v>1</v>
      </c>
      <c r="AB115" s="3" t="b">
        <f t="shared" si="65"/>
        <v>1</v>
      </c>
      <c r="AC115" s="3" t="b">
        <f t="shared" si="65"/>
        <v>1</v>
      </c>
      <c r="AD115" s="3" t="b">
        <f t="shared" si="65"/>
        <v>1</v>
      </c>
      <c r="AE115" s="3" t="b">
        <f t="shared" si="65"/>
        <v>1</v>
      </c>
      <c r="AF115" s="3" t="b">
        <f t="shared" si="65"/>
        <v>1</v>
      </c>
      <c r="AG115" s="3" t="b">
        <f t="shared" si="65"/>
        <v>1</v>
      </c>
      <c r="AH115" s="3" t="b">
        <f t="shared" si="65"/>
        <v>1</v>
      </c>
      <c r="AI115" s="3" t="b">
        <f>IF((SUM(AI107:AI112)=(AI140+AI141+AI142+AI143)), TRUE, FALSE)</f>
        <v>1</v>
      </c>
      <c r="AJ115" s="3" t="b">
        <f>IF((SUM(AJ107:AJ112)=(AJ140+AJ141+AJ142+AJ143)), TRUE, FALSE)</f>
        <v>1</v>
      </c>
      <c r="AK115" s="3">
        <f>AJ113+AJ114</f>
        <v>3780.91</v>
      </c>
      <c r="AL115" s="297">
        <f>AK115/AL29</f>
        <v>4.2498370163882832E-2</v>
      </c>
    </row>
    <row r="116" spans="1:41" x14ac:dyDescent="0.3">
      <c r="A116" s="101" t="s">
        <v>100</v>
      </c>
      <c r="B116" s="102"/>
      <c r="C116" s="103"/>
      <c r="D116" s="103"/>
      <c r="E116" s="104"/>
      <c r="F116" s="104"/>
      <c r="G116" s="262">
        <f>G114/G103</f>
        <v>4.9750915750915746E-2</v>
      </c>
      <c r="H116" s="104"/>
      <c r="I116" s="104">
        <v>0</v>
      </c>
      <c r="J116" s="104"/>
      <c r="K116" s="104"/>
      <c r="L116" s="104"/>
      <c r="M116" s="103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  <c r="AA116" s="104"/>
      <c r="AB116" s="104"/>
      <c r="AC116" s="104"/>
      <c r="AD116" s="104"/>
      <c r="AE116" s="104"/>
      <c r="AF116" s="104"/>
      <c r="AG116" s="104"/>
      <c r="AH116" s="104"/>
      <c r="AI116" s="104"/>
      <c r="AJ116" s="104"/>
      <c r="AK116" s="102"/>
      <c r="AL116" s="102"/>
    </row>
    <row r="117" spans="1:41" x14ac:dyDescent="0.3">
      <c r="A117" s="24"/>
      <c r="B117" s="105" t="s">
        <v>101</v>
      </c>
      <c r="C117" s="106"/>
      <c r="D117" s="106"/>
      <c r="E117" s="107"/>
      <c r="F117" s="107"/>
      <c r="G117" s="107"/>
      <c r="H117" s="107"/>
      <c r="I117" s="107"/>
      <c r="J117" s="107"/>
      <c r="K117" s="107"/>
      <c r="L117" s="107"/>
      <c r="M117" s="107"/>
      <c r="N117" s="106"/>
      <c r="O117" s="106"/>
      <c r="P117" s="106"/>
      <c r="Q117" s="106"/>
      <c r="R117" s="106"/>
      <c r="S117" s="106"/>
      <c r="T117" s="106"/>
      <c r="U117" s="106"/>
      <c r="V117" s="107"/>
      <c r="W117" s="107"/>
      <c r="X117" s="107"/>
      <c r="Y117" s="107"/>
      <c r="Z117" s="107"/>
      <c r="AA117" s="107"/>
      <c r="AB117" s="107"/>
      <c r="AC117" s="107"/>
      <c r="AD117" s="107"/>
      <c r="AE117" s="107"/>
      <c r="AF117" s="107"/>
      <c r="AG117" s="107"/>
      <c r="AH117" s="107"/>
      <c r="AI117" s="107"/>
      <c r="AJ117" s="108">
        <f>SUM(E117:AH117)</f>
        <v>0</v>
      </c>
      <c r="AK117" s="109"/>
      <c r="AL117" s="109"/>
    </row>
    <row r="118" spans="1:41" x14ac:dyDescent="0.3">
      <c r="A118" s="24"/>
      <c r="B118" s="81" t="s">
        <v>102</v>
      </c>
      <c r="C118" s="10"/>
      <c r="D118" s="10"/>
      <c r="E118" s="10">
        <v>24.574999999999999</v>
      </c>
      <c r="F118" s="110">
        <v>26.74</v>
      </c>
      <c r="G118" s="110">
        <v>0</v>
      </c>
      <c r="H118" s="22">
        <v>0</v>
      </c>
      <c r="I118" s="22">
        <v>0</v>
      </c>
      <c r="J118" s="22">
        <v>84.44</v>
      </c>
      <c r="K118" s="22">
        <v>25.96</v>
      </c>
      <c r="L118" s="22">
        <v>0</v>
      </c>
      <c r="M118" s="22">
        <v>27.43</v>
      </c>
      <c r="N118" s="22">
        <v>0</v>
      </c>
      <c r="O118" s="22">
        <v>0</v>
      </c>
      <c r="P118" s="22">
        <v>0</v>
      </c>
      <c r="Q118" s="111">
        <v>28.06</v>
      </c>
      <c r="R118" s="10">
        <v>0</v>
      </c>
      <c r="S118" s="10">
        <v>0</v>
      </c>
      <c r="T118" s="10">
        <v>30.94</v>
      </c>
      <c r="U118" s="10">
        <v>30.13</v>
      </c>
      <c r="V118" s="10">
        <v>0</v>
      </c>
      <c r="W118" s="110">
        <v>0</v>
      </c>
      <c r="X118" s="10">
        <v>0</v>
      </c>
      <c r="Y118" s="10">
        <v>87.43</v>
      </c>
      <c r="Z118" s="10">
        <v>0</v>
      </c>
      <c r="AA118" s="112">
        <v>26.24</v>
      </c>
      <c r="AB118" s="10">
        <v>0</v>
      </c>
      <c r="AC118" s="10">
        <v>0</v>
      </c>
      <c r="AD118" s="10">
        <v>27.81</v>
      </c>
      <c r="AE118" s="10">
        <v>32.82</v>
      </c>
      <c r="AF118" s="22">
        <v>26.64</v>
      </c>
      <c r="AG118" s="22">
        <v>28.74</v>
      </c>
      <c r="AH118" s="22">
        <v>0</v>
      </c>
      <c r="AI118" s="22">
        <v>0</v>
      </c>
      <c r="AJ118" s="38">
        <f>SUM(E118:AI118)</f>
        <v>507.95500000000004</v>
      </c>
      <c r="AK118" s="24" t="s">
        <v>103</v>
      </c>
      <c r="AL118" s="113">
        <f>AJ118/COUNTIF(E118:AI118,"&gt;0")</f>
        <v>36.282500000000006</v>
      </c>
    </row>
    <row r="119" spans="1:41" x14ac:dyDescent="0.3">
      <c r="A119" s="24"/>
      <c r="B119" s="81" t="s">
        <v>104</v>
      </c>
      <c r="C119" s="10"/>
      <c r="D119" s="10"/>
      <c r="E119" s="22">
        <v>1116</v>
      </c>
      <c r="F119" s="22">
        <v>854</v>
      </c>
      <c r="G119" s="22">
        <v>0</v>
      </c>
      <c r="H119" s="22">
        <v>0</v>
      </c>
      <c r="I119" s="22">
        <v>0</v>
      </c>
      <c r="J119" s="22">
        <v>2506</v>
      </c>
      <c r="K119" s="22">
        <v>495</v>
      </c>
      <c r="L119" s="22">
        <v>0</v>
      </c>
      <c r="M119" s="22">
        <v>2127</v>
      </c>
      <c r="N119" s="22">
        <v>0</v>
      </c>
      <c r="O119" s="22">
        <v>0</v>
      </c>
      <c r="P119" s="22">
        <v>0</v>
      </c>
      <c r="Q119" s="10">
        <v>1353</v>
      </c>
      <c r="R119" s="22">
        <v>0</v>
      </c>
      <c r="S119" s="22">
        <v>0</v>
      </c>
      <c r="T119" s="22">
        <v>1328</v>
      </c>
      <c r="U119" s="22">
        <v>3615</v>
      </c>
      <c r="V119" s="22">
        <v>0</v>
      </c>
      <c r="W119" s="114">
        <v>0</v>
      </c>
      <c r="X119" s="22">
        <v>0</v>
      </c>
      <c r="Y119" s="22">
        <v>1374</v>
      </c>
      <c r="Z119" s="22">
        <v>0</v>
      </c>
      <c r="AA119" s="115">
        <v>2107</v>
      </c>
      <c r="AB119" s="22">
        <v>0</v>
      </c>
      <c r="AC119" s="22">
        <v>0</v>
      </c>
      <c r="AD119" s="22">
        <v>691</v>
      </c>
      <c r="AE119" s="22">
        <v>691</v>
      </c>
      <c r="AF119" s="22">
        <v>2857</v>
      </c>
      <c r="AG119" s="22">
        <v>503</v>
      </c>
      <c r="AH119" s="22">
        <v>0</v>
      </c>
      <c r="AI119" s="22">
        <v>0</v>
      </c>
      <c r="AJ119" s="38">
        <f>SUMPRODUCT(E119:AH119,E118:AH118)/AJ118</f>
        <v>1631.865204594895</v>
      </c>
      <c r="AK119" s="24"/>
      <c r="AL119" s="24"/>
    </row>
    <row r="120" spans="1:41" x14ac:dyDescent="0.3">
      <c r="A120" s="116" t="s">
        <v>105</v>
      </c>
      <c r="R120"/>
      <c r="S120"/>
      <c r="T120"/>
      <c r="U120"/>
      <c r="AJ120" s="117"/>
      <c r="AM120" s="324">
        <f>AL118+AL122</f>
        <v>79.496785714285721</v>
      </c>
      <c r="AN120" s="83"/>
      <c r="AO120" s="83"/>
    </row>
    <row r="121" spans="1:41" x14ac:dyDescent="0.3">
      <c r="A121" s="24"/>
      <c r="B121" s="81" t="s">
        <v>101</v>
      </c>
      <c r="C121" s="10"/>
      <c r="D121" s="10"/>
      <c r="E121" s="22"/>
      <c r="F121" s="22"/>
      <c r="G121" s="22"/>
      <c r="H121" s="22"/>
      <c r="I121" s="22"/>
      <c r="J121" s="22"/>
      <c r="K121" s="22"/>
      <c r="L121" s="22"/>
      <c r="M121" s="22"/>
      <c r="N121" s="10"/>
      <c r="O121" s="10"/>
      <c r="P121" s="10"/>
      <c r="Q121" s="10"/>
      <c r="R121" s="10"/>
      <c r="S121" s="10"/>
      <c r="T121" s="10"/>
      <c r="U121" s="10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38">
        <f>SUM(E121:AH121)</f>
        <v>0</v>
      </c>
      <c r="AK121" s="24"/>
      <c r="AL121" s="24"/>
    </row>
    <row r="122" spans="1:41" x14ac:dyDescent="0.3">
      <c r="A122" s="24"/>
      <c r="B122" s="81" t="s">
        <v>102</v>
      </c>
      <c r="C122" s="10"/>
      <c r="D122" s="10"/>
      <c r="E122" s="10">
        <v>33.28</v>
      </c>
      <c r="F122" s="110">
        <v>27.52</v>
      </c>
      <c r="G122" s="110">
        <v>31.29</v>
      </c>
      <c r="H122" s="110">
        <v>0</v>
      </c>
      <c r="I122" s="110">
        <v>29.36</v>
      </c>
      <c r="J122" s="22">
        <v>0</v>
      </c>
      <c r="K122" s="22">
        <v>32.39</v>
      </c>
      <c r="L122" s="22">
        <v>0</v>
      </c>
      <c r="M122" s="22">
        <v>0</v>
      </c>
      <c r="N122" s="22">
        <v>0</v>
      </c>
      <c r="O122" s="22">
        <v>0</v>
      </c>
      <c r="P122" s="22">
        <v>0</v>
      </c>
      <c r="Q122" s="111">
        <v>62.07</v>
      </c>
      <c r="R122" s="110">
        <v>0</v>
      </c>
      <c r="S122" s="110">
        <v>0</v>
      </c>
      <c r="T122" s="110">
        <v>28.16</v>
      </c>
      <c r="U122" s="110">
        <v>33.49</v>
      </c>
      <c r="V122" s="110">
        <v>0</v>
      </c>
      <c r="W122" s="110">
        <v>102.44</v>
      </c>
      <c r="X122" s="22">
        <v>0</v>
      </c>
      <c r="Y122" s="22">
        <v>28.14</v>
      </c>
      <c r="Z122" s="22">
        <v>0</v>
      </c>
      <c r="AA122" s="10">
        <v>25.4</v>
      </c>
      <c r="AB122" s="10">
        <v>34.299999999999997</v>
      </c>
      <c r="AC122" s="10">
        <v>0</v>
      </c>
      <c r="AD122" s="10">
        <v>51.13</v>
      </c>
      <c r="AE122" s="23">
        <v>0</v>
      </c>
      <c r="AF122" s="23">
        <v>0</v>
      </c>
      <c r="AG122" s="22">
        <v>27.98</v>
      </c>
      <c r="AH122" s="23">
        <v>0</v>
      </c>
      <c r="AI122" s="26">
        <v>58.05</v>
      </c>
      <c r="AJ122" s="23">
        <f>SUM(E122:AI122)</f>
        <v>605</v>
      </c>
      <c r="AK122" s="24" t="s">
        <v>103</v>
      </c>
      <c r="AL122" s="113">
        <f>AJ122/COUNTIF(E122:AH122,"&gt;0")</f>
        <v>43.214285714285715</v>
      </c>
    </row>
    <row r="123" spans="1:41" x14ac:dyDescent="0.3">
      <c r="A123" s="24"/>
      <c r="B123" s="81" t="s">
        <v>106</v>
      </c>
      <c r="C123" s="10"/>
      <c r="D123" s="10"/>
      <c r="E123" s="22">
        <v>1116</v>
      </c>
      <c r="F123" s="22">
        <v>854</v>
      </c>
      <c r="G123" s="22">
        <v>2611</v>
      </c>
      <c r="H123" s="22">
        <v>0</v>
      </c>
      <c r="I123" s="22">
        <v>2631</v>
      </c>
      <c r="J123" s="22">
        <v>0</v>
      </c>
      <c r="K123" s="22">
        <v>495</v>
      </c>
      <c r="L123" s="22">
        <v>0</v>
      </c>
      <c r="M123" s="22">
        <v>0</v>
      </c>
      <c r="N123" s="22">
        <v>0</v>
      </c>
      <c r="O123" s="22">
        <v>0</v>
      </c>
      <c r="P123" s="22">
        <v>0</v>
      </c>
      <c r="Q123" s="22">
        <v>1353</v>
      </c>
      <c r="R123" s="22">
        <v>0</v>
      </c>
      <c r="S123" s="22">
        <v>0</v>
      </c>
      <c r="T123" s="22">
        <v>1328</v>
      </c>
      <c r="U123" s="118">
        <v>3615</v>
      </c>
      <c r="V123" s="118">
        <v>0</v>
      </c>
      <c r="W123" s="114">
        <v>1321</v>
      </c>
      <c r="X123" s="22">
        <v>0</v>
      </c>
      <c r="Y123" s="22">
        <v>1374</v>
      </c>
      <c r="Z123" s="22">
        <v>0</v>
      </c>
      <c r="AA123" s="22">
        <v>2107</v>
      </c>
      <c r="AB123" s="22">
        <v>2395</v>
      </c>
      <c r="AC123" s="22">
        <v>0</v>
      </c>
      <c r="AD123" s="22">
        <v>691</v>
      </c>
      <c r="AE123" s="22">
        <v>0</v>
      </c>
      <c r="AF123" s="22">
        <v>0</v>
      </c>
      <c r="AG123" s="22">
        <v>503</v>
      </c>
      <c r="AH123" s="22">
        <v>0</v>
      </c>
      <c r="AI123" s="22">
        <v>950</v>
      </c>
      <c r="AJ123" s="38">
        <f>IFERROR(SUMPRODUCT(E123:AH123,E122:AH122)/AJ122,0)</f>
        <v>1383.6730082644626</v>
      </c>
      <c r="AK123" s="24"/>
      <c r="AL123" s="24"/>
    </row>
    <row r="124" spans="1:41" x14ac:dyDescent="0.3">
      <c r="N124" s="119"/>
      <c r="O124"/>
      <c r="P124"/>
      <c r="Q124"/>
      <c r="R124"/>
      <c r="S124"/>
      <c r="T124"/>
      <c r="U124"/>
    </row>
    <row r="125" spans="1:41" x14ac:dyDescent="0.3">
      <c r="B125" s="120" t="s">
        <v>107</v>
      </c>
      <c r="N125" s="121"/>
      <c r="O125" s="86"/>
      <c r="P125"/>
      <c r="R125"/>
      <c r="S125"/>
      <c r="T125"/>
      <c r="U125"/>
    </row>
    <row r="126" spans="1:41" x14ac:dyDescent="0.3">
      <c r="B126" s="122" t="s">
        <v>108</v>
      </c>
      <c r="C126" s="2" t="s">
        <v>109</v>
      </c>
      <c r="E126" s="123">
        <v>0</v>
      </c>
      <c r="F126" s="123">
        <v>0.01</v>
      </c>
      <c r="G126" s="123">
        <v>0</v>
      </c>
      <c r="H126" s="123">
        <v>0</v>
      </c>
      <c r="I126" s="123">
        <v>0.06</v>
      </c>
      <c r="J126" s="123">
        <v>0</v>
      </c>
      <c r="K126" s="123">
        <v>0.01</v>
      </c>
      <c r="L126" s="123">
        <v>0.03</v>
      </c>
      <c r="M126" s="124">
        <v>0.04</v>
      </c>
      <c r="N126" s="123">
        <v>0</v>
      </c>
      <c r="O126" s="123">
        <v>0.02</v>
      </c>
      <c r="P126" s="123">
        <v>0.02</v>
      </c>
      <c r="Q126" s="123">
        <v>0.03</v>
      </c>
      <c r="R126" s="123">
        <v>0.03</v>
      </c>
      <c r="S126" s="123">
        <v>0.05</v>
      </c>
      <c r="T126" s="123">
        <v>0.03</v>
      </c>
      <c r="U126" s="123">
        <v>0.04</v>
      </c>
      <c r="V126" s="123">
        <v>0.02</v>
      </c>
      <c r="W126" s="123">
        <v>0</v>
      </c>
      <c r="X126" s="123">
        <v>0</v>
      </c>
      <c r="Y126" s="123">
        <v>0</v>
      </c>
      <c r="Z126" s="123">
        <v>0.01</v>
      </c>
      <c r="AA126" s="123">
        <v>0</v>
      </c>
      <c r="AB126" s="123">
        <v>0</v>
      </c>
      <c r="AC126" s="123">
        <v>0</v>
      </c>
      <c r="AD126" s="123">
        <v>0</v>
      </c>
      <c r="AE126" s="123">
        <v>0</v>
      </c>
      <c r="AF126" s="123">
        <v>0.03</v>
      </c>
      <c r="AG126" s="123">
        <v>0.03</v>
      </c>
      <c r="AH126" s="123">
        <v>0.02</v>
      </c>
      <c r="AI126" s="123">
        <v>0.03</v>
      </c>
      <c r="AJ126" s="123">
        <f>SUMPRODUCT(E126:AH126,$E$130:$AH$130)/SUM($E$130:$AH$130)</f>
        <v>1.5859566951021947E-2</v>
      </c>
    </row>
    <row r="127" spans="1:41" x14ac:dyDescent="0.3">
      <c r="B127" s="122" t="s">
        <v>110</v>
      </c>
      <c r="C127" s="2" t="s">
        <v>109</v>
      </c>
      <c r="E127" s="123">
        <v>0.05</v>
      </c>
      <c r="F127" s="123">
        <v>7.0000000000000007E-2</v>
      </c>
      <c r="G127" s="123">
        <v>0.08</v>
      </c>
      <c r="H127" s="123">
        <v>0.06</v>
      </c>
      <c r="I127" s="123">
        <v>0.02</v>
      </c>
      <c r="J127" s="123">
        <v>0.1</v>
      </c>
      <c r="K127" s="123">
        <v>0.01</v>
      </c>
      <c r="L127" s="123">
        <v>0</v>
      </c>
      <c r="M127" s="124">
        <v>0.03</v>
      </c>
      <c r="N127" s="123">
        <v>0.11</v>
      </c>
      <c r="O127" s="123">
        <v>7.0000000000000007E-2</v>
      </c>
      <c r="P127" s="123">
        <v>0.05</v>
      </c>
      <c r="Q127" s="123">
        <v>0.01</v>
      </c>
      <c r="R127" s="123">
        <v>0.05</v>
      </c>
      <c r="S127" s="123">
        <v>7.0000000000000007E-2</v>
      </c>
      <c r="T127" s="123">
        <v>0.02</v>
      </c>
      <c r="U127" s="123">
        <v>0.01</v>
      </c>
      <c r="V127" s="123">
        <v>0.11</v>
      </c>
      <c r="W127" s="123">
        <v>0.05</v>
      </c>
      <c r="X127" s="123">
        <v>0.06</v>
      </c>
      <c r="Y127" s="123">
        <v>0.06</v>
      </c>
      <c r="Z127" s="123">
        <v>7.0000000000000007E-2</v>
      </c>
      <c r="AA127" s="123">
        <v>7.0000000000000007E-2</v>
      </c>
      <c r="AB127" s="123">
        <v>0.08</v>
      </c>
      <c r="AC127" s="123">
        <v>0.05</v>
      </c>
      <c r="AD127" s="123">
        <v>0.05</v>
      </c>
      <c r="AE127" s="123">
        <v>0.04</v>
      </c>
      <c r="AF127" s="123">
        <v>0.02</v>
      </c>
      <c r="AG127" s="123">
        <v>0.03</v>
      </c>
      <c r="AH127" s="123">
        <v>0.05</v>
      </c>
      <c r="AI127" s="123">
        <v>0.04</v>
      </c>
      <c r="AJ127" s="123">
        <f>SUMPRODUCT(E127:AH127,$E$130:$AH$130)/SUM($E$130:$AH$130)</f>
        <v>5.0635390575027348E-2</v>
      </c>
    </row>
    <row r="128" spans="1:41" x14ac:dyDescent="0.3">
      <c r="B128" s="122" t="s">
        <v>111</v>
      </c>
      <c r="C128" s="2" t="s">
        <v>109</v>
      </c>
      <c r="E128" s="123">
        <v>0.01</v>
      </c>
      <c r="F128" s="123">
        <v>0</v>
      </c>
      <c r="G128" s="123">
        <v>0</v>
      </c>
      <c r="H128" s="123">
        <v>0.04</v>
      </c>
      <c r="I128" s="123">
        <v>0.05</v>
      </c>
      <c r="J128" s="123">
        <v>7.0000000000000007E-2</v>
      </c>
      <c r="K128" s="123">
        <v>0.06</v>
      </c>
      <c r="L128" s="123">
        <v>0.02</v>
      </c>
      <c r="M128" s="124">
        <v>0</v>
      </c>
      <c r="N128" s="123">
        <v>0</v>
      </c>
      <c r="O128" s="123">
        <v>0</v>
      </c>
      <c r="P128" s="123">
        <v>0.15</v>
      </c>
      <c r="Q128" s="123">
        <v>0.04</v>
      </c>
      <c r="R128" s="123">
        <v>0</v>
      </c>
      <c r="S128" s="123">
        <v>0</v>
      </c>
      <c r="T128" s="123">
        <v>7.0000000000000007E-2</v>
      </c>
      <c r="U128" s="123">
        <v>0.05</v>
      </c>
      <c r="V128" s="123">
        <v>0</v>
      </c>
      <c r="W128" s="123">
        <v>0.01</v>
      </c>
      <c r="X128" s="123">
        <v>0</v>
      </c>
      <c r="Y128" s="123">
        <v>0</v>
      </c>
      <c r="Z128" s="123">
        <v>0</v>
      </c>
      <c r="AA128" s="123">
        <v>0</v>
      </c>
      <c r="AB128" s="123">
        <v>0.03</v>
      </c>
      <c r="AC128" s="123">
        <v>0.05</v>
      </c>
      <c r="AD128" s="123">
        <v>0</v>
      </c>
      <c r="AE128" s="123">
        <v>0.03</v>
      </c>
      <c r="AF128" s="123">
        <v>0</v>
      </c>
      <c r="AG128" s="123">
        <v>0</v>
      </c>
      <c r="AH128" s="123">
        <v>0</v>
      </c>
      <c r="AI128" s="123">
        <v>0</v>
      </c>
      <c r="AJ128" s="123">
        <f>SUMPRODUCT(E128:AH128,$E$130:$AH$130)/SUM($E$130:$AH$130)</f>
        <v>2.4589174373352302E-2</v>
      </c>
    </row>
    <row r="129" spans="1:40" x14ac:dyDescent="0.3">
      <c r="B129" s="122" t="s">
        <v>112</v>
      </c>
      <c r="C129" s="2" t="s">
        <v>109</v>
      </c>
      <c r="E129" s="34">
        <v>28371</v>
      </c>
      <c r="F129" s="34">
        <v>23176</v>
      </c>
      <c r="G129" s="34">
        <v>20735</v>
      </c>
      <c r="H129" s="34">
        <v>13307</v>
      </c>
      <c r="I129" s="34">
        <v>26399</v>
      </c>
      <c r="J129" s="34">
        <v>16795</v>
      </c>
      <c r="K129" s="34">
        <v>22437</v>
      </c>
      <c r="L129" s="34">
        <v>23641</v>
      </c>
      <c r="M129" s="78">
        <v>27272</v>
      </c>
      <c r="N129" s="34">
        <v>28117</v>
      </c>
      <c r="O129" s="34">
        <v>22355</v>
      </c>
      <c r="P129" s="34">
        <v>25389</v>
      </c>
      <c r="Q129" s="34">
        <v>19141</v>
      </c>
      <c r="R129" s="34">
        <v>14749</v>
      </c>
      <c r="S129" s="34">
        <v>19933</v>
      </c>
      <c r="T129" s="34">
        <v>24706</v>
      </c>
      <c r="U129" s="34">
        <v>23692</v>
      </c>
      <c r="V129" s="34">
        <v>18375</v>
      </c>
      <c r="W129" s="34">
        <v>23029</v>
      </c>
      <c r="X129" s="34">
        <v>25174</v>
      </c>
      <c r="Y129" s="34">
        <v>22510</v>
      </c>
      <c r="Z129" s="34">
        <v>24324</v>
      </c>
      <c r="AA129" s="34">
        <v>24850</v>
      </c>
      <c r="AB129" s="34">
        <v>21836</v>
      </c>
      <c r="AC129" s="34">
        <v>26640</v>
      </c>
      <c r="AD129" s="34">
        <v>16729</v>
      </c>
      <c r="AE129" s="34">
        <v>25776</v>
      </c>
      <c r="AF129" s="34">
        <v>21512</v>
      </c>
      <c r="AG129" s="34">
        <v>20281</v>
      </c>
      <c r="AH129" s="34">
        <v>24373</v>
      </c>
      <c r="AI129" s="34">
        <v>22310</v>
      </c>
      <c r="AJ129" s="22"/>
    </row>
    <row r="130" spans="1:40" x14ac:dyDescent="0.3">
      <c r="B130" s="122" t="s">
        <v>113</v>
      </c>
      <c r="C130" s="2" t="s">
        <v>109</v>
      </c>
      <c r="E130" s="34">
        <v>27046</v>
      </c>
      <c r="F130" s="34">
        <v>20231</v>
      </c>
      <c r="G130" s="34">
        <v>20996</v>
      </c>
      <c r="H130" s="34">
        <v>13946</v>
      </c>
      <c r="I130" s="34">
        <v>28573</v>
      </c>
      <c r="J130" s="34">
        <v>20072</v>
      </c>
      <c r="K130" s="34">
        <v>22938</v>
      </c>
      <c r="L130" s="34">
        <v>22951</v>
      </c>
      <c r="M130" s="78">
        <v>26326</v>
      </c>
      <c r="N130" s="34">
        <v>28568</v>
      </c>
      <c r="O130" s="34">
        <v>18667</v>
      </c>
      <c r="P130" s="34">
        <v>26930</v>
      </c>
      <c r="Q130" s="34">
        <v>18334</v>
      </c>
      <c r="R130" s="34">
        <v>12386</v>
      </c>
      <c r="S130" s="34">
        <v>16015</v>
      </c>
      <c r="T130" s="34">
        <v>24971</v>
      </c>
      <c r="U130" s="34">
        <v>24923</v>
      </c>
      <c r="V130" s="34">
        <v>15785</v>
      </c>
      <c r="W130" s="34">
        <v>19816</v>
      </c>
      <c r="X130" s="34">
        <v>24513</v>
      </c>
      <c r="Y130" s="34">
        <v>21388</v>
      </c>
      <c r="Z130" s="34">
        <v>24561</v>
      </c>
      <c r="AA130" s="34">
        <v>24295</v>
      </c>
      <c r="AB130" s="34">
        <v>23973</v>
      </c>
      <c r="AC130" s="34">
        <v>29049</v>
      </c>
      <c r="AD130" s="34">
        <v>16575</v>
      </c>
      <c r="AE130" s="34">
        <v>27298</v>
      </c>
      <c r="AF130" s="34">
        <v>21578</v>
      </c>
      <c r="AG130" s="34">
        <v>20702</v>
      </c>
      <c r="AH130" s="34">
        <v>25710</v>
      </c>
      <c r="AI130" s="34">
        <v>23834</v>
      </c>
      <c r="AJ130" s="22"/>
    </row>
    <row r="131" spans="1:40" x14ac:dyDescent="0.3">
      <c r="B131" s="125"/>
      <c r="E131" s="82"/>
      <c r="F131" s="82"/>
      <c r="G131" s="82"/>
      <c r="H131" s="82"/>
      <c r="I131" s="82"/>
      <c r="J131" s="82"/>
      <c r="K131" s="82"/>
      <c r="L131" s="82"/>
      <c r="M131" s="126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2"/>
      <c r="AC131" s="82"/>
      <c r="AD131" s="82"/>
      <c r="AE131" s="82"/>
      <c r="AF131" s="82"/>
      <c r="AG131" s="82"/>
      <c r="AH131" s="82"/>
      <c r="AI131" s="82"/>
    </row>
    <row r="132" spans="1:40" x14ac:dyDescent="0.3">
      <c r="B132" s="122" t="s">
        <v>114</v>
      </c>
      <c r="C132" s="10" t="s">
        <v>115</v>
      </c>
      <c r="E132" s="34"/>
      <c r="F132" s="34"/>
      <c r="G132" s="34"/>
      <c r="H132" s="34"/>
      <c r="I132" s="34"/>
      <c r="J132" s="34"/>
      <c r="K132" s="34"/>
      <c r="L132" s="34"/>
      <c r="M132" s="78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22"/>
    </row>
    <row r="133" spans="1:40" x14ac:dyDescent="0.3">
      <c r="B133" s="122" t="s">
        <v>116</v>
      </c>
      <c r="C133" s="10" t="s">
        <v>115</v>
      </c>
      <c r="E133" s="34"/>
      <c r="F133" s="34"/>
      <c r="G133" s="34"/>
      <c r="H133" s="34"/>
      <c r="I133" s="34"/>
      <c r="J133" s="34"/>
      <c r="K133" s="34"/>
      <c r="L133" s="34"/>
      <c r="M133" s="78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22"/>
    </row>
    <row r="135" spans="1:40" x14ac:dyDescent="0.3">
      <c r="A135" s="346" t="s">
        <v>117</v>
      </c>
      <c r="B135" s="127" t="s">
        <v>39</v>
      </c>
      <c r="C135" s="10" t="s">
        <v>36</v>
      </c>
      <c r="E135" s="22">
        <v>93</v>
      </c>
      <c r="F135" s="22">
        <v>136</v>
      </c>
      <c r="G135" s="22">
        <v>94</v>
      </c>
      <c r="H135" s="22">
        <v>67</v>
      </c>
      <c r="I135" s="22">
        <v>154</v>
      </c>
      <c r="J135" s="22">
        <v>114</v>
      </c>
      <c r="K135" s="22">
        <v>128</v>
      </c>
      <c r="L135" s="22">
        <v>60</v>
      </c>
      <c r="M135" s="22">
        <v>142</v>
      </c>
      <c r="N135" s="22">
        <v>96</v>
      </c>
      <c r="O135" s="22">
        <v>163</v>
      </c>
      <c r="P135" s="22">
        <v>105</v>
      </c>
      <c r="Q135" s="22">
        <v>119</v>
      </c>
      <c r="R135" s="22">
        <v>145</v>
      </c>
      <c r="S135" s="22">
        <v>89</v>
      </c>
      <c r="T135" s="22">
        <v>115</v>
      </c>
      <c r="U135" s="22">
        <v>170</v>
      </c>
      <c r="V135" s="22">
        <v>79</v>
      </c>
      <c r="W135" s="22">
        <v>226</v>
      </c>
      <c r="X135" s="22">
        <v>88</v>
      </c>
      <c r="Y135" s="22">
        <v>194</v>
      </c>
      <c r="Z135" s="22">
        <v>55</v>
      </c>
      <c r="AA135" s="22">
        <v>230</v>
      </c>
      <c r="AB135" s="22">
        <v>93</v>
      </c>
      <c r="AC135" s="22">
        <v>216</v>
      </c>
      <c r="AD135" s="22">
        <v>162</v>
      </c>
      <c r="AE135" s="22">
        <v>134</v>
      </c>
      <c r="AF135" s="22">
        <v>142</v>
      </c>
      <c r="AG135" s="22">
        <v>224</v>
      </c>
      <c r="AH135" s="22">
        <v>164</v>
      </c>
      <c r="AI135" s="22">
        <v>63</v>
      </c>
      <c r="AJ135" s="22">
        <f>SUM(E135:AI135)</f>
        <v>4060</v>
      </c>
      <c r="AK135" s="96"/>
    </row>
    <row r="136" spans="1:40" x14ac:dyDescent="0.3">
      <c r="A136" s="346"/>
      <c r="B136" s="127" t="s">
        <v>40</v>
      </c>
      <c r="C136" s="10" t="s">
        <v>36</v>
      </c>
      <c r="E136" s="22">
        <v>41</v>
      </c>
      <c r="F136" s="22">
        <v>58</v>
      </c>
      <c r="G136" s="22">
        <v>46</v>
      </c>
      <c r="H136" s="22">
        <v>152</v>
      </c>
      <c r="I136" s="22">
        <v>81</v>
      </c>
      <c r="J136" s="22">
        <v>34</v>
      </c>
      <c r="K136" s="22">
        <v>38</v>
      </c>
      <c r="L136" s="22">
        <v>18</v>
      </c>
      <c r="M136" s="22">
        <v>43</v>
      </c>
      <c r="N136" s="22">
        <v>29</v>
      </c>
      <c r="O136" s="22">
        <v>85</v>
      </c>
      <c r="P136" s="22">
        <v>32</v>
      </c>
      <c r="Q136" s="22">
        <v>72</v>
      </c>
      <c r="R136" s="22">
        <v>61</v>
      </c>
      <c r="S136" s="22">
        <v>54</v>
      </c>
      <c r="T136" s="22">
        <v>40</v>
      </c>
      <c r="U136" s="22">
        <v>91</v>
      </c>
      <c r="V136" s="22">
        <v>24</v>
      </c>
      <c r="W136" s="22">
        <v>137</v>
      </c>
      <c r="X136" s="22">
        <v>53</v>
      </c>
      <c r="Y136" s="22">
        <v>108</v>
      </c>
      <c r="Z136" s="22">
        <v>25</v>
      </c>
      <c r="AA136" s="22">
        <v>109</v>
      </c>
      <c r="AB136" s="22">
        <v>46</v>
      </c>
      <c r="AC136" s="22">
        <v>73</v>
      </c>
      <c r="AD136" s="22">
        <v>98</v>
      </c>
      <c r="AE136" s="22">
        <v>67</v>
      </c>
      <c r="AF136" s="22">
        <v>86</v>
      </c>
      <c r="AG136" s="22">
        <v>99</v>
      </c>
      <c r="AH136" s="22">
        <v>100</v>
      </c>
      <c r="AI136" s="22">
        <v>38</v>
      </c>
      <c r="AJ136" s="22">
        <f>SUM(E136:AI136)</f>
        <v>2038</v>
      </c>
      <c r="AK136" s="96"/>
    </row>
    <row r="137" spans="1:40" x14ac:dyDescent="0.3">
      <c r="A137" s="346" t="s">
        <v>118</v>
      </c>
      <c r="B137" s="127" t="s">
        <v>39</v>
      </c>
      <c r="C137" s="10" t="s">
        <v>36</v>
      </c>
      <c r="E137" s="22">
        <f>116-23</f>
        <v>93</v>
      </c>
      <c r="F137" s="22">
        <f>320-64</f>
        <v>256</v>
      </c>
      <c r="G137" s="22">
        <v>291</v>
      </c>
      <c r="H137" s="22">
        <v>98</v>
      </c>
      <c r="I137" s="22">
        <v>0</v>
      </c>
      <c r="J137" s="22">
        <v>0</v>
      </c>
      <c r="K137" s="22">
        <v>0</v>
      </c>
      <c r="L137" s="22">
        <v>0</v>
      </c>
      <c r="M137" s="22">
        <v>0</v>
      </c>
      <c r="N137" s="22">
        <v>0</v>
      </c>
      <c r="O137" s="22">
        <v>0</v>
      </c>
      <c r="P137" s="22">
        <v>0</v>
      </c>
      <c r="Q137" s="22">
        <f>333-Q28</f>
        <v>266</v>
      </c>
      <c r="R137" s="22">
        <f>265-R28</f>
        <v>212</v>
      </c>
      <c r="S137" s="22">
        <f>265-S28</f>
        <v>212</v>
      </c>
      <c r="T137" s="22">
        <f>329-T28</f>
        <v>263</v>
      </c>
      <c r="U137" s="22">
        <f>425-U28</f>
        <v>340</v>
      </c>
      <c r="V137" s="22">
        <f>279-V28</f>
        <v>223</v>
      </c>
      <c r="W137" s="22">
        <f>324-W28</f>
        <v>259</v>
      </c>
      <c r="X137" s="22">
        <f>289-X28</f>
        <v>231</v>
      </c>
      <c r="Y137" s="22">
        <f>213-Y28</f>
        <v>170</v>
      </c>
      <c r="Z137" s="22">
        <f>361-Z28</f>
        <v>289</v>
      </c>
      <c r="AA137" s="22">
        <f>406-AA28</f>
        <v>325</v>
      </c>
      <c r="AB137" s="22">
        <f>239-48</f>
        <v>191</v>
      </c>
      <c r="AC137" s="22">
        <f>459-AC28</f>
        <v>367</v>
      </c>
      <c r="AD137" s="22">
        <v>208</v>
      </c>
      <c r="AE137" s="22">
        <f>344-AE28</f>
        <v>275</v>
      </c>
      <c r="AF137" s="22">
        <f>379-AF28</f>
        <v>303</v>
      </c>
      <c r="AG137" s="22">
        <f>274-AG28</f>
        <v>219</v>
      </c>
      <c r="AH137" s="22">
        <f>313-AH28</f>
        <v>250</v>
      </c>
      <c r="AI137" s="22">
        <f>361-AI28</f>
        <v>289</v>
      </c>
      <c r="AJ137" s="22">
        <f>SUM(E137:AI137)</f>
        <v>5630</v>
      </c>
    </row>
    <row r="138" spans="1:40" x14ac:dyDescent="0.3">
      <c r="A138" s="346"/>
      <c r="B138" s="127" t="s">
        <v>40</v>
      </c>
      <c r="C138" s="10" t="s">
        <v>36</v>
      </c>
      <c r="E138" s="22">
        <v>70</v>
      </c>
      <c r="F138" s="22">
        <v>194</v>
      </c>
      <c r="G138" s="22">
        <v>60</v>
      </c>
      <c r="H138" s="22">
        <v>0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0</v>
      </c>
      <c r="O138" s="22">
        <v>0</v>
      </c>
      <c r="P138" s="22">
        <v>0</v>
      </c>
      <c r="Q138" s="22">
        <v>202</v>
      </c>
      <c r="R138" s="22">
        <v>161</v>
      </c>
      <c r="S138" s="22">
        <v>161</v>
      </c>
      <c r="T138" s="22">
        <v>199</v>
      </c>
      <c r="U138" s="22">
        <v>257</v>
      </c>
      <c r="V138" s="22">
        <v>169</v>
      </c>
      <c r="W138" s="22">
        <v>197</v>
      </c>
      <c r="X138" s="22">
        <v>175</v>
      </c>
      <c r="Y138" s="22">
        <v>129</v>
      </c>
      <c r="Z138" s="22">
        <v>219</v>
      </c>
      <c r="AA138" s="22">
        <v>246</v>
      </c>
      <c r="AB138" s="22">
        <v>145</v>
      </c>
      <c r="AC138" s="22">
        <v>278</v>
      </c>
      <c r="AD138" s="22">
        <v>274</v>
      </c>
      <c r="AE138" s="22">
        <v>209</v>
      </c>
      <c r="AF138" s="22">
        <v>230</v>
      </c>
      <c r="AG138" s="22">
        <v>166</v>
      </c>
      <c r="AH138" s="22">
        <v>190</v>
      </c>
      <c r="AI138" s="22">
        <v>219</v>
      </c>
      <c r="AJ138" s="22">
        <f>SUM(E138:AI138)</f>
        <v>4150</v>
      </c>
      <c r="AK138" s="283"/>
    </row>
    <row r="140" spans="1:40" x14ac:dyDescent="0.3">
      <c r="A140" s="347" t="s">
        <v>117</v>
      </c>
      <c r="B140" s="127" t="s">
        <v>119</v>
      </c>
      <c r="C140" s="10" t="s">
        <v>36</v>
      </c>
      <c r="E140" s="3">
        <v>110</v>
      </c>
      <c r="F140" s="3">
        <v>200</v>
      </c>
      <c r="G140" s="3">
        <v>381</v>
      </c>
      <c r="H140" s="3">
        <v>289</v>
      </c>
      <c r="I140" s="3">
        <v>300</v>
      </c>
      <c r="J140" s="3">
        <v>100</v>
      </c>
      <c r="K140" s="3">
        <v>393</v>
      </c>
      <c r="L140" s="3">
        <v>100</v>
      </c>
      <c r="M140" s="2">
        <v>120</v>
      </c>
      <c r="N140" s="3">
        <v>200</v>
      </c>
      <c r="O140" s="3">
        <v>389</v>
      </c>
      <c r="P140" s="3">
        <v>210</v>
      </c>
      <c r="Q140" s="3">
        <v>0</v>
      </c>
      <c r="R140" s="3">
        <v>750</v>
      </c>
      <c r="S140" s="3">
        <v>282</v>
      </c>
      <c r="T140" s="3">
        <v>200</v>
      </c>
      <c r="U140" s="3">
        <v>100</v>
      </c>
      <c r="V140" s="3">
        <v>248</v>
      </c>
      <c r="W140" s="3">
        <v>100</v>
      </c>
      <c r="X140" s="3">
        <v>0</v>
      </c>
      <c r="Y140" s="3">
        <v>0</v>
      </c>
      <c r="Z140" s="3">
        <v>0</v>
      </c>
      <c r="AA140" s="3">
        <v>0</v>
      </c>
      <c r="AB140" s="3">
        <v>272</v>
      </c>
      <c r="AC140" s="3">
        <v>240</v>
      </c>
      <c r="AD140" s="3">
        <v>200</v>
      </c>
      <c r="AE140" s="3">
        <v>200</v>
      </c>
      <c r="AF140" s="3">
        <v>200</v>
      </c>
      <c r="AG140" s="3">
        <v>150</v>
      </c>
      <c r="AH140" s="3">
        <v>100</v>
      </c>
      <c r="AI140" s="3">
        <v>100</v>
      </c>
      <c r="AJ140" s="22">
        <f>SUM(E140:AI140)</f>
        <v>5934</v>
      </c>
      <c r="AK140" s="3"/>
    </row>
    <row r="141" spans="1:40" x14ac:dyDescent="0.3">
      <c r="A141" s="347"/>
      <c r="B141" s="127" t="s">
        <v>120</v>
      </c>
      <c r="C141" s="10" t="s">
        <v>36</v>
      </c>
      <c r="E141" s="3">
        <f t="shared" ref="E141:W141" si="66">E107+E108+E109+E110-E140</f>
        <v>784</v>
      </c>
      <c r="F141" s="3">
        <f t="shared" si="66"/>
        <v>1146</v>
      </c>
      <c r="G141" s="3">
        <f t="shared" si="66"/>
        <v>577</v>
      </c>
      <c r="H141" s="3">
        <f t="shared" si="66"/>
        <v>1168</v>
      </c>
      <c r="I141" s="3">
        <f t="shared" si="66"/>
        <v>1235</v>
      </c>
      <c r="J141" s="3">
        <f t="shared" si="66"/>
        <v>958</v>
      </c>
      <c r="K141" s="3">
        <f t="shared" si="66"/>
        <v>890</v>
      </c>
      <c r="L141" s="3">
        <f t="shared" si="66"/>
        <v>524</v>
      </c>
      <c r="M141" s="3">
        <f t="shared" si="66"/>
        <v>1237</v>
      </c>
      <c r="N141" s="3">
        <f t="shared" si="66"/>
        <v>719</v>
      </c>
      <c r="O141" s="3">
        <f t="shared" si="66"/>
        <v>1236</v>
      </c>
      <c r="P141" s="3">
        <f t="shared" si="66"/>
        <v>738</v>
      </c>
      <c r="Q141" s="3">
        <f t="shared" si="66"/>
        <v>1233</v>
      </c>
      <c r="R141" s="3">
        <f t="shared" si="66"/>
        <v>655</v>
      </c>
      <c r="S141" s="3">
        <f t="shared" si="66"/>
        <v>631</v>
      </c>
      <c r="T141" s="3">
        <f t="shared" si="66"/>
        <v>791</v>
      </c>
      <c r="U141" s="3">
        <f t="shared" si="66"/>
        <v>1603</v>
      </c>
      <c r="V141" s="3">
        <f t="shared" si="66"/>
        <v>471</v>
      </c>
      <c r="W141" s="3">
        <f t="shared" si="66"/>
        <v>2233</v>
      </c>
      <c r="X141" s="3">
        <f t="shared" ref="X141:AI141" si="67">X107+X108+X109+X110-X140</f>
        <v>856</v>
      </c>
      <c r="Y141" s="3">
        <f t="shared" si="67"/>
        <v>1939</v>
      </c>
      <c r="Z141" s="3">
        <f t="shared" si="67"/>
        <v>542</v>
      </c>
      <c r="AA141" s="3">
        <f t="shared" si="67"/>
        <v>2208</v>
      </c>
      <c r="AB141" s="3">
        <f t="shared" si="67"/>
        <v>619</v>
      </c>
      <c r="AC141" s="3">
        <f t="shared" si="67"/>
        <v>1687</v>
      </c>
      <c r="AD141" s="3">
        <f t="shared" si="67"/>
        <v>1468</v>
      </c>
      <c r="AE141" s="3">
        <f t="shared" si="67"/>
        <v>1082</v>
      </c>
      <c r="AF141" s="3">
        <f t="shared" si="67"/>
        <v>1214</v>
      </c>
      <c r="AG141" s="3">
        <f t="shared" si="67"/>
        <v>1885</v>
      </c>
      <c r="AH141" s="3">
        <f t="shared" si="67"/>
        <v>1303</v>
      </c>
      <c r="AI141" s="3">
        <f t="shared" si="67"/>
        <v>427</v>
      </c>
      <c r="AJ141" s="22">
        <f>SUM(E141:AI141)</f>
        <v>34059</v>
      </c>
      <c r="AL141">
        <f>AJ140+AJ142</f>
        <v>28604</v>
      </c>
    </row>
    <row r="142" spans="1:40" x14ac:dyDescent="0.3">
      <c r="A142" s="347" t="s">
        <v>118</v>
      </c>
      <c r="B142" s="127" t="s">
        <v>119</v>
      </c>
      <c r="C142" s="10" t="s">
        <v>36</v>
      </c>
      <c r="E142" s="3">
        <v>505</v>
      </c>
      <c r="F142" s="3">
        <v>1058</v>
      </c>
      <c r="G142" s="3">
        <v>543</v>
      </c>
      <c r="H142" s="3">
        <v>417</v>
      </c>
      <c r="I142" s="3">
        <v>1010</v>
      </c>
      <c r="J142" s="3">
        <v>883</v>
      </c>
      <c r="K142" s="3">
        <v>704</v>
      </c>
      <c r="L142" s="3">
        <v>840</v>
      </c>
      <c r="M142" s="2">
        <v>415</v>
      </c>
      <c r="N142" s="3">
        <v>600</v>
      </c>
      <c r="O142" s="3">
        <v>695</v>
      </c>
      <c r="P142" s="3">
        <v>890</v>
      </c>
      <c r="Q142" s="3">
        <v>532</v>
      </c>
      <c r="R142" s="3">
        <v>500</v>
      </c>
      <c r="S142" s="3">
        <v>572</v>
      </c>
      <c r="T142" s="3">
        <v>600</v>
      </c>
      <c r="U142" s="3">
        <v>1019</v>
      </c>
      <c r="V142" s="3">
        <v>747</v>
      </c>
      <c r="W142" s="3">
        <v>400</v>
      </c>
      <c r="X142" s="3">
        <v>700</v>
      </c>
      <c r="Y142" s="3">
        <v>735</v>
      </c>
      <c r="Z142" s="3">
        <v>1000</v>
      </c>
      <c r="AA142" s="3">
        <v>1090</v>
      </c>
      <c r="AB142" s="3">
        <v>745</v>
      </c>
      <c r="AC142" s="3">
        <v>780</v>
      </c>
      <c r="AD142" s="3">
        <v>1000</v>
      </c>
      <c r="AE142" s="3">
        <v>710</v>
      </c>
      <c r="AF142" s="3">
        <v>780</v>
      </c>
      <c r="AG142" s="3">
        <v>550</v>
      </c>
      <c r="AH142" s="3">
        <v>850</v>
      </c>
      <c r="AI142" s="3">
        <v>800</v>
      </c>
      <c r="AJ142" s="22">
        <f>SUM(E142:AI142)</f>
        <v>22670</v>
      </c>
      <c r="AK142" s="3"/>
      <c r="AL142">
        <f>AJ141+AJ143</f>
        <v>96615</v>
      </c>
      <c r="AN142" s="54">
        <f>AL141/AL32</f>
        <v>7.1878557302568924E-2</v>
      </c>
    </row>
    <row r="143" spans="1:40" x14ac:dyDescent="0.3">
      <c r="A143" s="347"/>
      <c r="B143" s="127" t="s">
        <v>120</v>
      </c>
      <c r="C143" s="10" t="s">
        <v>36</v>
      </c>
      <c r="E143" s="3">
        <f t="shared" ref="E143:W143" si="68">E111+E112-E142</f>
        <v>583</v>
      </c>
      <c r="F143" s="3">
        <f t="shared" si="68"/>
        <v>1756</v>
      </c>
      <c r="G143" s="3">
        <f t="shared" si="68"/>
        <v>1671</v>
      </c>
      <c r="H143" s="3">
        <f t="shared" si="68"/>
        <v>1063</v>
      </c>
      <c r="I143" s="3">
        <f t="shared" si="68"/>
        <v>1517</v>
      </c>
      <c r="J143" s="3">
        <f t="shared" si="68"/>
        <v>1817</v>
      </c>
      <c r="K143" s="3">
        <f t="shared" si="68"/>
        <v>1818</v>
      </c>
      <c r="L143" s="3">
        <f t="shared" si="68"/>
        <v>1361</v>
      </c>
      <c r="M143" s="3">
        <f t="shared" si="68"/>
        <v>1170</v>
      </c>
      <c r="N143" s="3">
        <f t="shared" si="68"/>
        <v>1587</v>
      </c>
      <c r="O143" s="3">
        <f t="shared" si="68"/>
        <v>2258</v>
      </c>
      <c r="P143" s="3">
        <f t="shared" si="68"/>
        <v>836</v>
      </c>
      <c r="Q143" s="3">
        <f t="shared" si="68"/>
        <v>2600</v>
      </c>
      <c r="R143" s="3">
        <f t="shared" si="68"/>
        <v>2072</v>
      </c>
      <c r="S143" s="3">
        <f t="shared" si="68"/>
        <v>1938</v>
      </c>
      <c r="T143" s="3">
        <f t="shared" si="68"/>
        <v>2538</v>
      </c>
      <c r="U143" s="3">
        <f t="shared" si="68"/>
        <v>2858</v>
      </c>
      <c r="V143" s="3">
        <f t="shared" si="68"/>
        <v>1889</v>
      </c>
      <c r="W143" s="3">
        <f t="shared" si="68"/>
        <v>2563</v>
      </c>
      <c r="X143" s="3">
        <f t="shared" ref="X143:AI143" si="69">X111+X112-X142</f>
        <v>1930</v>
      </c>
      <c r="Y143" s="3">
        <f t="shared" si="69"/>
        <v>1273</v>
      </c>
      <c r="Z143" s="3">
        <f t="shared" si="69"/>
        <v>2290</v>
      </c>
      <c r="AA143" s="3">
        <f t="shared" si="69"/>
        <v>2726</v>
      </c>
      <c r="AB143" s="3">
        <f t="shared" si="69"/>
        <v>1647</v>
      </c>
      <c r="AC143" s="3">
        <f t="shared" si="69"/>
        <v>3608</v>
      </c>
      <c r="AD143" s="3">
        <f t="shared" si="69"/>
        <v>2500</v>
      </c>
      <c r="AE143" s="3">
        <f t="shared" si="69"/>
        <v>2799</v>
      </c>
      <c r="AF143" s="3">
        <f t="shared" si="69"/>
        <v>2798</v>
      </c>
      <c r="AG143" s="3">
        <f t="shared" si="69"/>
        <v>2130</v>
      </c>
      <c r="AH143" s="3">
        <f t="shared" si="69"/>
        <v>2093</v>
      </c>
      <c r="AI143" s="3">
        <f t="shared" si="69"/>
        <v>2867</v>
      </c>
      <c r="AJ143" s="22">
        <f>SUM(E143:AI143)</f>
        <v>62556</v>
      </c>
      <c r="AN143" s="54">
        <f>AL142/AL32</f>
        <v>0.24278236658466285</v>
      </c>
    </row>
    <row r="144" spans="1:40" x14ac:dyDescent="0.3">
      <c r="A144" s="2"/>
      <c r="B144" s="128"/>
      <c r="C144" s="129"/>
      <c r="P144" s="130"/>
      <c r="Q144" s="130"/>
      <c r="R144" s="130"/>
      <c r="S144" s="130"/>
      <c r="T144" s="130"/>
      <c r="U144" s="130"/>
      <c r="V144" s="130"/>
    </row>
    <row r="145" spans="1:37" x14ac:dyDescent="0.3">
      <c r="B145" s="128" t="s">
        <v>121</v>
      </c>
      <c r="P145" s="130"/>
      <c r="Q145" s="130"/>
      <c r="R145" s="130"/>
      <c r="S145" s="130"/>
      <c r="T145" s="130"/>
      <c r="U145" s="130"/>
      <c r="V145" s="130"/>
    </row>
    <row r="146" spans="1:37" x14ac:dyDescent="0.3">
      <c r="A146" s="24"/>
      <c r="B146" s="345" t="s">
        <v>122</v>
      </c>
      <c r="C146" s="10" t="s">
        <v>117</v>
      </c>
      <c r="D146" s="10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>
        <f>SUM(E146:AH146)</f>
        <v>0</v>
      </c>
    </row>
    <row r="147" spans="1:37" x14ac:dyDescent="0.3">
      <c r="A147" s="24"/>
      <c r="B147" s="345"/>
      <c r="C147" s="10" t="s">
        <v>118</v>
      </c>
      <c r="D147" s="10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>
        <f>SUM(E147:AH147)</f>
        <v>0</v>
      </c>
    </row>
    <row r="148" spans="1:37" x14ac:dyDescent="0.3">
      <c r="A148" s="24"/>
      <c r="B148" s="345" t="s">
        <v>123</v>
      </c>
      <c r="C148" s="10" t="s">
        <v>117</v>
      </c>
      <c r="D148" s="10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>
        <f>SUM(E148:AH148)</f>
        <v>0</v>
      </c>
    </row>
    <row r="149" spans="1:37" x14ac:dyDescent="0.3">
      <c r="A149" s="24"/>
      <c r="B149" s="345"/>
      <c r="C149" s="10" t="s">
        <v>118</v>
      </c>
      <c r="D149" s="10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>
        <f>SUM(E149:AH149)</f>
        <v>0</v>
      </c>
    </row>
    <row r="150" spans="1:37" x14ac:dyDescent="0.3">
      <c r="B150" s="275"/>
      <c r="M150" s="3"/>
    </row>
    <row r="151" spans="1:37" x14ac:dyDescent="0.3">
      <c r="B151" s="44" t="s">
        <v>256</v>
      </c>
      <c r="E151" s="84">
        <f>E43+E56</f>
        <v>11963780</v>
      </c>
      <c r="F151" s="84">
        <f t="shared" ref="F151:AH151" si="70">F43+F56</f>
        <v>11641345</v>
      </c>
      <c r="G151" s="84">
        <f t="shared" si="70"/>
        <v>9982719</v>
      </c>
      <c r="H151" s="84">
        <f t="shared" si="70"/>
        <v>9992824</v>
      </c>
      <c r="I151" s="84">
        <f t="shared" si="70"/>
        <v>9688864</v>
      </c>
      <c r="J151" s="84">
        <f t="shared" si="70"/>
        <v>10289020</v>
      </c>
      <c r="K151" s="84">
        <f t="shared" si="70"/>
        <v>11277370</v>
      </c>
      <c r="L151" s="84">
        <f t="shared" si="70"/>
        <v>11445735</v>
      </c>
      <c r="M151" s="84">
        <f t="shared" si="70"/>
        <v>11386040</v>
      </c>
      <c r="N151" s="84">
        <f t="shared" si="70"/>
        <v>11614768</v>
      </c>
      <c r="O151" s="84">
        <f t="shared" si="70"/>
        <v>12013749</v>
      </c>
      <c r="P151" s="84">
        <f t="shared" si="70"/>
        <v>11794726</v>
      </c>
      <c r="Q151" s="84">
        <f t="shared" si="70"/>
        <v>10127536</v>
      </c>
      <c r="R151" s="84">
        <f t="shared" si="70"/>
        <v>5307543</v>
      </c>
      <c r="S151" s="84">
        <f t="shared" si="70"/>
        <v>11883126</v>
      </c>
      <c r="T151" s="84">
        <f t="shared" si="70"/>
        <v>11936364</v>
      </c>
      <c r="U151" s="84">
        <f t="shared" si="70"/>
        <v>11619448</v>
      </c>
      <c r="V151" s="84">
        <f t="shared" si="70"/>
        <v>11627810</v>
      </c>
      <c r="W151" s="84">
        <f>W43+W56</f>
        <v>11721225</v>
      </c>
      <c r="X151" s="84">
        <f t="shared" si="70"/>
        <v>11730010</v>
      </c>
      <c r="Y151" s="84">
        <f t="shared" si="70"/>
        <v>11920347</v>
      </c>
      <c r="Z151" s="84">
        <f t="shared" si="70"/>
        <v>11734548</v>
      </c>
      <c r="AA151" s="84">
        <f t="shared" si="70"/>
        <v>11709662</v>
      </c>
      <c r="AB151" s="84">
        <f t="shared" si="70"/>
        <v>11441684</v>
      </c>
      <c r="AC151" s="84">
        <f t="shared" si="70"/>
        <v>11766902</v>
      </c>
      <c r="AD151" s="84">
        <f t="shared" si="70"/>
        <v>11911883</v>
      </c>
      <c r="AE151" s="84">
        <f t="shared" si="70"/>
        <v>11871302</v>
      </c>
      <c r="AF151" s="84">
        <f t="shared" si="70"/>
        <v>11516498</v>
      </c>
      <c r="AG151" s="84">
        <f t="shared" si="70"/>
        <v>11582684</v>
      </c>
      <c r="AH151" s="84">
        <f t="shared" si="70"/>
        <v>11547580</v>
      </c>
      <c r="AI151" s="84">
        <f>AI43+AI56</f>
        <v>11980607</v>
      </c>
      <c r="AJ151" s="84">
        <f>AJ43+AJ56</f>
        <v>348027699</v>
      </c>
      <c r="AK151" s="117">
        <f>AJ151/(AJ89+AJ90)</f>
        <v>733.42331594752648</v>
      </c>
    </row>
    <row r="152" spans="1:37" x14ac:dyDescent="0.3">
      <c r="B152" s="44" t="s">
        <v>250</v>
      </c>
      <c r="E152" s="276">
        <f>(E48+E61)/E151</f>
        <v>0.28117066679594577</v>
      </c>
      <c r="F152" s="276">
        <f t="shared" ref="F152:AJ152" si="71">(F48+F61)/F151</f>
        <v>0.28131981313155824</v>
      </c>
      <c r="G152" s="276">
        <f t="shared" si="71"/>
        <v>0.28401079906185878</v>
      </c>
      <c r="H152" s="276">
        <f t="shared" si="71"/>
        <v>0.28885378147358542</v>
      </c>
      <c r="I152" s="276">
        <f t="shared" si="71"/>
        <v>0.29158010681128355</v>
      </c>
      <c r="J152" s="276">
        <f t="shared" si="71"/>
        <v>0.29341433878056411</v>
      </c>
      <c r="K152" s="276">
        <f t="shared" si="71"/>
        <v>0.32271265374816999</v>
      </c>
      <c r="L152" s="276">
        <f t="shared" si="71"/>
        <v>0.39062235845928639</v>
      </c>
      <c r="M152" s="276">
        <f t="shared" si="71"/>
        <v>0.40979761181235969</v>
      </c>
      <c r="N152" s="276">
        <f t="shared" si="71"/>
        <v>0.39731228380971534</v>
      </c>
      <c r="O152" s="276">
        <f t="shared" si="71"/>
        <v>0.39744587638712947</v>
      </c>
      <c r="P152" s="276">
        <f t="shared" si="71"/>
        <v>0.39885029970174807</v>
      </c>
      <c r="Q152" s="276">
        <f t="shared" si="71"/>
        <v>0.38185892402653521</v>
      </c>
      <c r="R152" s="276">
        <f t="shared" si="71"/>
        <v>0.28465563067506</v>
      </c>
      <c r="S152" s="276">
        <f t="shared" si="71"/>
        <v>0.4317550785879069</v>
      </c>
      <c r="T152" s="276">
        <f t="shared" si="71"/>
        <v>0.39602805343402731</v>
      </c>
      <c r="U152" s="276">
        <f t="shared" si="71"/>
        <v>0.39323270778439734</v>
      </c>
      <c r="V152" s="276">
        <f t="shared" si="71"/>
        <v>0.41139088099994753</v>
      </c>
      <c r="W152" s="276">
        <f t="shared" si="71"/>
        <v>0.3938402342758543</v>
      </c>
      <c r="X152" s="276">
        <f t="shared" si="71"/>
        <v>0.41890245617863925</v>
      </c>
      <c r="Y152" s="276">
        <f t="shared" si="71"/>
        <v>0.41286566573942857</v>
      </c>
      <c r="Z152" s="276">
        <f t="shared" si="71"/>
        <v>0.41305127389653185</v>
      </c>
      <c r="AA152" s="276">
        <f t="shared" si="71"/>
        <v>0.42992316943050962</v>
      </c>
      <c r="AB152" s="276">
        <f t="shared" si="71"/>
        <v>0.42243606797740613</v>
      </c>
      <c r="AC152" s="276">
        <f t="shared" si="71"/>
        <v>0.42368798516380946</v>
      </c>
      <c r="AD152" s="276">
        <f t="shared" si="71"/>
        <v>0.60905567994581544</v>
      </c>
      <c r="AE152" s="276">
        <f t="shared" si="71"/>
        <v>0.63796330006599111</v>
      </c>
      <c r="AF152" s="276">
        <f t="shared" si="71"/>
        <v>0.64151446038544013</v>
      </c>
      <c r="AG152" s="276">
        <f t="shared" si="71"/>
        <v>0.63777661550638864</v>
      </c>
      <c r="AH152" s="276">
        <f t="shared" si="71"/>
        <v>0.40033366298393258</v>
      </c>
      <c r="AI152" s="276">
        <f>(AI48+AI61)/AI151</f>
        <v>0.28701342093935639</v>
      </c>
      <c r="AJ152" s="276">
        <f t="shared" si="71"/>
        <v>0.40651909145886689</v>
      </c>
    </row>
    <row r="153" spans="1:37" x14ac:dyDescent="0.3">
      <c r="B153" s="44" t="s">
        <v>251</v>
      </c>
      <c r="E153" s="276">
        <f>(E52+E65)/E151</f>
        <v>0.31467646513058584</v>
      </c>
      <c r="F153" s="276">
        <f t="shared" ref="F153:AH153" si="72">(F52+F65)/F151</f>
        <v>0.32061372633488655</v>
      </c>
      <c r="G153" s="276">
        <f t="shared" si="72"/>
        <v>0.30280394900427426</v>
      </c>
      <c r="H153" s="276">
        <f t="shared" si="72"/>
        <v>0.37649217078175301</v>
      </c>
      <c r="I153" s="276">
        <f t="shared" si="72"/>
        <v>0.39006843320331464</v>
      </c>
      <c r="J153" s="276">
        <f t="shared" si="72"/>
        <v>0.36142509199126838</v>
      </c>
      <c r="K153" s="276">
        <f t="shared" si="72"/>
        <v>0.43640715876130692</v>
      </c>
      <c r="L153" s="276">
        <f t="shared" si="72"/>
        <v>0.48860164943535739</v>
      </c>
      <c r="M153" s="276">
        <f t="shared" si="72"/>
        <v>0.50733222437300418</v>
      </c>
      <c r="N153" s="276">
        <f t="shared" si="72"/>
        <v>0.50066777054866696</v>
      </c>
      <c r="O153" s="276">
        <f t="shared" si="72"/>
        <v>0.49315163817722513</v>
      </c>
      <c r="P153" s="276">
        <f t="shared" si="72"/>
        <v>0.48893666542147735</v>
      </c>
      <c r="Q153" s="276">
        <f t="shared" si="72"/>
        <v>0.50633688194245863</v>
      </c>
      <c r="R153" s="276">
        <f t="shared" si="72"/>
        <v>0.71539354462130589</v>
      </c>
      <c r="S153" s="276">
        <f t="shared" si="72"/>
        <v>0.52107837617812014</v>
      </c>
      <c r="T153" s="276">
        <f t="shared" si="72"/>
        <v>0.50524095947476133</v>
      </c>
      <c r="U153" s="276">
        <f t="shared" si="72"/>
        <v>0.49657350331960692</v>
      </c>
      <c r="V153" s="276">
        <f t="shared" si="72"/>
        <v>0.51695719142297647</v>
      </c>
      <c r="W153" s="276">
        <f t="shared" si="72"/>
        <v>0.50333049659911822</v>
      </c>
      <c r="X153" s="276">
        <f t="shared" si="72"/>
        <v>0.52241558191339987</v>
      </c>
      <c r="Y153" s="276">
        <f t="shared" si="72"/>
        <v>0.49925518107820183</v>
      </c>
      <c r="Z153" s="276">
        <f t="shared" si="72"/>
        <v>0.50088337445975761</v>
      </c>
      <c r="AA153" s="276">
        <f t="shared" si="72"/>
        <v>0.47499236100922471</v>
      </c>
      <c r="AB153" s="276">
        <f t="shared" si="72"/>
        <v>0.51326850138493596</v>
      </c>
      <c r="AC153" s="276">
        <f t="shared" si="72"/>
        <v>0.50941445760319926</v>
      </c>
      <c r="AD153" s="276">
        <f t="shared" si="72"/>
        <v>0.321223353184379</v>
      </c>
      <c r="AE153" s="276">
        <f t="shared" si="72"/>
        <v>0.30402781430377224</v>
      </c>
      <c r="AF153" s="276">
        <f t="shared" si="72"/>
        <v>0.29187779132163266</v>
      </c>
      <c r="AG153" s="276">
        <f t="shared" si="72"/>
        <v>0.3090721459723843</v>
      </c>
      <c r="AH153" s="276">
        <f t="shared" si="72"/>
        <v>0.56762022865396911</v>
      </c>
      <c r="AI153" s="276">
        <f>(AI52+AI65)/AI151</f>
        <v>0.45752164310205651</v>
      </c>
      <c r="AJ153" s="276">
        <f>(AJ52+AJ65)/AJ151</f>
        <v>0.44882695309547765</v>
      </c>
    </row>
    <row r="154" spans="1:37" x14ac:dyDescent="0.3">
      <c r="B154" s="44" t="s">
        <v>252</v>
      </c>
      <c r="E154" s="276">
        <f>E57/E151</f>
        <v>6.1542087868549908E-2</v>
      </c>
      <c r="F154" s="276">
        <f t="shared" ref="F154:AJ154" si="73">F57/F151</f>
        <v>6.6004744297158108E-2</v>
      </c>
      <c r="G154" s="276">
        <f t="shared" si="73"/>
        <v>0.10285392276392834</v>
      </c>
      <c r="H154" s="276">
        <f t="shared" si="73"/>
        <v>0</v>
      </c>
      <c r="I154" s="276">
        <f t="shared" si="73"/>
        <v>0</v>
      </c>
      <c r="J154" s="276">
        <f t="shared" si="73"/>
        <v>0</v>
      </c>
      <c r="K154" s="276">
        <f t="shared" si="73"/>
        <v>0</v>
      </c>
      <c r="L154" s="276">
        <f t="shared" si="73"/>
        <v>0</v>
      </c>
      <c r="M154" s="276">
        <f t="shared" si="73"/>
        <v>0</v>
      </c>
      <c r="N154" s="276">
        <f t="shared" si="73"/>
        <v>0</v>
      </c>
      <c r="O154" s="276">
        <f t="shared" si="73"/>
        <v>0</v>
      </c>
      <c r="P154" s="276">
        <f t="shared" si="73"/>
        <v>0</v>
      </c>
      <c r="Q154" s="276">
        <f t="shared" si="73"/>
        <v>0</v>
      </c>
      <c r="R154" s="276">
        <f t="shared" si="73"/>
        <v>0</v>
      </c>
      <c r="S154" s="276">
        <f t="shared" si="73"/>
        <v>0</v>
      </c>
      <c r="T154" s="276">
        <f t="shared" si="73"/>
        <v>0</v>
      </c>
      <c r="U154" s="276">
        <f t="shared" si="73"/>
        <v>0</v>
      </c>
      <c r="V154" s="276">
        <f t="shared" si="73"/>
        <v>0</v>
      </c>
      <c r="W154" s="276">
        <f t="shared" si="73"/>
        <v>0</v>
      </c>
      <c r="X154" s="276">
        <f t="shared" si="73"/>
        <v>0</v>
      </c>
      <c r="Y154" s="276">
        <f t="shared" si="73"/>
        <v>0</v>
      </c>
      <c r="Z154" s="276">
        <f t="shared" si="73"/>
        <v>0</v>
      </c>
      <c r="AA154" s="276">
        <f t="shared" si="73"/>
        <v>0</v>
      </c>
      <c r="AB154" s="276">
        <f t="shared" si="73"/>
        <v>0</v>
      </c>
      <c r="AC154" s="276">
        <f t="shared" si="73"/>
        <v>0</v>
      </c>
      <c r="AD154" s="276">
        <f t="shared" si="73"/>
        <v>0</v>
      </c>
      <c r="AE154" s="276">
        <f t="shared" si="73"/>
        <v>0</v>
      </c>
      <c r="AF154" s="276">
        <f t="shared" si="73"/>
        <v>0</v>
      </c>
      <c r="AG154" s="276">
        <f t="shared" si="73"/>
        <v>0</v>
      </c>
      <c r="AH154" s="276">
        <f t="shared" si="73"/>
        <v>0</v>
      </c>
      <c r="AI154" s="276">
        <f>AI57/AI151</f>
        <v>0</v>
      </c>
      <c r="AJ154" s="276">
        <f t="shared" si="73"/>
        <v>7.2736216579129239E-3</v>
      </c>
    </row>
    <row r="155" spans="1:37" x14ac:dyDescent="0.3">
      <c r="B155" s="44" t="s">
        <v>253</v>
      </c>
      <c r="E155" s="276">
        <f>E44/E151</f>
        <v>0.21520957423155557</v>
      </c>
      <c r="F155" s="276">
        <f t="shared" ref="F155:AJ155" si="74">F44/F151</f>
        <v>0.20601605742291806</v>
      </c>
      <c r="G155" s="276">
        <f t="shared" si="74"/>
        <v>0.20003528096904261</v>
      </c>
      <c r="H155" s="276">
        <f t="shared" si="74"/>
        <v>0.20549896605804324</v>
      </c>
      <c r="I155" s="276">
        <f t="shared" si="74"/>
        <v>0.20184657355083113</v>
      </c>
      <c r="J155" s="276">
        <f t="shared" si="74"/>
        <v>0.21583163411092601</v>
      </c>
      <c r="K155" s="276">
        <f t="shared" si="74"/>
        <v>0.12338328883418741</v>
      </c>
      <c r="L155" s="276">
        <f t="shared" si="74"/>
        <v>0</v>
      </c>
      <c r="M155" s="276">
        <f t="shared" si="74"/>
        <v>0</v>
      </c>
      <c r="N155" s="276">
        <f t="shared" si="74"/>
        <v>0</v>
      </c>
      <c r="O155" s="276">
        <f t="shared" si="74"/>
        <v>0</v>
      </c>
      <c r="P155" s="276">
        <f t="shared" si="74"/>
        <v>0</v>
      </c>
      <c r="Q155" s="276">
        <f t="shared" si="74"/>
        <v>0</v>
      </c>
      <c r="R155" s="276">
        <f t="shared" si="74"/>
        <v>0</v>
      </c>
      <c r="S155" s="276">
        <f t="shared" si="74"/>
        <v>0</v>
      </c>
      <c r="T155" s="276">
        <f t="shared" si="74"/>
        <v>0</v>
      </c>
      <c r="U155" s="276">
        <f t="shared" si="74"/>
        <v>0</v>
      </c>
      <c r="V155" s="276">
        <f t="shared" si="74"/>
        <v>0</v>
      </c>
      <c r="W155" s="276">
        <f t="shared" si="74"/>
        <v>0</v>
      </c>
      <c r="X155" s="276">
        <f t="shared" si="74"/>
        <v>0</v>
      </c>
      <c r="Y155" s="276">
        <f t="shared" si="74"/>
        <v>0</v>
      </c>
      <c r="Z155" s="276">
        <f t="shared" si="74"/>
        <v>0</v>
      </c>
      <c r="AA155" s="276">
        <f t="shared" si="74"/>
        <v>0</v>
      </c>
      <c r="AB155" s="276">
        <f t="shared" si="74"/>
        <v>0</v>
      </c>
      <c r="AC155" s="276">
        <f t="shared" si="74"/>
        <v>0</v>
      </c>
      <c r="AD155" s="276">
        <f t="shared" si="74"/>
        <v>0</v>
      </c>
      <c r="AE155" s="276">
        <f t="shared" si="74"/>
        <v>0</v>
      </c>
      <c r="AF155" s="276">
        <f t="shared" si="74"/>
        <v>0</v>
      </c>
      <c r="AG155" s="276">
        <f t="shared" si="74"/>
        <v>0</v>
      </c>
      <c r="AH155" s="276">
        <f t="shared" si="74"/>
        <v>0</v>
      </c>
      <c r="AI155" s="276">
        <f>AI44/AI151</f>
        <v>0.25117291636392047</v>
      </c>
      <c r="AJ155" s="276">
        <f t="shared" si="74"/>
        <v>5.0571945999045326E-2</v>
      </c>
    </row>
    <row r="156" spans="1:37" x14ac:dyDescent="0.3">
      <c r="B156" s="44" t="s">
        <v>254</v>
      </c>
      <c r="E156" s="276">
        <f>((E118*E119)+(E122*E123))/E151</f>
        <v>5.3968043544765955E-3</v>
      </c>
      <c r="F156" s="276">
        <f t="shared" ref="F156:AJ156" si="75">((F118*F119)+(F122*F123))/F151</f>
        <v>3.9804713286995608E-3</v>
      </c>
      <c r="G156" s="276">
        <f t="shared" si="75"/>
        <v>8.1839617042210652E-3</v>
      </c>
      <c r="H156" s="276">
        <f t="shared" si="75"/>
        <v>0</v>
      </c>
      <c r="I156" s="276">
        <f t="shared" si="75"/>
        <v>7.9726746087054167E-3</v>
      </c>
      <c r="J156" s="276">
        <f t="shared" si="75"/>
        <v>2.056625801096703E-2</v>
      </c>
      <c r="K156" s="276">
        <f t="shared" si="75"/>
        <v>2.5611689604934482E-3</v>
      </c>
      <c r="L156" s="276">
        <f t="shared" si="75"/>
        <v>0</v>
      </c>
      <c r="M156" s="276">
        <f t="shared" si="75"/>
        <v>5.1241353446852458E-3</v>
      </c>
      <c r="N156" s="276">
        <f t="shared" si="75"/>
        <v>0</v>
      </c>
      <c r="O156" s="276">
        <f t="shared" si="75"/>
        <v>0</v>
      </c>
      <c r="P156" s="276">
        <f t="shared" si="75"/>
        <v>0</v>
      </c>
      <c r="Q156" s="276">
        <f t="shared" si="75"/>
        <v>1.2041022613990216E-2</v>
      </c>
      <c r="R156" s="276">
        <f t="shared" si="75"/>
        <v>0</v>
      </c>
      <c r="S156" s="276">
        <f t="shared" si="75"/>
        <v>0</v>
      </c>
      <c r="T156" s="276">
        <f t="shared" si="75"/>
        <v>6.5752686496490893E-3</v>
      </c>
      <c r="U156" s="276">
        <f t="shared" si="75"/>
        <v>1.9793220813931953E-2</v>
      </c>
      <c r="V156" s="276">
        <f t="shared" si="75"/>
        <v>0</v>
      </c>
      <c r="W156" s="276">
        <f t="shared" si="75"/>
        <v>1.1545144812082355E-2</v>
      </c>
      <c r="X156" s="276">
        <f t="shared" si="75"/>
        <v>0</v>
      </c>
      <c r="Y156" s="276">
        <f t="shared" si="75"/>
        <v>1.3321187713746923E-2</v>
      </c>
      <c r="Z156" s="276">
        <f t="shared" si="75"/>
        <v>0</v>
      </c>
      <c r="AA156" s="276">
        <f t="shared" si="75"/>
        <v>9.291940279745052E-3</v>
      </c>
      <c r="AB156" s="276">
        <f t="shared" si="75"/>
        <v>7.1797560568881294E-3</v>
      </c>
      <c r="AC156" s="276">
        <f t="shared" si="75"/>
        <v>0</v>
      </c>
      <c r="AD156" s="276">
        <f t="shared" si="75"/>
        <v>4.5792541783696164E-3</v>
      </c>
      <c r="AE156" s="276">
        <f t="shared" si="75"/>
        <v>1.910373436713176E-3</v>
      </c>
      <c r="AF156" s="276">
        <f t="shared" si="75"/>
        <v>6.6088215358523043E-3</v>
      </c>
      <c r="AG156" s="276">
        <f t="shared" si="75"/>
        <v>2.4631734751634424E-3</v>
      </c>
      <c r="AH156" s="276">
        <f t="shared" si="75"/>
        <v>0</v>
      </c>
      <c r="AI156" s="276">
        <f>((AI118*AI119)+(AI122*AI123))/AI151</f>
        <v>4.6030639349074719E-3</v>
      </c>
      <c r="AJ156" s="276">
        <f t="shared" si="75"/>
        <v>4.7870794904746926E-3</v>
      </c>
    </row>
    <row r="157" spans="1:37" x14ac:dyDescent="0.3">
      <c r="B157" s="44" t="s">
        <v>255</v>
      </c>
      <c r="E157" s="276">
        <f>(E92*E94)/E151</f>
        <v>0.12208449169075326</v>
      </c>
      <c r="F157" s="276">
        <f t="shared" ref="F157:AJ157" si="76">(F92*F94)/F151</f>
        <v>0.12261985191573654</v>
      </c>
      <c r="G157" s="276">
        <f t="shared" si="76"/>
        <v>0.10251465557630141</v>
      </c>
      <c r="H157" s="276">
        <f t="shared" si="76"/>
        <v>0.12913266560083517</v>
      </c>
      <c r="I157" s="276">
        <f t="shared" si="76"/>
        <v>0.10842602393841012</v>
      </c>
      <c r="J157" s="276">
        <f t="shared" si="76"/>
        <v>0.10918726953587417</v>
      </c>
      <c r="K157" s="276">
        <f t="shared" si="76"/>
        <v>0.11126175695219719</v>
      </c>
      <c r="L157" s="276">
        <f t="shared" si="76"/>
        <v>0.12060911771939505</v>
      </c>
      <c r="M157" s="276">
        <f t="shared" si="76"/>
        <v>7.7684603250998588E-2</v>
      </c>
      <c r="N157" s="276">
        <f t="shared" si="76"/>
        <v>0.10216992711348173</v>
      </c>
      <c r="O157" s="276">
        <f t="shared" si="76"/>
        <v>0.10919747033170078</v>
      </c>
      <c r="P157" s="276">
        <f t="shared" si="76"/>
        <v>0.1120441458326374</v>
      </c>
      <c r="Q157" s="276">
        <f t="shared" si="76"/>
        <v>0.10001198712105294</v>
      </c>
      <c r="R157" s="276">
        <f t="shared" si="76"/>
        <v>0</v>
      </c>
      <c r="S157" s="276">
        <f t="shared" si="76"/>
        <v>4.7071031646050039E-2</v>
      </c>
      <c r="T157" s="276">
        <f t="shared" si="76"/>
        <v>9.2420103810507123E-2</v>
      </c>
      <c r="U157" s="276">
        <f t="shared" si="76"/>
        <v>9.0497844648041795E-2</v>
      </c>
      <c r="V157" s="276">
        <f t="shared" si="76"/>
        <v>7.160798121056329E-2</v>
      </c>
      <c r="W157" s="276">
        <f t="shared" si="76"/>
        <v>9.1273736320222495E-2</v>
      </c>
      <c r="X157" s="276">
        <f t="shared" si="76"/>
        <v>5.9062183237695451E-2</v>
      </c>
      <c r="Y157" s="276">
        <f t="shared" si="76"/>
        <v>7.4511924862589993E-2</v>
      </c>
      <c r="Z157" s="276">
        <f t="shared" si="76"/>
        <v>8.6253343545912464E-2</v>
      </c>
      <c r="AA157" s="276">
        <f t="shared" si="76"/>
        <v>8.5951242657559199E-2</v>
      </c>
      <c r="AB157" s="276">
        <f t="shared" si="76"/>
        <v>5.7330371997688451E-2</v>
      </c>
      <c r="AC157" s="276">
        <f t="shared" si="76"/>
        <v>6.731763381729533E-2</v>
      </c>
      <c r="AD157" s="276">
        <f t="shared" si="76"/>
        <v>6.5269277745592366E-2</v>
      </c>
      <c r="AE157" s="276">
        <f t="shared" si="76"/>
        <v>5.6275293139707847E-2</v>
      </c>
      <c r="AF157" s="276">
        <f t="shared" si="76"/>
        <v>6.000921460673201E-2</v>
      </c>
      <c r="AG157" s="276">
        <f t="shared" si="76"/>
        <v>5.0627643817270675E-2</v>
      </c>
      <c r="AH157" s="276">
        <f t="shared" si="76"/>
        <v>3.2769290188940023E-2</v>
      </c>
      <c r="AI157" s="276">
        <f>(AI92*AI94)/AI151</f>
        <v>0</v>
      </c>
      <c r="AJ157" s="276">
        <f t="shared" si="76"/>
        <v>8.1873147114074965E-2</v>
      </c>
    </row>
  </sheetData>
  <mergeCells count="6">
    <mergeCell ref="B148:B149"/>
    <mergeCell ref="A135:A136"/>
    <mergeCell ref="A137:A138"/>
    <mergeCell ref="A140:A141"/>
    <mergeCell ref="A142:A143"/>
    <mergeCell ref="B146:B147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51918-1123-456C-98C9-E0D55F387E13}">
  <dimension ref="A1:ZC139"/>
  <sheetViews>
    <sheetView tabSelected="1" zoomScale="88" zoomScaleNormal="100" workbookViewId="0">
      <pane xSplit="4" ySplit="2" topLeftCell="Q3" activePane="bottomRight" state="frozen"/>
      <selection activeCell="AK78" sqref="AK78"/>
      <selection pane="topRight" activeCell="AK78" sqref="AK78"/>
      <selection pane="bottomLeft" activeCell="AK78" sqref="AK78"/>
      <selection pane="bottomRight" activeCell="C75" sqref="C75"/>
    </sheetView>
  </sheetViews>
  <sheetFormatPr defaultColWidth="8.6640625" defaultRowHeight="14.4" x14ac:dyDescent="0.3"/>
  <cols>
    <col min="1" max="1" width="4" customWidth="1"/>
    <col min="2" max="2" width="35.6640625" customWidth="1"/>
    <col min="3" max="3" width="20" style="2" bestFit="1" customWidth="1"/>
    <col min="4" max="4" width="14.33203125" style="2" bestFit="1" customWidth="1"/>
    <col min="5" max="5" width="13.21875" style="3" bestFit="1" customWidth="1"/>
    <col min="6" max="12" width="11" style="3" bestFit="1" customWidth="1"/>
    <col min="13" max="13" width="11" style="2" bestFit="1" customWidth="1"/>
    <col min="14" max="26" width="11" style="3" bestFit="1" customWidth="1"/>
    <col min="27" max="29" width="10.6640625" style="3" customWidth="1"/>
    <col min="30" max="33" width="12.44140625" style="3" customWidth="1"/>
    <col min="34" max="34" width="13" style="3" customWidth="1"/>
    <col min="35" max="35" width="11.109375" style="3" hidden="1" customWidth="1"/>
    <col min="36" max="36" width="15" style="3" bestFit="1" customWidth="1"/>
    <col min="37" max="37" width="14.109375" bestFit="1" customWidth="1"/>
    <col min="38" max="38" width="16" customWidth="1"/>
  </cols>
  <sheetData>
    <row r="1" spans="1:253" ht="28.8" x14ac:dyDescent="0.55000000000000004">
      <c r="A1" s="1" t="s">
        <v>0</v>
      </c>
      <c r="N1"/>
      <c r="O1"/>
      <c r="P1"/>
      <c r="R1"/>
      <c r="S1"/>
      <c r="T1"/>
      <c r="U1"/>
    </row>
    <row r="2" spans="1:253" x14ac:dyDescent="0.3">
      <c r="A2" s="4" t="s">
        <v>1</v>
      </c>
      <c r="B2" s="5" t="s">
        <v>2</v>
      </c>
      <c r="C2" s="4" t="s">
        <v>3</v>
      </c>
      <c r="D2" s="4" t="s">
        <v>4</v>
      </c>
      <c r="E2" s="6">
        <v>45444</v>
      </c>
      <c r="F2" s="6">
        <v>45445</v>
      </c>
      <c r="G2" s="6">
        <v>45446</v>
      </c>
      <c r="H2" s="6">
        <v>45447</v>
      </c>
      <c r="I2" s="6">
        <v>45448</v>
      </c>
      <c r="J2" s="6">
        <v>45449</v>
      </c>
      <c r="K2" s="6">
        <v>45450</v>
      </c>
      <c r="L2" s="6">
        <v>45451</v>
      </c>
      <c r="M2" s="6">
        <v>45452</v>
      </c>
      <c r="N2" s="6">
        <v>45453</v>
      </c>
      <c r="O2" s="6">
        <v>45454</v>
      </c>
      <c r="P2" s="6">
        <v>45455</v>
      </c>
      <c r="Q2" s="6">
        <v>45456</v>
      </c>
      <c r="R2" s="6">
        <v>45457</v>
      </c>
      <c r="S2" s="6">
        <v>45458</v>
      </c>
      <c r="T2" s="6">
        <v>45459</v>
      </c>
      <c r="U2" s="6">
        <v>45460</v>
      </c>
      <c r="V2" s="6">
        <v>45461</v>
      </c>
      <c r="W2" s="6">
        <v>45462</v>
      </c>
      <c r="X2" s="6">
        <v>45463</v>
      </c>
      <c r="Y2" s="6">
        <v>45464</v>
      </c>
      <c r="Z2" s="6">
        <v>45465</v>
      </c>
      <c r="AA2" s="6">
        <v>45466</v>
      </c>
      <c r="AB2" s="6">
        <v>45467</v>
      </c>
      <c r="AC2" s="6">
        <v>45468</v>
      </c>
      <c r="AD2" s="6">
        <v>45469</v>
      </c>
      <c r="AE2" s="6">
        <v>45470</v>
      </c>
      <c r="AF2" s="6">
        <v>45471</v>
      </c>
      <c r="AG2" s="6">
        <v>45472</v>
      </c>
      <c r="AH2" s="6">
        <v>45473</v>
      </c>
      <c r="AI2" s="6"/>
      <c r="AJ2" s="7">
        <v>45444</v>
      </c>
    </row>
    <row r="3" spans="1:253" x14ac:dyDescent="0.3">
      <c r="A3" s="8"/>
      <c r="B3" s="9" t="s">
        <v>5</v>
      </c>
      <c r="C3" s="10" t="s">
        <v>6</v>
      </c>
      <c r="D3" s="10" t="s">
        <v>7</v>
      </c>
      <c r="E3" s="10">
        <f>E79+E80+E84+E85</f>
        <v>13607</v>
      </c>
      <c r="F3" s="10">
        <f t="shared" ref="F3:AH3" si="0">F79+F80+F84+F85</f>
        <v>10956</v>
      </c>
      <c r="G3" s="10">
        <f t="shared" si="0"/>
        <v>13573</v>
      </c>
      <c r="H3" s="10">
        <f t="shared" si="0"/>
        <v>12661</v>
      </c>
      <c r="I3" s="10">
        <f t="shared" si="0"/>
        <v>9337</v>
      </c>
      <c r="J3" s="10">
        <f t="shared" si="0"/>
        <v>15321</v>
      </c>
      <c r="K3" s="10">
        <f t="shared" si="0"/>
        <v>16963</v>
      </c>
      <c r="L3" s="10">
        <f t="shared" si="0"/>
        <v>17512</v>
      </c>
      <c r="M3" s="10">
        <f t="shared" si="0"/>
        <v>14922</v>
      </c>
      <c r="N3" s="10">
        <f t="shared" si="0"/>
        <v>13811</v>
      </c>
      <c r="O3" s="10">
        <f t="shared" si="0"/>
        <v>15398</v>
      </c>
      <c r="P3" s="10">
        <f t="shared" si="0"/>
        <v>15688</v>
      </c>
      <c r="Q3" s="10">
        <f t="shared" si="0"/>
        <v>14115</v>
      </c>
      <c r="R3" s="10">
        <f t="shared" si="0"/>
        <v>17914</v>
      </c>
      <c r="S3" s="10">
        <f t="shared" si="0"/>
        <v>10340</v>
      </c>
      <c r="T3" s="10">
        <f t="shared" si="0"/>
        <v>14712</v>
      </c>
      <c r="U3" s="10">
        <f t="shared" si="0"/>
        <v>16423</v>
      </c>
      <c r="V3" s="10">
        <f t="shared" si="0"/>
        <v>11530</v>
      </c>
      <c r="W3" s="10">
        <f t="shared" si="0"/>
        <v>16285</v>
      </c>
      <c r="X3" s="10">
        <f t="shared" si="0"/>
        <v>14166</v>
      </c>
      <c r="Y3" s="10">
        <f t="shared" si="0"/>
        <v>15700</v>
      </c>
      <c r="Z3" s="10">
        <f t="shared" si="0"/>
        <v>15459</v>
      </c>
      <c r="AA3" s="10">
        <f t="shared" si="0"/>
        <v>10811</v>
      </c>
      <c r="AB3" s="10">
        <f t="shared" si="0"/>
        <v>20047</v>
      </c>
      <c r="AC3" s="10">
        <f t="shared" si="0"/>
        <v>14755</v>
      </c>
      <c r="AD3" s="10">
        <f t="shared" si="0"/>
        <v>7105</v>
      </c>
      <c r="AE3" s="10">
        <f t="shared" si="0"/>
        <v>13741</v>
      </c>
      <c r="AF3" s="10">
        <f t="shared" si="0"/>
        <v>11742</v>
      </c>
      <c r="AG3" s="10">
        <f t="shared" si="0"/>
        <v>9111</v>
      </c>
      <c r="AH3" s="10">
        <f t="shared" si="0"/>
        <v>19756</v>
      </c>
      <c r="AI3" s="10"/>
      <c r="AJ3" s="11">
        <f>SUM(E3:AI3)</f>
        <v>423461</v>
      </c>
      <c r="AK3" s="12">
        <f>AJ3+'Apr-24'!AI3+'May-24'!AJ3</f>
        <v>1108155</v>
      </c>
    </row>
    <row r="4" spans="1:253" x14ac:dyDescent="0.3">
      <c r="A4" s="8"/>
      <c r="B4" s="9" t="s">
        <v>349</v>
      </c>
      <c r="C4" s="10" t="s">
        <v>6</v>
      </c>
      <c r="D4" s="10" t="s">
        <v>7</v>
      </c>
      <c r="E4" s="10">
        <f>E90+E91+E94+E95</f>
        <v>4632</v>
      </c>
      <c r="F4" s="10">
        <f t="shared" ref="F4:AH4" si="1">F90+F91+F94+F95</f>
        <v>3692</v>
      </c>
      <c r="G4" s="10">
        <f t="shared" si="1"/>
        <v>4335</v>
      </c>
      <c r="H4" s="10">
        <f t="shared" si="1"/>
        <v>4279</v>
      </c>
      <c r="I4" s="10">
        <f t="shared" si="1"/>
        <v>2957</v>
      </c>
      <c r="J4" s="10">
        <f t="shared" si="1"/>
        <v>4951</v>
      </c>
      <c r="K4" s="10">
        <f t="shared" si="1"/>
        <v>5751</v>
      </c>
      <c r="L4" s="10">
        <f t="shared" si="1"/>
        <v>5640</v>
      </c>
      <c r="M4" s="10">
        <f t="shared" si="1"/>
        <v>4932</v>
      </c>
      <c r="N4" s="10">
        <f t="shared" si="1"/>
        <v>4601</v>
      </c>
      <c r="O4" s="10">
        <f>O90+O91+O94+O95</f>
        <v>5127</v>
      </c>
      <c r="P4" s="10">
        <f>P90+P91+P94+P95</f>
        <v>5358</v>
      </c>
      <c r="Q4" s="10">
        <f>Q90+Q91+Q94+Q95</f>
        <v>4691</v>
      </c>
      <c r="R4" s="10">
        <f>R90+R91+R94+R95</f>
        <v>6068</v>
      </c>
      <c r="S4" s="10">
        <f t="shared" si="1"/>
        <v>3433</v>
      </c>
      <c r="T4" s="10">
        <f t="shared" si="1"/>
        <v>4884</v>
      </c>
      <c r="U4" s="10">
        <f t="shared" si="1"/>
        <v>5281</v>
      </c>
      <c r="V4" s="10">
        <f t="shared" si="1"/>
        <v>3930</v>
      </c>
      <c r="W4" s="10">
        <f t="shared" si="1"/>
        <v>5345</v>
      </c>
      <c r="X4" s="10">
        <f t="shared" si="1"/>
        <v>4799</v>
      </c>
      <c r="Y4" s="10">
        <f t="shared" si="1"/>
        <v>5183</v>
      </c>
      <c r="Z4" s="10">
        <f t="shared" si="1"/>
        <v>5302</v>
      </c>
      <c r="AA4" s="10">
        <f t="shared" si="1"/>
        <v>3415</v>
      </c>
      <c r="AB4" s="10">
        <f t="shared" si="1"/>
        <v>6427</v>
      </c>
      <c r="AC4" s="10">
        <f t="shared" si="1"/>
        <v>4827</v>
      </c>
      <c r="AD4" s="10">
        <f t="shared" si="1"/>
        <v>2385</v>
      </c>
      <c r="AE4" s="10">
        <f t="shared" si="1"/>
        <v>4749</v>
      </c>
      <c r="AF4" s="10">
        <f t="shared" si="1"/>
        <v>3997</v>
      </c>
      <c r="AG4" s="10">
        <f t="shared" si="1"/>
        <v>3101</v>
      </c>
      <c r="AH4" s="10">
        <f t="shared" si="1"/>
        <v>6742</v>
      </c>
      <c r="AI4" s="10"/>
      <c r="AJ4" s="11">
        <f>SUM(E4:AI4)</f>
        <v>140814</v>
      </c>
      <c r="AK4" s="12">
        <f>AJ4+'Apr-24'!AI4+'May-24'!AJ4</f>
        <v>359996</v>
      </c>
    </row>
    <row r="5" spans="1:253" s="19" customFormat="1" x14ac:dyDescent="0.3">
      <c r="A5" s="13">
        <v>1</v>
      </c>
      <c r="B5" s="14" t="s">
        <v>9</v>
      </c>
      <c r="C5" s="15" t="s">
        <v>6</v>
      </c>
      <c r="D5" s="15" t="s">
        <v>10</v>
      </c>
      <c r="E5" s="16">
        <f t="shared" ref="E5:AH5" si="2">E4/E3</f>
        <v>0.34041302270889984</v>
      </c>
      <c r="F5" s="16">
        <f t="shared" si="2"/>
        <v>0.33698430083972253</v>
      </c>
      <c r="G5" s="16">
        <f t="shared" si="2"/>
        <v>0.3193840713180579</v>
      </c>
      <c r="H5" s="16">
        <f t="shared" si="2"/>
        <v>0.33796698523023455</v>
      </c>
      <c r="I5" s="16">
        <f t="shared" si="2"/>
        <v>0.31669701188818677</v>
      </c>
      <c r="J5" s="16">
        <f t="shared" si="2"/>
        <v>0.32315123033744536</v>
      </c>
      <c r="K5" s="16">
        <f t="shared" si="2"/>
        <v>0.33903201084713791</v>
      </c>
      <c r="L5" s="16">
        <f t="shared" si="2"/>
        <v>0.32206486980356325</v>
      </c>
      <c r="M5" s="17">
        <f t="shared" si="2"/>
        <v>0.33051869722557298</v>
      </c>
      <c r="N5" s="16">
        <f t="shared" si="2"/>
        <v>0.33314025052494389</v>
      </c>
      <c r="O5" s="16">
        <f t="shared" si="2"/>
        <v>0.33296532017145086</v>
      </c>
      <c r="P5" s="16">
        <f t="shared" si="2"/>
        <v>0.34153493115757266</v>
      </c>
      <c r="Q5" s="16">
        <f t="shared" si="2"/>
        <v>0.33234148069429686</v>
      </c>
      <c r="R5" s="16">
        <f t="shared" si="2"/>
        <v>0.33872948531874514</v>
      </c>
      <c r="S5" s="16">
        <f t="shared" si="2"/>
        <v>0.33201160541586072</v>
      </c>
      <c r="T5" s="16">
        <f t="shared" si="2"/>
        <v>0.33197389885807504</v>
      </c>
      <c r="U5" s="16">
        <f t="shared" si="2"/>
        <v>0.32156122511112462</v>
      </c>
      <c r="V5" s="16">
        <f t="shared" si="2"/>
        <v>0.34084995663486556</v>
      </c>
      <c r="W5" s="16">
        <f t="shared" si="2"/>
        <v>0.32821614983113295</v>
      </c>
      <c r="X5" s="16">
        <f t="shared" si="2"/>
        <v>0.33876888324156429</v>
      </c>
      <c r="Y5" s="16">
        <f t="shared" si="2"/>
        <v>0.33012738853503187</v>
      </c>
      <c r="Z5" s="16">
        <f t="shared" si="2"/>
        <v>0.34297173167734007</v>
      </c>
      <c r="AA5" s="16">
        <f t="shared" si="2"/>
        <v>0.31588197206548885</v>
      </c>
      <c r="AB5" s="16">
        <f t="shared" si="2"/>
        <v>0.32059659799471241</v>
      </c>
      <c r="AC5" s="16">
        <f t="shared" si="2"/>
        <v>0.32714334124025751</v>
      </c>
      <c r="AD5" s="16">
        <f t="shared" si="2"/>
        <v>0.33567909922589728</v>
      </c>
      <c r="AE5" s="16">
        <f t="shared" si="2"/>
        <v>0.34560803434975618</v>
      </c>
      <c r="AF5" s="16">
        <f t="shared" si="2"/>
        <v>0.34040197581331971</v>
      </c>
      <c r="AG5" s="16">
        <f t="shared" si="2"/>
        <v>0.3403578092415761</v>
      </c>
      <c r="AH5" s="16">
        <f t="shared" si="2"/>
        <v>0.34126341364648716</v>
      </c>
      <c r="AI5" s="16"/>
      <c r="AJ5" s="18">
        <f>AJ4/AJ3</f>
        <v>0.33253121302788213</v>
      </c>
      <c r="AK5" s="18">
        <f>AK4/AK3</f>
        <v>0.32486069187072203</v>
      </c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</row>
    <row r="6" spans="1:253" x14ac:dyDescent="0.3">
      <c r="A6" s="8"/>
      <c r="B6" s="9" t="s">
        <v>350</v>
      </c>
      <c r="C6" s="10" t="s">
        <v>6</v>
      </c>
      <c r="D6" s="10" t="s">
        <v>7</v>
      </c>
      <c r="E6" s="10">
        <f>E92</f>
        <v>0</v>
      </c>
      <c r="F6" s="10">
        <f t="shared" ref="F6:AH6" si="3">F92</f>
        <v>0</v>
      </c>
      <c r="G6" s="10">
        <f t="shared" si="3"/>
        <v>0</v>
      </c>
      <c r="H6" s="10">
        <f t="shared" si="3"/>
        <v>0</v>
      </c>
      <c r="I6" s="10">
        <f t="shared" si="3"/>
        <v>388</v>
      </c>
      <c r="J6" s="10">
        <f>J92</f>
        <v>586</v>
      </c>
      <c r="K6" s="10">
        <f t="shared" si="3"/>
        <v>0</v>
      </c>
      <c r="L6" s="10">
        <f t="shared" si="3"/>
        <v>531</v>
      </c>
      <c r="M6" s="10">
        <f t="shared" si="3"/>
        <v>0</v>
      </c>
      <c r="N6" s="10">
        <f t="shared" si="3"/>
        <v>0</v>
      </c>
      <c r="O6" s="10">
        <f>O92</f>
        <v>398</v>
      </c>
      <c r="P6" s="10">
        <f>P92</f>
        <v>0</v>
      </c>
      <c r="Q6" s="10">
        <f>Q92</f>
        <v>0</v>
      </c>
      <c r="R6" s="10">
        <f>R92</f>
        <v>0</v>
      </c>
      <c r="S6" s="10">
        <f t="shared" si="3"/>
        <v>624</v>
      </c>
      <c r="T6" s="10">
        <f t="shared" si="3"/>
        <v>0</v>
      </c>
      <c r="U6" s="10">
        <f t="shared" si="3"/>
        <v>0</v>
      </c>
      <c r="V6" s="10">
        <f t="shared" si="3"/>
        <v>877</v>
      </c>
      <c r="W6" s="10">
        <f t="shared" si="3"/>
        <v>0</v>
      </c>
      <c r="X6" s="10">
        <f t="shared" si="3"/>
        <v>0</v>
      </c>
      <c r="Y6" s="10">
        <f t="shared" si="3"/>
        <v>541</v>
      </c>
      <c r="Z6" s="10">
        <f t="shared" si="3"/>
        <v>535</v>
      </c>
      <c r="AA6" s="10">
        <f t="shared" si="3"/>
        <v>0</v>
      </c>
      <c r="AB6" s="10">
        <f t="shared" si="3"/>
        <v>205</v>
      </c>
      <c r="AC6" s="10">
        <f t="shared" si="3"/>
        <v>0</v>
      </c>
      <c r="AD6" s="10">
        <f t="shared" si="3"/>
        <v>0</v>
      </c>
      <c r="AE6" s="10">
        <f t="shared" si="3"/>
        <v>0</v>
      </c>
      <c r="AF6" s="10">
        <f t="shared" si="3"/>
        <v>0</v>
      </c>
      <c r="AG6" s="10">
        <f t="shared" si="3"/>
        <v>586</v>
      </c>
      <c r="AH6" s="10">
        <f t="shared" si="3"/>
        <v>0</v>
      </c>
      <c r="AI6" s="10"/>
      <c r="AJ6" s="11">
        <f>SUM(E6:AI6)</f>
        <v>5271</v>
      </c>
      <c r="AK6" s="12">
        <f>AJ6+'Apr-24'!AI6+'May-24'!AJ6</f>
        <v>15230</v>
      </c>
    </row>
    <row r="7" spans="1:253" x14ac:dyDescent="0.3">
      <c r="A7" s="8"/>
      <c r="B7" s="9" t="s">
        <v>11</v>
      </c>
      <c r="C7" s="10" t="s">
        <v>6</v>
      </c>
      <c r="D7" s="10" t="s">
        <v>7</v>
      </c>
      <c r="E7" s="10">
        <f>E81</f>
        <v>0</v>
      </c>
      <c r="F7" s="10">
        <f t="shared" ref="F7:AH7" si="4">F81</f>
        <v>0</v>
      </c>
      <c r="G7" s="10">
        <f t="shared" si="4"/>
        <v>0</v>
      </c>
      <c r="H7" s="10">
        <f t="shared" si="4"/>
        <v>0</v>
      </c>
      <c r="I7" s="10">
        <f t="shared" si="4"/>
        <v>1370</v>
      </c>
      <c r="J7" s="10">
        <f t="shared" si="4"/>
        <v>2125</v>
      </c>
      <c r="K7" s="10">
        <f t="shared" si="4"/>
        <v>0</v>
      </c>
      <c r="L7" s="10">
        <f t="shared" si="4"/>
        <v>1882</v>
      </c>
      <c r="M7" s="10">
        <f t="shared" si="4"/>
        <v>0</v>
      </c>
      <c r="N7" s="10">
        <f t="shared" si="4"/>
        <v>0</v>
      </c>
      <c r="O7" s="10">
        <f t="shared" si="4"/>
        <v>1475</v>
      </c>
      <c r="P7" s="10">
        <f t="shared" si="4"/>
        <v>0</v>
      </c>
      <c r="Q7" s="10">
        <f t="shared" si="4"/>
        <v>0</v>
      </c>
      <c r="R7" s="10">
        <f t="shared" si="4"/>
        <v>0</v>
      </c>
      <c r="S7" s="10">
        <f t="shared" si="4"/>
        <v>2219</v>
      </c>
      <c r="T7" s="10">
        <f t="shared" si="4"/>
        <v>0</v>
      </c>
      <c r="U7" s="10">
        <f t="shared" si="4"/>
        <v>0</v>
      </c>
      <c r="V7" s="10">
        <f t="shared" si="4"/>
        <v>3141</v>
      </c>
      <c r="W7" s="10">
        <f t="shared" si="4"/>
        <v>0</v>
      </c>
      <c r="X7" s="10">
        <f t="shared" si="4"/>
        <v>0</v>
      </c>
      <c r="Y7" s="10">
        <f t="shared" si="4"/>
        <v>1965</v>
      </c>
      <c r="Z7" s="10">
        <f t="shared" si="4"/>
        <v>1887</v>
      </c>
      <c r="AA7" s="10">
        <f t="shared" si="4"/>
        <v>0</v>
      </c>
      <c r="AB7" s="10">
        <f t="shared" si="4"/>
        <v>745</v>
      </c>
      <c r="AC7" s="10">
        <f t="shared" si="4"/>
        <v>0</v>
      </c>
      <c r="AD7" s="10">
        <f t="shared" si="4"/>
        <v>0</v>
      </c>
      <c r="AE7" s="10">
        <f t="shared" si="4"/>
        <v>0</v>
      </c>
      <c r="AF7" s="10">
        <f t="shared" si="4"/>
        <v>0</v>
      </c>
      <c r="AG7" s="10">
        <f t="shared" si="4"/>
        <v>2084</v>
      </c>
      <c r="AH7" s="10">
        <f t="shared" si="4"/>
        <v>0</v>
      </c>
      <c r="AI7" s="10"/>
      <c r="AJ7" s="11">
        <f>SUM(E7:AI7)</f>
        <v>18893</v>
      </c>
      <c r="AK7" s="12">
        <f>AJ7+'Apr-24'!AI7+'May-24'!AJ7</f>
        <v>55233</v>
      </c>
    </row>
    <row r="8" spans="1:253" s="19" customFormat="1" x14ac:dyDescent="0.3">
      <c r="A8" s="13">
        <v>2</v>
      </c>
      <c r="B8" s="14" t="s">
        <v>12</v>
      </c>
      <c r="C8" s="15" t="s">
        <v>6</v>
      </c>
      <c r="D8" s="15" t="s">
        <v>10</v>
      </c>
      <c r="E8" s="21" t="str">
        <f t="shared" ref="E8:AH8" si="5">IFERROR(E6/E7,"-")</f>
        <v>-</v>
      </c>
      <c r="F8" s="21" t="str">
        <f t="shared" si="5"/>
        <v>-</v>
      </c>
      <c r="G8" s="21" t="str">
        <f t="shared" si="5"/>
        <v>-</v>
      </c>
      <c r="H8" s="21" t="str">
        <f t="shared" si="5"/>
        <v>-</v>
      </c>
      <c r="I8" s="21">
        <f t="shared" si="5"/>
        <v>0.28321167883211679</v>
      </c>
      <c r="J8" s="21">
        <f t="shared" si="5"/>
        <v>0.27576470588235297</v>
      </c>
      <c r="K8" s="21" t="str">
        <f t="shared" si="5"/>
        <v>-</v>
      </c>
      <c r="L8" s="21">
        <f t="shared" si="5"/>
        <v>0.28214665249734328</v>
      </c>
      <c r="M8" s="21" t="str">
        <f t="shared" si="5"/>
        <v>-</v>
      </c>
      <c r="N8" s="21" t="str">
        <f t="shared" si="5"/>
        <v>-</v>
      </c>
      <c r="O8" s="21">
        <f t="shared" si="5"/>
        <v>0.26983050847457629</v>
      </c>
      <c r="P8" s="21" t="str">
        <f t="shared" si="5"/>
        <v>-</v>
      </c>
      <c r="Q8" s="21" t="str">
        <f t="shared" si="5"/>
        <v>-</v>
      </c>
      <c r="R8" s="21" t="str">
        <f t="shared" si="5"/>
        <v>-</v>
      </c>
      <c r="S8" s="21">
        <f t="shared" si="5"/>
        <v>0.28120775123929698</v>
      </c>
      <c r="T8" s="21" t="str">
        <f t="shared" si="5"/>
        <v>-</v>
      </c>
      <c r="U8" s="21" t="str">
        <f t="shared" si="5"/>
        <v>-</v>
      </c>
      <c r="V8" s="21">
        <f t="shared" si="5"/>
        <v>0.27921044253422478</v>
      </c>
      <c r="W8" s="21" t="str">
        <f t="shared" si="5"/>
        <v>-</v>
      </c>
      <c r="X8" s="21" t="str">
        <f t="shared" si="5"/>
        <v>-</v>
      </c>
      <c r="Y8" s="21">
        <f t="shared" si="5"/>
        <v>0.27531806615776083</v>
      </c>
      <c r="Z8" s="21">
        <f t="shared" si="5"/>
        <v>0.28351881293057762</v>
      </c>
      <c r="AA8" s="21" t="str">
        <f t="shared" si="5"/>
        <v>-</v>
      </c>
      <c r="AB8" s="21">
        <f t="shared" si="5"/>
        <v>0.27516778523489932</v>
      </c>
      <c r="AC8" s="21" t="str">
        <f t="shared" si="5"/>
        <v>-</v>
      </c>
      <c r="AD8" s="21" t="str">
        <f t="shared" si="5"/>
        <v>-</v>
      </c>
      <c r="AE8" s="21" t="str">
        <f t="shared" si="5"/>
        <v>-</v>
      </c>
      <c r="AF8" s="21" t="str">
        <f t="shared" si="5"/>
        <v>-</v>
      </c>
      <c r="AG8" s="21">
        <f t="shared" si="5"/>
        <v>0.28119001919385794</v>
      </c>
      <c r="AH8" s="21" t="str">
        <f t="shared" si="5"/>
        <v>-</v>
      </c>
      <c r="AI8" s="21"/>
      <c r="AJ8" s="18">
        <f>AJ6/AJ7</f>
        <v>0.27899221934049651</v>
      </c>
      <c r="AK8" s="18">
        <f>AK6/AK7</f>
        <v>0.27574095196712112</v>
      </c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</row>
    <row r="9" spans="1:253" x14ac:dyDescent="0.3">
      <c r="A9" s="8"/>
      <c r="B9" s="9" t="s">
        <v>351</v>
      </c>
      <c r="C9" s="10" t="s">
        <v>6</v>
      </c>
      <c r="D9" s="10" t="s">
        <v>7</v>
      </c>
      <c r="E9" s="10">
        <f>E93</f>
        <v>0</v>
      </c>
      <c r="F9" s="10">
        <f t="shared" ref="F9:AH9" si="6">F93</f>
        <v>0</v>
      </c>
      <c r="G9" s="10">
        <f t="shared" si="6"/>
        <v>0</v>
      </c>
      <c r="H9" s="10">
        <f t="shared" si="6"/>
        <v>1164</v>
      </c>
      <c r="I9" s="10">
        <f t="shared" si="6"/>
        <v>0</v>
      </c>
      <c r="J9" s="10">
        <f t="shared" si="6"/>
        <v>0</v>
      </c>
      <c r="K9" s="10">
        <f t="shared" si="6"/>
        <v>0</v>
      </c>
      <c r="L9" s="10">
        <f t="shared" si="6"/>
        <v>644</v>
      </c>
      <c r="M9" s="10">
        <f t="shared" si="6"/>
        <v>0</v>
      </c>
      <c r="N9" s="10">
        <f t="shared" si="6"/>
        <v>337</v>
      </c>
      <c r="O9" s="10">
        <f t="shared" si="6"/>
        <v>0</v>
      </c>
      <c r="P9" s="10">
        <f t="shared" si="6"/>
        <v>791</v>
      </c>
      <c r="Q9" s="10">
        <f t="shared" si="6"/>
        <v>0</v>
      </c>
      <c r="R9" s="10">
        <f t="shared" si="6"/>
        <v>0</v>
      </c>
      <c r="S9" s="10">
        <f t="shared" si="6"/>
        <v>784</v>
      </c>
      <c r="T9" s="10">
        <f t="shared" si="6"/>
        <v>0</v>
      </c>
      <c r="U9" s="10">
        <f t="shared" si="6"/>
        <v>677</v>
      </c>
      <c r="V9" s="10">
        <f t="shared" si="6"/>
        <v>486</v>
      </c>
      <c r="W9" s="10">
        <f t="shared" si="6"/>
        <v>0</v>
      </c>
      <c r="X9" s="10">
        <f t="shared" si="6"/>
        <v>655</v>
      </c>
      <c r="Y9" s="10">
        <f t="shared" si="6"/>
        <v>0</v>
      </c>
      <c r="Z9" s="10">
        <f t="shared" si="6"/>
        <v>323</v>
      </c>
      <c r="AA9" s="10">
        <f t="shared" si="6"/>
        <v>1129</v>
      </c>
      <c r="AB9" s="10">
        <f t="shared" si="6"/>
        <v>0</v>
      </c>
      <c r="AC9" s="10">
        <f t="shared" si="6"/>
        <v>0</v>
      </c>
      <c r="AD9" s="10">
        <f t="shared" si="6"/>
        <v>792</v>
      </c>
      <c r="AE9" s="10">
        <f t="shared" si="6"/>
        <v>0</v>
      </c>
      <c r="AF9" s="10">
        <f t="shared" si="6"/>
        <v>937</v>
      </c>
      <c r="AG9" s="10">
        <f t="shared" si="6"/>
        <v>0</v>
      </c>
      <c r="AH9" s="10">
        <f t="shared" si="6"/>
        <v>0</v>
      </c>
      <c r="AI9" s="10"/>
      <c r="AJ9" s="69">
        <f>SUM(E9:AI9)</f>
        <v>8719</v>
      </c>
      <c r="AK9" s="12">
        <f>AJ9+'Apr-24'!AI9+'May-24'!AJ9</f>
        <v>23888</v>
      </c>
    </row>
    <row r="10" spans="1:253" x14ac:dyDescent="0.3">
      <c r="A10" s="8"/>
      <c r="B10" s="9" t="s">
        <v>207</v>
      </c>
      <c r="C10" s="10" t="s">
        <v>6</v>
      </c>
      <c r="D10" s="10" t="s">
        <v>7</v>
      </c>
      <c r="E10" s="10">
        <f>E82</f>
        <v>0</v>
      </c>
      <c r="F10" s="10">
        <f t="shared" ref="F10:AH10" si="7">F82</f>
        <v>0</v>
      </c>
      <c r="G10" s="10">
        <f t="shared" si="7"/>
        <v>0</v>
      </c>
      <c r="H10" s="10">
        <f t="shared" si="7"/>
        <v>3875</v>
      </c>
      <c r="I10" s="10">
        <f t="shared" si="7"/>
        <v>0</v>
      </c>
      <c r="J10" s="10">
        <f t="shared" si="7"/>
        <v>0</v>
      </c>
      <c r="K10" s="10">
        <f t="shared" si="7"/>
        <v>0</v>
      </c>
      <c r="L10" s="10">
        <f t="shared" si="7"/>
        <v>2142</v>
      </c>
      <c r="M10" s="10">
        <f t="shared" si="7"/>
        <v>0</v>
      </c>
      <c r="N10" s="10">
        <f t="shared" si="7"/>
        <v>1119</v>
      </c>
      <c r="O10" s="10">
        <f t="shared" si="7"/>
        <v>0</v>
      </c>
      <c r="P10" s="10">
        <f t="shared" si="7"/>
        <v>2615</v>
      </c>
      <c r="Q10" s="10">
        <f t="shared" si="7"/>
        <v>0</v>
      </c>
      <c r="R10" s="10">
        <f t="shared" si="7"/>
        <v>0</v>
      </c>
      <c r="S10" s="10">
        <f t="shared" si="7"/>
        <v>2610</v>
      </c>
      <c r="T10" s="10">
        <f t="shared" si="7"/>
        <v>0</v>
      </c>
      <c r="U10" s="10">
        <f t="shared" si="7"/>
        <v>2290</v>
      </c>
      <c r="V10" s="10">
        <f t="shared" si="7"/>
        <v>1595</v>
      </c>
      <c r="W10" s="10">
        <f t="shared" si="7"/>
        <v>0</v>
      </c>
      <c r="X10" s="10">
        <f t="shared" si="7"/>
        <v>2170</v>
      </c>
      <c r="Y10" s="10">
        <f t="shared" si="7"/>
        <v>0</v>
      </c>
      <c r="Z10" s="10">
        <f t="shared" si="7"/>
        <v>1049</v>
      </c>
      <c r="AA10" s="10">
        <f t="shared" si="7"/>
        <v>3750</v>
      </c>
      <c r="AB10" s="10">
        <f t="shared" si="7"/>
        <v>0</v>
      </c>
      <c r="AC10" s="10">
        <f t="shared" si="7"/>
        <v>0</v>
      </c>
      <c r="AD10" s="10">
        <f t="shared" si="7"/>
        <v>2565</v>
      </c>
      <c r="AE10" s="10">
        <f t="shared" si="7"/>
        <v>0</v>
      </c>
      <c r="AF10" s="10">
        <f t="shared" si="7"/>
        <v>3106</v>
      </c>
      <c r="AG10" s="10">
        <f t="shared" si="7"/>
        <v>0</v>
      </c>
      <c r="AH10" s="10">
        <f t="shared" si="7"/>
        <v>0</v>
      </c>
      <c r="AI10" s="10"/>
      <c r="AJ10" s="69">
        <f>SUM(E10:AI10)</f>
        <v>28886</v>
      </c>
      <c r="AK10" s="12">
        <f>AJ10+'Apr-24'!AI10+'May-24'!AJ10</f>
        <v>79504</v>
      </c>
    </row>
    <row r="11" spans="1:253" x14ac:dyDescent="0.3">
      <c r="A11" s="13">
        <v>3</v>
      </c>
      <c r="B11" s="14" t="s">
        <v>206</v>
      </c>
      <c r="C11" s="15" t="s">
        <v>6</v>
      </c>
      <c r="D11" s="15" t="s">
        <v>10</v>
      </c>
      <c r="E11" s="21" t="str">
        <f>IFERROR(E9/E10,"-")</f>
        <v>-</v>
      </c>
      <c r="F11" s="21" t="str">
        <f t="shared" ref="F11:AH11" si="8">IFERROR(F9/F10,"-")</f>
        <v>-</v>
      </c>
      <c r="G11" s="21" t="str">
        <f t="shared" si="8"/>
        <v>-</v>
      </c>
      <c r="H11" s="21">
        <f t="shared" si="8"/>
        <v>0.30038709677419356</v>
      </c>
      <c r="I11" s="21" t="str">
        <f t="shared" si="8"/>
        <v>-</v>
      </c>
      <c r="J11" s="21" t="str">
        <f t="shared" si="8"/>
        <v>-</v>
      </c>
      <c r="K11" s="21" t="str">
        <f t="shared" si="8"/>
        <v>-</v>
      </c>
      <c r="L11" s="21">
        <f t="shared" si="8"/>
        <v>0.30065359477124182</v>
      </c>
      <c r="M11" s="21" t="str">
        <f t="shared" si="8"/>
        <v>-</v>
      </c>
      <c r="N11" s="21">
        <f t="shared" si="8"/>
        <v>0.30116175156389635</v>
      </c>
      <c r="O11" s="21" t="str">
        <f t="shared" si="8"/>
        <v>-</v>
      </c>
      <c r="P11" s="21">
        <f t="shared" si="8"/>
        <v>0.30248565965583174</v>
      </c>
      <c r="Q11" s="21" t="str">
        <f t="shared" si="8"/>
        <v>-</v>
      </c>
      <c r="R11" s="21" t="str">
        <f t="shared" si="8"/>
        <v>-</v>
      </c>
      <c r="S11" s="21">
        <f t="shared" si="8"/>
        <v>0.30038314176245212</v>
      </c>
      <c r="T11" s="21" t="str">
        <f t="shared" si="8"/>
        <v>-</v>
      </c>
      <c r="U11" s="21">
        <f t="shared" si="8"/>
        <v>0.29563318777292574</v>
      </c>
      <c r="V11" s="21">
        <f t="shared" si="8"/>
        <v>0.30470219435736678</v>
      </c>
      <c r="W11" s="21" t="str">
        <f t="shared" si="8"/>
        <v>-</v>
      </c>
      <c r="X11" s="21">
        <f t="shared" si="8"/>
        <v>0.30184331797235026</v>
      </c>
      <c r="Y11" s="21" t="str">
        <f t="shared" si="8"/>
        <v>-</v>
      </c>
      <c r="Z11" s="21">
        <f t="shared" si="8"/>
        <v>0.30791229742612014</v>
      </c>
      <c r="AA11" s="21">
        <f t="shared" si="8"/>
        <v>0.30106666666666665</v>
      </c>
      <c r="AB11" s="21" t="str">
        <f t="shared" si="8"/>
        <v>-</v>
      </c>
      <c r="AC11" s="21" t="str">
        <f t="shared" si="8"/>
        <v>-</v>
      </c>
      <c r="AD11" s="21">
        <f t="shared" si="8"/>
        <v>0.30877192982456142</v>
      </c>
      <c r="AE11" s="21" t="str">
        <f t="shared" si="8"/>
        <v>-</v>
      </c>
      <c r="AF11" s="21">
        <f t="shared" si="8"/>
        <v>0.3016741790083709</v>
      </c>
      <c r="AG11" s="21" t="str">
        <f t="shared" si="8"/>
        <v>-</v>
      </c>
      <c r="AH11" s="21" t="str">
        <f t="shared" si="8"/>
        <v>-</v>
      </c>
      <c r="AI11" s="21"/>
      <c r="AJ11" s="223">
        <f>AJ9/AJ10</f>
        <v>0.30184172263380182</v>
      </c>
      <c r="AK11" s="223">
        <f>AK9/AK10</f>
        <v>0.30046286979271486</v>
      </c>
    </row>
    <row r="12" spans="1:253" x14ac:dyDescent="0.3">
      <c r="A12" s="8"/>
      <c r="B12" s="9" t="s">
        <v>13</v>
      </c>
      <c r="C12" s="10" t="s">
        <v>14</v>
      </c>
      <c r="D12" s="10" t="s">
        <v>15</v>
      </c>
      <c r="E12" s="22">
        <v>1109.2</v>
      </c>
      <c r="F12" s="22">
        <v>1108.1099999999999</v>
      </c>
      <c r="G12" s="22">
        <v>916.83</v>
      </c>
      <c r="H12" s="22">
        <v>1121.81</v>
      </c>
      <c r="I12" s="22">
        <v>1171.04</v>
      </c>
      <c r="J12" s="22">
        <v>1114.96</v>
      </c>
      <c r="K12" s="23">
        <v>1082.2</v>
      </c>
      <c r="L12" s="22">
        <v>1095.2</v>
      </c>
      <c r="M12" s="22">
        <v>1097.1400000000001</v>
      </c>
      <c r="N12" s="22">
        <v>1034.19</v>
      </c>
      <c r="O12" s="22">
        <v>1021.4</v>
      </c>
      <c r="P12" s="22">
        <v>1063.6400000000001</v>
      </c>
      <c r="Q12" s="22">
        <v>1065.76</v>
      </c>
      <c r="R12" s="22">
        <v>1112.2</v>
      </c>
      <c r="S12" s="22">
        <v>1045.2</v>
      </c>
      <c r="T12" s="22">
        <v>1061.0999999999999</v>
      </c>
      <c r="U12" s="22">
        <v>1078.17</v>
      </c>
      <c r="V12" s="22">
        <v>1137.1199999999999</v>
      </c>
      <c r="W12" s="22">
        <v>1128.24</v>
      </c>
      <c r="X12" s="22">
        <v>1108.6600000000001</v>
      </c>
      <c r="Y12" s="22">
        <v>1064.02</v>
      </c>
      <c r="Z12" s="22">
        <v>1185.42</v>
      </c>
      <c r="AA12" s="22">
        <v>1153.19</v>
      </c>
      <c r="AB12" s="22">
        <v>1175.24</v>
      </c>
      <c r="AC12" s="22">
        <v>1159.57</v>
      </c>
      <c r="AD12" s="22">
        <v>1203.97</v>
      </c>
      <c r="AE12" s="22">
        <v>1191.57</v>
      </c>
      <c r="AF12" s="22">
        <v>1152.3</v>
      </c>
      <c r="AG12" s="22">
        <v>1153.2</v>
      </c>
      <c r="AH12" s="22">
        <v>1133.23</v>
      </c>
      <c r="AI12" s="22"/>
      <c r="AJ12" s="22"/>
    </row>
    <row r="13" spans="1:253" x14ac:dyDescent="0.3">
      <c r="A13" s="8"/>
      <c r="B13" s="24" t="s">
        <v>16</v>
      </c>
      <c r="C13" s="10" t="s">
        <v>14</v>
      </c>
      <c r="D13" s="10" t="s">
        <v>17</v>
      </c>
      <c r="E13" s="26">
        <v>5.37</v>
      </c>
      <c r="F13" s="26">
        <v>5.25</v>
      </c>
      <c r="G13" s="26">
        <v>5.33</v>
      </c>
      <c r="H13" s="26">
        <v>5.33</v>
      </c>
      <c r="I13" s="26">
        <v>5.71</v>
      </c>
      <c r="J13" s="26">
        <v>5.8</v>
      </c>
      <c r="K13" s="25">
        <v>5.83</v>
      </c>
      <c r="L13" s="25">
        <v>5.28</v>
      </c>
      <c r="M13" s="25">
        <v>5.26</v>
      </c>
      <c r="N13" s="26">
        <v>5.3</v>
      </c>
      <c r="O13" s="26">
        <v>5.36</v>
      </c>
      <c r="P13" s="26">
        <v>5.48</v>
      </c>
      <c r="Q13" s="26">
        <v>5.43</v>
      </c>
      <c r="R13" s="26">
        <v>5.33</v>
      </c>
      <c r="S13" s="26">
        <v>5.46</v>
      </c>
      <c r="T13" s="22">
        <v>5.38</v>
      </c>
      <c r="U13" s="22">
        <v>5.53</v>
      </c>
      <c r="V13" s="22">
        <v>5.3</v>
      </c>
      <c r="W13" s="22">
        <v>5.35</v>
      </c>
      <c r="X13" s="22">
        <v>5.39</v>
      </c>
      <c r="Y13" s="22">
        <v>5.36</v>
      </c>
      <c r="Z13" s="22">
        <v>5.39</v>
      </c>
      <c r="AA13" s="22">
        <v>5.28</v>
      </c>
      <c r="AB13" s="22">
        <v>5.3</v>
      </c>
      <c r="AC13" s="22">
        <v>5.24</v>
      </c>
      <c r="AD13" s="22">
        <v>5.26</v>
      </c>
      <c r="AE13" s="26">
        <v>5.29</v>
      </c>
      <c r="AF13" s="26">
        <v>5.32</v>
      </c>
      <c r="AG13" s="26">
        <v>5.26</v>
      </c>
      <c r="AH13" s="26">
        <v>5.34</v>
      </c>
      <c r="AI13" s="26"/>
      <c r="AJ13" s="27"/>
    </row>
    <row r="14" spans="1:253" x14ac:dyDescent="0.3">
      <c r="A14" s="8"/>
      <c r="B14" s="24" t="s">
        <v>18</v>
      </c>
      <c r="C14" s="10" t="s">
        <v>14</v>
      </c>
      <c r="D14" s="10" t="s">
        <v>19</v>
      </c>
      <c r="E14" s="23">
        <f>E12/E13*1000</f>
        <v>206554.93482309126</v>
      </c>
      <c r="F14" s="23">
        <f>F12/F13*1000</f>
        <v>211068.57142857139</v>
      </c>
      <c r="G14" s="23">
        <f>G12/G13*1000</f>
        <v>172013.13320825517</v>
      </c>
      <c r="H14" s="23">
        <f>H12/H13*1000</f>
        <v>210470.91932457784</v>
      </c>
      <c r="I14" s="23">
        <f t="shared" ref="I14:AH14" si="9">I12/I13*1000</f>
        <v>205085.81436077057</v>
      </c>
      <c r="J14" s="23">
        <f t="shared" si="9"/>
        <v>192234.48275862072</v>
      </c>
      <c r="K14" s="23">
        <f t="shared" si="9"/>
        <v>185626.07204116639</v>
      </c>
      <c r="L14" s="23">
        <f t="shared" si="9"/>
        <v>207424.24242424243</v>
      </c>
      <c r="M14" s="23">
        <f t="shared" si="9"/>
        <v>208581.74904942967</v>
      </c>
      <c r="N14" s="23">
        <f t="shared" si="9"/>
        <v>195130.1886792453</v>
      </c>
      <c r="O14" s="23">
        <f t="shared" si="9"/>
        <v>190559.70149253731</v>
      </c>
      <c r="P14" s="23">
        <f t="shared" si="9"/>
        <v>194094.89051094893</v>
      </c>
      <c r="Q14" s="23">
        <f t="shared" si="9"/>
        <v>196272.55985267035</v>
      </c>
      <c r="R14" s="23">
        <f>R12/R13*1000</f>
        <v>208667.91744840526</v>
      </c>
      <c r="S14" s="23">
        <f>S12/S13*1000</f>
        <v>191428.57142857145</v>
      </c>
      <c r="T14" s="23">
        <f t="shared" si="9"/>
        <v>197230.48327137544</v>
      </c>
      <c r="U14" s="23">
        <f t="shared" si="9"/>
        <v>194967.45027124774</v>
      </c>
      <c r="V14" s="23">
        <f t="shared" si="9"/>
        <v>214550.94339622642</v>
      </c>
      <c r="W14" s="23">
        <f>W12/W13*1000</f>
        <v>210885.98130841122</v>
      </c>
      <c r="X14" s="23">
        <f t="shared" si="9"/>
        <v>205688.31168831172</v>
      </c>
      <c r="Y14" s="23">
        <f t="shared" si="9"/>
        <v>198511.19402985074</v>
      </c>
      <c r="Z14" s="23">
        <f t="shared" si="9"/>
        <v>219929.49907235624</v>
      </c>
      <c r="AA14" s="23">
        <f t="shared" si="9"/>
        <v>218407.19696969696</v>
      </c>
      <c r="AB14" s="23">
        <f t="shared" si="9"/>
        <v>221743.39622641512</v>
      </c>
      <c r="AC14" s="23">
        <f t="shared" si="9"/>
        <v>221291.98473282441</v>
      </c>
      <c r="AD14" s="23">
        <f t="shared" si="9"/>
        <v>228891.6349809886</v>
      </c>
      <c r="AE14" s="23">
        <f t="shared" si="9"/>
        <v>225249.52741020793</v>
      </c>
      <c r="AF14" s="23">
        <f t="shared" si="9"/>
        <v>216597.74436090223</v>
      </c>
      <c r="AG14" s="23">
        <f t="shared" si="9"/>
        <v>219239.54372623574</v>
      </c>
      <c r="AH14" s="23">
        <f t="shared" si="9"/>
        <v>212215.35580524345</v>
      </c>
      <c r="AI14" s="23"/>
      <c r="AJ14" s="28">
        <f>SUMIF(E15:AI15,"&gt;5950",E14:AI14)</f>
        <v>6180613.9960813988</v>
      </c>
    </row>
    <row r="15" spans="1:253" x14ac:dyDescent="0.3">
      <c r="A15" s="8"/>
      <c r="B15" s="9" t="s">
        <v>20</v>
      </c>
      <c r="C15" s="10" t="s">
        <v>14</v>
      </c>
      <c r="D15" s="10" t="s">
        <v>15</v>
      </c>
      <c r="E15" s="29">
        <f>E72</f>
        <v>7262</v>
      </c>
      <c r="F15" s="29">
        <f t="shared" ref="F15:AH15" si="10">F72</f>
        <v>7182</v>
      </c>
      <c r="G15" s="29">
        <f t="shared" si="10"/>
        <v>6595</v>
      </c>
      <c r="H15" s="29">
        <f t="shared" si="10"/>
        <v>7308</v>
      </c>
      <c r="I15" s="29">
        <f t="shared" si="10"/>
        <v>7359</v>
      </c>
      <c r="J15" s="29">
        <f t="shared" si="10"/>
        <v>7314</v>
      </c>
      <c r="K15" s="29">
        <f t="shared" si="10"/>
        <v>7356</v>
      </c>
      <c r="L15" s="29">
        <f t="shared" si="10"/>
        <v>7286</v>
      </c>
      <c r="M15" s="29">
        <f t="shared" si="10"/>
        <v>7220</v>
      </c>
      <c r="N15" s="29">
        <f t="shared" si="10"/>
        <v>7138</v>
      </c>
      <c r="O15" s="29">
        <f t="shared" si="10"/>
        <v>7190</v>
      </c>
      <c r="P15" s="29">
        <f t="shared" si="10"/>
        <v>7132</v>
      </c>
      <c r="Q15" s="29">
        <f t="shared" si="10"/>
        <v>7145</v>
      </c>
      <c r="R15" s="29">
        <f t="shared" si="10"/>
        <v>7014</v>
      </c>
      <c r="S15" s="29">
        <f t="shared" si="10"/>
        <v>7002</v>
      </c>
      <c r="T15" s="29">
        <f t="shared" si="10"/>
        <v>7161</v>
      </c>
      <c r="U15" s="29">
        <f t="shared" si="10"/>
        <v>7001</v>
      </c>
      <c r="V15" s="29">
        <f t="shared" si="10"/>
        <v>7148</v>
      </c>
      <c r="W15" s="29">
        <f t="shared" si="10"/>
        <v>7029</v>
      </c>
      <c r="X15" s="29">
        <f t="shared" si="10"/>
        <v>7088</v>
      </c>
      <c r="Y15" s="29">
        <f t="shared" si="10"/>
        <v>7002</v>
      </c>
      <c r="Z15" s="29">
        <f t="shared" si="10"/>
        <v>7166</v>
      </c>
      <c r="AA15" s="29">
        <f t="shared" si="10"/>
        <v>7229</v>
      </c>
      <c r="AB15" s="29">
        <f t="shared" si="10"/>
        <v>7055</v>
      </c>
      <c r="AC15" s="29">
        <f t="shared" si="10"/>
        <v>7046</v>
      </c>
      <c r="AD15" s="29">
        <f t="shared" si="10"/>
        <v>7223</v>
      </c>
      <c r="AE15" s="29">
        <f t="shared" si="10"/>
        <v>7294</v>
      </c>
      <c r="AF15" s="29">
        <f t="shared" si="10"/>
        <v>7167</v>
      </c>
      <c r="AG15" s="29">
        <f t="shared" si="10"/>
        <v>7247</v>
      </c>
      <c r="AH15" s="29">
        <f t="shared" si="10"/>
        <v>7001</v>
      </c>
      <c r="AI15" s="29"/>
      <c r="AJ15" s="30">
        <f>SUM(E15:AI15)</f>
        <v>214360</v>
      </c>
      <c r="AK15" s="12">
        <f>AJ15+'Apr-24'!AI15+'May-24'!AJ15</f>
        <v>643816</v>
      </c>
    </row>
    <row r="16" spans="1:253" s="19" customFormat="1" x14ac:dyDescent="0.3">
      <c r="A16" s="13">
        <v>4</v>
      </c>
      <c r="B16" s="14" t="s">
        <v>21</v>
      </c>
      <c r="C16" s="15" t="s">
        <v>14</v>
      </c>
      <c r="D16" s="15" t="s">
        <v>22</v>
      </c>
      <c r="E16" s="32">
        <f>E14/E15</f>
        <v>28.443257342755611</v>
      </c>
      <c r="F16" s="32">
        <f>F14/F15</f>
        <v>29.388550741934196</v>
      </c>
      <c r="G16" s="32">
        <f t="shared" ref="G16:AH16" si="11">G14/G15</f>
        <v>26.082355300721026</v>
      </c>
      <c r="H16" s="32">
        <f t="shared" si="11"/>
        <v>28.800071062476444</v>
      </c>
      <c r="I16" s="32">
        <f t="shared" si="11"/>
        <v>27.868706938547433</v>
      </c>
      <c r="J16" s="32">
        <f t="shared" si="11"/>
        <v>26.283084872658016</v>
      </c>
      <c r="K16" s="32">
        <f t="shared" si="11"/>
        <v>25.234648183954103</v>
      </c>
      <c r="L16" s="32">
        <f t="shared" si="11"/>
        <v>28.468877631655563</v>
      </c>
      <c r="M16" s="32">
        <f t="shared" si="11"/>
        <v>28.889438926513805</v>
      </c>
      <c r="N16" s="32">
        <f t="shared" si="11"/>
        <v>27.336815449600071</v>
      </c>
      <c r="O16" s="32">
        <f t="shared" si="11"/>
        <v>26.503435534427997</v>
      </c>
      <c r="P16" s="32">
        <f t="shared" si="11"/>
        <v>27.214650940963114</v>
      </c>
      <c r="Q16" s="32">
        <f t="shared" si="11"/>
        <v>27.469917404152604</v>
      </c>
      <c r="R16" s="32">
        <f t="shared" si="11"/>
        <v>29.750202088452419</v>
      </c>
      <c r="S16" s="32">
        <f t="shared" si="11"/>
        <v>27.339127596197009</v>
      </c>
      <c r="T16" s="32">
        <f t="shared" si="11"/>
        <v>27.542310190109685</v>
      </c>
      <c r="U16" s="32">
        <f t="shared" si="11"/>
        <v>27.848514536673008</v>
      </c>
      <c r="V16" s="32">
        <f t="shared" si="11"/>
        <v>30.015520900423393</v>
      </c>
      <c r="W16" s="32">
        <f>W14/W15</f>
        <v>30.002273624756185</v>
      </c>
      <c r="X16" s="32">
        <f t="shared" si="11"/>
        <v>29.019231333001088</v>
      </c>
      <c r="Y16" s="32">
        <f t="shared" si="11"/>
        <v>28.350641820886995</v>
      </c>
      <c r="Z16" s="32">
        <f t="shared" si="11"/>
        <v>30.690692027959287</v>
      </c>
      <c r="AA16" s="32">
        <f t="shared" si="11"/>
        <v>30.212643099971913</v>
      </c>
      <c r="AB16" s="32">
        <f t="shared" si="11"/>
        <v>31.430672746479818</v>
      </c>
      <c r="AC16" s="32">
        <f t="shared" si="11"/>
        <v>31.406753439231395</v>
      </c>
      <c r="AD16" s="32">
        <f t="shared" si="11"/>
        <v>31.689275229266038</v>
      </c>
      <c r="AE16" s="32">
        <f t="shared" si="11"/>
        <v>30.881481684975039</v>
      </c>
      <c r="AF16" s="32">
        <f t="shared" si="11"/>
        <v>30.221535420803995</v>
      </c>
      <c r="AG16" s="32">
        <f t="shared" si="11"/>
        <v>30.252455323062751</v>
      </c>
      <c r="AH16" s="32">
        <f t="shared" si="11"/>
        <v>30.312149093735673</v>
      </c>
      <c r="AI16" s="32"/>
      <c r="AJ16" s="33">
        <f>AJ14/AJ15</f>
        <v>28.83286992014088</v>
      </c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</row>
    <row r="17" spans="1:253" x14ac:dyDescent="0.3">
      <c r="A17" s="8"/>
      <c r="B17" s="9" t="s">
        <v>23</v>
      </c>
      <c r="C17" s="10" t="s">
        <v>14</v>
      </c>
      <c r="D17" s="10" t="s">
        <v>15</v>
      </c>
      <c r="E17" s="22">
        <v>1060.2</v>
      </c>
      <c r="F17" s="22">
        <v>1118.3</v>
      </c>
      <c r="G17" s="22">
        <v>1116.8800000000001</v>
      </c>
      <c r="H17" s="22">
        <v>938</v>
      </c>
      <c r="I17" s="22">
        <v>0</v>
      </c>
      <c r="J17" s="22">
        <v>0</v>
      </c>
      <c r="K17" s="22">
        <v>0</v>
      </c>
      <c r="L17" s="22">
        <v>1146.1400000000001</v>
      </c>
      <c r="M17" s="22">
        <v>1174.1400000000001</v>
      </c>
      <c r="N17" s="22">
        <v>1168.31</v>
      </c>
      <c r="O17" s="22">
        <v>1051.77</v>
      </c>
      <c r="P17" s="22">
        <v>1011.86</v>
      </c>
      <c r="Q17" s="22">
        <v>837.91</v>
      </c>
      <c r="R17" s="22">
        <v>1072.46</v>
      </c>
      <c r="S17" s="22">
        <v>1022.03</v>
      </c>
      <c r="T17" s="22">
        <v>947.39</v>
      </c>
      <c r="U17" s="22">
        <v>894.53</v>
      </c>
      <c r="V17" s="22">
        <v>1051.4000000000001</v>
      </c>
      <c r="W17" s="22">
        <v>1033.32</v>
      </c>
      <c r="X17" s="22">
        <v>1093.4000000000001</v>
      </c>
      <c r="Y17" s="22">
        <v>1027.8900000000001</v>
      </c>
      <c r="Z17" s="22">
        <v>749.17</v>
      </c>
      <c r="AA17" s="22">
        <v>991.66</v>
      </c>
      <c r="AB17" s="22">
        <v>859.36</v>
      </c>
      <c r="AC17" s="22">
        <v>947.54</v>
      </c>
      <c r="AD17" s="22">
        <v>1033.6400000000001</v>
      </c>
      <c r="AE17" s="22">
        <v>975.58</v>
      </c>
      <c r="AF17" s="22">
        <v>956.02</v>
      </c>
      <c r="AG17" s="22">
        <v>1070.6600000000001</v>
      </c>
      <c r="AH17" s="22">
        <v>1130.5899999999999</v>
      </c>
      <c r="AI17" s="22"/>
      <c r="AJ17" s="11"/>
    </row>
    <row r="18" spans="1:253" x14ac:dyDescent="0.3">
      <c r="A18" s="8"/>
      <c r="B18" s="9" t="s">
        <v>24</v>
      </c>
      <c r="C18" s="10" t="s">
        <v>14</v>
      </c>
      <c r="D18" s="10" t="s">
        <v>15</v>
      </c>
      <c r="E18" s="22">
        <v>112.54</v>
      </c>
      <c r="F18" s="22">
        <v>110.45</v>
      </c>
      <c r="G18" s="22">
        <v>107.98</v>
      </c>
      <c r="H18" s="22">
        <v>101.48</v>
      </c>
      <c r="I18" s="22">
        <v>0</v>
      </c>
      <c r="J18" s="22">
        <v>0</v>
      </c>
      <c r="K18" s="22">
        <v>0</v>
      </c>
      <c r="L18" s="22">
        <v>111.79</v>
      </c>
      <c r="M18" s="22">
        <v>117.94</v>
      </c>
      <c r="N18" s="22">
        <v>124.85</v>
      </c>
      <c r="O18" s="22">
        <v>112.93</v>
      </c>
      <c r="P18" s="22">
        <v>114.21</v>
      </c>
      <c r="Q18" s="23">
        <v>87.84</v>
      </c>
      <c r="R18" s="22">
        <v>111.05</v>
      </c>
      <c r="S18" s="22">
        <v>121.98</v>
      </c>
      <c r="T18" s="22">
        <v>104.97</v>
      </c>
      <c r="U18" s="22">
        <v>112.83</v>
      </c>
      <c r="V18" s="22">
        <v>114.12</v>
      </c>
      <c r="W18" s="22">
        <v>123.61</v>
      </c>
      <c r="X18" s="22">
        <v>128.69</v>
      </c>
      <c r="Y18" s="22">
        <v>115.96</v>
      </c>
      <c r="Z18" s="22">
        <v>96.54</v>
      </c>
      <c r="AA18" s="22">
        <v>109.8</v>
      </c>
      <c r="AB18" s="22">
        <v>96.95</v>
      </c>
      <c r="AC18" s="22">
        <v>106.23</v>
      </c>
      <c r="AD18" s="22">
        <v>113.23</v>
      </c>
      <c r="AE18" s="22">
        <v>104.56</v>
      </c>
      <c r="AF18" s="22">
        <v>112.74</v>
      </c>
      <c r="AG18" s="22">
        <v>108.86</v>
      </c>
      <c r="AH18" s="22">
        <v>119.92</v>
      </c>
      <c r="AI18" s="22"/>
      <c r="AJ18" s="11"/>
    </row>
    <row r="19" spans="1:253" x14ac:dyDescent="0.3">
      <c r="A19" s="8"/>
      <c r="B19" s="9" t="s">
        <v>16</v>
      </c>
      <c r="C19" s="10" t="s">
        <v>14</v>
      </c>
      <c r="D19" s="10" t="s">
        <v>17</v>
      </c>
      <c r="E19" s="26">
        <f t="shared" ref="E19:AH19" si="12">E13</f>
        <v>5.37</v>
      </c>
      <c r="F19" s="26">
        <f t="shared" si="12"/>
        <v>5.25</v>
      </c>
      <c r="G19" s="26">
        <f t="shared" si="12"/>
        <v>5.33</v>
      </c>
      <c r="H19" s="26">
        <f t="shared" si="12"/>
        <v>5.33</v>
      </c>
      <c r="I19" s="26">
        <f t="shared" si="12"/>
        <v>5.71</v>
      </c>
      <c r="J19" s="26">
        <f t="shared" si="12"/>
        <v>5.8</v>
      </c>
      <c r="K19" s="26">
        <f t="shared" si="12"/>
        <v>5.83</v>
      </c>
      <c r="L19" s="26">
        <f t="shared" si="12"/>
        <v>5.28</v>
      </c>
      <c r="M19" s="26">
        <f t="shared" si="12"/>
        <v>5.26</v>
      </c>
      <c r="N19" s="26">
        <f t="shared" si="12"/>
        <v>5.3</v>
      </c>
      <c r="O19" s="26">
        <f t="shared" si="12"/>
        <v>5.36</v>
      </c>
      <c r="P19" s="26">
        <f t="shared" si="12"/>
        <v>5.48</v>
      </c>
      <c r="Q19" s="26">
        <f t="shared" si="12"/>
        <v>5.43</v>
      </c>
      <c r="R19" s="26">
        <f>R13</f>
        <v>5.33</v>
      </c>
      <c r="S19" s="26">
        <f>S13</f>
        <v>5.46</v>
      </c>
      <c r="T19" s="26">
        <f t="shared" si="12"/>
        <v>5.38</v>
      </c>
      <c r="U19" s="26">
        <f t="shared" si="12"/>
        <v>5.53</v>
      </c>
      <c r="V19" s="26">
        <f t="shared" si="12"/>
        <v>5.3</v>
      </c>
      <c r="W19" s="26">
        <f t="shared" si="12"/>
        <v>5.35</v>
      </c>
      <c r="X19" s="26">
        <f t="shared" si="12"/>
        <v>5.39</v>
      </c>
      <c r="Y19" s="26">
        <f t="shared" si="12"/>
        <v>5.36</v>
      </c>
      <c r="Z19" s="26">
        <f t="shared" si="12"/>
        <v>5.39</v>
      </c>
      <c r="AA19" s="26">
        <f t="shared" si="12"/>
        <v>5.28</v>
      </c>
      <c r="AB19" s="26">
        <f t="shared" si="12"/>
        <v>5.3</v>
      </c>
      <c r="AC19" s="26">
        <f t="shared" si="12"/>
        <v>5.24</v>
      </c>
      <c r="AD19" s="26">
        <f t="shared" si="12"/>
        <v>5.26</v>
      </c>
      <c r="AE19" s="26">
        <f t="shared" si="12"/>
        <v>5.29</v>
      </c>
      <c r="AF19" s="26">
        <f t="shared" si="12"/>
        <v>5.32</v>
      </c>
      <c r="AG19" s="26">
        <f t="shared" si="12"/>
        <v>5.26</v>
      </c>
      <c r="AH19" s="26">
        <f t="shared" si="12"/>
        <v>5.34</v>
      </c>
      <c r="AI19" s="26"/>
      <c r="AJ19" s="11"/>
    </row>
    <row r="20" spans="1:253" x14ac:dyDescent="0.3">
      <c r="A20" s="8"/>
      <c r="B20" s="24" t="s">
        <v>25</v>
      </c>
      <c r="C20" s="10" t="s">
        <v>14</v>
      </c>
      <c r="D20" s="10" t="s">
        <v>19</v>
      </c>
      <c r="E20" s="23">
        <f t="shared" ref="E20:AH20" si="13">(E17+E18)/E19*1000</f>
        <v>218387.33705772812</v>
      </c>
      <c r="F20" s="23">
        <f t="shared" si="13"/>
        <v>234047.61904761902</v>
      </c>
      <c r="G20" s="23">
        <f t="shared" si="13"/>
        <v>229804.87804878049</v>
      </c>
      <c r="H20" s="23">
        <f t="shared" si="13"/>
        <v>195024.39024390245</v>
      </c>
      <c r="I20" s="23">
        <f t="shared" si="13"/>
        <v>0</v>
      </c>
      <c r="J20" s="23">
        <f t="shared" si="13"/>
        <v>0</v>
      </c>
      <c r="K20" s="23">
        <f t="shared" si="13"/>
        <v>0</v>
      </c>
      <c r="L20" s="23">
        <f t="shared" si="13"/>
        <v>238244.31818181818</v>
      </c>
      <c r="M20" s="23">
        <f t="shared" si="13"/>
        <v>245642.58555133082</v>
      </c>
      <c r="N20" s="23">
        <f t="shared" si="13"/>
        <v>243992.45283018865</v>
      </c>
      <c r="O20" s="23">
        <f t="shared" si="13"/>
        <v>217294.77611940296</v>
      </c>
      <c r="P20" s="23">
        <f t="shared" si="13"/>
        <v>205487.22627737222</v>
      </c>
      <c r="Q20" s="23">
        <f t="shared" si="13"/>
        <v>170488.02946593001</v>
      </c>
      <c r="R20" s="23">
        <f t="shared" si="13"/>
        <v>222046.904315197</v>
      </c>
      <c r="S20" s="23">
        <f t="shared" si="13"/>
        <v>209525.64102564103</v>
      </c>
      <c r="T20" s="23">
        <f t="shared" si="13"/>
        <v>195605.94795539032</v>
      </c>
      <c r="U20" s="23">
        <f t="shared" si="13"/>
        <v>182162.7486437613</v>
      </c>
      <c r="V20" s="23">
        <f t="shared" si="13"/>
        <v>219909.43396226416</v>
      </c>
      <c r="W20" s="23">
        <f t="shared" si="13"/>
        <v>216248.59813084113</v>
      </c>
      <c r="X20" s="23">
        <f t="shared" si="13"/>
        <v>226732.83858998149</v>
      </c>
      <c r="Y20" s="23">
        <f t="shared" si="13"/>
        <v>213404.85074626867</v>
      </c>
      <c r="Z20" s="23">
        <f t="shared" si="13"/>
        <v>156903.52504638219</v>
      </c>
      <c r="AA20" s="23">
        <f t="shared" si="13"/>
        <v>208609.84848484848</v>
      </c>
      <c r="AB20" s="23">
        <f t="shared" si="13"/>
        <v>180435.84905660379</v>
      </c>
      <c r="AC20" s="23">
        <f t="shared" si="13"/>
        <v>201101.14503816792</v>
      </c>
      <c r="AD20" s="23">
        <f t="shared" si="13"/>
        <v>218036.12167300383</v>
      </c>
      <c r="AE20" s="23">
        <f t="shared" si="13"/>
        <v>204185.25519848775</v>
      </c>
      <c r="AF20" s="23">
        <f t="shared" si="13"/>
        <v>200894.73684210525</v>
      </c>
      <c r="AG20" s="23">
        <f t="shared" si="13"/>
        <v>224243.34600760456</v>
      </c>
      <c r="AH20" s="23">
        <f t="shared" si="13"/>
        <v>234177.90262172287</v>
      </c>
      <c r="AI20" s="23"/>
      <c r="AJ20" s="28">
        <f>SUMIF(E21:AI21,"&gt;7905",E20:AI20)</f>
        <v>5316719.1790763373</v>
      </c>
    </row>
    <row r="21" spans="1:253" x14ac:dyDescent="0.3">
      <c r="A21" s="8"/>
      <c r="B21" s="9" t="s">
        <v>20</v>
      </c>
      <c r="C21" s="10" t="s">
        <v>14</v>
      </c>
      <c r="D21" s="10" t="s">
        <v>15</v>
      </c>
      <c r="E21" s="34">
        <f>E73</f>
        <v>9002</v>
      </c>
      <c r="F21" s="34">
        <f t="shared" ref="F21:AH21" si="14">F73</f>
        <v>9307</v>
      </c>
      <c r="G21" s="34">
        <f t="shared" si="14"/>
        <v>9171</v>
      </c>
      <c r="H21" s="34">
        <f t="shared" si="14"/>
        <v>7545</v>
      </c>
      <c r="I21" s="34">
        <f t="shared" si="14"/>
        <v>0</v>
      </c>
      <c r="J21" s="34">
        <f t="shared" si="14"/>
        <v>0</v>
      </c>
      <c r="K21" s="34">
        <f t="shared" si="14"/>
        <v>6137</v>
      </c>
      <c r="L21" s="34">
        <f t="shared" si="14"/>
        <v>9002</v>
      </c>
      <c r="M21" s="34">
        <f t="shared" si="14"/>
        <v>9147</v>
      </c>
      <c r="N21" s="34">
        <f t="shared" si="14"/>
        <v>9213</v>
      </c>
      <c r="O21" s="34">
        <f t="shared" si="14"/>
        <v>9205</v>
      </c>
      <c r="P21" s="34">
        <f t="shared" si="14"/>
        <v>9003</v>
      </c>
      <c r="Q21" s="34">
        <f t="shared" si="14"/>
        <v>8245</v>
      </c>
      <c r="R21" s="34">
        <f t="shared" si="14"/>
        <v>9040</v>
      </c>
      <c r="S21" s="34">
        <f t="shared" si="14"/>
        <v>9001</v>
      </c>
      <c r="T21" s="34">
        <f t="shared" si="14"/>
        <v>9029</v>
      </c>
      <c r="U21" s="34">
        <f t="shared" si="14"/>
        <v>8503</v>
      </c>
      <c r="V21" s="34">
        <f t="shared" si="14"/>
        <v>9170</v>
      </c>
      <c r="W21" s="34">
        <f t="shared" si="14"/>
        <v>9005</v>
      </c>
      <c r="X21" s="34">
        <f t="shared" si="14"/>
        <v>9202</v>
      </c>
      <c r="Y21" s="34">
        <f t="shared" si="14"/>
        <v>8854</v>
      </c>
      <c r="Z21" s="34">
        <f t="shared" si="14"/>
        <v>8217</v>
      </c>
      <c r="AA21" s="34">
        <f t="shared" si="14"/>
        <v>9001</v>
      </c>
      <c r="AB21" s="34">
        <f t="shared" si="14"/>
        <v>8024</v>
      </c>
      <c r="AC21" s="34">
        <f t="shared" si="14"/>
        <v>8564</v>
      </c>
      <c r="AD21" s="34">
        <f t="shared" si="14"/>
        <v>9038</v>
      </c>
      <c r="AE21" s="34">
        <f t="shared" si="14"/>
        <v>9045</v>
      </c>
      <c r="AF21" s="34">
        <f t="shared" si="14"/>
        <v>7700</v>
      </c>
      <c r="AG21" s="34">
        <f t="shared" si="14"/>
        <v>9011</v>
      </c>
      <c r="AH21" s="34">
        <f t="shared" si="14"/>
        <v>9118</v>
      </c>
      <c r="AI21" s="34"/>
      <c r="AJ21" s="30">
        <f>SUM(E21:AI21)</f>
        <v>244499</v>
      </c>
      <c r="AK21" s="12">
        <f>AJ21+'Apr-24'!AI21+'May-24'!AJ21</f>
        <v>758550</v>
      </c>
    </row>
    <row r="22" spans="1:253" s="19" customFormat="1" x14ac:dyDescent="0.3">
      <c r="A22" s="13">
        <v>5</v>
      </c>
      <c r="B22" s="14" t="s">
        <v>26</v>
      </c>
      <c r="C22" s="15" t="s">
        <v>14</v>
      </c>
      <c r="D22" s="15" t="s">
        <v>22</v>
      </c>
      <c r="E22" s="32">
        <f>E20/E21</f>
        <v>24.259868591171752</v>
      </c>
      <c r="F22" s="32">
        <f>F20/F21</f>
        <v>25.147482437694105</v>
      </c>
      <c r="G22" s="32">
        <f>G20/G21</f>
        <v>25.057777565018046</v>
      </c>
      <c r="H22" s="32">
        <f t="shared" ref="H22:AH22" si="15">H20/H21</f>
        <v>25.848163054195155</v>
      </c>
      <c r="I22" s="32" t="e">
        <f t="shared" si="15"/>
        <v>#DIV/0!</v>
      </c>
      <c r="J22" s="32" t="e">
        <f t="shared" si="15"/>
        <v>#DIV/0!</v>
      </c>
      <c r="K22" s="32">
        <f t="shared" si="15"/>
        <v>0</v>
      </c>
      <c r="L22" s="32">
        <f t="shared" si="15"/>
        <v>26.465709640281958</v>
      </c>
      <c r="M22" s="35">
        <f t="shared" si="15"/>
        <v>26.854989127728306</v>
      </c>
      <c r="N22" s="32">
        <f t="shared" si="15"/>
        <v>26.48349645394428</v>
      </c>
      <c r="O22" s="32">
        <f t="shared" si="15"/>
        <v>23.606167965171423</v>
      </c>
      <c r="P22" s="32">
        <f t="shared" si="15"/>
        <v>22.824305928842854</v>
      </c>
      <c r="Q22" s="32">
        <f t="shared" si="15"/>
        <v>20.677747661119469</v>
      </c>
      <c r="R22" s="32">
        <f t="shared" si="15"/>
        <v>24.562710654335952</v>
      </c>
      <c r="S22" s="32">
        <f t="shared" si="15"/>
        <v>23.278040331701035</v>
      </c>
      <c r="T22" s="32">
        <f t="shared" si="15"/>
        <v>21.664187391227191</v>
      </c>
      <c r="U22" s="32">
        <f t="shared" si="15"/>
        <v>21.423350422646276</v>
      </c>
      <c r="V22" s="32">
        <f t="shared" si="15"/>
        <v>23.981399559679843</v>
      </c>
      <c r="W22" s="32">
        <f t="shared" si="15"/>
        <v>24.014280747455985</v>
      </c>
      <c r="X22" s="32">
        <f t="shared" si="15"/>
        <v>24.639517342966908</v>
      </c>
      <c r="Y22" s="32">
        <f t="shared" si="15"/>
        <v>24.102648604728785</v>
      </c>
      <c r="Z22" s="32">
        <f t="shared" si="15"/>
        <v>19.094989052742143</v>
      </c>
      <c r="AA22" s="32">
        <f>AA20/AA21</f>
        <v>23.176296909770969</v>
      </c>
      <c r="AB22" s="32">
        <f t="shared" si="15"/>
        <v>22.487020071859895</v>
      </c>
      <c r="AC22" s="32">
        <f t="shared" si="15"/>
        <v>23.482151452378318</v>
      </c>
      <c r="AD22" s="32">
        <f t="shared" si="15"/>
        <v>24.124377259681768</v>
      </c>
      <c r="AE22" s="32">
        <f t="shared" si="15"/>
        <v>22.574378684188805</v>
      </c>
      <c r="AF22" s="32">
        <f t="shared" si="15"/>
        <v>26.090225563909772</v>
      </c>
      <c r="AG22" s="32">
        <f t="shared" si="15"/>
        <v>24.885511708756471</v>
      </c>
      <c r="AH22" s="32">
        <f t="shared" si="15"/>
        <v>25.683033847523895</v>
      </c>
      <c r="AI22" s="32"/>
      <c r="AJ22" s="36">
        <f>AJ20/AJ21</f>
        <v>21.745361654143114</v>
      </c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</row>
    <row r="23" spans="1:253" s="19" customFormat="1" x14ac:dyDescent="0.3">
      <c r="A23" s="13"/>
      <c r="B23" s="14" t="s">
        <v>27</v>
      </c>
      <c r="C23" s="15" t="s">
        <v>14</v>
      </c>
      <c r="D23" s="15" t="s">
        <v>19</v>
      </c>
      <c r="E23" s="32">
        <v>424430</v>
      </c>
      <c r="F23" s="32">
        <v>443920</v>
      </c>
      <c r="G23" s="32">
        <v>400330</v>
      </c>
      <c r="H23" s="32">
        <v>404410</v>
      </c>
      <c r="I23" s="32">
        <v>204590</v>
      </c>
      <c r="J23" s="32">
        <v>191480</v>
      </c>
      <c r="K23" s="32">
        <v>185940</v>
      </c>
      <c r="L23" s="32">
        <v>444040</v>
      </c>
      <c r="M23" s="35">
        <v>452230</v>
      </c>
      <c r="N23" s="32">
        <v>437010</v>
      </c>
      <c r="O23" s="32">
        <v>406820</v>
      </c>
      <c r="P23" s="32">
        <v>398400</v>
      </c>
      <c r="Q23" s="32">
        <v>365160</v>
      </c>
      <c r="R23" s="32">
        <v>429870</v>
      </c>
      <c r="S23" s="32">
        <v>399900</v>
      </c>
      <c r="T23" s="32">
        <v>392030</v>
      </c>
      <c r="U23" s="32">
        <v>375350</v>
      </c>
      <c r="V23" s="32">
        <v>433110</v>
      </c>
      <c r="W23" s="32">
        <v>426230</v>
      </c>
      <c r="X23" s="32">
        <v>430650</v>
      </c>
      <c r="Y23" s="32">
        <v>410690</v>
      </c>
      <c r="Z23" s="32">
        <v>376130</v>
      </c>
      <c r="AA23" s="32">
        <v>425780</v>
      </c>
      <c r="AB23" s="32">
        <v>401060</v>
      </c>
      <c r="AC23" s="32">
        <v>421810</v>
      </c>
      <c r="AD23" s="32">
        <v>445400</v>
      </c>
      <c r="AE23" s="32">
        <v>428230</v>
      </c>
      <c r="AF23" s="32">
        <v>417060</v>
      </c>
      <c r="AG23" s="32">
        <v>442580</v>
      </c>
      <c r="AH23" s="32">
        <v>440040</v>
      </c>
      <c r="AI23" s="32"/>
      <c r="AJ23" s="28">
        <f>SUM(E23:AI23)</f>
        <v>11854680</v>
      </c>
      <c r="AK23" s="12">
        <f>AJ23+'Apr-24'!AI23+'May-24'!AJ23</f>
        <v>37140150</v>
      </c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</row>
    <row r="24" spans="1:253" s="19" customFormat="1" x14ac:dyDescent="0.3">
      <c r="A24" s="13">
        <v>6</v>
      </c>
      <c r="B24" s="14" t="s">
        <v>28</v>
      </c>
      <c r="C24" s="15" t="s">
        <v>14</v>
      </c>
      <c r="D24" s="15" t="s">
        <v>22</v>
      </c>
      <c r="E24" s="32">
        <f t="shared" ref="E24:AH24" si="16">E23/(E72+E73)</f>
        <v>26.096286276438761</v>
      </c>
      <c r="F24" s="32">
        <f t="shared" si="16"/>
        <v>26.922190551276607</v>
      </c>
      <c r="G24" s="32">
        <f t="shared" si="16"/>
        <v>25.391982747684892</v>
      </c>
      <c r="H24" s="32">
        <f t="shared" si="16"/>
        <v>27.227496128728202</v>
      </c>
      <c r="I24" s="32">
        <f t="shared" si="16"/>
        <v>27.801331702676993</v>
      </c>
      <c r="J24" s="32">
        <f t="shared" si="16"/>
        <v>26.179928903472792</v>
      </c>
      <c r="K24" s="32">
        <f t="shared" si="16"/>
        <v>13.780478766767954</v>
      </c>
      <c r="L24" s="32">
        <f t="shared" si="16"/>
        <v>27.261787819253438</v>
      </c>
      <c r="M24" s="35">
        <f t="shared" si="16"/>
        <v>27.63059815482373</v>
      </c>
      <c r="N24" s="32">
        <f t="shared" si="16"/>
        <v>26.72680569995719</v>
      </c>
      <c r="O24" s="32">
        <f t="shared" si="16"/>
        <v>24.813662702043306</v>
      </c>
      <c r="P24" s="32">
        <f t="shared" si="16"/>
        <v>24.691664084288814</v>
      </c>
      <c r="Q24" s="32">
        <f t="shared" si="16"/>
        <v>23.7270955165692</v>
      </c>
      <c r="R24" s="32">
        <f t="shared" si="16"/>
        <v>26.776504297994268</v>
      </c>
      <c r="S24" s="32">
        <f t="shared" si="16"/>
        <v>24.989064550396801</v>
      </c>
      <c r="T24" s="32">
        <f t="shared" si="16"/>
        <v>24.214329833230391</v>
      </c>
      <c r="U24" s="32">
        <f t="shared" si="16"/>
        <v>24.209881320949432</v>
      </c>
      <c r="V24" s="32">
        <f t="shared" si="16"/>
        <v>26.541855619561222</v>
      </c>
      <c r="W24" s="32">
        <f t="shared" si="16"/>
        <v>26.58288636647125</v>
      </c>
      <c r="X24" s="32">
        <f t="shared" si="16"/>
        <v>26.436464088397791</v>
      </c>
      <c r="Y24" s="32">
        <f t="shared" si="16"/>
        <v>25.901236125126136</v>
      </c>
      <c r="Z24" s="32">
        <f t="shared" si="16"/>
        <v>24.451017356822465</v>
      </c>
      <c r="AA24" s="32">
        <f t="shared" si="16"/>
        <v>26.234134319162045</v>
      </c>
      <c r="AB24" s="32">
        <f t="shared" si="16"/>
        <v>26.597254459844816</v>
      </c>
      <c r="AC24" s="32">
        <f t="shared" si="16"/>
        <v>27.021780909673286</v>
      </c>
      <c r="AD24" s="32">
        <f t="shared" si="16"/>
        <v>27.390689379496955</v>
      </c>
      <c r="AE24" s="32">
        <f t="shared" si="16"/>
        <v>26.209070322541159</v>
      </c>
      <c r="AF24" s="32">
        <f t="shared" si="16"/>
        <v>28.052734243626823</v>
      </c>
      <c r="AG24" s="32">
        <f t="shared" si="16"/>
        <v>27.222290564645096</v>
      </c>
      <c r="AH24" s="32">
        <f t="shared" si="16"/>
        <v>27.299460264284384</v>
      </c>
      <c r="AI24" s="32"/>
      <c r="AJ24" s="33">
        <f>AJ23/(AJ15+AJ21)</f>
        <v>25.835125822965225</v>
      </c>
      <c r="AK24" s="33">
        <f>AK23/(AK15+AK21)</f>
        <v>26.483920745368899</v>
      </c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</row>
    <row r="25" spans="1:253" x14ac:dyDescent="0.3">
      <c r="A25" s="8"/>
      <c r="B25" s="9" t="s">
        <v>29</v>
      </c>
      <c r="C25" s="10" t="s">
        <v>30</v>
      </c>
      <c r="D25" s="10" t="s">
        <v>31</v>
      </c>
      <c r="E25" s="38"/>
      <c r="F25" s="38"/>
      <c r="G25" s="38"/>
      <c r="H25" s="38"/>
      <c r="I25" s="38"/>
      <c r="J25" s="38"/>
      <c r="K25" s="38"/>
      <c r="L25" s="38"/>
      <c r="M25" s="39"/>
      <c r="N25" s="40"/>
      <c r="O25" s="40"/>
      <c r="P25" s="40"/>
      <c r="Q25" s="39"/>
      <c r="R25" s="40"/>
      <c r="S25" s="40"/>
      <c r="T25" s="40"/>
      <c r="U25" s="40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8"/>
    </row>
    <row r="26" spans="1:253" x14ac:dyDescent="0.3">
      <c r="A26" s="8"/>
      <c r="B26" s="9" t="s">
        <v>32</v>
      </c>
      <c r="C26" s="10" t="s">
        <v>30</v>
      </c>
      <c r="D26" s="10" t="s">
        <v>31</v>
      </c>
      <c r="E26" s="38"/>
      <c r="F26" s="38"/>
      <c r="G26" s="38"/>
      <c r="H26" s="38"/>
      <c r="I26" s="38"/>
      <c r="J26" s="38"/>
      <c r="K26" s="38"/>
      <c r="L26" s="38"/>
      <c r="M26" s="39"/>
      <c r="N26" s="40"/>
      <c r="O26" s="40"/>
      <c r="P26" s="40"/>
      <c r="Q26" s="39"/>
      <c r="R26" s="40"/>
      <c r="S26" s="40"/>
      <c r="T26" s="40"/>
      <c r="U26" s="40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8"/>
    </row>
    <row r="27" spans="1:253" s="19" customFormat="1" x14ac:dyDescent="0.3">
      <c r="A27" s="13">
        <v>7</v>
      </c>
      <c r="B27" s="14" t="s">
        <v>33</v>
      </c>
      <c r="C27" s="15" t="s">
        <v>30</v>
      </c>
      <c r="D27" s="15" t="s">
        <v>34</v>
      </c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28" t="e">
        <f>(AVERAGE(E27:AI27)*31)/1000</f>
        <v>#DIV/0!</v>
      </c>
      <c r="AK27" s="12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</row>
    <row r="28" spans="1:253" x14ac:dyDescent="0.3">
      <c r="A28" s="24"/>
      <c r="B28" s="9" t="s">
        <v>35</v>
      </c>
      <c r="C28" s="10" t="s">
        <v>36</v>
      </c>
      <c r="D28" s="10" t="s">
        <v>7</v>
      </c>
      <c r="E28" s="10">
        <v>70</v>
      </c>
      <c r="F28" s="10">
        <v>56</v>
      </c>
      <c r="G28" s="10">
        <v>65</v>
      </c>
      <c r="H28" s="10">
        <v>51</v>
      </c>
      <c r="I28" s="10">
        <v>49</v>
      </c>
      <c r="J28" s="10">
        <v>70</v>
      </c>
      <c r="K28" s="10">
        <v>79</v>
      </c>
      <c r="L28" s="10">
        <v>86</v>
      </c>
      <c r="M28" s="10">
        <v>79</v>
      </c>
      <c r="N28" s="10">
        <v>66</v>
      </c>
      <c r="O28" s="10">
        <v>65</v>
      </c>
      <c r="P28" s="10">
        <v>75</v>
      </c>
      <c r="Q28" s="10">
        <v>80</v>
      </c>
      <c r="R28" s="10">
        <v>92</v>
      </c>
      <c r="S28" s="10">
        <v>57</v>
      </c>
      <c r="T28" s="10">
        <v>68</v>
      </c>
      <c r="U28" s="10">
        <v>87</v>
      </c>
      <c r="V28" s="10">
        <v>79</v>
      </c>
      <c r="W28" s="10">
        <v>74</v>
      </c>
      <c r="X28" s="10">
        <v>66</v>
      </c>
      <c r="Y28" s="10">
        <v>84</v>
      </c>
      <c r="Z28" s="10">
        <v>92</v>
      </c>
      <c r="AA28" s="10">
        <v>54</v>
      </c>
      <c r="AB28" s="10">
        <v>105</v>
      </c>
      <c r="AC28" s="10">
        <v>75</v>
      </c>
      <c r="AD28" s="10">
        <v>51</v>
      </c>
      <c r="AE28" s="10">
        <v>75</v>
      </c>
      <c r="AF28" s="10">
        <v>67</v>
      </c>
      <c r="AG28" s="10">
        <v>52</v>
      </c>
      <c r="AH28" s="10">
        <v>106</v>
      </c>
      <c r="AI28" s="10"/>
      <c r="AJ28" s="28">
        <f>SUM(E28:AI28)</f>
        <v>2175</v>
      </c>
      <c r="AK28" s="12">
        <f>AJ28+'Apr-24'!AI28+'May-24'!AJ28</f>
        <v>4754</v>
      </c>
      <c r="AL28" s="12">
        <f>AJ30+AJ31+277</f>
        <v>2678</v>
      </c>
    </row>
    <row r="29" spans="1:253" x14ac:dyDescent="0.3">
      <c r="A29" s="24"/>
      <c r="B29" s="9" t="s">
        <v>268</v>
      </c>
      <c r="C29" s="10" t="s">
        <v>36</v>
      </c>
      <c r="D29" s="10" t="s">
        <v>7</v>
      </c>
      <c r="E29" s="10">
        <v>35</v>
      </c>
      <c r="F29" s="10">
        <v>28</v>
      </c>
      <c r="G29" s="10">
        <v>33</v>
      </c>
      <c r="H29" s="10">
        <v>26</v>
      </c>
      <c r="I29" s="10">
        <v>25</v>
      </c>
      <c r="J29" s="10">
        <v>35</v>
      </c>
      <c r="K29" s="10">
        <v>44</v>
      </c>
      <c r="L29" s="10">
        <v>47</v>
      </c>
      <c r="M29" s="10">
        <v>40</v>
      </c>
      <c r="N29" s="10">
        <v>61</v>
      </c>
      <c r="O29" s="10">
        <f>69+26</f>
        <v>95</v>
      </c>
      <c r="P29" s="10">
        <f>42+65</f>
        <v>107</v>
      </c>
      <c r="Q29" s="10">
        <f>71+17</f>
        <v>88</v>
      </c>
      <c r="R29" s="10">
        <v>69</v>
      </c>
      <c r="S29" s="10">
        <f>57+46</f>
        <v>103</v>
      </c>
      <c r="T29" s="10">
        <f>36+68</f>
        <v>104</v>
      </c>
      <c r="U29" s="10">
        <f>74+36</f>
        <v>110</v>
      </c>
      <c r="V29" s="10">
        <f>40+69</f>
        <v>109</v>
      </c>
      <c r="W29" s="10">
        <f>56+32</f>
        <v>88</v>
      </c>
      <c r="X29" s="10">
        <f>52+64</f>
        <v>116</v>
      </c>
      <c r="Y29" s="10">
        <f>70+42</f>
        <v>112</v>
      </c>
      <c r="Z29" s="10">
        <f>69+30</f>
        <v>99</v>
      </c>
      <c r="AA29" s="10">
        <f>61+32</f>
        <v>93</v>
      </c>
      <c r="AB29" s="10">
        <f>34+79</f>
        <v>113</v>
      </c>
      <c r="AC29" s="10">
        <f>6+23+56+14</f>
        <v>99</v>
      </c>
      <c r="AD29" s="10">
        <f>14+9+50</f>
        <v>73</v>
      </c>
      <c r="AE29" s="10">
        <f>24+67</f>
        <v>91</v>
      </c>
      <c r="AF29" s="10">
        <f>34+69</f>
        <v>103</v>
      </c>
      <c r="AG29" s="10">
        <f>30+60</f>
        <v>90</v>
      </c>
      <c r="AH29" s="10">
        <f>27+80</f>
        <v>107</v>
      </c>
      <c r="AI29" s="10"/>
      <c r="AJ29" s="28">
        <f>SUM(E29:AI29)</f>
        <v>2343</v>
      </c>
      <c r="AK29" s="12">
        <f>AJ29</f>
        <v>2343</v>
      </c>
      <c r="AL29">
        <f>AJ83+AJ86</f>
        <v>90143</v>
      </c>
    </row>
    <row r="30" spans="1:253" x14ac:dyDescent="0.3">
      <c r="A30" s="24"/>
      <c r="B30" s="9" t="s">
        <v>37</v>
      </c>
      <c r="C30" s="10" t="s">
        <v>36</v>
      </c>
      <c r="D30" s="10" t="s">
        <v>7</v>
      </c>
      <c r="E30" s="10">
        <v>35</v>
      </c>
      <c r="F30" s="10">
        <v>67</v>
      </c>
      <c r="G30" s="10">
        <v>77</v>
      </c>
      <c r="H30" s="10">
        <v>0</v>
      </c>
      <c r="I30" s="10">
        <v>63</v>
      </c>
      <c r="J30" s="10">
        <v>0</v>
      </c>
      <c r="K30" s="10">
        <v>42</v>
      </c>
      <c r="L30" s="10">
        <v>0</v>
      </c>
      <c r="M30" s="10">
        <v>46</v>
      </c>
      <c r="N30" s="10">
        <v>52</v>
      </c>
      <c r="O30" s="10">
        <v>17</v>
      </c>
      <c r="P30" s="10">
        <v>0</v>
      </c>
      <c r="Q30" s="10">
        <v>0</v>
      </c>
      <c r="R30" s="10">
        <v>23</v>
      </c>
      <c r="S30" s="10">
        <v>40</v>
      </c>
      <c r="T30" s="22">
        <v>45</v>
      </c>
      <c r="U30" s="10">
        <v>0</v>
      </c>
      <c r="V30" s="10">
        <v>63</v>
      </c>
      <c r="W30" s="10">
        <v>0</v>
      </c>
      <c r="X30" s="10">
        <v>0</v>
      </c>
      <c r="Y30" s="10">
        <v>53</v>
      </c>
      <c r="Z30" s="10">
        <v>0</v>
      </c>
      <c r="AA30" s="10">
        <v>0</v>
      </c>
      <c r="AB30" s="10">
        <v>0</v>
      </c>
      <c r="AC30" s="10">
        <v>37</v>
      </c>
      <c r="AD30" s="10">
        <v>54</v>
      </c>
      <c r="AE30" s="10">
        <v>37</v>
      </c>
      <c r="AF30" s="10">
        <v>20</v>
      </c>
      <c r="AG30" s="10">
        <v>48</v>
      </c>
      <c r="AH30" s="10">
        <v>0</v>
      </c>
      <c r="AI30" s="10"/>
      <c r="AJ30" s="28">
        <f>SUM(E30:AI30)</f>
        <v>819</v>
      </c>
      <c r="AK30" s="12">
        <f>AJ30+'Apr-24'!AI29+'May-24'!AJ29</f>
        <v>3231</v>
      </c>
      <c r="AL30" s="99">
        <f>AL28/AL29</f>
        <v>2.9708352284703195E-2</v>
      </c>
      <c r="AM30" t="s">
        <v>275</v>
      </c>
    </row>
    <row r="31" spans="1:253" x14ac:dyDescent="0.3">
      <c r="A31" s="24"/>
      <c r="B31" s="9" t="s">
        <v>38</v>
      </c>
      <c r="C31" s="10" t="s">
        <v>36</v>
      </c>
      <c r="D31" s="10" t="s">
        <v>7</v>
      </c>
      <c r="E31" s="10">
        <v>88</v>
      </c>
      <c r="F31" s="10">
        <v>98</v>
      </c>
      <c r="G31" s="10">
        <v>0</v>
      </c>
      <c r="H31" s="10">
        <v>0</v>
      </c>
      <c r="I31" s="10">
        <v>22</v>
      </c>
      <c r="J31" s="10">
        <v>60</v>
      </c>
      <c r="K31" s="10">
        <v>33</v>
      </c>
      <c r="L31" s="10">
        <v>37</v>
      </c>
      <c r="M31" s="10">
        <v>56</v>
      </c>
      <c r="N31" s="10">
        <v>62</v>
      </c>
      <c r="O31" s="10">
        <v>63</v>
      </c>
      <c r="P31" s="10">
        <v>48</v>
      </c>
      <c r="Q31" s="10">
        <v>59</v>
      </c>
      <c r="R31" s="10">
        <v>0</v>
      </c>
      <c r="S31" s="10">
        <v>81</v>
      </c>
      <c r="T31" s="22">
        <v>96</v>
      </c>
      <c r="U31" s="10">
        <v>53</v>
      </c>
      <c r="V31" s="10">
        <v>57</v>
      </c>
      <c r="W31" s="10">
        <v>0</v>
      </c>
      <c r="X31" s="10">
        <v>87</v>
      </c>
      <c r="Y31" s="10">
        <v>38</v>
      </c>
      <c r="Z31" s="10">
        <v>0</v>
      </c>
      <c r="AA31" s="288">
        <f>133-18</f>
        <v>115</v>
      </c>
      <c r="AB31" s="10">
        <v>0</v>
      </c>
      <c r="AC31" s="10">
        <f>91-14</f>
        <v>77</v>
      </c>
      <c r="AD31" s="10">
        <v>66</v>
      </c>
      <c r="AE31" s="10">
        <v>59</v>
      </c>
      <c r="AF31" s="10">
        <v>106</v>
      </c>
      <c r="AG31" s="10">
        <v>121</v>
      </c>
      <c r="AH31" s="10">
        <v>0</v>
      </c>
      <c r="AI31" s="10"/>
      <c r="AJ31" s="28">
        <f>SUM(E31:AI31)</f>
        <v>1582</v>
      </c>
      <c r="AK31" s="12">
        <f>AJ31+'Apr-24'!AI30+'May-24'!AJ30</f>
        <v>4438</v>
      </c>
      <c r="AL31" s="12">
        <f>SUM(AJ28,AJ32)+2066</f>
        <v>16260</v>
      </c>
    </row>
    <row r="32" spans="1:253" x14ac:dyDescent="0.3">
      <c r="A32" s="24"/>
      <c r="B32" s="9" t="s">
        <v>39</v>
      </c>
      <c r="C32" s="10" t="s">
        <v>36</v>
      </c>
      <c r="D32" s="10" t="s">
        <v>7</v>
      </c>
      <c r="E32" s="42">
        <f t="shared" ref="E32:AH33" si="17">E118+E120</f>
        <v>345</v>
      </c>
      <c r="F32" s="42">
        <f t="shared" si="17"/>
        <v>278</v>
      </c>
      <c r="G32" s="42">
        <f>G118+G120</f>
        <v>350</v>
      </c>
      <c r="H32" s="42">
        <f>H118+H120</f>
        <v>469</v>
      </c>
      <c r="I32" s="42">
        <f t="shared" si="17"/>
        <v>280</v>
      </c>
      <c r="J32" s="42">
        <f t="shared" si="17"/>
        <v>471</v>
      </c>
      <c r="K32" s="42">
        <f t="shared" si="17"/>
        <v>441</v>
      </c>
      <c r="L32" s="42">
        <f t="shared" si="17"/>
        <v>582</v>
      </c>
      <c r="M32" s="42">
        <f t="shared" si="17"/>
        <v>374</v>
      </c>
      <c r="N32" s="42">
        <f t="shared" si="17"/>
        <v>377</v>
      </c>
      <c r="O32" s="42">
        <f t="shared" si="17"/>
        <v>408</v>
      </c>
      <c r="P32" s="42">
        <f t="shared" si="17"/>
        <v>485</v>
      </c>
      <c r="Q32" s="42">
        <f t="shared" si="17"/>
        <v>352</v>
      </c>
      <c r="R32" s="42">
        <f>R118+R120</f>
        <v>484</v>
      </c>
      <c r="S32" s="42">
        <f t="shared" si="17"/>
        <v>406</v>
      </c>
      <c r="T32" s="42">
        <f t="shared" si="17"/>
        <v>383</v>
      </c>
      <c r="U32" s="42">
        <f t="shared" si="17"/>
        <v>486</v>
      </c>
      <c r="V32" s="42">
        <f t="shared" si="17"/>
        <v>418</v>
      </c>
      <c r="W32" s="42">
        <f t="shared" si="17"/>
        <v>424</v>
      </c>
      <c r="X32" s="42">
        <f t="shared" si="17"/>
        <v>419</v>
      </c>
      <c r="Y32" s="42">
        <f t="shared" si="17"/>
        <v>456</v>
      </c>
      <c r="Z32" s="42">
        <f t="shared" si="17"/>
        <v>472</v>
      </c>
      <c r="AA32" s="42">
        <f t="shared" si="17"/>
        <v>179</v>
      </c>
      <c r="AB32" s="42">
        <f t="shared" si="17"/>
        <v>531</v>
      </c>
      <c r="AC32" s="42">
        <f t="shared" si="17"/>
        <v>380</v>
      </c>
      <c r="AD32" s="42">
        <f t="shared" si="17"/>
        <v>245</v>
      </c>
      <c r="AE32" s="42">
        <f t="shared" si="17"/>
        <v>346</v>
      </c>
      <c r="AF32" s="42">
        <f t="shared" si="17"/>
        <v>388</v>
      </c>
      <c r="AG32" s="42">
        <f t="shared" si="17"/>
        <v>291</v>
      </c>
      <c r="AH32" s="42">
        <f t="shared" si="17"/>
        <v>499</v>
      </c>
      <c r="AI32" s="42"/>
      <c r="AJ32" s="28">
        <f>SUM(E32:AI32)</f>
        <v>12019</v>
      </c>
      <c r="AK32" s="12">
        <f>AJ32+'Apr-24'!AI31+'May-24'!AJ31</f>
        <v>33209</v>
      </c>
      <c r="AL32">
        <f>SUM(AJ79:AJ82,AJ84:AJ85)</f>
        <v>471240</v>
      </c>
    </row>
    <row r="33" spans="1:253" x14ac:dyDescent="0.3">
      <c r="A33" s="24"/>
      <c r="B33" s="9" t="s">
        <v>40</v>
      </c>
      <c r="C33" s="10" t="s">
        <v>36</v>
      </c>
      <c r="D33" s="10" t="s">
        <v>7</v>
      </c>
      <c r="E33" s="10">
        <f t="shared" si="17"/>
        <v>273</v>
      </c>
      <c r="F33" s="10">
        <f t="shared" si="17"/>
        <v>219</v>
      </c>
      <c r="G33" s="10">
        <f t="shared" si="17"/>
        <v>198</v>
      </c>
      <c r="H33" s="10">
        <f t="shared" si="17"/>
        <v>291</v>
      </c>
      <c r="I33" s="10">
        <f t="shared" si="17"/>
        <v>201</v>
      </c>
      <c r="J33" s="10">
        <f t="shared" si="17"/>
        <v>328</v>
      </c>
      <c r="K33" s="10">
        <f t="shared" si="17"/>
        <v>339</v>
      </c>
      <c r="L33" s="10">
        <f t="shared" si="17"/>
        <v>390</v>
      </c>
      <c r="M33" s="10">
        <f t="shared" si="17"/>
        <v>298</v>
      </c>
      <c r="N33" s="10">
        <f t="shared" si="17"/>
        <v>287</v>
      </c>
      <c r="O33" s="10">
        <f t="shared" si="17"/>
        <v>323</v>
      </c>
      <c r="P33" s="10">
        <f t="shared" si="17"/>
        <v>339</v>
      </c>
      <c r="Q33" s="10">
        <f t="shared" si="17"/>
        <v>282</v>
      </c>
      <c r="R33" s="10">
        <f t="shared" si="17"/>
        <v>359</v>
      </c>
      <c r="S33" s="10">
        <f t="shared" si="17"/>
        <v>304</v>
      </c>
      <c r="T33" s="10">
        <f t="shared" si="17"/>
        <v>294</v>
      </c>
      <c r="U33" s="10">
        <f t="shared" si="17"/>
        <v>351</v>
      </c>
      <c r="V33" s="10">
        <f t="shared" si="17"/>
        <v>278</v>
      </c>
      <c r="W33" s="10">
        <f t="shared" si="17"/>
        <v>326</v>
      </c>
      <c r="X33" s="10">
        <f t="shared" si="17"/>
        <v>305</v>
      </c>
      <c r="Y33" s="10">
        <f t="shared" si="17"/>
        <v>334</v>
      </c>
      <c r="Z33" s="10">
        <f t="shared" si="17"/>
        <v>338</v>
      </c>
      <c r="AA33" s="10">
        <f t="shared" si="17"/>
        <v>254</v>
      </c>
      <c r="AB33" s="10">
        <f t="shared" si="17"/>
        <v>408</v>
      </c>
      <c r="AC33" s="10">
        <f t="shared" si="17"/>
        <v>295</v>
      </c>
      <c r="AD33" s="10">
        <f t="shared" si="17"/>
        <v>168</v>
      </c>
      <c r="AE33" s="10">
        <f t="shared" si="17"/>
        <v>274</v>
      </c>
      <c r="AF33" s="10">
        <f t="shared" si="17"/>
        <v>266</v>
      </c>
      <c r="AG33" s="10">
        <f t="shared" si="17"/>
        <v>203</v>
      </c>
      <c r="AH33" s="10">
        <f t="shared" si="17"/>
        <v>395</v>
      </c>
      <c r="AI33" s="10"/>
      <c r="AJ33" s="28">
        <f t="shared" ref="AJ33" si="18">SUM(E33:AI33)</f>
        <v>8920</v>
      </c>
      <c r="AK33" s="12">
        <f>AJ33+'Apr-24'!AI32+'May-24'!AJ32</f>
        <v>22135</v>
      </c>
      <c r="AL33" s="294">
        <f>AL31/AL32</f>
        <v>3.450471097529921E-2</v>
      </c>
      <c r="AM33" t="s">
        <v>274</v>
      </c>
      <c r="AN33" s="293">
        <f>AVERAGE(AL33,'May-24'!AL33,'Apr-24'!AK34)</f>
        <v>3.2083955964117887E-2</v>
      </c>
    </row>
    <row r="34" spans="1:253" x14ac:dyDescent="0.3">
      <c r="A34" s="24"/>
      <c r="B34" s="9" t="s">
        <v>41</v>
      </c>
      <c r="C34" s="10" t="s">
        <v>36</v>
      </c>
      <c r="D34" s="10" t="s">
        <v>7</v>
      </c>
      <c r="E34" s="43">
        <f>SUM(E28:E33)</f>
        <v>846</v>
      </c>
      <c r="F34" s="43">
        <f>SUM(F28:F33)</f>
        <v>746</v>
      </c>
      <c r="G34" s="43">
        <f t="shared" ref="G34:AH34" si="19">SUM(G28:G33)</f>
        <v>723</v>
      </c>
      <c r="H34" s="43">
        <f>SUM(H28:H33)</f>
        <v>837</v>
      </c>
      <c r="I34" s="43">
        <f t="shared" si="19"/>
        <v>640</v>
      </c>
      <c r="J34" s="43">
        <f t="shared" si="19"/>
        <v>964</v>
      </c>
      <c r="K34" s="43">
        <f t="shared" si="19"/>
        <v>978</v>
      </c>
      <c r="L34" s="43">
        <f t="shared" si="19"/>
        <v>1142</v>
      </c>
      <c r="M34" s="43">
        <f t="shared" si="19"/>
        <v>893</v>
      </c>
      <c r="N34" s="43">
        <f t="shared" si="19"/>
        <v>905</v>
      </c>
      <c r="O34" s="43">
        <f t="shared" si="19"/>
        <v>971</v>
      </c>
      <c r="P34" s="43">
        <f t="shared" si="19"/>
        <v>1054</v>
      </c>
      <c r="Q34" s="43">
        <f t="shared" si="19"/>
        <v>861</v>
      </c>
      <c r="R34" s="43">
        <f>SUM(R28:R33)</f>
        <v>1027</v>
      </c>
      <c r="S34" s="43">
        <f t="shared" si="19"/>
        <v>991</v>
      </c>
      <c r="T34" s="43">
        <f t="shared" si="19"/>
        <v>990</v>
      </c>
      <c r="U34" s="43">
        <f t="shared" si="19"/>
        <v>1087</v>
      </c>
      <c r="V34" s="43">
        <f t="shared" si="19"/>
        <v>1004</v>
      </c>
      <c r="W34" s="43">
        <f t="shared" si="19"/>
        <v>912</v>
      </c>
      <c r="X34" s="43">
        <f t="shared" si="19"/>
        <v>993</v>
      </c>
      <c r="Y34" s="43">
        <f t="shared" si="19"/>
        <v>1077</v>
      </c>
      <c r="Z34" s="43">
        <f t="shared" si="19"/>
        <v>1001</v>
      </c>
      <c r="AA34" s="43">
        <f t="shared" si="19"/>
        <v>695</v>
      </c>
      <c r="AB34" s="43">
        <f t="shared" si="19"/>
        <v>1157</v>
      </c>
      <c r="AC34" s="43">
        <f>SUM(AC28:AC33)</f>
        <v>963</v>
      </c>
      <c r="AD34" s="43">
        <f t="shared" si="19"/>
        <v>657</v>
      </c>
      <c r="AE34" s="43">
        <f t="shared" si="19"/>
        <v>882</v>
      </c>
      <c r="AF34" s="43">
        <f t="shared" si="19"/>
        <v>950</v>
      </c>
      <c r="AG34" s="43">
        <f t="shared" si="19"/>
        <v>805</v>
      </c>
      <c r="AH34" s="43">
        <f t="shared" si="19"/>
        <v>1107</v>
      </c>
      <c r="AI34" s="43"/>
      <c r="AJ34" s="28">
        <f>SUM(E34:AI34)</f>
        <v>27858</v>
      </c>
      <c r="AK34" s="12">
        <f>AJ34+'Apr-24'!AI33+'May-24'!AJ33</f>
        <v>70110</v>
      </c>
    </row>
    <row r="35" spans="1:253" s="19" customFormat="1" x14ac:dyDescent="0.3">
      <c r="A35" s="44">
        <v>8</v>
      </c>
      <c r="B35" s="44" t="s">
        <v>42</v>
      </c>
      <c r="C35" s="15" t="s">
        <v>36</v>
      </c>
      <c r="D35" s="15" t="s">
        <v>43</v>
      </c>
      <c r="E35" s="16">
        <f t="shared" ref="E35:F35" si="20">(E28+E33+E29)/E34</f>
        <v>0.44680851063829785</v>
      </c>
      <c r="F35" s="16">
        <f t="shared" si="20"/>
        <v>0.40616621983914208</v>
      </c>
      <c r="G35" s="16">
        <f>(G28+G33+G29)/G34</f>
        <v>0.40940525587828491</v>
      </c>
      <c r="H35" s="16">
        <f>(H28+H33+H29)/H34</f>
        <v>0.43966547192353644</v>
      </c>
      <c r="I35" s="16">
        <f t="shared" ref="I35:AG35" si="21">(I28+I33+I29)/I34</f>
        <v>0.4296875</v>
      </c>
      <c r="J35" s="16">
        <f t="shared" si="21"/>
        <v>0.44917012448132781</v>
      </c>
      <c r="K35" s="16">
        <f t="shared" si="21"/>
        <v>0.47239263803680981</v>
      </c>
      <c r="L35" s="16">
        <f>(L28+L33+L29)/L34</f>
        <v>0.45796847635726795</v>
      </c>
      <c r="M35" s="16">
        <f t="shared" si="21"/>
        <v>0.46696528555431133</v>
      </c>
      <c r="N35" s="16">
        <f t="shared" si="21"/>
        <v>0.45745856353591158</v>
      </c>
      <c r="O35" s="16">
        <f>(O28+O33+O29)/O34</f>
        <v>0.49742533470648814</v>
      </c>
      <c r="P35" s="16">
        <f t="shared" si="21"/>
        <v>0.49430740037950666</v>
      </c>
      <c r="Q35" s="16">
        <f t="shared" si="21"/>
        <v>0.52264808362369342</v>
      </c>
      <c r="R35" s="16">
        <f t="shared" si="21"/>
        <v>0.50632911392405067</v>
      </c>
      <c r="S35" s="16">
        <f t="shared" si="21"/>
        <v>0.46821392532795159</v>
      </c>
      <c r="T35" s="16">
        <f t="shared" si="21"/>
        <v>0.47070707070707068</v>
      </c>
      <c r="U35" s="16">
        <f t="shared" si="21"/>
        <v>0.50413983440662369</v>
      </c>
      <c r="V35" s="16">
        <f t="shared" si="21"/>
        <v>0.46414342629482069</v>
      </c>
      <c r="W35" s="16">
        <f t="shared" si="21"/>
        <v>0.53508771929824561</v>
      </c>
      <c r="X35" s="16">
        <f t="shared" si="21"/>
        <v>0.49043303121852971</v>
      </c>
      <c r="Y35" s="16">
        <f t="shared" si="21"/>
        <v>0.49210770659238628</v>
      </c>
      <c r="Z35" s="16">
        <f t="shared" si="21"/>
        <v>0.52847152847152845</v>
      </c>
      <c r="AA35" s="16">
        <f t="shared" si="21"/>
        <v>0.57697841726618704</v>
      </c>
      <c r="AB35" s="16">
        <f t="shared" si="21"/>
        <v>0.54105445116681072</v>
      </c>
      <c r="AC35" s="16">
        <f>(AC28+AC33+AC29)/AC34</f>
        <v>0.48701973001038423</v>
      </c>
      <c r="AD35" s="16">
        <f t="shared" si="21"/>
        <v>0.44444444444444442</v>
      </c>
      <c r="AE35" s="16">
        <f t="shared" si="21"/>
        <v>0.49886621315192742</v>
      </c>
      <c r="AF35" s="16">
        <f>(AF28+AF33+AF29)/AF34</f>
        <v>0.4589473684210526</v>
      </c>
      <c r="AG35" s="16">
        <f t="shared" si="21"/>
        <v>0.42857142857142855</v>
      </c>
      <c r="AH35" s="16">
        <f>(AH28+AH33+AH29)/AH34</f>
        <v>0.5492321589882565</v>
      </c>
      <c r="AI35" s="21"/>
      <c r="AJ35" s="16">
        <f>(AJ28+AJ33+AJ29)/AJ34</f>
        <v>0.48237490128508864</v>
      </c>
      <c r="AK35" s="21">
        <f>(AK28+AK33+AK29)/AK34</f>
        <v>0.41694480102695763</v>
      </c>
      <c r="AL35" s="294">
        <f>AJ28/AJ87</f>
        <v>3.8743602852241697E-3</v>
      </c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</row>
    <row r="36" spans="1:253" x14ac:dyDescent="0.3">
      <c r="A36" s="24"/>
      <c r="B36" s="24" t="s">
        <v>44</v>
      </c>
      <c r="C36" s="10" t="s">
        <v>36</v>
      </c>
      <c r="D36" s="10" t="s">
        <v>7</v>
      </c>
      <c r="E36" s="45">
        <f t="shared" ref="E36:AH36" si="22">E123+E125</f>
        <v>766</v>
      </c>
      <c r="F36" s="45">
        <f t="shared" si="22"/>
        <v>670</v>
      </c>
      <c r="G36" s="45">
        <f t="shared" si="22"/>
        <v>925</v>
      </c>
      <c r="H36" s="45">
        <f t="shared" si="22"/>
        <v>1050</v>
      </c>
      <c r="I36" s="45">
        <f t="shared" si="22"/>
        <v>513</v>
      </c>
      <c r="J36" s="45">
        <f t="shared" si="22"/>
        <v>950</v>
      </c>
      <c r="K36" s="45">
        <f t="shared" si="22"/>
        <v>1100</v>
      </c>
      <c r="L36" s="45">
        <f t="shared" si="22"/>
        <v>888</v>
      </c>
      <c r="M36" s="45">
        <f t="shared" si="22"/>
        <v>720</v>
      </c>
      <c r="N36" s="45">
        <f t="shared" si="22"/>
        <v>1277</v>
      </c>
      <c r="O36" s="45">
        <f t="shared" si="22"/>
        <v>1090</v>
      </c>
      <c r="P36" s="45">
        <f t="shared" si="22"/>
        <v>930</v>
      </c>
      <c r="Q36" s="45">
        <f t="shared" si="22"/>
        <v>1000</v>
      </c>
      <c r="R36" s="45">
        <f t="shared" si="22"/>
        <v>1120</v>
      </c>
      <c r="S36" s="45">
        <f t="shared" si="22"/>
        <v>1083</v>
      </c>
      <c r="T36" s="45">
        <f t="shared" si="22"/>
        <v>1307</v>
      </c>
      <c r="U36" s="45">
        <f t="shared" si="22"/>
        <v>1150</v>
      </c>
      <c r="V36" s="45">
        <f t="shared" si="22"/>
        <v>1250</v>
      </c>
      <c r="W36" s="45">
        <f t="shared" si="22"/>
        <v>1000</v>
      </c>
      <c r="X36" s="45">
        <f t="shared" si="22"/>
        <v>720</v>
      </c>
      <c r="Y36" s="45">
        <f t="shared" si="22"/>
        <v>850</v>
      </c>
      <c r="Z36" s="45">
        <f>Z123+Z125</f>
        <v>1151</v>
      </c>
      <c r="AA36" s="45">
        <f t="shared" si="22"/>
        <v>650</v>
      </c>
      <c r="AB36" s="45">
        <f t="shared" si="22"/>
        <v>580</v>
      </c>
      <c r="AC36" s="45">
        <f t="shared" si="22"/>
        <v>1000</v>
      </c>
      <c r="AD36" s="45">
        <f t="shared" si="22"/>
        <v>1025</v>
      </c>
      <c r="AE36" s="45">
        <f t="shared" si="22"/>
        <v>1020</v>
      </c>
      <c r="AF36" s="45">
        <f t="shared" si="22"/>
        <v>1490</v>
      </c>
      <c r="AG36" s="45">
        <f t="shared" si="22"/>
        <v>830</v>
      </c>
      <c r="AH36" s="45">
        <f t="shared" si="22"/>
        <v>1046</v>
      </c>
      <c r="AI36" s="45"/>
      <c r="AJ36" s="11">
        <f>SUM(E36:AI36)</f>
        <v>29151</v>
      </c>
      <c r="AK36" s="12">
        <f>AJ36+'Apr-24'!AI35+'May-24'!AJ35</f>
        <v>85813</v>
      </c>
    </row>
    <row r="37" spans="1:253" x14ac:dyDescent="0.3">
      <c r="A37" s="24"/>
      <c r="B37" s="24" t="s">
        <v>45</v>
      </c>
      <c r="C37" s="10" t="s">
        <v>36</v>
      </c>
      <c r="D37" s="10" t="s">
        <v>7</v>
      </c>
      <c r="E37" s="45">
        <f t="shared" ref="E37:AH37" si="23">SUM(E123:E126)</f>
        <v>4632</v>
      </c>
      <c r="F37" s="45">
        <f t="shared" si="23"/>
        <v>3692</v>
      </c>
      <c r="G37" s="45">
        <f t="shared" si="23"/>
        <v>4335</v>
      </c>
      <c r="H37" s="45">
        <f t="shared" si="23"/>
        <v>5443</v>
      </c>
      <c r="I37" s="45">
        <f t="shared" si="23"/>
        <v>3345</v>
      </c>
      <c r="J37" s="45">
        <f t="shared" si="23"/>
        <v>5537</v>
      </c>
      <c r="K37" s="45">
        <f t="shared" si="23"/>
        <v>5751</v>
      </c>
      <c r="L37" s="45">
        <f t="shared" si="23"/>
        <v>6815</v>
      </c>
      <c r="M37" s="45">
        <f t="shared" si="23"/>
        <v>4932</v>
      </c>
      <c r="N37" s="45">
        <f t="shared" si="23"/>
        <v>4938</v>
      </c>
      <c r="O37" s="45">
        <f t="shared" si="23"/>
        <v>5525</v>
      </c>
      <c r="P37" s="45">
        <f t="shared" si="23"/>
        <v>6149</v>
      </c>
      <c r="Q37" s="45">
        <f t="shared" si="23"/>
        <v>4691</v>
      </c>
      <c r="R37" s="45">
        <f t="shared" si="23"/>
        <v>6068</v>
      </c>
      <c r="S37" s="45">
        <f t="shared" si="23"/>
        <v>4841</v>
      </c>
      <c r="T37" s="45">
        <f t="shared" si="23"/>
        <v>4884</v>
      </c>
      <c r="U37" s="45">
        <f t="shared" si="23"/>
        <v>5958</v>
      </c>
      <c r="V37" s="45">
        <f t="shared" si="23"/>
        <v>5293</v>
      </c>
      <c r="W37" s="45">
        <f t="shared" si="23"/>
        <v>5345</v>
      </c>
      <c r="X37" s="45">
        <f t="shared" si="23"/>
        <v>5454</v>
      </c>
      <c r="Y37" s="45">
        <f t="shared" si="23"/>
        <v>5724</v>
      </c>
      <c r="Z37" s="45">
        <f t="shared" si="23"/>
        <v>6160</v>
      </c>
      <c r="AA37" s="45">
        <f t="shared" si="23"/>
        <v>4544</v>
      </c>
      <c r="AB37" s="45">
        <f t="shared" si="23"/>
        <v>6632</v>
      </c>
      <c r="AC37" s="45">
        <f t="shared" si="23"/>
        <v>4827</v>
      </c>
      <c r="AD37" s="45">
        <f t="shared" si="23"/>
        <v>3177</v>
      </c>
      <c r="AE37" s="45">
        <f t="shared" si="23"/>
        <v>4749</v>
      </c>
      <c r="AF37" s="45">
        <f t="shared" si="23"/>
        <v>4934</v>
      </c>
      <c r="AG37" s="45">
        <f t="shared" si="23"/>
        <v>3687</v>
      </c>
      <c r="AH37" s="45">
        <f t="shared" si="23"/>
        <v>6742</v>
      </c>
      <c r="AI37" s="45"/>
      <c r="AJ37" s="11">
        <f>SUM(E37:AI37)</f>
        <v>154804</v>
      </c>
      <c r="AK37" s="12">
        <f>AJ37+'Apr-24'!AI36+'May-24'!AJ36</f>
        <v>399114</v>
      </c>
    </row>
    <row r="38" spans="1:253" x14ac:dyDescent="0.3">
      <c r="A38" s="44">
        <v>9</v>
      </c>
      <c r="B38" s="44" t="s">
        <v>46</v>
      </c>
      <c r="C38" s="15" t="s">
        <v>36</v>
      </c>
      <c r="D38" s="15" t="s">
        <v>43</v>
      </c>
      <c r="E38" s="48">
        <f t="shared" ref="E38:AK38" si="24">E36/E37</f>
        <v>0.16537132987910189</v>
      </c>
      <c r="F38" s="48">
        <f t="shared" si="24"/>
        <v>0.18147345612134344</v>
      </c>
      <c r="G38" s="48">
        <f t="shared" si="24"/>
        <v>0.21337946943483277</v>
      </c>
      <c r="H38" s="48">
        <f t="shared" si="24"/>
        <v>0.1929083226162043</v>
      </c>
      <c r="I38" s="48">
        <f t="shared" si="24"/>
        <v>0.15336322869955157</v>
      </c>
      <c r="J38" s="48">
        <f t="shared" si="24"/>
        <v>0.17157305400036121</v>
      </c>
      <c r="K38" s="48">
        <f t="shared" si="24"/>
        <v>0.19127108328986264</v>
      </c>
      <c r="L38" s="48">
        <f t="shared" si="24"/>
        <v>0.13030080704328686</v>
      </c>
      <c r="M38" s="49">
        <f t="shared" si="24"/>
        <v>0.145985401459854</v>
      </c>
      <c r="N38" s="48">
        <f t="shared" si="24"/>
        <v>0.25860672336978535</v>
      </c>
      <c r="O38" s="48">
        <f t="shared" si="24"/>
        <v>0.19728506787330316</v>
      </c>
      <c r="P38" s="48">
        <f t="shared" si="24"/>
        <v>0.15124410473247682</v>
      </c>
      <c r="Q38" s="48">
        <f>Q36/Q37</f>
        <v>0.21317416329140909</v>
      </c>
      <c r="R38" s="48">
        <f t="shared" si="24"/>
        <v>0.18457481872116019</v>
      </c>
      <c r="S38" s="48">
        <f t="shared" si="24"/>
        <v>0.22371410865523653</v>
      </c>
      <c r="T38" s="48">
        <f t="shared" si="24"/>
        <v>0.26760851760851762</v>
      </c>
      <c r="U38" s="48">
        <f t="shared" si="24"/>
        <v>0.19301779120510237</v>
      </c>
      <c r="V38" s="48">
        <f t="shared" si="24"/>
        <v>0.23616096731532213</v>
      </c>
      <c r="W38" s="48">
        <f t="shared" si="24"/>
        <v>0.18709073900841908</v>
      </c>
      <c r="X38" s="48">
        <f t="shared" si="24"/>
        <v>0.132013201320132</v>
      </c>
      <c r="Y38" s="48">
        <f t="shared" si="24"/>
        <v>0.14849755415793151</v>
      </c>
      <c r="Z38" s="48">
        <f>Z36/Z37</f>
        <v>0.18685064935064935</v>
      </c>
      <c r="AA38" s="48">
        <f t="shared" si="24"/>
        <v>0.14304577464788731</v>
      </c>
      <c r="AB38" s="48">
        <f t="shared" si="24"/>
        <v>8.7454764776839569E-2</v>
      </c>
      <c r="AC38" s="48">
        <f t="shared" si="24"/>
        <v>0.20716801325875284</v>
      </c>
      <c r="AD38" s="48">
        <f t="shared" si="24"/>
        <v>0.32263141328297135</v>
      </c>
      <c r="AE38" s="48">
        <f t="shared" si="24"/>
        <v>0.21478205938092229</v>
      </c>
      <c r="AF38" s="48">
        <f t="shared" si="24"/>
        <v>0.30198621807863801</v>
      </c>
      <c r="AG38" s="48">
        <f t="shared" si="24"/>
        <v>0.22511526986710062</v>
      </c>
      <c r="AH38" s="48">
        <f t="shared" si="24"/>
        <v>0.15514684070008899</v>
      </c>
      <c r="AI38" s="48"/>
      <c r="AJ38" s="48">
        <f t="shared" si="24"/>
        <v>0.18830908762047494</v>
      </c>
      <c r="AK38" s="48">
        <f t="shared" si="24"/>
        <v>0.21500874436877684</v>
      </c>
    </row>
    <row r="39" spans="1:253" x14ac:dyDescent="0.3">
      <c r="A39" s="24"/>
      <c r="B39" s="24" t="s">
        <v>47</v>
      </c>
      <c r="C39" s="10" t="s">
        <v>6</v>
      </c>
      <c r="D39" s="10" t="s">
        <v>7</v>
      </c>
      <c r="E39" s="45">
        <f t="shared" ref="E39:AH39" si="25">E83+E86</f>
        <v>4395</v>
      </c>
      <c r="F39" s="45">
        <f t="shared" si="25"/>
        <v>5898</v>
      </c>
      <c r="G39" s="45">
        <f t="shared" si="25"/>
        <v>2740</v>
      </c>
      <c r="H39" s="45">
        <f t="shared" si="25"/>
        <v>0</v>
      </c>
      <c r="I39" s="45">
        <f t="shared" si="25"/>
        <v>3030</v>
      </c>
      <c r="J39" s="45">
        <f t="shared" si="25"/>
        <v>2150</v>
      </c>
      <c r="K39" s="45">
        <f t="shared" si="25"/>
        <v>2821</v>
      </c>
      <c r="L39" s="45">
        <f t="shared" si="25"/>
        <v>1478</v>
      </c>
      <c r="M39" s="45">
        <f t="shared" si="25"/>
        <v>3635</v>
      </c>
      <c r="N39" s="45">
        <f t="shared" si="25"/>
        <v>4482</v>
      </c>
      <c r="O39" s="45">
        <f t="shared" si="25"/>
        <v>3256</v>
      </c>
      <c r="P39" s="45">
        <f t="shared" si="25"/>
        <v>1800</v>
      </c>
      <c r="Q39" s="45">
        <f t="shared" si="25"/>
        <v>2250</v>
      </c>
      <c r="R39" s="45">
        <f t="shared" si="25"/>
        <v>833</v>
      </c>
      <c r="S39" s="45">
        <f>S83+S86</f>
        <v>4585</v>
      </c>
      <c r="T39" s="45">
        <f t="shared" si="25"/>
        <v>5327</v>
      </c>
      <c r="U39" s="45">
        <f t="shared" si="25"/>
        <v>2000</v>
      </c>
      <c r="V39" s="45">
        <f t="shared" si="25"/>
        <v>4571</v>
      </c>
      <c r="W39" s="45">
        <f t="shared" si="25"/>
        <v>0</v>
      </c>
      <c r="X39" s="45">
        <f t="shared" si="25"/>
        <v>3298</v>
      </c>
      <c r="Y39" s="45">
        <f t="shared" si="25"/>
        <v>3455</v>
      </c>
      <c r="Z39" s="45">
        <f t="shared" si="25"/>
        <v>0</v>
      </c>
      <c r="AA39" s="45">
        <f t="shared" si="25"/>
        <v>4350</v>
      </c>
      <c r="AB39" s="45">
        <f t="shared" si="25"/>
        <v>0</v>
      </c>
      <c r="AC39" s="45">
        <f t="shared" si="25"/>
        <v>4335</v>
      </c>
      <c r="AD39" s="45">
        <f t="shared" si="25"/>
        <v>4555</v>
      </c>
      <c r="AE39" s="45">
        <f t="shared" si="25"/>
        <v>3660</v>
      </c>
      <c r="AF39" s="45">
        <f t="shared" si="25"/>
        <v>4815</v>
      </c>
      <c r="AG39" s="45">
        <f t="shared" si="25"/>
        <v>6424</v>
      </c>
      <c r="AH39" s="45">
        <f t="shared" si="25"/>
        <v>0</v>
      </c>
      <c r="AI39" s="45"/>
      <c r="AJ39" s="11">
        <f>SUM(E39:AI39)</f>
        <v>90143</v>
      </c>
      <c r="AK39" s="12">
        <f>AJ39+'Apr-24'!AI38+'May-24'!AJ38</f>
        <v>276774</v>
      </c>
    </row>
    <row r="40" spans="1:253" x14ac:dyDescent="0.3">
      <c r="A40" s="24"/>
      <c r="B40" s="24" t="s">
        <v>396</v>
      </c>
      <c r="C40" s="10" t="s">
        <v>6</v>
      </c>
      <c r="D40" s="10" t="s">
        <v>7</v>
      </c>
      <c r="E40" s="45">
        <f>E96+E97</f>
        <v>215</v>
      </c>
      <c r="F40" s="45">
        <f t="shared" ref="F40:AH40" si="26">F96+F97</f>
        <v>289</v>
      </c>
      <c r="G40" s="45">
        <f t="shared" si="26"/>
        <v>134</v>
      </c>
      <c r="H40" s="45">
        <f t="shared" si="26"/>
        <v>0</v>
      </c>
      <c r="I40" s="45">
        <f t="shared" si="26"/>
        <v>149</v>
      </c>
      <c r="J40" s="45">
        <f t="shared" si="26"/>
        <v>105</v>
      </c>
      <c r="K40" s="45">
        <f t="shared" si="26"/>
        <v>138</v>
      </c>
      <c r="L40" s="45">
        <f t="shared" si="26"/>
        <v>72</v>
      </c>
      <c r="M40" s="45">
        <f t="shared" si="26"/>
        <v>178</v>
      </c>
      <c r="N40" s="45">
        <f t="shared" si="26"/>
        <v>220</v>
      </c>
      <c r="O40" s="45">
        <f>O96+O97</f>
        <v>159</v>
      </c>
      <c r="P40" s="45">
        <f>P96+P97</f>
        <v>88</v>
      </c>
      <c r="Q40" s="45">
        <f>Q96+Q97</f>
        <v>110</v>
      </c>
      <c r="R40" s="45">
        <f>R96+R97</f>
        <v>41</v>
      </c>
      <c r="S40" s="45">
        <f t="shared" si="26"/>
        <v>225</v>
      </c>
      <c r="T40" s="45">
        <f t="shared" si="26"/>
        <v>261</v>
      </c>
      <c r="U40" s="45">
        <f t="shared" si="26"/>
        <v>98</v>
      </c>
      <c r="V40" s="45">
        <f t="shared" si="26"/>
        <v>224</v>
      </c>
      <c r="W40" s="45">
        <f t="shared" si="26"/>
        <v>0</v>
      </c>
      <c r="X40" s="45">
        <f t="shared" si="26"/>
        <v>162</v>
      </c>
      <c r="Y40" s="45">
        <f t="shared" si="26"/>
        <v>170</v>
      </c>
      <c r="Z40" s="45">
        <f t="shared" si="26"/>
        <v>0</v>
      </c>
      <c r="AA40" s="45">
        <f t="shared" si="26"/>
        <v>0</v>
      </c>
      <c r="AB40" s="45">
        <f t="shared" si="26"/>
        <v>0</v>
      </c>
      <c r="AC40" s="45">
        <f t="shared" si="26"/>
        <v>213</v>
      </c>
      <c r="AD40" s="45">
        <f t="shared" si="26"/>
        <v>223</v>
      </c>
      <c r="AE40" s="45">
        <f t="shared" si="26"/>
        <v>179</v>
      </c>
      <c r="AF40" s="45">
        <f t="shared" si="26"/>
        <v>235</v>
      </c>
      <c r="AG40" s="45">
        <f t="shared" si="26"/>
        <v>315</v>
      </c>
      <c r="AH40" s="45">
        <f t="shared" si="26"/>
        <v>0</v>
      </c>
      <c r="AI40" s="45"/>
      <c r="AJ40" s="11">
        <f>SUM(E40:AI40)</f>
        <v>4203</v>
      </c>
      <c r="AK40" s="12">
        <f>AJ40+'Apr-24'!AI39+'May-24'!AJ39</f>
        <v>12771.91</v>
      </c>
    </row>
    <row r="41" spans="1:253" x14ac:dyDescent="0.3">
      <c r="A41" s="44">
        <v>10</v>
      </c>
      <c r="B41" s="44" t="s">
        <v>49</v>
      </c>
      <c r="C41" s="15" t="s">
        <v>36</v>
      </c>
      <c r="D41" s="15" t="s">
        <v>43</v>
      </c>
      <c r="E41" s="48">
        <f t="shared" ref="E41:AH41" si="27">IFERROR(E40/E39,"-")</f>
        <v>4.8919226393629126E-2</v>
      </c>
      <c r="F41" s="48">
        <f t="shared" si="27"/>
        <v>4.8999660902000676E-2</v>
      </c>
      <c r="G41" s="48">
        <f t="shared" si="27"/>
        <v>4.8905109489051093E-2</v>
      </c>
      <c r="H41" s="48" t="str">
        <f t="shared" si="27"/>
        <v>-</v>
      </c>
      <c r="I41" s="48">
        <f t="shared" si="27"/>
        <v>4.9174917491749175E-2</v>
      </c>
      <c r="J41" s="48">
        <f t="shared" si="27"/>
        <v>4.8837209302325581E-2</v>
      </c>
      <c r="K41" s="48">
        <f t="shared" si="27"/>
        <v>4.8918823112371501E-2</v>
      </c>
      <c r="L41" s="48">
        <f t="shared" si="27"/>
        <v>4.8714479025710418E-2</v>
      </c>
      <c r="M41" s="48">
        <f t="shared" si="27"/>
        <v>4.8968363136176064E-2</v>
      </c>
      <c r="N41" s="48">
        <f t="shared" si="27"/>
        <v>4.9085229808121376E-2</v>
      </c>
      <c r="O41" s="48">
        <f t="shared" si="27"/>
        <v>4.8832923832923834E-2</v>
      </c>
      <c r="P41" s="48">
        <f t="shared" si="27"/>
        <v>4.8888888888888891E-2</v>
      </c>
      <c r="Q41" s="48">
        <f t="shared" si="27"/>
        <v>4.8888888888888891E-2</v>
      </c>
      <c r="R41" s="48">
        <f t="shared" si="27"/>
        <v>4.9219687875150062E-2</v>
      </c>
      <c r="S41" s="48">
        <f t="shared" si="27"/>
        <v>4.9073064340239912E-2</v>
      </c>
      <c r="T41" s="48">
        <f t="shared" si="27"/>
        <v>4.899568237281772E-2</v>
      </c>
      <c r="U41" s="48">
        <f t="shared" si="27"/>
        <v>4.9000000000000002E-2</v>
      </c>
      <c r="V41" s="48">
        <f t="shared" si="27"/>
        <v>4.9004594180704443E-2</v>
      </c>
      <c r="W41" s="48" t="str">
        <f t="shared" si="27"/>
        <v>-</v>
      </c>
      <c r="X41" s="48">
        <f t="shared" si="27"/>
        <v>4.9120679199514856E-2</v>
      </c>
      <c r="Y41" s="48">
        <f t="shared" si="27"/>
        <v>4.9204052098408106E-2</v>
      </c>
      <c r="Z41" s="48" t="str">
        <f t="shared" si="27"/>
        <v>-</v>
      </c>
      <c r="AA41" s="48">
        <f t="shared" si="27"/>
        <v>0</v>
      </c>
      <c r="AB41" s="48" t="str">
        <f t="shared" si="27"/>
        <v>-</v>
      </c>
      <c r="AC41" s="48">
        <f t="shared" si="27"/>
        <v>4.9134948096885817E-2</v>
      </c>
      <c r="AD41" s="48">
        <f t="shared" si="27"/>
        <v>4.8957189901207461E-2</v>
      </c>
      <c r="AE41" s="48">
        <f t="shared" si="27"/>
        <v>4.8907103825136612E-2</v>
      </c>
      <c r="AF41" s="48">
        <f t="shared" si="27"/>
        <v>4.8805815160955349E-2</v>
      </c>
      <c r="AG41" s="48">
        <f t="shared" si="27"/>
        <v>4.9034869240348694E-2</v>
      </c>
      <c r="AH41" s="48" t="str">
        <f t="shared" si="27"/>
        <v>-</v>
      </c>
      <c r="AI41" s="48"/>
      <c r="AJ41" s="16">
        <f>AJ40/AJ39</f>
        <v>4.6625916599181298E-2</v>
      </c>
      <c r="AK41" s="16">
        <f>AK40/AK39</f>
        <v>4.6145627840765389E-2</v>
      </c>
    </row>
    <row r="42" spans="1:253" x14ac:dyDescent="0.3">
      <c r="A42" s="24"/>
      <c r="B42" s="24" t="s">
        <v>352</v>
      </c>
      <c r="C42" s="10" t="s">
        <v>51</v>
      </c>
      <c r="D42" s="10" t="s">
        <v>7</v>
      </c>
      <c r="E42" s="52">
        <v>366</v>
      </c>
      <c r="F42" s="52">
        <v>376</v>
      </c>
      <c r="G42" s="52">
        <v>375</v>
      </c>
      <c r="H42" s="52">
        <v>304</v>
      </c>
      <c r="I42" s="52">
        <v>0</v>
      </c>
      <c r="J42" s="52">
        <v>0</v>
      </c>
      <c r="K42" s="52">
        <v>279</v>
      </c>
      <c r="L42" s="52">
        <v>0</v>
      </c>
      <c r="M42" s="52">
        <v>0</v>
      </c>
      <c r="N42" s="52">
        <v>0</v>
      </c>
      <c r="O42" s="52">
        <v>0</v>
      </c>
      <c r="P42" s="52">
        <v>0</v>
      </c>
      <c r="Q42" s="52">
        <v>0</v>
      </c>
      <c r="R42" s="52">
        <v>644</v>
      </c>
      <c r="S42" s="42">
        <v>553</v>
      </c>
      <c r="T42" s="10">
        <v>579</v>
      </c>
      <c r="U42" s="10">
        <v>564</v>
      </c>
      <c r="V42" s="10">
        <v>612</v>
      </c>
      <c r="W42" s="10">
        <v>510</v>
      </c>
      <c r="X42" s="53">
        <v>477</v>
      </c>
      <c r="Y42" s="53">
        <v>450</v>
      </c>
      <c r="Z42" s="53">
        <v>427</v>
      </c>
      <c r="AA42" s="53">
        <v>480</v>
      </c>
      <c r="AB42" s="53">
        <v>460</v>
      </c>
      <c r="AC42" s="53">
        <v>412</v>
      </c>
      <c r="AD42" s="53">
        <v>351</v>
      </c>
      <c r="AE42" s="53">
        <v>356</v>
      </c>
      <c r="AF42" s="53">
        <v>273</v>
      </c>
      <c r="AG42" s="53">
        <v>307</v>
      </c>
      <c r="AH42" s="53">
        <v>302</v>
      </c>
      <c r="AI42" s="53"/>
      <c r="AJ42" s="11">
        <f>SUM(E42:AI42)</f>
        <v>9457</v>
      </c>
      <c r="AK42" s="12">
        <f>AJ42+'Apr-24'!AI41+'May-24'!AJ41</f>
        <v>21415</v>
      </c>
      <c r="AL42" s="54">
        <f>AJ45/AJ44</f>
        <v>0.42271834285926357</v>
      </c>
    </row>
    <row r="43" spans="1:253" x14ac:dyDescent="0.3">
      <c r="A43" s="24"/>
      <c r="B43" s="24" t="s">
        <v>353</v>
      </c>
      <c r="C43" s="10" t="s">
        <v>51</v>
      </c>
      <c r="D43" s="10"/>
      <c r="E43" s="60">
        <v>8046</v>
      </c>
      <c r="F43" s="60">
        <v>8048</v>
      </c>
      <c r="G43" s="60">
        <v>8043</v>
      </c>
      <c r="H43" s="60">
        <v>8038</v>
      </c>
      <c r="I43" s="60">
        <v>0</v>
      </c>
      <c r="J43" s="60">
        <v>0</v>
      </c>
      <c r="K43" s="60">
        <v>8033</v>
      </c>
      <c r="L43" s="60">
        <v>0</v>
      </c>
      <c r="M43" s="60">
        <v>0</v>
      </c>
      <c r="N43" s="60">
        <v>0</v>
      </c>
      <c r="O43" s="60">
        <v>0</v>
      </c>
      <c r="P43" s="60">
        <v>0</v>
      </c>
      <c r="Q43" s="60">
        <v>0</v>
      </c>
      <c r="R43" s="60">
        <v>8028</v>
      </c>
      <c r="S43" s="23">
        <v>8030</v>
      </c>
      <c r="T43" s="23">
        <v>8023</v>
      </c>
      <c r="U43" s="23">
        <v>8018</v>
      </c>
      <c r="V43" s="23">
        <v>8013</v>
      </c>
      <c r="W43" s="23">
        <v>8018</v>
      </c>
      <c r="X43" s="23">
        <v>8008</v>
      </c>
      <c r="Y43" s="23">
        <v>8033</v>
      </c>
      <c r="Z43" s="23">
        <v>8028</v>
      </c>
      <c r="AA43" s="23">
        <v>8023</v>
      </c>
      <c r="AB43" s="23">
        <v>8018</v>
      </c>
      <c r="AC43" s="23">
        <v>8013</v>
      </c>
      <c r="AD43" s="23">
        <v>8018</v>
      </c>
      <c r="AE43" s="23">
        <v>8013</v>
      </c>
      <c r="AF43" s="23">
        <v>8008</v>
      </c>
      <c r="AG43" s="23">
        <v>8013</v>
      </c>
      <c r="AH43" s="23">
        <v>8018</v>
      </c>
      <c r="AI43" s="23"/>
      <c r="AJ43" s="28">
        <f>SUM(E43:AI43)</f>
        <v>176531</v>
      </c>
      <c r="AK43" s="12">
        <f>AJ43+'Apr-24'!AI42+'May-24'!AJ42</f>
        <v>474328.53079999995</v>
      </c>
    </row>
    <row r="44" spans="1:253" x14ac:dyDescent="0.3">
      <c r="A44" s="24"/>
      <c r="B44" s="24" t="s">
        <v>354</v>
      </c>
      <c r="C44" s="10" t="s">
        <v>51</v>
      </c>
      <c r="D44" s="10"/>
      <c r="E44" s="23">
        <f>E69*E73</f>
        <v>6526450</v>
      </c>
      <c r="F44" s="23">
        <f t="shared" ref="F44:AI44" si="28">F69*F73</f>
        <v>6747575</v>
      </c>
      <c r="G44" s="23">
        <f t="shared" si="28"/>
        <v>6694830</v>
      </c>
      <c r="H44" s="23">
        <f t="shared" si="28"/>
        <v>5583300</v>
      </c>
      <c r="I44" s="23">
        <f t="shared" si="28"/>
        <v>0</v>
      </c>
      <c r="J44" s="23">
        <f t="shared" si="28"/>
        <v>0</v>
      </c>
      <c r="K44" s="23">
        <f t="shared" si="28"/>
        <v>4694805</v>
      </c>
      <c r="L44" s="23">
        <f t="shared" si="28"/>
        <v>6670482</v>
      </c>
      <c r="M44" s="23">
        <f t="shared" si="28"/>
        <v>6796221</v>
      </c>
      <c r="N44" s="23">
        <f t="shared" si="28"/>
        <v>6780768</v>
      </c>
      <c r="O44" s="23">
        <f t="shared" si="28"/>
        <v>6655215</v>
      </c>
      <c r="P44" s="23">
        <f t="shared" si="28"/>
        <v>6590196</v>
      </c>
      <c r="Q44" s="23">
        <f t="shared" si="28"/>
        <v>6060075</v>
      </c>
      <c r="R44" s="23">
        <f t="shared" si="28"/>
        <v>6554000</v>
      </c>
      <c r="S44" s="23">
        <f t="shared" si="28"/>
        <v>6660740</v>
      </c>
      <c r="T44" s="23">
        <f t="shared" si="28"/>
        <v>6654373</v>
      </c>
      <c r="U44" s="23">
        <f t="shared" si="28"/>
        <v>6351741</v>
      </c>
      <c r="V44" s="23">
        <f t="shared" si="28"/>
        <v>6749120</v>
      </c>
      <c r="W44" s="23">
        <f t="shared" si="28"/>
        <v>6672705</v>
      </c>
      <c r="X44" s="23">
        <f t="shared" si="28"/>
        <v>6791076</v>
      </c>
      <c r="Y44" s="23">
        <f t="shared" si="28"/>
        <v>6534252</v>
      </c>
      <c r="Z44" s="23">
        <f t="shared" si="28"/>
        <v>6039495</v>
      </c>
      <c r="AA44" s="23">
        <f t="shared" si="28"/>
        <v>6615735</v>
      </c>
      <c r="AB44" s="23">
        <f t="shared" si="28"/>
        <v>5865544</v>
      </c>
      <c r="AC44" s="23">
        <f t="shared" si="28"/>
        <v>6234592</v>
      </c>
      <c r="AD44" s="23">
        <f t="shared" si="28"/>
        <v>6543512</v>
      </c>
      <c r="AE44" s="23">
        <f t="shared" si="28"/>
        <v>6566670</v>
      </c>
      <c r="AF44" s="23">
        <f t="shared" si="28"/>
        <v>5621000</v>
      </c>
      <c r="AG44" s="23">
        <f t="shared" si="28"/>
        <v>6578030</v>
      </c>
      <c r="AH44" s="23">
        <f t="shared" si="28"/>
        <v>6674376</v>
      </c>
      <c r="AI44" s="23">
        <f t="shared" si="28"/>
        <v>0</v>
      </c>
      <c r="AJ44" s="28">
        <f>SUM(E44:AI44)</f>
        <v>179506878</v>
      </c>
      <c r="AK44" s="12">
        <f>AJ44+'Apr-24'!AI43+'May-24'!AJ43</f>
        <v>559577381.29999995</v>
      </c>
    </row>
    <row r="45" spans="1:253" x14ac:dyDescent="0.3">
      <c r="A45" s="24"/>
      <c r="B45" s="24" t="s">
        <v>355</v>
      </c>
      <c r="C45" s="10" t="s">
        <v>51</v>
      </c>
      <c r="D45" s="10"/>
      <c r="E45" s="55">
        <f>E42*E43</f>
        <v>2944836</v>
      </c>
      <c r="F45" s="55">
        <f>F42*F43</f>
        <v>3026048</v>
      </c>
      <c r="G45" s="55">
        <f t="shared" ref="G45:AH45" si="29">G42*G43</f>
        <v>3016125</v>
      </c>
      <c r="H45" s="55">
        <f t="shared" si="29"/>
        <v>2443552</v>
      </c>
      <c r="I45" s="55">
        <f t="shared" si="29"/>
        <v>0</v>
      </c>
      <c r="J45" s="55">
        <f t="shared" si="29"/>
        <v>0</v>
      </c>
      <c r="K45" s="55">
        <f t="shared" si="29"/>
        <v>2241207</v>
      </c>
      <c r="L45" s="55">
        <f t="shared" si="29"/>
        <v>0</v>
      </c>
      <c r="M45" s="42">
        <f>M42*M43</f>
        <v>0</v>
      </c>
      <c r="N45" s="55">
        <f t="shared" si="29"/>
        <v>0</v>
      </c>
      <c r="O45" s="55">
        <f t="shared" si="29"/>
        <v>0</v>
      </c>
      <c r="P45" s="55">
        <f t="shared" si="29"/>
        <v>0</v>
      </c>
      <c r="Q45" s="55">
        <f t="shared" si="29"/>
        <v>0</v>
      </c>
      <c r="R45" s="55">
        <f t="shared" si="29"/>
        <v>5170032</v>
      </c>
      <c r="S45" s="55">
        <f t="shared" si="29"/>
        <v>4440590</v>
      </c>
      <c r="T45" s="55">
        <f t="shared" si="29"/>
        <v>4645317</v>
      </c>
      <c r="U45" s="55">
        <f t="shared" si="29"/>
        <v>4522152</v>
      </c>
      <c r="V45" s="55">
        <f t="shared" si="29"/>
        <v>4903956</v>
      </c>
      <c r="W45" s="55">
        <f t="shared" si="29"/>
        <v>4089180</v>
      </c>
      <c r="X45" s="55">
        <f t="shared" si="29"/>
        <v>3819816</v>
      </c>
      <c r="Y45" s="55">
        <f t="shared" si="29"/>
        <v>3614850</v>
      </c>
      <c r="Z45" s="55">
        <f t="shared" si="29"/>
        <v>3427956</v>
      </c>
      <c r="AA45" s="55">
        <f t="shared" si="29"/>
        <v>3851040</v>
      </c>
      <c r="AB45" s="55">
        <f t="shared" si="29"/>
        <v>3688280</v>
      </c>
      <c r="AC45" s="55">
        <f t="shared" si="29"/>
        <v>3301356</v>
      </c>
      <c r="AD45" s="55">
        <f t="shared" si="29"/>
        <v>2814318</v>
      </c>
      <c r="AE45" s="55">
        <f t="shared" si="29"/>
        <v>2852628</v>
      </c>
      <c r="AF45" s="55">
        <f t="shared" si="29"/>
        <v>2186184</v>
      </c>
      <c r="AG45" s="55">
        <f t="shared" si="29"/>
        <v>2459991</v>
      </c>
      <c r="AH45" s="55">
        <f t="shared" si="29"/>
        <v>2421436</v>
      </c>
      <c r="AI45" s="55"/>
      <c r="AJ45" s="11">
        <f t="shared" ref="AJ45" si="30">SUM(E45:AI45)</f>
        <v>75880850</v>
      </c>
      <c r="AK45" s="12">
        <f>AJ45+'Apr-24'!AI44+'May-24'!AJ44</f>
        <v>172192432.49000001</v>
      </c>
    </row>
    <row r="46" spans="1:253" x14ac:dyDescent="0.3">
      <c r="A46" s="44"/>
      <c r="B46" s="44" t="s">
        <v>221</v>
      </c>
      <c r="C46" s="15"/>
      <c r="D46" s="15"/>
      <c r="E46" s="56">
        <f>E45/E44</f>
        <v>0.45121559193742389</v>
      </c>
      <c r="F46" s="56">
        <f t="shared" ref="F46:AH46" si="31">F45/F44</f>
        <v>0.4484645224395431</v>
      </c>
      <c r="G46" s="56">
        <f>G45/G44</f>
        <v>0.4505155470713969</v>
      </c>
      <c r="H46" s="56">
        <f t="shared" si="31"/>
        <v>0.43765371733562586</v>
      </c>
      <c r="I46" s="56" t="e">
        <f t="shared" si="31"/>
        <v>#DIV/0!</v>
      </c>
      <c r="J46" s="56" t="e">
        <f t="shared" si="31"/>
        <v>#DIV/0!</v>
      </c>
      <c r="K46" s="56">
        <f t="shared" si="31"/>
        <v>0.47738021067967679</v>
      </c>
      <c r="L46" s="56">
        <f t="shared" si="31"/>
        <v>0</v>
      </c>
      <c r="M46" s="56">
        <f t="shared" si="31"/>
        <v>0</v>
      </c>
      <c r="N46" s="56">
        <f t="shared" si="31"/>
        <v>0</v>
      </c>
      <c r="O46" s="56">
        <f t="shared" si="31"/>
        <v>0</v>
      </c>
      <c r="P46" s="56">
        <f t="shared" si="31"/>
        <v>0</v>
      </c>
      <c r="Q46" s="56">
        <f t="shared" si="31"/>
        <v>0</v>
      </c>
      <c r="R46" s="56">
        <f t="shared" si="31"/>
        <v>0.78883613060726276</v>
      </c>
      <c r="S46" s="56">
        <f t="shared" si="31"/>
        <v>0.66668117956863648</v>
      </c>
      <c r="T46" s="56">
        <f t="shared" si="31"/>
        <v>0.69808485337386406</v>
      </c>
      <c r="U46" s="56">
        <f t="shared" si="31"/>
        <v>0.71195472233518342</v>
      </c>
      <c r="V46" s="56">
        <f t="shared" si="31"/>
        <v>0.72660672798824144</v>
      </c>
      <c r="W46" s="56">
        <f t="shared" si="31"/>
        <v>0.61282193653098704</v>
      </c>
      <c r="X46" s="56">
        <f t="shared" si="31"/>
        <v>0.56247581384746692</v>
      </c>
      <c r="Y46" s="56">
        <f t="shared" si="31"/>
        <v>0.55321557846253866</v>
      </c>
      <c r="Z46" s="56">
        <f t="shared" si="31"/>
        <v>0.56758983987899647</v>
      </c>
      <c r="AA46" s="56">
        <f t="shared" si="31"/>
        <v>0.58210312232881156</v>
      </c>
      <c r="AB46" s="56">
        <f t="shared" si="31"/>
        <v>0.62880442120969515</v>
      </c>
      <c r="AC46" s="56">
        <f t="shared" si="31"/>
        <v>0.52952238093527215</v>
      </c>
      <c r="AD46" s="56">
        <f t="shared" si="31"/>
        <v>0.43009289201272954</v>
      </c>
      <c r="AE46" s="56">
        <f t="shared" si="31"/>
        <v>0.43441013481719043</v>
      </c>
      <c r="AF46" s="56">
        <f t="shared" si="31"/>
        <v>0.38893150684931505</v>
      </c>
      <c r="AG46" s="56">
        <f t="shared" si="31"/>
        <v>0.37397077848535198</v>
      </c>
      <c r="AH46" s="56">
        <f t="shared" si="31"/>
        <v>0.36279586286418386</v>
      </c>
      <c r="AI46" s="56"/>
      <c r="AJ46" s="16">
        <f>AJ45/AJ44</f>
        <v>0.42271834285926357</v>
      </c>
      <c r="AK46" s="16">
        <f>AK45/AK44</f>
        <v>0.30771871459487105</v>
      </c>
    </row>
    <row r="47" spans="1:253" s="51" customFormat="1" x14ac:dyDescent="0.3">
      <c r="B47" s="58" t="s">
        <v>356</v>
      </c>
      <c r="C47" s="59" t="s">
        <v>51</v>
      </c>
      <c r="D47" s="59" t="s">
        <v>7</v>
      </c>
      <c r="E47" s="53">
        <v>389</v>
      </c>
      <c r="F47" s="53">
        <v>399</v>
      </c>
      <c r="G47" s="53">
        <v>343</v>
      </c>
      <c r="H47" s="53">
        <v>278</v>
      </c>
      <c r="I47" s="53">
        <v>0</v>
      </c>
      <c r="J47" s="53">
        <v>0</v>
      </c>
      <c r="K47" s="53">
        <v>255</v>
      </c>
      <c r="L47" s="53">
        <v>371</v>
      </c>
      <c r="M47" s="53">
        <v>363</v>
      </c>
      <c r="N47" s="53">
        <v>380</v>
      </c>
      <c r="O47" s="53">
        <v>408</v>
      </c>
      <c r="P47" s="53">
        <v>388</v>
      </c>
      <c r="Q47" s="53">
        <v>361</v>
      </c>
      <c r="R47" s="53">
        <v>92</v>
      </c>
      <c r="S47" s="53">
        <v>79</v>
      </c>
      <c r="T47" s="10">
        <v>83</v>
      </c>
      <c r="U47" s="10">
        <v>81</v>
      </c>
      <c r="V47" s="10">
        <v>87</v>
      </c>
      <c r="W47" s="10">
        <v>170</v>
      </c>
      <c r="X47" s="10">
        <v>191</v>
      </c>
      <c r="Y47" s="10">
        <v>180</v>
      </c>
      <c r="Z47" s="53">
        <v>0</v>
      </c>
      <c r="AA47" s="22">
        <v>142.852</v>
      </c>
      <c r="AB47" s="22">
        <v>0</v>
      </c>
      <c r="AC47" s="22">
        <v>0</v>
      </c>
      <c r="AD47" s="22">
        <v>0</v>
      </c>
      <c r="AE47" s="22">
        <v>0</v>
      </c>
      <c r="AF47" s="22">
        <v>0</v>
      </c>
      <c r="AG47" s="22">
        <v>0</v>
      </c>
      <c r="AH47" s="22">
        <v>0</v>
      </c>
      <c r="AI47" s="22"/>
      <c r="AJ47" s="11">
        <f t="shared" ref="AJ47:AJ49" si="32">SUM(E47:AI47)</f>
        <v>5040.8519999999999</v>
      </c>
      <c r="AK47" s="12">
        <f>AJ47+'Apr-24'!AI46+'May-24'!AJ46</f>
        <v>33798.851999999999</v>
      </c>
      <c r="AL47" s="62">
        <f>AJ49/AJ44</f>
        <v>0.13656481151658156</v>
      </c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62"/>
      <c r="BL47" s="62"/>
      <c r="BM47" s="62"/>
      <c r="BN47" s="62"/>
      <c r="BO47" s="62"/>
      <c r="BP47" s="62"/>
      <c r="BQ47" s="62"/>
      <c r="BR47" s="62"/>
      <c r="BS47" s="62"/>
      <c r="BT47" s="62"/>
      <c r="BU47" s="62"/>
      <c r="BV47" s="62"/>
      <c r="BW47" s="62"/>
      <c r="BX47" s="62"/>
      <c r="BY47" s="62"/>
      <c r="BZ47" s="62"/>
      <c r="CA47" s="62"/>
      <c r="CB47" s="62"/>
      <c r="CC47" s="62"/>
      <c r="CD47" s="62"/>
      <c r="CE47" s="62"/>
      <c r="CF47" s="62"/>
      <c r="CG47" s="62"/>
      <c r="CH47" s="62"/>
      <c r="CI47" s="62"/>
      <c r="CJ47" s="62"/>
      <c r="CK47" s="62"/>
      <c r="CL47" s="62"/>
      <c r="CM47" s="62"/>
      <c r="CN47" s="62"/>
      <c r="CO47" s="62"/>
      <c r="CP47" s="62"/>
      <c r="CQ47" s="62"/>
      <c r="CR47" s="62"/>
      <c r="CS47" s="62"/>
      <c r="CT47" s="62"/>
      <c r="CU47" s="62"/>
      <c r="CV47" s="62"/>
      <c r="CW47" s="62"/>
      <c r="CX47" s="62"/>
      <c r="CY47" s="62"/>
      <c r="CZ47" s="62"/>
      <c r="DA47" s="62"/>
      <c r="DB47" s="62"/>
      <c r="DC47" s="62"/>
      <c r="DD47" s="62"/>
      <c r="DE47" s="62"/>
      <c r="DF47" s="62"/>
      <c r="DG47" s="62"/>
      <c r="DH47" s="62"/>
      <c r="DI47" s="62"/>
      <c r="DJ47" s="62"/>
      <c r="DK47" s="62"/>
      <c r="DL47" s="62"/>
      <c r="DM47" s="62"/>
      <c r="DN47" s="62"/>
      <c r="DO47" s="62"/>
      <c r="DP47" s="62"/>
      <c r="DQ47" s="62"/>
      <c r="DR47" s="62"/>
      <c r="DS47" s="62"/>
      <c r="DT47" s="62"/>
      <c r="DU47" s="62"/>
      <c r="DV47" s="62"/>
      <c r="DW47" s="62"/>
      <c r="DX47" s="62"/>
      <c r="DY47" s="62"/>
      <c r="DZ47" s="62"/>
      <c r="EA47" s="62"/>
      <c r="EB47" s="62"/>
      <c r="EC47" s="62"/>
      <c r="ED47" s="62"/>
      <c r="EE47" s="62"/>
      <c r="EF47" s="62"/>
      <c r="EG47" s="62"/>
      <c r="EH47" s="62"/>
      <c r="EI47" s="62"/>
      <c r="EJ47" s="62"/>
      <c r="EK47" s="62"/>
      <c r="EL47" s="62"/>
      <c r="EM47" s="62"/>
      <c r="EN47" s="62"/>
      <c r="EO47" s="62"/>
      <c r="EP47" s="62"/>
      <c r="EQ47" s="62"/>
      <c r="ER47" s="62"/>
      <c r="ES47" s="62"/>
      <c r="ET47" s="62"/>
      <c r="EU47" s="62"/>
      <c r="EV47" s="62"/>
      <c r="EW47" s="62"/>
      <c r="EX47" s="62"/>
      <c r="EY47" s="62"/>
      <c r="EZ47" s="62"/>
      <c r="FA47" s="62"/>
      <c r="FB47" s="62"/>
      <c r="FC47" s="62"/>
      <c r="FD47" s="62"/>
      <c r="FE47" s="62"/>
      <c r="FF47" s="62"/>
      <c r="FG47" s="62"/>
      <c r="FH47" s="62"/>
      <c r="FI47" s="62"/>
      <c r="FJ47" s="62"/>
      <c r="FK47" s="62"/>
      <c r="FL47" s="62"/>
      <c r="FM47" s="62"/>
      <c r="FN47" s="62"/>
      <c r="FO47" s="62"/>
      <c r="FP47" s="62"/>
      <c r="FQ47" s="62"/>
      <c r="FR47" s="62"/>
      <c r="FS47" s="62"/>
      <c r="FT47" s="62"/>
      <c r="FU47" s="62"/>
      <c r="FV47" s="62"/>
      <c r="FW47" s="62"/>
      <c r="FX47" s="62"/>
      <c r="FY47" s="62"/>
      <c r="FZ47" s="62"/>
      <c r="GA47" s="62"/>
      <c r="GB47" s="62"/>
      <c r="GC47" s="62"/>
      <c r="GD47" s="62"/>
      <c r="GE47" s="62"/>
      <c r="GF47" s="62"/>
      <c r="GG47" s="62"/>
      <c r="GH47" s="62"/>
      <c r="GI47" s="62"/>
      <c r="GJ47" s="62"/>
      <c r="GK47" s="62"/>
      <c r="GL47" s="62"/>
      <c r="GM47" s="62"/>
      <c r="GN47" s="62"/>
      <c r="GO47" s="62"/>
      <c r="GP47" s="62"/>
      <c r="GQ47" s="62"/>
      <c r="GR47" s="62"/>
      <c r="GS47" s="62"/>
      <c r="GT47" s="62"/>
      <c r="GU47" s="62"/>
      <c r="GV47" s="62"/>
      <c r="GW47" s="62"/>
      <c r="GX47" s="62"/>
      <c r="GY47" s="62"/>
      <c r="GZ47" s="62"/>
      <c r="HA47" s="62"/>
      <c r="HB47" s="62"/>
      <c r="HC47" s="62"/>
      <c r="HD47" s="62"/>
      <c r="HE47" s="62"/>
      <c r="HF47" s="62"/>
      <c r="HG47" s="62"/>
      <c r="HH47" s="62"/>
      <c r="HI47" s="62"/>
      <c r="HJ47" s="62"/>
      <c r="HK47" s="62"/>
      <c r="HL47" s="62"/>
      <c r="HM47" s="62"/>
      <c r="HN47" s="62"/>
      <c r="HO47" s="62"/>
      <c r="HP47" s="62"/>
      <c r="HQ47" s="62"/>
      <c r="HR47" s="62"/>
      <c r="HS47" s="62"/>
      <c r="HT47" s="62"/>
      <c r="HU47" s="62"/>
      <c r="HV47" s="62"/>
      <c r="HW47" s="62"/>
      <c r="HX47" s="62"/>
      <c r="HY47" s="62"/>
      <c r="HZ47" s="62"/>
      <c r="IA47" s="62"/>
      <c r="IB47" s="62"/>
      <c r="IC47" s="62"/>
      <c r="ID47" s="62"/>
      <c r="IE47" s="62"/>
      <c r="IF47" s="62"/>
      <c r="IG47" s="62"/>
      <c r="IH47" s="62"/>
      <c r="II47" s="62"/>
      <c r="IJ47" s="62"/>
      <c r="IK47" s="62"/>
      <c r="IL47" s="62"/>
      <c r="IM47" s="62"/>
      <c r="IN47" s="62"/>
      <c r="IO47" s="62"/>
      <c r="IP47" s="62"/>
      <c r="IQ47" s="62"/>
      <c r="IR47" s="62"/>
      <c r="IS47" s="62"/>
    </row>
    <row r="48" spans="1:253" s="51" customFormat="1" x14ac:dyDescent="0.3">
      <c r="B48" s="58" t="s">
        <v>357</v>
      </c>
      <c r="C48" s="59" t="s">
        <v>51</v>
      </c>
      <c r="D48" s="59" t="s">
        <v>55</v>
      </c>
      <c r="E48" s="60">
        <v>4815</v>
      </c>
      <c r="F48" s="60">
        <v>4820</v>
      </c>
      <c r="G48" s="60">
        <v>4815</v>
      </c>
      <c r="H48" s="60">
        <v>4824</v>
      </c>
      <c r="I48" s="60">
        <v>0</v>
      </c>
      <c r="J48" s="60">
        <v>0</v>
      </c>
      <c r="K48" s="60">
        <v>4820</v>
      </c>
      <c r="L48" s="60">
        <v>4825</v>
      </c>
      <c r="M48" s="60">
        <v>4815</v>
      </c>
      <c r="N48" s="60">
        <v>4820</v>
      </c>
      <c r="O48" s="60">
        <v>4815</v>
      </c>
      <c r="P48" s="60">
        <v>4820</v>
      </c>
      <c r="Q48" s="60">
        <v>4958</v>
      </c>
      <c r="R48" s="60">
        <v>4965</v>
      </c>
      <c r="S48" s="60">
        <v>4970</v>
      </c>
      <c r="T48" s="60">
        <v>4980</v>
      </c>
      <c r="U48" s="23">
        <v>4975</v>
      </c>
      <c r="V48" s="23">
        <v>4985</v>
      </c>
      <c r="W48" s="23">
        <v>4975</v>
      </c>
      <c r="X48" s="23">
        <v>4980</v>
      </c>
      <c r="Y48" s="23">
        <v>4970</v>
      </c>
      <c r="Z48" s="23">
        <v>0</v>
      </c>
      <c r="AA48" s="23">
        <v>4980</v>
      </c>
      <c r="AB48" s="23">
        <v>0</v>
      </c>
      <c r="AC48" s="22">
        <v>0</v>
      </c>
      <c r="AD48" s="22">
        <v>0</v>
      </c>
      <c r="AE48" s="22">
        <v>0</v>
      </c>
      <c r="AF48" s="22">
        <v>0</v>
      </c>
      <c r="AG48" s="22">
        <v>0</v>
      </c>
      <c r="AH48" s="22">
        <v>0</v>
      </c>
      <c r="AI48" s="22"/>
      <c r="AJ48" s="11">
        <f t="shared" si="32"/>
        <v>97927</v>
      </c>
      <c r="AK48" s="12">
        <f>AJ48+'Apr-24'!AI47+'May-24'!AJ47</f>
        <v>394246.52800000005</v>
      </c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2"/>
      <c r="BH48" s="62"/>
      <c r="BI48" s="62"/>
      <c r="BJ48" s="62"/>
      <c r="BK48" s="62"/>
      <c r="BL48" s="62"/>
      <c r="BM48" s="62"/>
      <c r="BN48" s="62"/>
      <c r="BO48" s="62"/>
      <c r="BP48" s="62"/>
      <c r="BQ48" s="62"/>
      <c r="BR48" s="62"/>
      <c r="BS48" s="62"/>
      <c r="BT48" s="62"/>
      <c r="BU48" s="62"/>
      <c r="BV48" s="62"/>
      <c r="BW48" s="62"/>
      <c r="BX48" s="62"/>
      <c r="BY48" s="62"/>
      <c r="BZ48" s="62"/>
      <c r="CA48" s="62"/>
      <c r="CB48" s="62"/>
      <c r="CC48" s="62"/>
      <c r="CD48" s="62"/>
      <c r="CE48" s="62"/>
      <c r="CF48" s="62"/>
      <c r="CG48" s="62"/>
      <c r="CH48" s="62"/>
      <c r="CI48" s="62"/>
      <c r="CJ48" s="62"/>
      <c r="CK48" s="62"/>
      <c r="CL48" s="62"/>
      <c r="CM48" s="62"/>
      <c r="CN48" s="62"/>
      <c r="CO48" s="62"/>
      <c r="CP48" s="62"/>
      <c r="CQ48" s="62"/>
      <c r="CR48" s="62"/>
      <c r="CS48" s="62"/>
      <c r="CT48" s="62"/>
      <c r="CU48" s="62"/>
      <c r="CV48" s="62"/>
      <c r="CW48" s="62"/>
      <c r="CX48" s="62"/>
      <c r="CY48" s="62"/>
      <c r="CZ48" s="62"/>
      <c r="DA48" s="62"/>
      <c r="DB48" s="62"/>
      <c r="DC48" s="62"/>
      <c r="DD48" s="62"/>
      <c r="DE48" s="62"/>
      <c r="DF48" s="62"/>
      <c r="DG48" s="62"/>
      <c r="DH48" s="62"/>
      <c r="DI48" s="62"/>
      <c r="DJ48" s="62"/>
      <c r="DK48" s="62"/>
      <c r="DL48" s="62"/>
      <c r="DM48" s="62"/>
      <c r="DN48" s="62"/>
      <c r="DO48" s="62"/>
      <c r="DP48" s="62"/>
      <c r="DQ48" s="62"/>
      <c r="DR48" s="62"/>
      <c r="DS48" s="62"/>
      <c r="DT48" s="62"/>
      <c r="DU48" s="62"/>
      <c r="DV48" s="62"/>
      <c r="DW48" s="62"/>
      <c r="DX48" s="62"/>
      <c r="DY48" s="62"/>
      <c r="DZ48" s="62"/>
      <c r="EA48" s="62"/>
      <c r="EB48" s="62"/>
      <c r="EC48" s="62"/>
      <c r="ED48" s="62"/>
      <c r="EE48" s="62"/>
      <c r="EF48" s="62"/>
      <c r="EG48" s="62"/>
      <c r="EH48" s="62"/>
      <c r="EI48" s="62"/>
      <c r="EJ48" s="62"/>
      <c r="EK48" s="62"/>
      <c r="EL48" s="62"/>
      <c r="EM48" s="62"/>
      <c r="EN48" s="62"/>
      <c r="EO48" s="62"/>
      <c r="EP48" s="62"/>
      <c r="EQ48" s="62"/>
      <c r="ER48" s="62"/>
      <c r="ES48" s="62"/>
      <c r="ET48" s="62"/>
      <c r="EU48" s="62"/>
      <c r="EV48" s="62"/>
      <c r="EW48" s="62"/>
      <c r="EX48" s="62"/>
      <c r="EY48" s="62"/>
      <c r="EZ48" s="62"/>
      <c r="FA48" s="62"/>
      <c r="FB48" s="62"/>
      <c r="FC48" s="62"/>
      <c r="FD48" s="62"/>
      <c r="FE48" s="62"/>
      <c r="FF48" s="62"/>
      <c r="FG48" s="62"/>
      <c r="FH48" s="62"/>
      <c r="FI48" s="62"/>
      <c r="FJ48" s="62"/>
      <c r="FK48" s="62"/>
      <c r="FL48" s="62"/>
      <c r="FM48" s="62"/>
      <c r="FN48" s="62"/>
      <c r="FO48" s="62"/>
      <c r="FP48" s="62"/>
      <c r="FQ48" s="62"/>
      <c r="FR48" s="62"/>
      <c r="FS48" s="62"/>
      <c r="FT48" s="62"/>
      <c r="FU48" s="62"/>
      <c r="FV48" s="62"/>
      <c r="FW48" s="62"/>
      <c r="FX48" s="62"/>
      <c r="FY48" s="62"/>
      <c r="FZ48" s="62"/>
      <c r="GA48" s="62"/>
      <c r="GB48" s="62"/>
      <c r="GC48" s="62"/>
      <c r="GD48" s="62"/>
      <c r="GE48" s="62"/>
      <c r="GF48" s="62"/>
      <c r="GG48" s="62"/>
      <c r="GH48" s="62"/>
      <c r="GI48" s="62"/>
      <c r="GJ48" s="62"/>
      <c r="GK48" s="62"/>
      <c r="GL48" s="62"/>
      <c r="GM48" s="62"/>
      <c r="GN48" s="62"/>
      <c r="GO48" s="62"/>
      <c r="GP48" s="62"/>
      <c r="GQ48" s="62"/>
      <c r="GR48" s="62"/>
      <c r="GS48" s="62"/>
      <c r="GT48" s="62"/>
      <c r="GU48" s="62"/>
      <c r="GV48" s="62"/>
      <c r="GW48" s="62"/>
      <c r="GX48" s="62"/>
      <c r="GY48" s="62"/>
      <c r="GZ48" s="62"/>
      <c r="HA48" s="62"/>
      <c r="HB48" s="62"/>
      <c r="HC48" s="62"/>
      <c r="HD48" s="62"/>
      <c r="HE48" s="62"/>
      <c r="HF48" s="62"/>
      <c r="HG48" s="62"/>
      <c r="HH48" s="62"/>
      <c r="HI48" s="62"/>
      <c r="HJ48" s="62"/>
      <c r="HK48" s="62"/>
      <c r="HL48" s="62"/>
      <c r="HM48" s="62"/>
      <c r="HN48" s="62"/>
      <c r="HO48" s="62"/>
      <c r="HP48" s="62"/>
      <c r="HQ48" s="62"/>
      <c r="HR48" s="62"/>
      <c r="HS48" s="62"/>
      <c r="HT48" s="62"/>
      <c r="HU48" s="62"/>
      <c r="HV48" s="62"/>
      <c r="HW48" s="62"/>
      <c r="HX48" s="62"/>
      <c r="HY48" s="62"/>
      <c r="HZ48" s="62"/>
      <c r="IA48" s="62"/>
      <c r="IB48" s="62"/>
      <c r="IC48" s="62"/>
      <c r="ID48" s="62"/>
      <c r="IE48" s="62"/>
      <c r="IF48" s="62"/>
      <c r="IG48" s="62"/>
      <c r="IH48" s="62"/>
      <c r="II48" s="62"/>
      <c r="IJ48" s="62"/>
      <c r="IK48" s="62"/>
      <c r="IL48" s="62"/>
      <c r="IM48" s="62"/>
      <c r="IN48" s="62"/>
      <c r="IO48" s="62"/>
      <c r="IP48" s="62"/>
      <c r="IQ48" s="62"/>
      <c r="IR48" s="62"/>
      <c r="IS48" s="62"/>
    </row>
    <row r="49" spans="1:679" s="51" customFormat="1" x14ac:dyDescent="0.3">
      <c r="B49" s="58" t="s">
        <v>358</v>
      </c>
      <c r="C49" s="59" t="s">
        <v>51</v>
      </c>
      <c r="D49" s="59" t="s">
        <v>55</v>
      </c>
      <c r="E49" s="63">
        <f>E47*E48</f>
        <v>1873035</v>
      </c>
      <c r="F49" s="63">
        <f>F47*F48</f>
        <v>1923180</v>
      </c>
      <c r="G49" s="63">
        <f t="shared" ref="G49:AH49" si="33">G47*G48</f>
        <v>1651545</v>
      </c>
      <c r="H49" s="63">
        <f t="shared" si="33"/>
        <v>1341072</v>
      </c>
      <c r="I49" s="63">
        <f t="shared" si="33"/>
        <v>0</v>
      </c>
      <c r="J49" s="63">
        <f t="shared" si="33"/>
        <v>0</v>
      </c>
      <c r="K49" s="63">
        <f t="shared" si="33"/>
        <v>1229100</v>
      </c>
      <c r="L49" s="63">
        <f t="shared" si="33"/>
        <v>1790075</v>
      </c>
      <c r="M49" s="63">
        <f>M47*M48</f>
        <v>1747845</v>
      </c>
      <c r="N49" s="63">
        <f t="shared" si="33"/>
        <v>1831600</v>
      </c>
      <c r="O49" s="63">
        <f t="shared" si="33"/>
        <v>1964520</v>
      </c>
      <c r="P49" s="63">
        <f t="shared" si="33"/>
        <v>1870160</v>
      </c>
      <c r="Q49" s="63">
        <f t="shared" si="33"/>
        <v>1789838</v>
      </c>
      <c r="R49" s="63">
        <f t="shared" si="33"/>
        <v>456780</v>
      </c>
      <c r="S49" s="63">
        <f t="shared" si="33"/>
        <v>392630</v>
      </c>
      <c r="T49" s="63">
        <f t="shared" si="33"/>
        <v>413340</v>
      </c>
      <c r="U49" s="63">
        <f t="shared" si="33"/>
        <v>402975</v>
      </c>
      <c r="V49" s="23">
        <f t="shared" si="33"/>
        <v>433695</v>
      </c>
      <c r="W49" s="23">
        <f t="shared" si="33"/>
        <v>845750</v>
      </c>
      <c r="X49" s="23">
        <f t="shared" si="33"/>
        <v>951180</v>
      </c>
      <c r="Y49" s="23">
        <f t="shared" si="33"/>
        <v>894600</v>
      </c>
      <c r="Z49" s="23">
        <f t="shared" si="33"/>
        <v>0</v>
      </c>
      <c r="AA49" s="23">
        <f t="shared" si="33"/>
        <v>711402.96</v>
      </c>
      <c r="AB49" s="23">
        <f t="shared" si="33"/>
        <v>0</v>
      </c>
      <c r="AC49" s="63">
        <f t="shared" si="33"/>
        <v>0</v>
      </c>
      <c r="AD49" s="63">
        <f t="shared" si="33"/>
        <v>0</v>
      </c>
      <c r="AE49" s="63">
        <f t="shared" si="33"/>
        <v>0</v>
      </c>
      <c r="AF49" s="63">
        <f t="shared" si="33"/>
        <v>0</v>
      </c>
      <c r="AG49" s="63">
        <f t="shared" si="33"/>
        <v>0</v>
      </c>
      <c r="AH49" s="63">
        <f t="shared" si="33"/>
        <v>0</v>
      </c>
      <c r="AI49" s="63"/>
      <c r="AJ49" s="11">
        <f t="shared" si="32"/>
        <v>24514322.960000001</v>
      </c>
      <c r="AK49" s="12">
        <f>AJ49+'Apr-24'!AI48+'May-24'!AJ48</f>
        <v>168810168.64399999</v>
      </c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2"/>
      <c r="BH49" s="62"/>
      <c r="BI49" s="62"/>
      <c r="BJ49" s="62"/>
      <c r="BK49" s="62"/>
      <c r="BL49" s="62"/>
      <c r="BM49" s="62"/>
      <c r="BN49" s="62"/>
      <c r="BO49" s="62"/>
      <c r="BP49" s="62"/>
      <c r="BQ49" s="62"/>
      <c r="BR49" s="62"/>
      <c r="BS49" s="62"/>
      <c r="BT49" s="62"/>
      <c r="BU49" s="62"/>
      <c r="BV49" s="62"/>
      <c r="BW49" s="62"/>
      <c r="BX49" s="62"/>
      <c r="BY49" s="62"/>
      <c r="BZ49" s="62"/>
      <c r="CA49" s="62"/>
      <c r="CB49" s="62"/>
      <c r="CC49" s="62"/>
      <c r="CD49" s="62"/>
      <c r="CE49" s="62"/>
      <c r="CF49" s="62"/>
      <c r="CG49" s="62"/>
      <c r="CH49" s="62"/>
      <c r="CI49" s="62"/>
      <c r="CJ49" s="62"/>
      <c r="CK49" s="62"/>
      <c r="CL49" s="62"/>
      <c r="CM49" s="62"/>
      <c r="CN49" s="62"/>
      <c r="CO49" s="62"/>
      <c r="CP49" s="62"/>
      <c r="CQ49" s="62"/>
      <c r="CR49" s="62"/>
      <c r="CS49" s="62"/>
      <c r="CT49" s="62"/>
      <c r="CU49" s="62"/>
      <c r="CV49" s="62"/>
      <c r="CW49" s="62"/>
      <c r="CX49" s="62"/>
      <c r="CY49" s="62"/>
      <c r="CZ49" s="62"/>
      <c r="DA49" s="62"/>
      <c r="DB49" s="62"/>
      <c r="DC49" s="62"/>
      <c r="DD49" s="62"/>
      <c r="DE49" s="62"/>
      <c r="DF49" s="62"/>
      <c r="DG49" s="62"/>
      <c r="DH49" s="62"/>
      <c r="DI49" s="62"/>
      <c r="DJ49" s="62"/>
      <c r="DK49" s="62"/>
      <c r="DL49" s="62"/>
      <c r="DM49" s="62"/>
      <c r="DN49" s="62"/>
      <c r="DO49" s="62"/>
      <c r="DP49" s="62"/>
      <c r="DQ49" s="62"/>
      <c r="DR49" s="62"/>
      <c r="DS49" s="62"/>
      <c r="DT49" s="62"/>
      <c r="DU49" s="62"/>
      <c r="DV49" s="62"/>
      <c r="DW49" s="62"/>
      <c r="DX49" s="62"/>
      <c r="DY49" s="62"/>
      <c r="DZ49" s="62"/>
      <c r="EA49" s="62"/>
      <c r="EB49" s="62"/>
      <c r="EC49" s="62"/>
      <c r="ED49" s="62"/>
      <c r="EE49" s="62"/>
      <c r="EF49" s="62"/>
      <c r="EG49" s="62"/>
      <c r="EH49" s="62"/>
      <c r="EI49" s="62"/>
      <c r="EJ49" s="62"/>
      <c r="EK49" s="62"/>
      <c r="EL49" s="62"/>
      <c r="EM49" s="62"/>
      <c r="EN49" s="62"/>
      <c r="EO49" s="62"/>
      <c r="EP49" s="62"/>
      <c r="EQ49" s="62"/>
      <c r="ER49" s="62"/>
      <c r="ES49" s="62"/>
      <c r="ET49" s="62"/>
      <c r="EU49" s="62"/>
      <c r="EV49" s="62"/>
      <c r="EW49" s="62"/>
      <c r="EX49" s="62"/>
      <c r="EY49" s="62"/>
      <c r="EZ49" s="62"/>
      <c r="FA49" s="62"/>
      <c r="FB49" s="62"/>
      <c r="FC49" s="62"/>
      <c r="FD49" s="62"/>
      <c r="FE49" s="62"/>
      <c r="FF49" s="62"/>
      <c r="FG49" s="62"/>
      <c r="FH49" s="62"/>
      <c r="FI49" s="62"/>
      <c r="FJ49" s="62"/>
      <c r="FK49" s="62"/>
      <c r="FL49" s="62"/>
      <c r="FM49" s="62"/>
      <c r="FN49" s="62"/>
      <c r="FO49" s="62"/>
      <c r="FP49" s="62"/>
      <c r="FQ49" s="62"/>
      <c r="FR49" s="62"/>
      <c r="FS49" s="62"/>
      <c r="FT49" s="62"/>
      <c r="FU49" s="62"/>
      <c r="FV49" s="62"/>
      <c r="FW49" s="62"/>
      <c r="FX49" s="62"/>
      <c r="FY49" s="62"/>
      <c r="FZ49" s="62"/>
      <c r="GA49" s="62"/>
      <c r="GB49" s="62"/>
      <c r="GC49" s="62"/>
      <c r="GD49" s="62"/>
      <c r="GE49" s="62"/>
      <c r="GF49" s="62"/>
      <c r="GG49" s="62"/>
      <c r="GH49" s="62"/>
      <c r="GI49" s="62"/>
      <c r="GJ49" s="62"/>
      <c r="GK49" s="62"/>
      <c r="GL49" s="62"/>
      <c r="GM49" s="62"/>
      <c r="GN49" s="62"/>
      <c r="GO49" s="62"/>
      <c r="GP49" s="62"/>
      <c r="GQ49" s="62"/>
      <c r="GR49" s="62"/>
      <c r="GS49" s="62"/>
      <c r="GT49" s="62"/>
      <c r="GU49" s="62"/>
      <c r="GV49" s="62"/>
      <c r="GW49" s="62"/>
      <c r="GX49" s="62"/>
      <c r="GY49" s="62"/>
      <c r="GZ49" s="62"/>
      <c r="HA49" s="62"/>
      <c r="HB49" s="62"/>
      <c r="HC49" s="62"/>
      <c r="HD49" s="62"/>
      <c r="HE49" s="62"/>
      <c r="HF49" s="62"/>
      <c r="HG49" s="62"/>
      <c r="HH49" s="62"/>
      <c r="HI49" s="62"/>
      <c r="HJ49" s="62"/>
      <c r="HK49" s="62"/>
      <c r="HL49" s="62"/>
      <c r="HM49" s="62"/>
      <c r="HN49" s="62"/>
      <c r="HO49" s="62"/>
      <c r="HP49" s="62"/>
      <c r="HQ49" s="62"/>
      <c r="HR49" s="62"/>
      <c r="HS49" s="62"/>
      <c r="HT49" s="62"/>
      <c r="HU49" s="62"/>
      <c r="HV49" s="62"/>
      <c r="HW49" s="62"/>
      <c r="HX49" s="62"/>
      <c r="HY49" s="62"/>
      <c r="HZ49" s="62"/>
      <c r="IA49" s="62"/>
      <c r="IB49" s="62"/>
      <c r="IC49" s="62"/>
      <c r="ID49" s="62"/>
      <c r="IE49" s="62"/>
      <c r="IF49" s="62"/>
      <c r="IG49" s="62"/>
      <c r="IH49" s="62"/>
      <c r="II49" s="62"/>
      <c r="IJ49" s="62"/>
      <c r="IK49" s="62"/>
      <c r="IL49" s="62"/>
      <c r="IM49" s="62"/>
      <c r="IN49" s="62"/>
      <c r="IO49" s="62"/>
      <c r="IP49" s="62"/>
      <c r="IQ49" s="62"/>
      <c r="IR49" s="62"/>
      <c r="IS49" s="62"/>
    </row>
    <row r="50" spans="1:679" x14ac:dyDescent="0.3">
      <c r="A50" s="19">
        <v>11</v>
      </c>
      <c r="B50" s="44" t="s">
        <v>220</v>
      </c>
      <c r="C50" s="15"/>
      <c r="D50" s="15"/>
      <c r="E50" s="21">
        <f>E49/E44</f>
        <v>0.28699139654789357</v>
      </c>
      <c r="F50" s="21">
        <f>F49/F44</f>
        <v>0.28501795089346915</v>
      </c>
      <c r="G50" s="21">
        <f t="shared" ref="G50:AG50" si="34">G49/G44</f>
        <v>0.24668960974363799</v>
      </c>
      <c r="H50" s="21">
        <f t="shared" si="34"/>
        <v>0.24019343399065068</v>
      </c>
      <c r="I50" s="21" t="e">
        <f t="shared" si="34"/>
        <v>#DIV/0!</v>
      </c>
      <c r="J50" s="21" t="e">
        <f t="shared" si="34"/>
        <v>#DIV/0!</v>
      </c>
      <c r="K50" s="21">
        <f t="shared" si="34"/>
        <v>0.26180001086307098</v>
      </c>
      <c r="L50" s="21">
        <f t="shared" si="34"/>
        <v>0.26835766890608503</v>
      </c>
      <c r="M50" s="21">
        <f t="shared" si="34"/>
        <v>0.2571789528327581</v>
      </c>
      <c r="N50" s="21">
        <f t="shared" si="34"/>
        <v>0.27011689531333322</v>
      </c>
      <c r="O50" s="21">
        <f t="shared" si="34"/>
        <v>0.29518505412672619</v>
      </c>
      <c r="P50" s="21">
        <f t="shared" si="34"/>
        <v>0.28377911673643696</v>
      </c>
      <c r="Q50" s="21">
        <f t="shared" si="34"/>
        <v>0.29534914996926603</v>
      </c>
      <c r="R50" s="21">
        <f t="shared" si="34"/>
        <v>6.96948428440647E-2</v>
      </c>
      <c r="S50" s="21">
        <f t="shared" si="34"/>
        <v>5.8946903797475955E-2</v>
      </c>
      <c r="T50" s="21">
        <f t="shared" si="34"/>
        <v>6.2115544169225261E-2</v>
      </c>
      <c r="U50" s="21">
        <f t="shared" si="34"/>
        <v>6.3443235484570287E-2</v>
      </c>
      <c r="V50" s="21">
        <f t="shared" si="34"/>
        <v>6.42594886444455E-2</v>
      </c>
      <c r="W50" s="21">
        <f t="shared" si="34"/>
        <v>0.12674769827228988</v>
      </c>
      <c r="X50" s="21">
        <f t="shared" si="34"/>
        <v>0.14006322414886832</v>
      </c>
      <c r="Y50" s="21">
        <f t="shared" si="34"/>
        <v>0.13690932030169636</v>
      </c>
      <c r="Z50" s="21">
        <f t="shared" si="34"/>
        <v>0</v>
      </c>
      <c r="AA50" s="21">
        <f t="shared" si="34"/>
        <v>0.10753196130135199</v>
      </c>
      <c r="AB50" s="21">
        <f t="shared" si="34"/>
        <v>0</v>
      </c>
      <c r="AC50" s="21">
        <f t="shared" si="34"/>
        <v>0</v>
      </c>
      <c r="AD50" s="21">
        <f t="shared" si="34"/>
        <v>0</v>
      </c>
      <c r="AE50" s="21">
        <f t="shared" si="34"/>
        <v>0</v>
      </c>
      <c r="AF50" s="21">
        <f t="shared" si="34"/>
        <v>0</v>
      </c>
      <c r="AG50" s="21">
        <f t="shared" si="34"/>
        <v>0</v>
      </c>
      <c r="AH50" s="216">
        <f>AH49/AH44</f>
        <v>0</v>
      </c>
      <c r="AI50" s="216"/>
      <c r="AJ50" s="16">
        <f>AJ49/AJ44</f>
        <v>0.13656481151658156</v>
      </c>
      <c r="AK50" s="16">
        <f>AK49/AK44</f>
        <v>0.30167439622349157</v>
      </c>
    </row>
    <row r="51" spans="1:679" s="51" customFormat="1" x14ac:dyDescent="0.3">
      <c r="B51" s="24" t="s">
        <v>359</v>
      </c>
      <c r="C51" s="59" t="s">
        <v>51</v>
      </c>
      <c r="D51" s="59" t="s">
        <v>55</v>
      </c>
      <c r="E51" s="52">
        <v>389</v>
      </c>
      <c r="F51" s="52">
        <v>399</v>
      </c>
      <c r="G51" s="52">
        <v>353</v>
      </c>
      <c r="H51" s="52">
        <v>287</v>
      </c>
      <c r="I51" s="52">
        <v>0</v>
      </c>
      <c r="J51" s="52">
        <v>0</v>
      </c>
      <c r="K51" s="52">
        <v>263</v>
      </c>
      <c r="L51" s="52">
        <v>867</v>
      </c>
      <c r="M51" s="52">
        <v>847</v>
      </c>
      <c r="N51" s="52">
        <v>888</v>
      </c>
      <c r="O51" s="52">
        <v>953</v>
      </c>
      <c r="P51" s="52">
        <v>905</v>
      </c>
      <c r="Q51" s="52">
        <v>842</v>
      </c>
      <c r="R51" s="52">
        <v>184</v>
      </c>
      <c r="S51" s="53">
        <v>158</v>
      </c>
      <c r="T51" s="53">
        <v>166</v>
      </c>
      <c r="U51" s="53">
        <v>161</v>
      </c>
      <c r="V51" s="53">
        <v>175</v>
      </c>
      <c r="W51" s="53">
        <v>170</v>
      </c>
      <c r="X51" s="53">
        <v>286</v>
      </c>
      <c r="Y51" s="53">
        <v>270</v>
      </c>
      <c r="Z51" s="53">
        <v>427</v>
      </c>
      <c r="AA51" s="53">
        <v>337.14800000000002</v>
      </c>
      <c r="AB51" s="53">
        <v>460</v>
      </c>
      <c r="AC51" s="53">
        <v>619</v>
      </c>
      <c r="AD51" s="53">
        <v>820</v>
      </c>
      <c r="AE51" s="53">
        <v>831</v>
      </c>
      <c r="AF51" s="53">
        <v>820</v>
      </c>
      <c r="AG51" s="53">
        <v>921</v>
      </c>
      <c r="AH51" s="53">
        <v>905</v>
      </c>
      <c r="AI51" s="53"/>
      <c r="AJ51" s="11">
        <f t="shared" ref="AJ51:AJ53" si="35">SUM(E51:AI51)</f>
        <v>14703.147999999999</v>
      </c>
      <c r="AK51" s="12">
        <f>AJ51+'Apr-24'!AI50+'May-24'!AJ50</f>
        <v>30774.148000000001</v>
      </c>
      <c r="AL51" s="62">
        <f>AJ53/AJ44</f>
        <v>0.37509850469350825</v>
      </c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62"/>
      <c r="BJ51" s="62"/>
      <c r="BK51" s="62"/>
      <c r="BL51" s="62"/>
      <c r="BM51" s="62"/>
      <c r="BN51" s="62"/>
      <c r="BO51" s="62"/>
      <c r="BP51" s="62"/>
      <c r="BQ51" s="62"/>
      <c r="BR51" s="62"/>
      <c r="BS51" s="62"/>
      <c r="BT51" s="62"/>
      <c r="BU51" s="62"/>
      <c r="BV51" s="62"/>
      <c r="BW51" s="62"/>
      <c r="BX51" s="62"/>
      <c r="BY51" s="62"/>
      <c r="BZ51" s="62"/>
      <c r="CA51" s="62"/>
      <c r="CB51" s="62"/>
      <c r="CC51" s="62"/>
      <c r="CD51" s="62"/>
      <c r="CE51" s="62"/>
      <c r="CF51" s="62"/>
      <c r="CG51" s="62"/>
      <c r="CH51" s="62"/>
      <c r="CI51" s="62"/>
      <c r="CJ51" s="62"/>
      <c r="CK51" s="62"/>
      <c r="CL51" s="62"/>
      <c r="CM51" s="62"/>
      <c r="CN51" s="62"/>
      <c r="CO51" s="62"/>
      <c r="CP51" s="62"/>
      <c r="CQ51" s="62"/>
      <c r="CR51" s="62"/>
      <c r="CS51" s="62"/>
      <c r="CT51" s="62"/>
      <c r="CU51" s="62"/>
      <c r="CV51" s="62"/>
      <c r="CW51" s="62"/>
      <c r="CX51" s="62"/>
      <c r="CY51" s="62"/>
      <c r="CZ51" s="62"/>
      <c r="DA51" s="62"/>
      <c r="DB51" s="62"/>
      <c r="DC51" s="62"/>
      <c r="DD51" s="62"/>
      <c r="DE51" s="62"/>
      <c r="DF51" s="62"/>
      <c r="DG51" s="62"/>
      <c r="DH51" s="62"/>
      <c r="DI51" s="62"/>
      <c r="DJ51" s="62"/>
      <c r="DK51" s="62"/>
      <c r="DL51" s="62"/>
      <c r="DM51" s="62"/>
      <c r="DN51" s="62"/>
      <c r="DO51" s="62"/>
      <c r="DP51" s="62"/>
      <c r="DQ51" s="62"/>
      <c r="DR51" s="62"/>
      <c r="DS51" s="62"/>
      <c r="DT51" s="62"/>
      <c r="DU51" s="62"/>
      <c r="DV51" s="62"/>
      <c r="DW51" s="62"/>
      <c r="DX51" s="62"/>
      <c r="DY51" s="62"/>
      <c r="DZ51" s="62"/>
      <c r="EA51" s="62"/>
      <c r="EB51" s="62"/>
      <c r="EC51" s="62"/>
      <c r="ED51" s="62"/>
      <c r="EE51" s="62"/>
      <c r="EF51" s="62"/>
      <c r="EG51" s="62"/>
      <c r="EH51" s="62"/>
      <c r="EI51" s="62"/>
      <c r="EJ51" s="62"/>
      <c r="EK51" s="62"/>
      <c r="EL51" s="62"/>
      <c r="EM51" s="62"/>
      <c r="EN51" s="62"/>
      <c r="EO51" s="62"/>
      <c r="EP51" s="62"/>
      <c r="EQ51" s="62"/>
      <c r="ER51" s="62"/>
      <c r="ES51" s="62"/>
      <c r="ET51" s="62"/>
      <c r="EU51" s="62"/>
      <c r="EV51" s="62"/>
      <c r="EW51" s="62"/>
      <c r="EX51" s="62"/>
      <c r="EY51" s="62"/>
      <c r="EZ51" s="62"/>
      <c r="FA51" s="62"/>
      <c r="FB51" s="62"/>
      <c r="FC51" s="62"/>
      <c r="FD51" s="62"/>
      <c r="FE51" s="62"/>
      <c r="FF51" s="62"/>
      <c r="FG51" s="62"/>
      <c r="FH51" s="62"/>
      <c r="FI51" s="62"/>
      <c r="FJ51" s="62"/>
      <c r="FK51" s="62"/>
      <c r="FL51" s="62"/>
      <c r="FM51" s="62"/>
      <c r="FN51" s="62"/>
      <c r="FO51" s="62"/>
      <c r="FP51" s="62"/>
      <c r="FQ51" s="62"/>
      <c r="FR51" s="62"/>
      <c r="FS51" s="62"/>
      <c r="FT51" s="62"/>
      <c r="FU51" s="62"/>
      <c r="FV51" s="62"/>
      <c r="FW51" s="62"/>
      <c r="FX51" s="62"/>
      <c r="FY51" s="62"/>
      <c r="FZ51" s="62"/>
      <c r="GA51" s="62"/>
      <c r="GB51" s="62"/>
      <c r="GC51" s="62"/>
      <c r="GD51" s="62"/>
      <c r="GE51" s="62"/>
      <c r="GF51" s="62"/>
      <c r="GG51" s="62"/>
      <c r="GH51" s="62"/>
      <c r="GI51" s="62"/>
      <c r="GJ51" s="62"/>
      <c r="GK51" s="62"/>
      <c r="GL51" s="62"/>
      <c r="GM51" s="62"/>
      <c r="GN51" s="62"/>
      <c r="GO51" s="62"/>
      <c r="GP51" s="62"/>
      <c r="GQ51" s="62"/>
      <c r="GR51" s="62"/>
      <c r="GS51" s="62"/>
      <c r="GT51" s="62"/>
      <c r="GU51" s="62"/>
      <c r="GV51" s="62"/>
      <c r="GW51" s="62"/>
      <c r="GX51" s="62"/>
      <c r="GY51" s="62"/>
      <c r="GZ51" s="62"/>
      <c r="HA51" s="62"/>
      <c r="HB51" s="62"/>
      <c r="HC51" s="62"/>
      <c r="HD51" s="62"/>
      <c r="HE51" s="62"/>
      <c r="HF51" s="62"/>
      <c r="HG51" s="62"/>
      <c r="HH51" s="62"/>
      <c r="HI51" s="62"/>
      <c r="HJ51" s="62"/>
      <c r="HK51" s="62"/>
      <c r="HL51" s="62"/>
      <c r="HM51" s="62"/>
      <c r="HN51" s="62"/>
      <c r="HO51" s="62"/>
      <c r="HP51" s="62"/>
      <c r="HQ51" s="62"/>
      <c r="HR51" s="62"/>
      <c r="HS51" s="62"/>
      <c r="HT51" s="62"/>
      <c r="HU51" s="62"/>
      <c r="HV51" s="62"/>
      <c r="HW51" s="62"/>
      <c r="HX51" s="62"/>
      <c r="HY51" s="62"/>
      <c r="HZ51" s="62"/>
      <c r="IA51" s="62"/>
      <c r="IB51" s="62"/>
      <c r="IC51" s="62"/>
      <c r="ID51" s="62"/>
      <c r="IE51" s="62"/>
      <c r="IF51" s="62"/>
      <c r="IG51" s="62"/>
      <c r="IH51" s="62"/>
      <c r="II51" s="62"/>
      <c r="IJ51" s="62"/>
      <c r="IK51" s="62"/>
      <c r="IL51" s="62"/>
      <c r="IM51" s="62"/>
      <c r="IN51" s="62"/>
      <c r="IO51" s="62"/>
      <c r="IP51" s="62"/>
      <c r="IQ51" s="62"/>
      <c r="IR51" s="62"/>
      <c r="IS51" s="62"/>
    </row>
    <row r="52" spans="1:679" s="51" customFormat="1" x14ac:dyDescent="0.3">
      <c r="B52" s="24" t="s">
        <v>360</v>
      </c>
      <c r="C52" s="59" t="s">
        <v>51</v>
      </c>
      <c r="D52" s="59" t="s">
        <v>55</v>
      </c>
      <c r="E52" s="60">
        <v>4396</v>
      </c>
      <c r="F52" s="60">
        <v>4390</v>
      </c>
      <c r="G52" s="60">
        <v>4400</v>
      </c>
      <c r="H52" s="60">
        <v>4420</v>
      </c>
      <c r="I52" s="60">
        <v>0</v>
      </c>
      <c r="J52" s="60">
        <v>0</v>
      </c>
      <c r="K52" s="60">
        <v>4225</v>
      </c>
      <c r="L52" s="60">
        <v>4430</v>
      </c>
      <c r="M52" s="60">
        <v>4420</v>
      </c>
      <c r="N52" s="60">
        <v>4839</v>
      </c>
      <c r="O52" s="60">
        <v>4900</v>
      </c>
      <c r="P52" s="60">
        <v>4895</v>
      </c>
      <c r="Q52" s="60">
        <v>5054</v>
      </c>
      <c r="R52" s="60">
        <v>5050</v>
      </c>
      <c r="S52" s="23">
        <v>5055</v>
      </c>
      <c r="T52" s="23">
        <v>4770</v>
      </c>
      <c r="U52" s="23">
        <v>4775</v>
      </c>
      <c r="V52" s="23">
        <v>4770</v>
      </c>
      <c r="W52" s="23">
        <v>4765</v>
      </c>
      <c r="X52" s="23">
        <v>4775</v>
      </c>
      <c r="Y52" s="23">
        <v>4734</v>
      </c>
      <c r="Z52" s="23">
        <v>4735</v>
      </c>
      <c r="AA52" s="23">
        <v>4740</v>
      </c>
      <c r="AB52" s="23">
        <v>4730</v>
      </c>
      <c r="AC52" s="23">
        <v>4734</v>
      </c>
      <c r="AD52" s="23">
        <v>4468</v>
      </c>
      <c r="AE52" s="23">
        <v>4470</v>
      </c>
      <c r="AF52" s="23">
        <v>4186</v>
      </c>
      <c r="AG52" s="23">
        <v>4180</v>
      </c>
      <c r="AH52" s="23">
        <v>4130</v>
      </c>
      <c r="AI52" s="23"/>
      <c r="AJ52" s="11">
        <f t="shared" si="35"/>
        <v>129436</v>
      </c>
      <c r="AK52" s="12">
        <f>AJ52+'Apr-24'!AI51+'May-24'!AJ51</f>
        <v>410706.52800000005</v>
      </c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2"/>
      <c r="BJ52" s="62"/>
      <c r="BK52" s="62"/>
      <c r="BL52" s="62"/>
      <c r="BM52" s="62"/>
      <c r="BN52" s="62"/>
      <c r="BO52" s="62"/>
      <c r="BP52" s="62"/>
      <c r="BQ52" s="62"/>
      <c r="BR52" s="62"/>
      <c r="BS52" s="62"/>
      <c r="BT52" s="62"/>
      <c r="BU52" s="62"/>
      <c r="BV52" s="62"/>
      <c r="BW52" s="62"/>
      <c r="BX52" s="62"/>
      <c r="BY52" s="62"/>
      <c r="BZ52" s="62"/>
      <c r="CA52" s="62"/>
      <c r="CB52" s="62"/>
      <c r="CC52" s="62"/>
      <c r="CD52" s="62"/>
      <c r="CE52" s="62"/>
      <c r="CF52" s="62"/>
      <c r="CG52" s="62"/>
      <c r="CH52" s="62"/>
      <c r="CI52" s="62"/>
      <c r="CJ52" s="62"/>
      <c r="CK52" s="62"/>
      <c r="CL52" s="62"/>
      <c r="CM52" s="62"/>
      <c r="CN52" s="62"/>
      <c r="CO52" s="62"/>
      <c r="CP52" s="62"/>
      <c r="CQ52" s="62"/>
      <c r="CR52" s="62"/>
      <c r="CS52" s="62"/>
      <c r="CT52" s="62"/>
      <c r="CU52" s="62"/>
      <c r="CV52" s="62"/>
      <c r="CW52" s="62"/>
      <c r="CX52" s="62"/>
      <c r="CY52" s="62"/>
      <c r="CZ52" s="62"/>
      <c r="DA52" s="62"/>
      <c r="DB52" s="62"/>
      <c r="DC52" s="62"/>
      <c r="DD52" s="62"/>
      <c r="DE52" s="62"/>
      <c r="DF52" s="62"/>
      <c r="DG52" s="62"/>
      <c r="DH52" s="62"/>
      <c r="DI52" s="62"/>
      <c r="DJ52" s="62"/>
      <c r="DK52" s="62"/>
      <c r="DL52" s="62"/>
      <c r="DM52" s="62"/>
      <c r="DN52" s="62"/>
      <c r="DO52" s="62"/>
      <c r="DP52" s="62"/>
      <c r="DQ52" s="62"/>
      <c r="DR52" s="62"/>
      <c r="DS52" s="62"/>
      <c r="DT52" s="62"/>
      <c r="DU52" s="62"/>
      <c r="DV52" s="62"/>
      <c r="DW52" s="62"/>
      <c r="DX52" s="62"/>
      <c r="DY52" s="62"/>
      <c r="DZ52" s="62"/>
      <c r="EA52" s="62"/>
      <c r="EB52" s="62"/>
      <c r="EC52" s="62"/>
      <c r="ED52" s="62"/>
      <c r="EE52" s="62"/>
      <c r="EF52" s="62"/>
      <c r="EG52" s="62"/>
      <c r="EH52" s="62"/>
      <c r="EI52" s="62"/>
      <c r="EJ52" s="62"/>
      <c r="EK52" s="62"/>
      <c r="EL52" s="62"/>
      <c r="EM52" s="62"/>
      <c r="EN52" s="62"/>
      <c r="EO52" s="62"/>
      <c r="EP52" s="62"/>
      <c r="EQ52" s="62"/>
      <c r="ER52" s="62"/>
      <c r="ES52" s="62"/>
      <c r="ET52" s="62"/>
      <c r="EU52" s="62"/>
      <c r="EV52" s="62"/>
      <c r="EW52" s="62"/>
      <c r="EX52" s="62"/>
      <c r="EY52" s="62"/>
      <c r="EZ52" s="62"/>
      <c r="FA52" s="62"/>
      <c r="FB52" s="62"/>
      <c r="FC52" s="62"/>
      <c r="FD52" s="62"/>
      <c r="FE52" s="62"/>
      <c r="FF52" s="62"/>
      <c r="FG52" s="62"/>
      <c r="FH52" s="62"/>
      <c r="FI52" s="62"/>
      <c r="FJ52" s="62"/>
      <c r="FK52" s="62"/>
      <c r="FL52" s="62"/>
      <c r="FM52" s="62"/>
      <c r="FN52" s="62"/>
      <c r="FO52" s="62"/>
      <c r="FP52" s="62"/>
      <c r="FQ52" s="62"/>
      <c r="FR52" s="62"/>
      <c r="FS52" s="62"/>
      <c r="FT52" s="62"/>
      <c r="FU52" s="62"/>
      <c r="FV52" s="62"/>
      <c r="FW52" s="62"/>
      <c r="FX52" s="62"/>
      <c r="FY52" s="62"/>
      <c r="FZ52" s="62"/>
      <c r="GA52" s="62"/>
      <c r="GB52" s="62"/>
      <c r="GC52" s="62"/>
      <c r="GD52" s="62"/>
      <c r="GE52" s="62"/>
      <c r="GF52" s="62"/>
      <c r="GG52" s="62"/>
      <c r="GH52" s="62"/>
      <c r="GI52" s="62"/>
      <c r="GJ52" s="62"/>
      <c r="GK52" s="62"/>
      <c r="GL52" s="62"/>
      <c r="GM52" s="62"/>
      <c r="GN52" s="62"/>
      <c r="GO52" s="62"/>
      <c r="GP52" s="62"/>
      <c r="GQ52" s="62"/>
      <c r="GR52" s="62"/>
      <c r="GS52" s="62"/>
      <c r="GT52" s="62"/>
      <c r="GU52" s="62"/>
      <c r="GV52" s="62"/>
      <c r="GW52" s="62"/>
      <c r="GX52" s="62"/>
      <c r="GY52" s="62"/>
      <c r="GZ52" s="62"/>
      <c r="HA52" s="62"/>
      <c r="HB52" s="62"/>
      <c r="HC52" s="62"/>
      <c r="HD52" s="62"/>
      <c r="HE52" s="62"/>
      <c r="HF52" s="62"/>
      <c r="HG52" s="62"/>
      <c r="HH52" s="62"/>
      <c r="HI52" s="62"/>
      <c r="HJ52" s="62"/>
      <c r="HK52" s="62"/>
      <c r="HL52" s="62"/>
      <c r="HM52" s="62"/>
      <c r="HN52" s="62"/>
      <c r="HO52" s="62"/>
      <c r="HP52" s="62"/>
      <c r="HQ52" s="62"/>
      <c r="HR52" s="62"/>
      <c r="HS52" s="62"/>
      <c r="HT52" s="62"/>
      <c r="HU52" s="62"/>
      <c r="HV52" s="62"/>
      <c r="HW52" s="62"/>
      <c r="HX52" s="62"/>
      <c r="HY52" s="62"/>
      <c r="HZ52" s="62"/>
      <c r="IA52" s="62"/>
      <c r="IB52" s="62"/>
      <c r="IC52" s="62"/>
      <c r="ID52" s="62"/>
      <c r="IE52" s="62"/>
      <c r="IF52" s="62"/>
      <c r="IG52" s="62"/>
      <c r="IH52" s="62"/>
      <c r="II52" s="62"/>
      <c r="IJ52" s="62"/>
      <c r="IK52" s="62"/>
      <c r="IL52" s="62"/>
      <c r="IM52" s="62"/>
      <c r="IN52" s="62"/>
      <c r="IO52" s="62"/>
      <c r="IP52" s="62"/>
      <c r="IQ52" s="62"/>
      <c r="IR52" s="62"/>
      <c r="IS52" s="62"/>
    </row>
    <row r="53" spans="1:679" s="51" customFormat="1" x14ac:dyDescent="0.3">
      <c r="B53" s="24" t="s">
        <v>361</v>
      </c>
      <c r="C53" s="59" t="s">
        <v>51</v>
      </c>
      <c r="D53" s="59" t="s">
        <v>55</v>
      </c>
      <c r="E53" s="63">
        <f>E51*E52</f>
        <v>1710044</v>
      </c>
      <c r="F53" s="63">
        <f>F51*F52</f>
        <v>1751610</v>
      </c>
      <c r="G53" s="63">
        <f t="shared" ref="G53:AH53" si="36">G51*G52</f>
        <v>1553200</v>
      </c>
      <c r="H53" s="63">
        <f t="shared" si="36"/>
        <v>1268540</v>
      </c>
      <c r="I53" s="63">
        <f t="shared" si="36"/>
        <v>0</v>
      </c>
      <c r="J53" s="63">
        <f t="shared" si="36"/>
        <v>0</v>
      </c>
      <c r="K53" s="63">
        <f t="shared" si="36"/>
        <v>1111175</v>
      </c>
      <c r="L53" s="63">
        <f t="shared" si="36"/>
        <v>3840810</v>
      </c>
      <c r="M53" s="64">
        <f t="shared" si="36"/>
        <v>3743740</v>
      </c>
      <c r="N53" s="63">
        <f t="shared" si="36"/>
        <v>4297032</v>
      </c>
      <c r="O53" s="63">
        <f t="shared" si="36"/>
        <v>4669700</v>
      </c>
      <c r="P53" s="63">
        <f t="shared" si="36"/>
        <v>4429975</v>
      </c>
      <c r="Q53" s="63">
        <f t="shared" si="36"/>
        <v>4255468</v>
      </c>
      <c r="R53" s="63">
        <f>R51*R52</f>
        <v>929200</v>
      </c>
      <c r="S53" s="63">
        <f>S51*S52</f>
        <v>798690</v>
      </c>
      <c r="T53" s="63">
        <f>T51*T52</f>
        <v>791820</v>
      </c>
      <c r="U53" s="63">
        <f>U51*U52</f>
        <v>768775</v>
      </c>
      <c r="V53" s="63">
        <f t="shared" si="36"/>
        <v>834750</v>
      </c>
      <c r="W53" s="63">
        <f t="shared" si="36"/>
        <v>810050</v>
      </c>
      <c r="X53" s="63">
        <f t="shared" si="36"/>
        <v>1365650</v>
      </c>
      <c r="Y53" s="63">
        <f t="shared" si="36"/>
        <v>1278180</v>
      </c>
      <c r="Z53" s="63">
        <f t="shared" si="36"/>
        <v>2021845</v>
      </c>
      <c r="AA53" s="63">
        <f t="shared" si="36"/>
        <v>1598081.52</v>
      </c>
      <c r="AB53" s="63">
        <f t="shared" si="36"/>
        <v>2175800</v>
      </c>
      <c r="AC53" s="63">
        <f t="shared" si="36"/>
        <v>2930346</v>
      </c>
      <c r="AD53" s="63">
        <f t="shared" si="36"/>
        <v>3663760</v>
      </c>
      <c r="AE53" s="63">
        <f t="shared" si="36"/>
        <v>3714570</v>
      </c>
      <c r="AF53" s="63">
        <f t="shared" si="36"/>
        <v>3432520</v>
      </c>
      <c r="AG53" s="63">
        <f t="shared" si="36"/>
        <v>3849780</v>
      </c>
      <c r="AH53" s="63">
        <f t="shared" si="36"/>
        <v>3737650</v>
      </c>
      <c r="AI53" s="63"/>
      <c r="AJ53" s="11">
        <f t="shared" si="35"/>
        <v>67332761.520000011</v>
      </c>
      <c r="AK53" s="12">
        <f>AJ53+'Apr-24'!AI52+'May-24'!AJ52</f>
        <v>148383287.24000001</v>
      </c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2"/>
      <c r="BH53" s="62"/>
      <c r="BI53" s="62"/>
      <c r="BJ53" s="62"/>
      <c r="BK53" s="62"/>
      <c r="BL53" s="62"/>
      <c r="BM53" s="62"/>
      <c r="BN53" s="62"/>
      <c r="BO53" s="62"/>
      <c r="BP53" s="62"/>
      <c r="BQ53" s="62"/>
      <c r="BR53" s="62"/>
      <c r="BS53" s="62"/>
      <c r="BT53" s="62"/>
      <c r="BU53" s="62"/>
      <c r="BV53" s="62"/>
      <c r="BW53" s="62"/>
      <c r="BX53" s="62"/>
      <c r="BY53" s="62"/>
      <c r="BZ53" s="62"/>
      <c r="CA53" s="62"/>
      <c r="CB53" s="62"/>
      <c r="CC53" s="62"/>
      <c r="CD53" s="62"/>
      <c r="CE53" s="62"/>
      <c r="CF53" s="62"/>
      <c r="CG53" s="62"/>
      <c r="CH53" s="62"/>
      <c r="CI53" s="62"/>
      <c r="CJ53" s="62"/>
      <c r="CK53" s="62"/>
      <c r="CL53" s="62"/>
      <c r="CM53" s="62"/>
      <c r="CN53" s="62"/>
      <c r="CO53" s="62"/>
      <c r="CP53" s="62"/>
      <c r="CQ53" s="62"/>
      <c r="CR53" s="62"/>
      <c r="CS53" s="62"/>
      <c r="CT53" s="62"/>
      <c r="CU53" s="62"/>
      <c r="CV53" s="62"/>
      <c r="CW53" s="62"/>
      <c r="CX53" s="62"/>
      <c r="CY53" s="62"/>
      <c r="CZ53" s="62"/>
      <c r="DA53" s="62"/>
      <c r="DB53" s="62"/>
      <c r="DC53" s="62"/>
      <c r="DD53" s="62"/>
      <c r="DE53" s="62"/>
      <c r="DF53" s="62"/>
      <c r="DG53" s="62"/>
      <c r="DH53" s="62"/>
      <c r="DI53" s="62"/>
      <c r="DJ53" s="62"/>
      <c r="DK53" s="62"/>
      <c r="DL53" s="62"/>
      <c r="DM53" s="62"/>
      <c r="DN53" s="62"/>
      <c r="DO53" s="62"/>
      <c r="DP53" s="62"/>
      <c r="DQ53" s="62"/>
      <c r="DR53" s="62"/>
      <c r="DS53" s="62"/>
      <c r="DT53" s="62"/>
      <c r="DU53" s="62"/>
      <c r="DV53" s="62"/>
      <c r="DW53" s="62"/>
      <c r="DX53" s="62"/>
      <c r="DY53" s="62"/>
      <c r="DZ53" s="62"/>
      <c r="EA53" s="62"/>
      <c r="EB53" s="62"/>
      <c r="EC53" s="62"/>
      <c r="ED53" s="62"/>
      <c r="EE53" s="62"/>
      <c r="EF53" s="62"/>
      <c r="EG53" s="62"/>
      <c r="EH53" s="62"/>
      <c r="EI53" s="62"/>
      <c r="EJ53" s="62"/>
      <c r="EK53" s="62"/>
      <c r="EL53" s="62"/>
      <c r="EM53" s="62"/>
      <c r="EN53" s="62"/>
      <c r="EO53" s="62"/>
      <c r="EP53" s="62"/>
      <c r="EQ53" s="62"/>
      <c r="ER53" s="62"/>
      <c r="ES53" s="62"/>
      <c r="ET53" s="62"/>
      <c r="EU53" s="62"/>
      <c r="EV53" s="62"/>
      <c r="EW53" s="62"/>
      <c r="EX53" s="62"/>
      <c r="EY53" s="62"/>
      <c r="EZ53" s="62"/>
      <c r="FA53" s="62"/>
      <c r="FB53" s="62"/>
      <c r="FC53" s="62"/>
      <c r="FD53" s="62"/>
      <c r="FE53" s="62"/>
      <c r="FF53" s="62"/>
      <c r="FG53" s="62"/>
      <c r="FH53" s="62"/>
      <c r="FI53" s="62"/>
      <c r="FJ53" s="62"/>
      <c r="FK53" s="62"/>
      <c r="FL53" s="62"/>
      <c r="FM53" s="62"/>
      <c r="FN53" s="62"/>
      <c r="FO53" s="62"/>
      <c r="FP53" s="62"/>
      <c r="FQ53" s="62"/>
      <c r="FR53" s="62"/>
      <c r="FS53" s="62"/>
      <c r="FT53" s="62"/>
      <c r="FU53" s="62"/>
      <c r="FV53" s="62"/>
      <c r="FW53" s="62"/>
      <c r="FX53" s="62"/>
      <c r="FY53" s="62"/>
      <c r="FZ53" s="62"/>
      <c r="GA53" s="62"/>
      <c r="GB53" s="62"/>
      <c r="GC53" s="62"/>
      <c r="GD53" s="62"/>
      <c r="GE53" s="62"/>
      <c r="GF53" s="62"/>
      <c r="GG53" s="62"/>
      <c r="GH53" s="62"/>
      <c r="GI53" s="62"/>
      <c r="GJ53" s="62"/>
      <c r="GK53" s="62"/>
      <c r="GL53" s="62"/>
      <c r="GM53" s="62"/>
      <c r="GN53" s="62"/>
      <c r="GO53" s="62"/>
      <c r="GP53" s="62"/>
      <c r="GQ53" s="62"/>
      <c r="GR53" s="62"/>
      <c r="GS53" s="62"/>
      <c r="GT53" s="62"/>
      <c r="GU53" s="62"/>
      <c r="GV53" s="62"/>
      <c r="GW53" s="62"/>
      <c r="GX53" s="62"/>
      <c r="GY53" s="62"/>
      <c r="GZ53" s="62"/>
      <c r="HA53" s="62"/>
      <c r="HB53" s="62"/>
      <c r="HC53" s="62"/>
      <c r="HD53" s="62"/>
      <c r="HE53" s="62"/>
      <c r="HF53" s="62"/>
      <c r="HG53" s="62"/>
      <c r="HH53" s="62"/>
      <c r="HI53" s="62"/>
      <c r="HJ53" s="62"/>
      <c r="HK53" s="62"/>
      <c r="HL53" s="62"/>
      <c r="HM53" s="62"/>
      <c r="HN53" s="62"/>
      <c r="HO53" s="62"/>
      <c r="HP53" s="62"/>
      <c r="HQ53" s="62"/>
      <c r="HR53" s="62"/>
      <c r="HS53" s="62"/>
      <c r="HT53" s="62"/>
      <c r="HU53" s="62"/>
      <c r="HV53" s="62"/>
      <c r="HW53" s="62"/>
      <c r="HX53" s="62"/>
      <c r="HY53" s="62"/>
      <c r="HZ53" s="62"/>
      <c r="IA53" s="62"/>
      <c r="IB53" s="62"/>
      <c r="IC53" s="62"/>
      <c r="ID53" s="62"/>
      <c r="IE53" s="62"/>
      <c r="IF53" s="62"/>
      <c r="IG53" s="62"/>
      <c r="IH53" s="62"/>
      <c r="II53" s="62"/>
      <c r="IJ53" s="62"/>
      <c r="IK53" s="62"/>
      <c r="IL53" s="62"/>
      <c r="IM53" s="62"/>
      <c r="IN53" s="62"/>
      <c r="IO53" s="62"/>
      <c r="IP53" s="62"/>
      <c r="IQ53" s="62"/>
      <c r="IR53" s="62"/>
      <c r="IS53" s="62"/>
    </row>
    <row r="54" spans="1:679" x14ac:dyDescent="0.3">
      <c r="A54" s="19">
        <v>14</v>
      </c>
      <c r="B54" s="44" t="s">
        <v>62</v>
      </c>
      <c r="C54" s="15"/>
      <c r="D54" s="15"/>
      <c r="E54" s="21">
        <f>E53/E44</f>
        <v>0.26201748270499275</v>
      </c>
      <c r="F54" s="21">
        <f>F53/F44</f>
        <v>0.25959103826189411</v>
      </c>
      <c r="G54" s="21">
        <f>G53/G44</f>
        <v>0.2319999163533652</v>
      </c>
      <c r="H54" s="21">
        <f>H53/H44</f>
        <v>0.22720255046298785</v>
      </c>
      <c r="I54" s="21" t="e">
        <f t="shared" ref="I54:AI54" si="37">I53/I44</f>
        <v>#DIV/0!</v>
      </c>
      <c r="J54" s="21" t="e">
        <f t="shared" si="37"/>
        <v>#DIV/0!</v>
      </c>
      <c r="K54" s="21">
        <f t="shared" si="37"/>
        <v>0.2366818217157049</v>
      </c>
      <c r="L54" s="21">
        <f t="shared" si="37"/>
        <v>0.57579197425313489</v>
      </c>
      <c r="M54" s="21">
        <f t="shared" si="37"/>
        <v>0.55085613019352964</v>
      </c>
      <c r="N54" s="21">
        <f t="shared" si="37"/>
        <v>0.63370874803562072</v>
      </c>
      <c r="O54" s="21">
        <f t="shared" si="37"/>
        <v>0.70166027694071487</v>
      </c>
      <c r="P54" s="21">
        <f t="shared" si="37"/>
        <v>0.6722068660780347</v>
      </c>
      <c r="Q54" s="21">
        <f t="shared" si="37"/>
        <v>0.70221375147997345</v>
      </c>
      <c r="R54" s="21">
        <f t="shared" si="37"/>
        <v>0.1417760146475435</v>
      </c>
      <c r="S54" s="21">
        <f t="shared" si="37"/>
        <v>0.11991010007897021</v>
      </c>
      <c r="T54" s="21">
        <f t="shared" si="37"/>
        <v>0.11899242798682912</v>
      </c>
      <c r="U54" s="21">
        <f t="shared" si="37"/>
        <v>0.12103374492127435</v>
      </c>
      <c r="V54" s="21">
        <f t="shared" si="37"/>
        <v>0.1236827912379688</v>
      </c>
      <c r="W54" s="21">
        <f t="shared" si="37"/>
        <v>0.12139754417436407</v>
      </c>
      <c r="X54" s="21">
        <f t="shared" si="37"/>
        <v>0.20109478969164826</v>
      </c>
      <c r="Y54" s="21">
        <f t="shared" si="37"/>
        <v>0.19561229043507963</v>
      </c>
      <c r="Z54" s="21">
        <f t="shared" si="37"/>
        <v>0.33477053958981667</v>
      </c>
      <c r="AA54" s="21">
        <f t="shared" si="37"/>
        <v>0.24155766819559732</v>
      </c>
      <c r="AB54" s="21">
        <f t="shared" si="37"/>
        <v>0.3709459855726937</v>
      </c>
      <c r="AC54" s="21">
        <f t="shared" si="37"/>
        <v>0.47001407630202585</v>
      </c>
      <c r="AD54" s="21">
        <f t="shared" si="37"/>
        <v>0.55990727914917859</v>
      </c>
      <c r="AE54" s="21">
        <f t="shared" si="37"/>
        <v>0.56567027123336489</v>
      </c>
      <c r="AF54" s="21">
        <f t="shared" si="37"/>
        <v>0.61066002490660021</v>
      </c>
      <c r="AG54" s="21">
        <f t="shared" si="37"/>
        <v>0.58524816700440707</v>
      </c>
      <c r="AH54" s="21">
        <f t="shared" si="37"/>
        <v>0.55999991609702537</v>
      </c>
      <c r="AI54" s="21" t="e">
        <f t="shared" si="37"/>
        <v>#DIV/0!</v>
      </c>
      <c r="AJ54" s="16">
        <f>AJ53/AJ44</f>
        <v>0.37509850469350825</v>
      </c>
      <c r="AK54" s="16">
        <f>AK53/AK44</f>
        <v>0.26517027349332573</v>
      </c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2"/>
      <c r="BH54" s="62"/>
      <c r="BI54" s="62"/>
      <c r="BJ54" s="62"/>
      <c r="BK54" s="62"/>
      <c r="BL54" s="62"/>
      <c r="BM54" s="62"/>
      <c r="BN54" s="62"/>
      <c r="BO54" s="62"/>
      <c r="BP54" s="62"/>
      <c r="BQ54" s="62"/>
      <c r="BR54" s="62"/>
      <c r="BS54" s="62"/>
      <c r="BT54" s="62"/>
      <c r="BU54" s="62"/>
      <c r="BV54" s="62"/>
      <c r="BW54" s="62"/>
      <c r="BX54" s="62"/>
      <c r="BY54" s="62"/>
      <c r="BZ54" s="62"/>
      <c r="CA54" s="62"/>
      <c r="CB54" s="62"/>
      <c r="CC54" s="62"/>
      <c r="CD54" s="62"/>
      <c r="CE54" s="62"/>
      <c r="CF54" s="62"/>
      <c r="CG54" s="62"/>
      <c r="CH54" s="62"/>
      <c r="CI54" s="62"/>
      <c r="CJ54" s="62"/>
      <c r="CK54" s="62"/>
      <c r="CL54" s="62"/>
      <c r="CM54" s="62"/>
      <c r="CN54" s="62"/>
      <c r="CO54" s="62"/>
      <c r="CP54" s="62"/>
      <c r="CQ54" s="62"/>
      <c r="CR54" s="62"/>
      <c r="CS54" s="62"/>
      <c r="CT54" s="62"/>
      <c r="CU54" s="62"/>
      <c r="CV54" s="62"/>
      <c r="CW54" s="62"/>
      <c r="CX54" s="62"/>
      <c r="CY54" s="62"/>
      <c r="CZ54" s="62"/>
      <c r="DA54" s="62"/>
      <c r="DB54" s="62"/>
      <c r="DC54" s="62"/>
      <c r="DD54" s="62"/>
      <c r="DE54" s="62"/>
      <c r="DF54" s="62"/>
      <c r="DG54" s="62"/>
      <c r="DH54" s="62"/>
      <c r="DI54" s="62"/>
      <c r="DJ54" s="62"/>
      <c r="DK54" s="62"/>
      <c r="DL54" s="62"/>
      <c r="DM54" s="62"/>
      <c r="DN54" s="62"/>
      <c r="DO54" s="62"/>
      <c r="DP54" s="62"/>
      <c r="DQ54" s="62"/>
      <c r="DR54" s="62"/>
      <c r="DS54" s="62"/>
      <c r="DT54" s="62"/>
      <c r="DU54" s="62"/>
      <c r="DV54" s="62"/>
      <c r="DW54" s="62"/>
      <c r="DX54" s="62"/>
      <c r="DY54" s="62"/>
      <c r="DZ54" s="62"/>
      <c r="EA54" s="62"/>
      <c r="EB54" s="62"/>
      <c r="EC54" s="62"/>
      <c r="ED54" s="62"/>
      <c r="EE54" s="62"/>
      <c r="EF54" s="62"/>
      <c r="EG54" s="62"/>
      <c r="EH54" s="62"/>
      <c r="EI54" s="62"/>
      <c r="EJ54" s="62"/>
      <c r="EK54" s="62"/>
      <c r="EL54" s="62"/>
      <c r="EM54" s="62"/>
      <c r="EN54" s="62"/>
      <c r="EO54" s="62"/>
      <c r="EP54" s="62"/>
      <c r="EQ54" s="62"/>
      <c r="ER54" s="62"/>
      <c r="ES54" s="62"/>
      <c r="ET54" s="62"/>
      <c r="EU54" s="62"/>
      <c r="EV54" s="62"/>
      <c r="EW54" s="62"/>
      <c r="EX54" s="62"/>
      <c r="EY54" s="62"/>
      <c r="EZ54" s="62"/>
      <c r="FA54" s="62"/>
      <c r="FB54" s="62"/>
      <c r="FC54" s="62"/>
      <c r="FD54" s="62"/>
      <c r="FE54" s="62"/>
      <c r="FF54" s="62"/>
      <c r="FG54" s="62"/>
      <c r="FH54" s="62"/>
      <c r="FI54" s="62"/>
      <c r="FJ54" s="62"/>
      <c r="FK54" s="62"/>
      <c r="FL54" s="62"/>
      <c r="FM54" s="62"/>
      <c r="FN54" s="62"/>
      <c r="FO54" s="62"/>
      <c r="FP54" s="62"/>
      <c r="FQ54" s="62"/>
      <c r="FR54" s="62"/>
      <c r="FS54" s="62"/>
      <c r="FT54" s="62"/>
      <c r="FU54" s="62"/>
      <c r="FV54" s="62"/>
      <c r="FW54" s="62"/>
      <c r="FX54" s="62"/>
      <c r="FY54" s="62"/>
      <c r="FZ54" s="62"/>
      <c r="GA54" s="62"/>
      <c r="GB54" s="62"/>
      <c r="GC54" s="62"/>
      <c r="GD54" s="62"/>
      <c r="GE54" s="62"/>
      <c r="GF54" s="62"/>
      <c r="GG54" s="62"/>
      <c r="GH54" s="62"/>
      <c r="GI54" s="62"/>
      <c r="GJ54" s="62"/>
      <c r="GK54" s="62"/>
      <c r="GL54" s="62"/>
      <c r="GM54" s="62"/>
      <c r="GN54" s="62"/>
      <c r="GO54" s="62"/>
      <c r="GP54" s="62"/>
      <c r="GQ54" s="62"/>
      <c r="GR54" s="62"/>
      <c r="GS54" s="62"/>
      <c r="GT54" s="62"/>
      <c r="GU54" s="62"/>
      <c r="GV54" s="62"/>
      <c r="GW54" s="62"/>
      <c r="GX54" s="62"/>
      <c r="GY54" s="62"/>
      <c r="GZ54" s="62"/>
      <c r="HA54" s="62"/>
      <c r="HB54" s="62"/>
      <c r="HC54" s="62"/>
      <c r="HD54" s="62"/>
      <c r="HE54" s="62"/>
      <c r="HF54" s="62"/>
      <c r="HG54" s="62"/>
      <c r="HH54" s="62"/>
      <c r="HI54" s="62"/>
      <c r="HJ54" s="62"/>
      <c r="HK54" s="62"/>
      <c r="HL54" s="62"/>
      <c r="HM54" s="62"/>
      <c r="HN54" s="62"/>
      <c r="HO54" s="62"/>
      <c r="HP54" s="62"/>
      <c r="HQ54" s="62"/>
      <c r="HR54" s="62"/>
      <c r="HS54" s="62"/>
      <c r="HT54" s="62"/>
      <c r="HU54" s="62"/>
      <c r="HV54" s="62"/>
      <c r="HW54" s="62"/>
      <c r="HX54" s="62"/>
      <c r="HY54" s="62"/>
      <c r="HZ54" s="62"/>
      <c r="IA54" s="62"/>
      <c r="IB54" s="62"/>
      <c r="IC54" s="62"/>
      <c r="ID54" s="62"/>
      <c r="IE54" s="62"/>
      <c r="IF54" s="62"/>
      <c r="IG54" s="62"/>
      <c r="IH54" s="62"/>
      <c r="II54" s="62"/>
      <c r="IJ54" s="62"/>
      <c r="IK54" s="62"/>
      <c r="IL54" s="62"/>
      <c r="IM54" s="62"/>
      <c r="IN54" s="62"/>
      <c r="IO54" s="62"/>
      <c r="IP54" s="62"/>
      <c r="IQ54" s="62"/>
      <c r="IR54" s="62"/>
      <c r="IS54" s="62"/>
    </row>
    <row r="55" spans="1:679" x14ac:dyDescent="0.3">
      <c r="A55" s="24"/>
      <c r="B55" s="24" t="s">
        <v>362</v>
      </c>
      <c r="C55" s="10" t="s">
        <v>51</v>
      </c>
      <c r="D55" s="10" t="s">
        <v>7</v>
      </c>
      <c r="E55" s="10">
        <v>0</v>
      </c>
      <c r="F55" s="10">
        <v>0</v>
      </c>
      <c r="G55" s="23">
        <v>0</v>
      </c>
      <c r="H55" s="10">
        <v>0</v>
      </c>
      <c r="I55" s="10">
        <v>0</v>
      </c>
      <c r="J55" s="10">
        <v>101</v>
      </c>
      <c r="K55" s="10">
        <v>101</v>
      </c>
      <c r="L55" s="10">
        <v>0</v>
      </c>
      <c r="M55" s="10">
        <v>0</v>
      </c>
      <c r="N55" s="55">
        <v>0</v>
      </c>
      <c r="O55" s="55">
        <v>0</v>
      </c>
      <c r="P55" s="55">
        <v>0</v>
      </c>
      <c r="Q55" s="55">
        <v>0</v>
      </c>
      <c r="R55" s="55">
        <v>255</v>
      </c>
      <c r="S55" s="55">
        <v>255</v>
      </c>
      <c r="T55" s="10">
        <v>268</v>
      </c>
      <c r="U55" s="10">
        <v>263</v>
      </c>
      <c r="V55" s="10">
        <v>269</v>
      </c>
      <c r="W55" s="10">
        <v>264</v>
      </c>
      <c r="X55" s="10">
        <v>229</v>
      </c>
      <c r="Y55" s="10">
        <v>187</v>
      </c>
      <c r="Z55" s="10">
        <v>191</v>
      </c>
      <c r="AA55" s="22">
        <v>193</v>
      </c>
      <c r="AB55" s="22">
        <v>188</v>
      </c>
      <c r="AC55" s="22">
        <v>188</v>
      </c>
      <c r="AD55" s="53">
        <v>107</v>
      </c>
      <c r="AE55" s="53">
        <v>111</v>
      </c>
      <c r="AF55" s="22">
        <v>0</v>
      </c>
      <c r="AG55" s="22">
        <v>0</v>
      </c>
      <c r="AH55" s="22">
        <v>0</v>
      </c>
      <c r="AI55" s="22"/>
      <c r="AJ55" s="11">
        <f t="shared" ref="AJ55:AJ58" si="38">SUM(E55:AI55)</f>
        <v>3170</v>
      </c>
      <c r="AK55" s="12">
        <f>AJ55+'Apr-24'!AI54+'May-24'!AJ54</f>
        <v>6729.201</v>
      </c>
    </row>
    <row r="56" spans="1:679" x14ac:dyDescent="0.3">
      <c r="A56" s="24"/>
      <c r="B56" s="24" t="s">
        <v>363</v>
      </c>
      <c r="C56" s="10" t="s">
        <v>51</v>
      </c>
      <c r="D56" s="10"/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8118</v>
      </c>
      <c r="K56" s="23">
        <v>8123</v>
      </c>
      <c r="L56" s="23">
        <v>0</v>
      </c>
      <c r="M56" s="23">
        <v>0</v>
      </c>
      <c r="N56" s="55">
        <v>0</v>
      </c>
      <c r="O56" s="55">
        <v>0</v>
      </c>
      <c r="P56" s="55">
        <v>0</v>
      </c>
      <c r="Q56" s="23">
        <v>0</v>
      </c>
      <c r="R56" s="23">
        <v>8118</v>
      </c>
      <c r="S56" s="23">
        <v>8120</v>
      </c>
      <c r="T56" s="23">
        <v>8123</v>
      </c>
      <c r="U56" s="23">
        <v>8118</v>
      </c>
      <c r="V56" s="23">
        <v>8123</v>
      </c>
      <c r="W56" s="23">
        <v>8113</v>
      </c>
      <c r="X56" s="23">
        <v>8108</v>
      </c>
      <c r="Y56" s="23">
        <v>8118</v>
      </c>
      <c r="Z56" s="23">
        <v>8123</v>
      </c>
      <c r="AA56" s="23">
        <v>8118</v>
      </c>
      <c r="AB56" s="22">
        <v>8113</v>
      </c>
      <c r="AC56" s="22">
        <v>8118</v>
      </c>
      <c r="AD56" s="53">
        <v>8113</v>
      </c>
      <c r="AE56" s="53">
        <v>8108</v>
      </c>
      <c r="AF56" s="22">
        <v>0</v>
      </c>
      <c r="AG56" s="22">
        <v>0</v>
      </c>
      <c r="AH56" s="22">
        <v>0</v>
      </c>
      <c r="AI56" s="22"/>
      <c r="AJ56" s="11">
        <f t="shared" si="38"/>
        <v>129875</v>
      </c>
      <c r="AK56" s="12">
        <f>AJ56+'Apr-24'!AI55+'May-24'!AJ55</f>
        <v>393974.83999999997</v>
      </c>
    </row>
    <row r="57" spans="1:679" x14ac:dyDescent="0.3">
      <c r="A57" s="24"/>
      <c r="B57" s="24" t="s">
        <v>364</v>
      </c>
      <c r="C57" s="10" t="s">
        <v>51</v>
      </c>
      <c r="D57" s="10"/>
      <c r="E57" s="23">
        <f t="shared" ref="E57:AH57" si="39">E68*E72</f>
        <v>5257688</v>
      </c>
      <c r="F57" s="23">
        <f t="shared" si="39"/>
        <v>5199768</v>
      </c>
      <c r="G57" s="23">
        <f t="shared" si="39"/>
        <v>4847325</v>
      </c>
      <c r="H57" s="23">
        <f t="shared" si="39"/>
        <v>5290992</v>
      </c>
      <c r="I57" s="23">
        <f t="shared" si="39"/>
        <v>5327916</v>
      </c>
      <c r="J57" s="23">
        <f t="shared" si="39"/>
        <v>5295336</v>
      </c>
      <c r="K57" s="23">
        <f t="shared" si="39"/>
        <v>5318388</v>
      </c>
      <c r="L57" s="23">
        <f t="shared" si="39"/>
        <v>5275064</v>
      </c>
      <c r="M57" s="42">
        <f t="shared" si="39"/>
        <v>5227280</v>
      </c>
      <c r="N57" s="23">
        <f>N68*N72</f>
        <v>5167912</v>
      </c>
      <c r="O57" s="23">
        <f t="shared" si="39"/>
        <v>5212750</v>
      </c>
      <c r="P57" s="23">
        <f t="shared" si="39"/>
        <v>5170700</v>
      </c>
      <c r="Q57" s="23">
        <f t="shared" si="39"/>
        <v>5180125</v>
      </c>
      <c r="R57" s="23">
        <f t="shared" si="39"/>
        <v>5078136</v>
      </c>
      <c r="S57" s="23">
        <f t="shared" si="39"/>
        <v>5076450</v>
      </c>
      <c r="T57" s="23">
        <f t="shared" si="39"/>
        <v>5184564</v>
      </c>
      <c r="U57" s="23">
        <f t="shared" si="39"/>
        <v>5075725</v>
      </c>
      <c r="V57" s="23">
        <f t="shared" si="39"/>
        <v>5189448</v>
      </c>
      <c r="W57" s="23">
        <f t="shared" si="39"/>
        <v>5096025</v>
      </c>
      <c r="X57" s="23">
        <f>X68*X72</f>
        <v>5138800</v>
      </c>
      <c r="Y57" s="23">
        <f t="shared" si="39"/>
        <v>5083452</v>
      </c>
      <c r="Z57" s="23">
        <f t="shared" si="39"/>
        <v>5195350</v>
      </c>
      <c r="AA57" s="23">
        <f>AA68*AA72</f>
        <v>5241025</v>
      </c>
      <c r="AB57" s="23">
        <f t="shared" si="39"/>
        <v>5114875</v>
      </c>
      <c r="AC57" s="23">
        <f t="shared" si="39"/>
        <v>5108350</v>
      </c>
      <c r="AD57" s="23">
        <f t="shared" si="39"/>
        <v>5236675</v>
      </c>
      <c r="AE57" s="23">
        <f t="shared" si="39"/>
        <v>5288150</v>
      </c>
      <c r="AF57" s="23">
        <f t="shared" si="39"/>
        <v>5196075</v>
      </c>
      <c r="AG57" s="23">
        <f t="shared" si="39"/>
        <v>5254075</v>
      </c>
      <c r="AH57" s="23">
        <f t="shared" si="39"/>
        <v>5075725</v>
      </c>
      <c r="AI57" s="23"/>
      <c r="AJ57" s="11">
        <f t="shared" si="38"/>
        <v>155404144</v>
      </c>
      <c r="AK57" s="12">
        <f>AJ57+'Apr-24'!AI56+'May-24'!AJ56</f>
        <v>466157546.89999998</v>
      </c>
    </row>
    <row r="58" spans="1:679" s="51" customFormat="1" x14ac:dyDescent="0.3">
      <c r="A58" s="58"/>
      <c r="B58" s="58" t="s">
        <v>365</v>
      </c>
      <c r="C58" s="59" t="s">
        <v>51</v>
      </c>
      <c r="D58" s="59"/>
      <c r="E58" s="67">
        <f>E56*E55</f>
        <v>0</v>
      </c>
      <c r="F58" s="67">
        <f t="shared" ref="F58:AH58" si="40">F56*F55</f>
        <v>0</v>
      </c>
      <c r="G58" s="67">
        <f t="shared" si="40"/>
        <v>0</v>
      </c>
      <c r="H58" s="67">
        <f>H56*H55</f>
        <v>0</v>
      </c>
      <c r="I58" s="67">
        <f t="shared" si="40"/>
        <v>0</v>
      </c>
      <c r="J58" s="67">
        <f t="shared" si="40"/>
        <v>819918</v>
      </c>
      <c r="K58" s="67">
        <f t="shared" si="40"/>
        <v>820423</v>
      </c>
      <c r="L58" s="67">
        <f t="shared" si="40"/>
        <v>0</v>
      </c>
      <c r="M58" s="68">
        <f t="shared" si="40"/>
        <v>0</v>
      </c>
      <c r="N58" s="68">
        <f t="shared" si="40"/>
        <v>0</v>
      </c>
      <c r="O58" s="68">
        <f t="shared" si="40"/>
        <v>0</v>
      </c>
      <c r="P58" s="68">
        <f t="shared" si="40"/>
        <v>0</v>
      </c>
      <c r="Q58" s="68">
        <f t="shared" si="40"/>
        <v>0</v>
      </c>
      <c r="R58" s="68">
        <f t="shared" si="40"/>
        <v>2070090</v>
      </c>
      <c r="S58" s="68">
        <f t="shared" si="40"/>
        <v>2070600</v>
      </c>
      <c r="T58" s="68">
        <f t="shared" si="40"/>
        <v>2176964</v>
      </c>
      <c r="U58" s="68">
        <f t="shared" si="40"/>
        <v>2135034</v>
      </c>
      <c r="V58" s="67">
        <f t="shared" si="40"/>
        <v>2185087</v>
      </c>
      <c r="W58" s="67">
        <f t="shared" si="40"/>
        <v>2141832</v>
      </c>
      <c r="X58" s="67">
        <f t="shared" si="40"/>
        <v>1856732</v>
      </c>
      <c r="Y58" s="67">
        <f t="shared" si="40"/>
        <v>1518066</v>
      </c>
      <c r="Z58" s="67">
        <f t="shared" si="40"/>
        <v>1551493</v>
      </c>
      <c r="AA58" s="67">
        <f t="shared" si="40"/>
        <v>1566774</v>
      </c>
      <c r="AB58" s="67">
        <f t="shared" si="40"/>
        <v>1525244</v>
      </c>
      <c r="AC58" s="67">
        <f t="shared" si="40"/>
        <v>1526184</v>
      </c>
      <c r="AD58" s="67">
        <f t="shared" si="40"/>
        <v>868091</v>
      </c>
      <c r="AE58" s="67">
        <f t="shared" si="40"/>
        <v>899988</v>
      </c>
      <c r="AF58" s="67">
        <f t="shared" si="40"/>
        <v>0</v>
      </c>
      <c r="AG58" s="67">
        <f t="shared" si="40"/>
        <v>0</v>
      </c>
      <c r="AH58" s="67">
        <f t="shared" si="40"/>
        <v>0</v>
      </c>
      <c r="AI58" s="67"/>
      <c r="AJ58" s="11">
        <f t="shared" si="38"/>
        <v>25732520</v>
      </c>
      <c r="AK58" s="12">
        <f>AJ58+'Apr-24'!AI57+'May-24'!AJ57</f>
        <v>54216968.809</v>
      </c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</row>
    <row r="59" spans="1:679" s="19" customFormat="1" x14ac:dyDescent="0.3">
      <c r="A59" s="44"/>
      <c r="B59" s="44" t="s">
        <v>222</v>
      </c>
      <c r="C59" s="15" t="s">
        <v>51</v>
      </c>
      <c r="D59" s="15" t="s">
        <v>7</v>
      </c>
      <c r="E59" s="56">
        <f>E58/E57</f>
        <v>0</v>
      </c>
      <c r="F59" s="56">
        <f>F58/F57</f>
        <v>0</v>
      </c>
      <c r="G59" s="56">
        <f t="shared" ref="G59:AH59" si="41">G58/G57</f>
        <v>0</v>
      </c>
      <c r="H59" s="56">
        <f t="shared" si="41"/>
        <v>0</v>
      </c>
      <c r="I59" s="56">
        <f t="shared" si="41"/>
        <v>0</v>
      </c>
      <c r="J59" s="56">
        <f t="shared" si="41"/>
        <v>0.15483776666863067</v>
      </c>
      <c r="K59" s="56">
        <f t="shared" si="41"/>
        <v>0.15426159204631179</v>
      </c>
      <c r="L59" s="56">
        <f t="shared" si="41"/>
        <v>0</v>
      </c>
      <c r="M59" s="56">
        <f t="shared" si="41"/>
        <v>0</v>
      </c>
      <c r="N59" s="56">
        <f t="shared" si="41"/>
        <v>0</v>
      </c>
      <c r="O59" s="56">
        <f t="shared" si="41"/>
        <v>0</v>
      </c>
      <c r="P59" s="56">
        <f t="shared" si="41"/>
        <v>0</v>
      </c>
      <c r="Q59" s="56">
        <f t="shared" si="41"/>
        <v>0</v>
      </c>
      <c r="R59" s="56">
        <f t="shared" si="41"/>
        <v>0.40764760928025556</v>
      </c>
      <c r="S59" s="56">
        <f t="shared" si="41"/>
        <v>0.4078834618680377</v>
      </c>
      <c r="T59" s="56">
        <f t="shared" si="41"/>
        <v>0.41989336036742914</v>
      </c>
      <c r="U59" s="56">
        <f t="shared" si="41"/>
        <v>0.42063626378497654</v>
      </c>
      <c r="V59" s="56">
        <f t="shared" si="41"/>
        <v>0.42106347341759665</v>
      </c>
      <c r="W59" s="56">
        <f t="shared" si="41"/>
        <v>0.42029464141168854</v>
      </c>
      <c r="X59" s="56">
        <f t="shared" si="41"/>
        <v>0.36131626060558886</v>
      </c>
      <c r="Y59" s="56">
        <f t="shared" si="41"/>
        <v>0.29862896315338477</v>
      </c>
      <c r="Z59" s="56">
        <f t="shared" si="41"/>
        <v>0.29863108356511109</v>
      </c>
      <c r="AA59" s="56">
        <f>AA58/AA57</f>
        <v>0.29894419507634479</v>
      </c>
      <c r="AB59" s="56">
        <f t="shared" si="41"/>
        <v>0.29819770766636527</v>
      </c>
      <c r="AC59" s="56">
        <f t="shared" si="41"/>
        <v>0.29876261415134048</v>
      </c>
      <c r="AD59" s="56">
        <f t="shared" si="41"/>
        <v>0.16577141029374556</v>
      </c>
      <c r="AE59" s="56">
        <f t="shared" si="41"/>
        <v>0.17018957480404301</v>
      </c>
      <c r="AF59" s="56">
        <f t="shared" si="41"/>
        <v>0</v>
      </c>
      <c r="AG59" s="56">
        <f t="shared" si="41"/>
        <v>0</v>
      </c>
      <c r="AH59" s="56">
        <f t="shared" si="41"/>
        <v>0</v>
      </c>
      <c r="AI59" s="56"/>
      <c r="AJ59" s="16">
        <f>AJ58/AJ57</f>
        <v>0.16558451620183307</v>
      </c>
      <c r="AK59" s="16">
        <f>AK58/AK57</f>
        <v>0.11630610545629676</v>
      </c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</row>
    <row r="60" spans="1:679" x14ac:dyDescent="0.3">
      <c r="A60" s="24"/>
      <c r="B60" s="24" t="s">
        <v>366</v>
      </c>
      <c r="C60" s="10" t="s">
        <v>51</v>
      </c>
      <c r="D60" s="10"/>
      <c r="E60" s="55">
        <v>319</v>
      </c>
      <c r="F60" s="55">
        <v>313</v>
      </c>
      <c r="G60" s="55">
        <v>294</v>
      </c>
      <c r="H60" s="55">
        <v>320</v>
      </c>
      <c r="I60" s="55">
        <v>321</v>
      </c>
      <c r="J60" s="55">
        <v>302</v>
      </c>
      <c r="K60" s="55">
        <v>303</v>
      </c>
      <c r="L60" s="55">
        <v>0</v>
      </c>
      <c r="M60" s="42">
        <v>0</v>
      </c>
      <c r="N60" s="55">
        <v>0</v>
      </c>
      <c r="O60" s="55">
        <v>0</v>
      </c>
      <c r="P60" s="55">
        <v>0</v>
      </c>
      <c r="Q60" s="55">
        <v>0</v>
      </c>
      <c r="R60" s="55">
        <v>0</v>
      </c>
      <c r="S60" s="55">
        <v>0</v>
      </c>
      <c r="T60" s="55">
        <v>0</v>
      </c>
      <c r="U60" s="55">
        <v>0</v>
      </c>
      <c r="V60" s="55">
        <v>314</v>
      </c>
      <c r="W60" s="55">
        <v>308</v>
      </c>
      <c r="X60" s="55">
        <v>321</v>
      </c>
      <c r="Y60" s="55">
        <v>202</v>
      </c>
      <c r="Z60" s="55">
        <v>0</v>
      </c>
      <c r="AA60" s="55">
        <v>0</v>
      </c>
      <c r="AB60" s="55">
        <v>0</v>
      </c>
      <c r="AC60" s="55">
        <v>0</v>
      </c>
      <c r="AD60" s="55">
        <v>0</v>
      </c>
      <c r="AE60" s="55">
        <v>0</v>
      </c>
      <c r="AF60" s="55">
        <v>0</v>
      </c>
      <c r="AG60" s="55">
        <v>0</v>
      </c>
      <c r="AH60" s="55">
        <v>0</v>
      </c>
      <c r="AI60" s="55"/>
      <c r="AJ60" s="11">
        <f t="shared" ref="AJ60:AJ62" si="42">SUM(E60:AI60)</f>
        <v>3317</v>
      </c>
      <c r="AK60" s="12">
        <f>AJ60+'Apr-24'!AI59+'May-24'!AJ59</f>
        <v>24420</v>
      </c>
    </row>
    <row r="61" spans="1:679" x14ac:dyDescent="0.3">
      <c r="A61" s="24"/>
      <c r="B61" s="24" t="s">
        <v>367</v>
      </c>
      <c r="C61" s="10" t="s">
        <v>51</v>
      </c>
      <c r="D61" s="10"/>
      <c r="E61" s="55">
        <v>4772</v>
      </c>
      <c r="F61" s="55">
        <v>4765</v>
      </c>
      <c r="G61" s="55">
        <v>4760</v>
      </c>
      <c r="H61" s="55">
        <v>4790</v>
      </c>
      <c r="I61" s="55">
        <v>4795</v>
      </c>
      <c r="J61" s="55">
        <v>4800</v>
      </c>
      <c r="K61" s="55">
        <v>4790</v>
      </c>
      <c r="L61" s="55">
        <v>0</v>
      </c>
      <c r="M61" s="42">
        <v>0</v>
      </c>
      <c r="N61" s="55">
        <v>0</v>
      </c>
      <c r="O61" s="55">
        <v>0</v>
      </c>
      <c r="P61" s="55">
        <v>0</v>
      </c>
      <c r="Q61" s="55">
        <v>0</v>
      </c>
      <c r="R61" s="55">
        <v>0</v>
      </c>
      <c r="S61" s="55">
        <v>0</v>
      </c>
      <c r="T61" s="55">
        <v>0</v>
      </c>
      <c r="U61" s="55">
        <v>0</v>
      </c>
      <c r="V61" s="55">
        <v>4785</v>
      </c>
      <c r="W61" s="55">
        <v>4780</v>
      </c>
      <c r="X61" s="55">
        <v>4775</v>
      </c>
      <c r="Y61" s="55">
        <v>4770</v>
      </c>
      <c r="Z61" s="55">
        <v>0</v>
      </c>
      <c r="AA61" s="55">
        <v>0</v>
      </c>
      <c r="AB61" s="55">
        <v>0</v>
      </c>
      <c r="AC61" s="55">
        <v>0</v>
      </c>
      <c r="AD61" s="55">
        <v>0</v>
      </c>
      <c r="AE61" s="55">
        <v>0</v>
      </c>
      <c r="AF61" s="55">
        <v>0</v>
      </c>
      <c r="AG61" s="55">
        <v>0</v>
      </c>
      <c r="AH61" s="55">
        <v>0</v>
      </c>
      <c r="AI61" s="55"/>
      <c r="AJ61" s="11">
        <f t="shared" si="42"/>
        <v>52582</v>
      </c>
      <c r="AK61" s="12">
        <f>AJ61+'Apr-24'!AI60+'May-24'!AJ60</f>
        <v>342945.05200000003</v>
      </c>
    </row>
    <row r="62" spans="1:679" x14ac:dyDescent="0.3">
      <c r="A62" s="24"/>
      <c r="B62" s="24" t="s">
        <v>368</v>
      </c>
      <c r="C62" s="10" t="s">
        <v>51</v>
      </c>
      <c r="D62" s="10"/>
      <c r="E62" s="55">
        <f t="shared" ref="E62:AH62" si="43">E61*E60</f>
        <v>1522268</v>
      </c>
      <c r="F62" s="55">
        <f t="shared" si="43"/>
        <v>1491445</v>
      </c>
      <c r="G62" s="55">
        <f t="shared" si="43"/>
        <v>1399440</v>
      </c>
      <c r="H62" s="55">
        <f t="shared" si="43"/>
        <v>1532800</v>
      </c>
      <c r="I62" s="55">
        <f t="shared" si="43"/>
        <v>1539195</v>
      </c>
      <c r="J62" s="55">
        <f t="shared" si="43"/>
        <v>1449600</v>
      </c>
      <c r="K62" s="55">
        <f t="shared" si="43"/>
        <v>1451370</v>
      </c>
      <c r="L62" s="55">
        <f t="shared" si="43"/>
        <v>0</v>
      </c>
      <c r="M62" s="55">
        <f t="shared" si="43"/>
        <v>0</v>
      </c>
      <c r="N62" s="55">
        <f t="shared" si="43"/>
        <v>0</v>
      </c>
      <c r="O62" s="55">
        <f t="shared" si="43"/>
        <v>0</v>
      </c>
      <c r="P62" s="55">
        <f t="shared" si="43"/>
        <v>0</v>
      </c>
      <c r="Q62" s="55">
        <f t="shared" si="43"/>
        <v>0</v>
      </c>
      <c r="R62" s="55">
        <f t="shared" si="43"/>
        <v>0</v>
      </c>
      <c r="S62" s="55">
        <f t="shared" si="43"/>
        <v>0</v>
      </c>
      <c r="T62" s="55">
        <f t="shared" si="43"/>
        <v>0</v>
      </c>
      <c r="U62" s="55">
        <f t="shared" si="43"/>
        <v>0</v>
      </c>
      <c r="V62" s="55">
        <f t="shared" si="43"/>
        <v>1502490</v>
      </c>
      <c r="W62" s="55">
        <f t="shared" si="43"/>
        <v>1472240</v>
      </c>
      <c r="X62" s="55">
        <f t="shared" si="43"/>
        <v>1532775</v>
      </c>
      <c r="Y62" s="55">
        <f t="shared" si="43"/>
        <v>963540</v>
      </c>
      <c r="Z62" s="55">
        <f t="shared" si="43"/>
        <v>0</v>
      </c>
      <c r="AA62" s="55">
        <f t="shared" si="43"/>
        <v>0</v>
      </c>
      <c r="AB62" s="55">
        <f t="shared" si="43"/>
        <v>0</v>
      </c>
      <c r="AC62" s="55">
        <f t="shared" si="43"/>
        <v>0</v>
      </c>
      <c r="AD62" s="55">
        <f t="shared" si="43"/>
        <v>0</v>
      </c>
      <c r="AE62" s="55">
        <f t="shared" si="43"/>
        <v>0</v>
      </c>
      <c r="AF62" s="55">
        <f t="shared" si="43"/>
        <v>0</v>
      </c>
      <c r="AG62" s="55">
        <f t="shared" si="43"/>
        <v>0</v>
      </c>
      <c r="AH62" s="55">
        <f t="shared" si="43"/>
        <v>0</v>
      </c>
      <c r="AI62" s="55"/>
      <c r="AJ62" s="11">
        <f t="shared" si="42"/>
        <v>15857163</v>
      </c>
      <c r="AK62" s="12">
        <f>AJ62+'Apr-24'!AI61+'May-24'!AJ61</f>
        <v>116345206.54800001</v>
      </c>
    </row>
    <row r="63" spans="1:679" x14ac:dyDescent="0.3">
      <c r="A63" s="44">
        <v>12</v>
      </c>
      <c r="B63" s="44" t="s">
        <v>223</v>
      </c>
      <c r="C63" s="15" t="s">
        <v>51</v>
      </c>
      <c r="D63" s="15" t="s">
        <v>55</v>
      </c>
      <c r="E63" s="21">
        <f>E62/E57</f>
        <v>0.28953182463470634</v>
      </c>
      <c r="F63" s="21">
        <f t="shared" ref="F63:AH63" si="44">F62/F57</f>
        <v>0.28682914314638652</v>
      </c>
      <c r="G63" s="21">
        <f t="shared" si="44"/>
        <v>0.28870356330553448</v>
      </c>
      <c r="H63" s="21">
        <f t="shared" si="44"/>
        <v>0.28969992772621844</v>
      </c>
      <c r="I63" s="21">
        <f t="shared" si="44"/>
        <v>0.28889250506201675</v>
      </c>
      <c r="J63" s="21">
        <f t="shared" si="44"/>
        <v>0.27375033425640977</v>
      </c>
      <c r="K63" s="21">
        <f t="shared" si="44"/>
        <v>0.27289659949593748</v>
      </c>
      <c r="L63" s="21">
        <f t="shared" si="44"/>
        <v>0</v>
      </c>
      <c r="M63" s="21">
        <f t="shared" si="44"/>
        <v>0</v>
      </c>
      <c r="N63" s="21">
        <f t="shared" si="44"/>
        <v>0</v>
      </c>
      <c r="O63" s="21">
        <f t="shared" si="44"/>
        <v>0</v>
      </c>
      <c r="P63" s="21">
        <f t="shared" si="44"/>
        <v>0</v>
      </c>
      <c r="Q63" s="21">
        <f t="shared" si="44"/>
        <v>0</v>
      </c>
      <c r="R63" s="21">
        <f t="shared" si="44"/>
        <v>0</v>
      </c>
      <c r="S63" s="21">
        <f t="shared" si="44"/>
        <v>0</v>
      </c>
      <c r="T63" s="21">
        <f t="shared" si="44"/>
        <v>0</v>
      </c>
      <c r="U63" s="21">
        <f t="shared" si="44"/>
        <v>0</v>
      </c>
      <c r="V63" s="21">
        <f t="shared" si="44"/>
        <v>0.28952790354581065</v>
      </c>
      <c r="W63" s="21">
        <f t="shared" si="44"/>
        <v>0.28889968161459179</v>
      </c>
      <c r="X63" s="21">
        <f t="shared" si="44"/>
        <v>0.29827488907916244</v>
      </c>
      <c r="Y63" s="21">
        <f t="shared" si="44"/>
        <v>0.18954442768417995</v>
      </c>
      <c r="Z63" s="21">
        <f t="shared" si="44"/>
        <v>0</v>
      </c>
      <c r="AA63" s="21">
        <f t="shared" si="44"/>
        <v>0</v>
      </c>
      <c r="AB63" s="21">
        <f t="shared" si="44"/>
        <v>0</v>
      </c>
      <c r="AC63" s="21">
        <f t="shared" si="44"/>
        <v>0</v>
      </c>
      <c r="AD63" s="21">
        <f t="shared" si="44"/>
        <v>0</v>
      </c>
      <c r="AE63" s="21">
        <f t="shared" si="44"/>
        <v>0</v>
      </c>
      <c r="AF63" s="21">
        <f t="shared" si="44"/>
        <v>0</v>
      </c>
      <c r="AG63" s="21">
        <f t="shared" si="44"/>
        <v>0</v>
      </c>
      <c r="AH63" s="21">
        <f t="shared" si="44"/>
        <v>0</v>
      </c>
      <c r="AI63" s="21"/>
      <c r="AJ63" s="16">
        <f>AJ62/AJ57</f>
        <v>0.10203822492661457</v>
      </c>
      <c r="AK63" s="16">
        <f>AK62/AK57</f>
        <v>0.24958344517150627</v>
      </c>
    </row>
    <row r="64" spans="1:679" x14ac:dyDescent="0.3">
      <c r="B64" s="24" t="s">
        <v>369</v>
      </c>
      <c r="C64" s="10" t="s">
        <v>51</v>
      </c>
      <c r="D64" s="10" t="s">
        <v>55</v>
      </c>
      <c r="E64" s="22">
        <v>745</v>
      </c>
      <c r="F64" s="22">
        <v>730</v>
      </c>
      <c r="G64" s="23">
        <v>687</v>
      </c>
      <c r="H64" s="22">
        <v>748</v>
      </c>
      <c r="I64" s="22">
        <v>750</v>
      </c>
      <c r="J64" s="22">
        <v>604</v>
      </c>
      <c r="K64" s="22">
        <v>606</v>
      </c>
      <c r="L64" s="22">
        <v>1050</v>
      </c>
      <c r="M64" s="10">
        <v>1041</v>
      </c>
      <c r="N64" s="10">
        <v>1031</v>
      </c>
      <c r="O64" s="10">
        <v>1061</v>
      </c>
      <c r="P64" s="69">
        <v>1056</v>
      </c>
      <c r="Q64" s="69">
        <v>1020</v>
      </c>
      <c r="R64" s="69">
        <v>595</v>
      </c>
      <c r="S64" s="69">
        <v>594</v>
      </c>
      <c r="T64" s="69">
        <v>625</v>
      </c>
      <c r="U64" s="69">
        <v>615</v>
      </c>
      <c r="V64" s="69">
        <v>314</v>
      </c>
      <c r="W64" s="10">
        <v>308</v>
      </c>
      <c r="X64" s="10">
        <v>366</v>
      </c>
      <c r="Y64" s="10">
        <v>545</v>
      </c>
      <c r="Z64" s="10">
        <v>763</v>
      </c>
      <c r="AA64" s="10">
        <v>770</v>
      </c>
      <c r="AB64" s="22">
        <v>752</v>
      </c>
      <c r="AC64" s="22">
        <v>751</v>
      </c>
      <c r="AD64" s="53">
        <v>964</v>
      </c>
      <c r="AE64" s="53">
        <v>1002</v>
      </c>
      <c r="AF64" s="53">
        <v>1187</v>
      </c>
      <c r="AG64" s="53">
        <v>1202</v>
      </c>
      <c r="AH64" s="53">
        <v>1217</v>
      </c>
      <c r="AI64" s="53"/>
      <c r="AJ64" s="11">
        <f t="shared" ref="AJ64:AJ66" si="45">SUM(E64:AI64)</f>
        <v>23699</v>
      </c>
      <c r="AK64" s="12">
        <f>AJ64+'Apr-24'!AI63+'May-24'!AJ63</f>
        <v>59741.798999999999</v>
      </c>
    </row>
    <row r="65" spans="1:253" x14ac:dyDescent="0.3">
      <c r="B65" s="24" t="s">
        <v>370</v>
      </c>
      <c r="C65" s="10" t="s">
        <v>51</v>
      </c>
      <c r="D65" s="10" t="s">
        <v>55</v>
      </c>
      <c r="E65" s="23">
        <v>5015</v>
      </c>
      <c r="F65" s="23">
        <v>5010</v>
      </c>
      <c r="G65" s="23">
        <v>5020</v>
      </c>
      <c r="H65" s="23">
        <v>5025</v>
      </c>
      <c r="I65" s="23">
        <v>5020</v>
      </c>
      <c r="J65" s="23">
        <v>5015</v>
      </c>
      <c r="K65" s="23">
        <v>5030</v>
      </c>
      <c r="L65" s="23">
        <v>5025</v>
      </c>
      <c r="M65" s="23">
        <v>5020</v>
      </c>
      <c r="N65" s="66">
        <v>5015</v>
      </c>
      <c r="O65" s="66">
        <v>4890</v>
      </c>
      <c r="P65" s="66">
        <v>4900</v>
      </c>
      <c r="Q65" s="23">
        <v>5062</v>
      </c>
      <c r="R65" s="23">
        <v>5060</v>
      </c>
      <c r="S65" s="23">
        <v>5065</v>
      </c>
      <c r="T65" s="23">
        <v>4770</v>
      </c>
      <c r="U65" s="23">
        <v>4775</v>
      </c>
      <c r="V65" s="23">
        <v>4780</v>
      </c>
      <c r="W65" s="23">
        <v>4770</v>
      </c>
      <c r="X65" s="23">
        <v>4765</v>
      </c>
      <c r="Y65" s="23">
        <v>4770</v>
      </c>
      <c r="Z65" s="23">
        <v>4775</v>
      </c>
      <c r="AA65" s="23">
        <v>4760</v>
      </c>
      <c r="AB65" s="53">
        <v>4775</v>
      </c>
      <c r="AC65" s="53">
        <v>4770</v>
      </c>
      <c r="AD65" s="53">
        <v>4380</v>
      </c>
      <c r="AE65" s="53">
        <v>4378</v>
      </c>
      <c r="AF65" s="53">
        <v>4375</v>
      </c>
      <c r="AG65" s="53">
        <v>4370</v>
      </c>
      <c r="AH65" s="53">
        <v>4130</v>
      </c>
      <c r="AI65" s="53"/>
      <c r="AJ65" s="11">
        <f t="shared" si="45"/>
        <v>144515</v>
      </c>
      <c r="AK65" s="12">
        <f>AJ65+'Apr-24'!AI64+'May-24'!AJ64</f>
        <v>451125.05200000003</v>
      </c>
    </row>
    <row r="66" spans="1:253" x14ac:dyDescent="0.3">
      <c r="B66" s="24" t="s">
        <v>371</v>
      </c>
      <c r="C66" s="10" t="s">
        <v>51</v>
      </c>
      <c r="D66" s="10" t="s">
        <v>55</v>
      </c>
      <c r="E66" s="70">
        <f>E65*E64</f>
        <v>3736175</v>
      </c>
      <c r="F66" s="70">
        <f>F65*F64</f>
        <v>3657300</v>
      </c>
      <c r="G66" s="70">
        <f t="shared" ref="G66:AH66" si="46">G65*G64</f>
        <v>3448740</v>
      </c>
      <c r="H66" s="70">
        <f t="shared" si="46"/>
        <v>3758700</v>
      </c>
      <c r="I66" s="70">
        <f t="shared" si="46"/>
        <v>3765000</v>
      </c>
      <c r="J66" s="70">
        <f t="shared" si="46"/>
        <v>3029060</v>
      </c>
      <c r="K66" s="70">
        <f t="shared" si="46"/>
        <v>3048180</v>
      </c>
      <c r="L66" s="70">
        <f t="shared" si="46"/>
        <v>5276250</v>
      </c>
      <c r="M66" s="71">
        <f t="shared" si="46"/>
        <v>5225820</v>
      </c>
      <c r="N66" s="70">
        <f t="shared" si="46"/>
        <v>5170465</v>
      </c>
      <c r="O66" s="70">
        <f t="shared" si="46"/>
        <v>5188290</v>
      </c>
      <c r="P66" s="70">
        <f t="shared" si="46"/>
        <v>5174400</v>
      </c>
      <c r="Q66" s="70">
        <f t="shared" si="46"/>
        <v>5163240</v>
      </c>
      <c r="R66" s="70">
        <f>R65*R64</f>
        <v>3010700</v>
      </c>
      <c r="S66" s="70">
        <f>S65*S64</f>
        <v>3008610</v>
      </c>
      <c r="T66" s="70">
        <f>T65*T64</f>
        <v>2981250</v>
      </c>
      <c r="U66" s="70">
        <f>U65*U64</f>
        <v>2936625</v>
      </c>
      <c r="V66" s="70">
        <f t="shared" si="46"/>
        <v>1500920</v>
      </c>
      <c r="W66" s="70">
        <f t="shared" si="46"/>
        <v>1469160</v>
      </c>
      <c r="X66" s="70">
        <f t="shared" si="46"/>
        <v>1743990</v>
      </c>
      <c r="Y66" s="70">
        <f t="shared" si="46"/>
        <v>2599650</v>
      </c>
      <c r="Z66" s="70">
        <f t="shared" si="46"/>
        <v>3643325</v>
      </c>
      <c r="AA66" s="70">
        <f t="shared" si="46"/>
        <v>3665200</v>
      </c>
      <c r="AB66" s="70">
        <f t="shared" si="46"/>
        <v>3590800</v>
      </c>
      <c r="AC66" s="70">
        <f t="shared" si="46"/>
        <v>3582270</v>
      </c>
      <c r="AD66" s="70">
        <f t="shared" si="46"/>
        <v>4222320</v>
      </c>
      <c r="AE66" s="70">
        <f t="shared" si="46"/>
        <v>4386756</v>
      </c>
      <c r="AF66" s="70">
        <f t="shared" si="46"/>
        <v>5193125</v>
      </c>
      <c r="AG66" s="70">
        <f t="shared" si="46"/>
        <v>5252740</v>
      </c>
      <c r="AH66" s="70">
        <f t="shared" si="46"/>
        <v>5026210</v>
      </c>
      <c r="AI66" s="70"/>
      <c r="AJ66" s="11">
        <f t="shared" si="45"/>
        <v>113455271</v>
      </c>
      <c r="AK66" s="12">
        <f>AJ66+'Apr-24'!AI65+'May-24'!AJ65</f>
        <v>293621236.89899999</v>
      </c>
    </row>
    <row r="67" spans="1:253" x14ac:dyDescent="0.3">
      <c r="A67" s="19">
        <v>14</v>
      </c>
      <c r="B67" s="44" t="s">
        <v>63</v>
      </c>
      <c r="C67" s="15" t="s">
        <v>51</v>
      </c>
      <c r="D67" s="15" t="s">
        <v>55</v>
      </c>
      <c r="E67" s="21">
        <f t="shared" ref="E67:AH67" si="47">E66/(E57)</f>
        <v>0.7106117746051116</v>
      </c>
      <c r="F67" s="21">
        <f t="shared" si="47"/>
        <v>0.7033583036781641</v>
      </c>
      <c r="G67" s="21">
        <f t="shared" si="47"/>
        <v>0.71147282263929079</v>
      </c>
      <c r="H67" s="21">
        <f t="shared" si="47"/>
        <v>0.71039608451496428</v>
      </c>
      <c r="I67" s="21">
        <f t="shared" si="47"/>
        <v>0.7066552851058463</v>
      </c>
      <c r="J67" s="21">
        <f t="shared" si="47"/>
        <v>0.57202413595662294</v>
      </c>
      <c r="K67" s="21">
        <f t="shared" si="47"/>
        <v>0.57313983109167665</v>
      </c>
      <c r="L67" s="21">
        <f t="shared" si="47"/>
        <v>1.0002248313954105</v>
      </c>
      <c r="M67" s="21">
        <f t="shared" si="47"/>
        <v>0.99972069604077074</v>
      </c>
      <c r="N67" s="21">
        <f t="shared" si="47"/>
        <v>1.000494009959922</v>
      </c>
      <c r="O67" s="21">
        <f>O66/(O57)</f>
        <v>0.9953076591050789</v>
      </c>
      <c r="P67" s="21">
        <f t="shared" si="47"/>
        <v>1.0007155704256676</v>
      </c>
      <c r="Q67" s="21">
        <f t="shared" si="47"/>
        <v>0.99674042614801761</v>
      </c>
      <c r="R67" s="21">
        <f t="shared" si="47"/>
        <v>0.59287502343379539</v>
      </c>
      <c r="S67" s="21">
        <f t="shared" si="47"/>
        <v>0.59266022515734418</v>
      </c>
      <c r="T67" s="21">
        <f t="shared" si="47"/>
        <v>0.57502424504741378</v>
      </c>
      <c r="U67" s="21">
        <f t="shared" si="47"/>
        <v>0.57856266838727477</v>
      </c>
      <c r="V67" s="21">
        <f t="shared" si="47"/>
        <v>0.28922536655150993</v>
      </c>
      <c r="W67" s="21">
        <f t="shared" si="47"/>
        <v>0.28829528897523071</v>
      </c>
      <c r="X67" s="21">
        <f t="shared" si="47"/>
        <v>0.339376897330116</v>
      </c>
      <c r="Y67" s="21">
        <f t="shared" si="47"/>
        <v>0.5113946192469212</v>
      </c>
      <c r="Z67" s="21">
        <f t="shared" si="47"/>
        <v>0.70126651717401134</v>
      </c>
      <c r="AA67" s="21">
        <f>AA66/(AA57)</f>
        <v>0.69932885265763856</v>
      </c>
      <c r="AB67" s="21">
        <f t="shared" si="47"/>
        <v>0.70203084141841199</v>
      </c>
      <c r="AC67" s="21">
        <f t="shared" si="47"/>
        <v>0.70125774467293744</v>
      </c>
      <c r="AD67" s="21">
        <f t="shared" si="47"/>
        <v>0.80629788940501368</v>
      </c>
      <c r="AE67" s="21">
        <f t="shared" si="47"/>
        <v>0.8295445477151745</v>
      </c>
      <c r="AF67" s="21">
        <f t="shared" si="47"/>
        <v>0.99943226377602323</v>
      </c>
      <c r="AG67" s="21">
        <f t="shared" si="47"/>
        <v>0.99974591150678283</v>
      </c>
      <c r="AH67" s="21">
        <f t="shared" si="47"/>
        <v>0.99024474336178581</v>
      </c>
      <c r="AI67" s="21"/>
      <c r="AJ67" s="16">
        <f>AJ66/(AJ57)</f>
        <v>0.73006593054558444</v>
      </c>
      <c r="AK67" s="16">
        <f>AK66/(AK57)</f>
        <v>0.62987554068707929</v>
      </c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62"/>
      <c r="BN67" s="62"/>
      <c r="BO67" s="62"/>
      <c r="BP67" s="62"/>
      <c r="BQ67" s="62"/>
      <c r="BR67" s="62"/>
      <c r="BS67" s="62"/>
      <c r="BT67" s="62"/>
      <c r="BU67" s="62"/>
      <c r="BV67" s="62"/>
      <c r="BW67" s="62"/>
      <c r="BX67" s="62"/>
      <c r="BY67" s="62"/>
      <c r="BZ67" s="62"/>
      <c r="CA67" s="62"/>
      <c r="CB67" s="62"/>
      <c r="CC67" s="62"/>
      <c r="CD67" s="62"/>
      <c r="CE67" s="62"/>
      <c r="CF67" s="62"/>
      <c r="CG67" s="62"/>
      <c r="CH67" s="62"/>
      <c r="CI67" s="62"/>
      <c r="CJ67" s="62"/>
      <c r="CK67" s="62"/>
      <c r="CL67" s="62"/>
      <c r="CM67" s="62"/>
      <c r="CN67" s="62"/>
      <c r="CO67" s="62"/>
      <c r="CP67" s="62"/>
      <c r="CQ67" s="62"/>
      <c r="CR67" s="62"/>
      <c r="CS67" s="62"/>
      <c r="CT67" s="62"/>
      <c r="CU67" s="62"/>
      <c r="CV67" s="62"/>
      <c r="CW67" s="62"/>
      <c r="CX67" s="62"/>
      <c r="CY67" s="62"/>
      <c r="CZ67" s="62"/>
      <c r="DA67" s="62"/>
      <c r="DB67" s="62"/>
      <c r="DC67" s="62"/>
      <c r="DD67" s="62"/>
      <c r="DE67" s="62"/>
      <c r="DF67" s="62"/>
      <c r="DG67" s="62"/>
      <c r="DH67" s="62"/>
      <c r="DI67" s="62"/>
      <c r="DJ67" s="62"/>
      <c r="DK67" s="62"/>
      <c r="DL67" s="62"/>
      <c r="DM67" s="62"/>
      <c r="DN67" s="62"/>
      <c r="DO67" s="62"/>
      <c r="DP67" s="62"/>
      <c r="DQ67" s="62"/>
      <c r="DR67" s="62"/>
      <c r="DS67" s="62"/>
      <c r="DT67" s="62"/>
      <c r="DU67" s="62"/>
      <c r="DV67" s="62"/>
      <c r="DW67" s="62"/>
      <c r="DX67" s="62"/>
      <c r="DY67" s="62"/>
      <c r="DZ67" s="62"/>
      <c r="EA67" s="62"/>
      <c r="EB67" s="62"/>
      <c r="EC67" s="62"/>
      <c r="ED67" s="62"/>
      <c r="EE67" s="62"/>
      <c r="EF67" s="62"/>
      <c r="EG67" s="62"/>
      <c r="EH67" s="62"/>
      <c r="EI67" s="62"/>
      <c r="EJ67" s="62"/>
      <c r="EK67" s="62"/>
      <c r="EL67" s="62"/>
      <c r="EM67" s="62"/>
      <c r="EN67" s="62"/>
      <c r="EO67" s="62"/>
      <c r="EP67" s="62"/>
      <c r="EQ67" s="62"/>
      <c r="ER67" s="62"/>
      <c r="ES67" s="62"/>
      <c r="ET67" s="62"/>
      <c r="EU67" s="62"/>
      <c r="EV67" s="62"/>
      <c r="EW67" s="62"/>
      <c r="EX67" s="62"/>
      <c r="EY67" s="62"/>
      <c r="EZ67" s="62"/>
      <c r="FA67" s="62"/>
      <c r="FB67" s="62"/>
      <c r="FC67" s="62"/>
      <c r="FD67" s="62"/>
      <c r="FE67" s="62"/>
      <c r="FF67" s="62"/>
      <c r="FG67" s="62"/>
      <c r="FH67" s="62"/>
      <c r="FI67" s="62"/>
      <c r="FJ67" s="62"/>
      <c r="FK67" s="62"/>
      <c r="FL67" s="62"/>
      <c r="FM67" s="62"/>
      <c r="FN67" s="62"/>
      <c r="FO67" s="62"/>
      <c r="FP67" s="62"/>
      <c r="FQ67" s="62"/>
      <c r="FR67" s="62"/>
      <c r="FS67" s="62"/>
      <c r="FT67" s="62"/>
      <c r="FU67" s="62"/>
      <c r="FV67" s="62"/>
      <c r="FW67" s="62"/>
      <c r="FX67" s="62"/>
      <c r="FY67" s="62"/>
      <c r="FZ67" s="62"/>
      <c r="GA67" s="62"/>
      <c r="GB67" s="62"/>
      <c r="GC67" s="62"/>
      <c r="GD67" s="62"/>
      <c r="GE67" s="62"/>
      <c r="GF67" s="62"/>
      <c r="GG67" s="62"/>
      <c r="GH67" s="62"/>
      <c r="GI67" s="62"/>
      <c r="GJ67" s="62"/>
      <c r="GK67" s="62"/>
      <c r="GL67" s="62"/>
      <c r="GM67" s="62"/>
      <c r="GN67" s="62"/>
      <c r="GO67" s="62"/>
      <c r="GP67" s="62"/>
      <c r="GQ67" s="62"/>
      <c r="GR67" s="62"/>
      <c r="GS67" s="62"/>
      <c r="GT67" s="62"/>
      <c r="GU67" s="62"/>
      <c r="GV67" s="62"/>
      <c r="GW67" s="62"/>
      <c r="GX67" s="62"/>
      <c r="GY67" s="62"/>
      <c r="GZ67" s="62"/>
      <c r="HA67" s="62"/>
      <c r="HB67" s="62"/>
      <c r="HC67" s="62"/>
      <c r="HD67" s="62"/>
      <c r="HE67" s="62"/>
      <c r="HF67" s="62"/>
      <c r="HG67" s="62"/>
      <c r="HH67" s="62"/>
      <c r="HI67" s="62"/>
      <c r="HJ67" s="62"/>
      <c r="HK67" s="62"/>
      <c r="HL67" s="62"/>
      <c r="HM67" s="62"/>
      <c r="HN67" s="62"/>
      <c r="HO67" s="62"/>
      <c r="HP67" s="62"/>
      <c r="HQ67" s="62"/>
      <c r="HR67" s="62"/>
      <c r="HS67" s="62"/>
      <c r="HT67" s="62"/>
      <c r="HU67" s="62"/>
      <c r="HV67" s="62"/>
      <c r="HW67" s="62"/>
      <c r="HX67" s="62"/>
      <c r="HY67" s="62"/>
      <c r="HZ67" s="62"/>
      <c r="IA67" s="62"/>
      <c r="IB67" s="62"/>
      <c r="IC67" s="62"/>
      <c r="ID67" s="62"/>
      <c r="IE67" s="62"/>
      <c r="IF67" s="62"/>
      <c r="IG67" s="62"/>
      <c r="IH67" s="62"/>
      <c r="II67" s="62"/>
      <c r="IJ67" s="62"/>
      <c r="IK67" s="62"/>
      <c r="IL67" s="62"/>
      <c r="IM67" s="62"/>
      <c r="IN67" s="62"/>
      <c r="IO67" s="62"/>
      <c r="IP67" s="62"/>
      <c r="IQ67" s="62"/>
      <c r="IR67" s="62"/>
      <c r="IS67" s="62"/>
    </row>
    <row r="68" spans="1:253" x14ac:dyDescent="0.3">
      <c r="B68" s="58" t="s">
        <v>71</v>
      </c>
      <c r="C68" s="59"/>
      <c r="D68" s="59"/>
      <c r="E68" s="73">
        <v>724</v>
      </c>
      <c r="F68" s="73">
        <v>724</v>
      </c>
      <c r="G68" s="73">
        <v>735</v>
      </c>
      <c r="H68" s="73">
        <v>724</v>
      </c>
      <c r="I68" s="73">
        <v>724</v>
      </c>
      <c r="J68" s="73">
        <v>724</v>
      </c>
      <c r="K68" s="73">
        <v>723</v>
      </c>
      <c r="L68" s="73">
        <v>724</v>
      </c>
      <c r="M68" s="64">
        <v>724</v>
      </c>
      <c r="N68" s="74">
        <v>724</v>
      </c>
      <c r="O68" s="74">
        <v>725</v>
      </c>
      <c r="P68" s="74">
        <v>725</v>
      </c>
      <c r="Q68" s="73">
        <v>725</v>
      </c>
      <c r="R68" s="74">
        <v>724</v>
      </c>
      <c r="S68" s="74">
        <v>725</v>
      </c>
      <c r="T68" s="74">
        <v>724</v>
      </c>
      <c r="U68" s="74">
        <v>725</v>
      </c>
      <c r="V68" s="73">
        <v>726</v>
      </c>
      <c r="W68" s="73">
        <v>725</v>
      </c>
      <c r="X68" s="73">
        <v>725</v>
      </c>
      <c r="Y68" s="73">
        <v>726</v>
      </c>
      <c r="Z68" s="73">
        <v>725</v>
      </c>
      <c r="AA68" s="73">
        <v>725</v>
      </c>
      <c r="AB68" s="73">
        <v>725</v>
      </c>
      <c r="AC68" s="73">
        <v>725</v>
      </c>
      <c r="AD68" s="73">
        <v>725</v>
      </c>
      <c r="AE68" s="73">
        <v>725</v>
      </c>
      <c r="AF68" s="73">
        <v>725</v>
      </c>
      <c r="AG68" s="73">
        <v>725</v>
      </c>
      <c r="AH68" s="73">
        <v>725</v>
      </c>
      <c r="AI68" s="73"/>
      <c r="AJ68" s="63">
        <f>AJ57/AJ15</f>
        <v>724.9680164209741</v>
      </c>
      <c r="AK68" s="63">
        <f>AK57/AK15</f>
        <v>724.0539950855524</v>
      </c>
      <c r="AL68" s="75">
        <f>(AJ57+AJ44)/(AJ72+AJ73)</f>
        <v>729.87785354542461</v>
      </c>
    </row>
    <row r="69" spans="1:253" x14ac:dyDescent="0.3">
      <c r="B69" s="58" t="s">
        <v>72</v>
      </c>
      <c r="C69" s="59"/>
      <c r="D69" s="59"/>
      <c r="E69" s="73">
        <v>725</v>
      </c>
      <c r="F69" s="73">
        <v>725</v>
      </c>
      <c r="G69" s="73">
        <v>730</v>
      </c>
      <c r="H69" s="73">
        <v>740</v>
      </c>
      <c r="I69" s="73">
        <v>0</v>
      </c>
      <c r="J69" s="73">
        <v>0</v>
      </c>
      <c r="K69" s="73">
        <v>765</v>
      </c>
      <c r="L69" s="73">
        <v>741</v>
      </c>
      <c r="M69" s="73">
        <v>743</v>
      </c>
      <c r="N69" s="73">
        <v>736</v>
      </c>
      <c r="O69" s="73">
        <v>723</v>
      </c>
      <c r="P69" s="73">
        <v>732</v>
      </c>
      <c r="Q69" s="73">
        <v>735</v>
      </c>
      <c r="R69" s="74">
        <v>725</v>
      </c>
      <c r="S69" s="74">
        <v>740</v>
      </c>
      <c r="T69" s="74">
        <v>737</v>
      </c>
      <c r="U69" s="74">
        <v>747</v>
      </c>
      <c r="V69" s="73">
        <v>736</v>
      </c>
      <c r="W69" s="73">
        <v>741</v>
      </c>
      <c r="X69" s="73">
        <v>738</v>
      </c>
      <c r="Y69" s="73">
        <v>738</v>
      </c>
      <c r="Z69" s="73">
        <v>735</v>
      </c>
      <c r="AA69" s="73">
        <v>735</v>
      </c>
      <c r="AB69" s="73">
        <v>731</v>
      </c>
      <c r="AC69" s="73">
        <v>728</v>
      </c>
      <c r="AD69" s="73">
        <v>724</v>
      </c>
      <c r="AE69" s="73">
        <v>726</v>
      </c>
      <c r="AF69" s="73">
        <v>730</v>
      </c>
      <c r="AG69" s="73">
        <v>730</v>
      </c>
      <c r="AH69" s="73">
        <v>732</v>
      </c>
      <c r="AI69" s="73"/>
      <c r="AJ69" s="76">
        <f>AJ44/AJ21</f>
        <v>734.18246291395872</v>
      </c>
      <c r="AK69" s="76">
        <f>AK44/AK21</f>
        <v>737.69346951420471</v>
      </c>
      <c r="AL69" s="3"/>
    </row>
    <row r="70" spans="1:253" x14ac:dyDescent="0.3">
      <c r="X70" s="3" t="s">
        <v>269</v>
      </c>
      <c r="AK70" s="63"/>
    </row>
    <row r="72" spans="1:253" x14ac:dyDescent="0.3">
      <c r="B72" s="81" t="s">
        <v>81</v>
      </c>
      <c r="C72" s="10"/>
      <c r="D72" s="10"/>
      <c r="E72" s="34">
        <v>7262</v>
      </c>
      <c r="F72" s="34">
        <v>7182</v>
      </c>
      <c r="G72" s="34">
        <v>6595</v>
      </c>
      <c r="H72" s="34">
        <v>7308</v>
      </c>
      <c r="I72" s="34">
        <v>7359</v>
      </c>
      <c r="J72" s="34">
        <v>7314</v>
      </c>
      <c r="K72" s="34">
        <v>7356</v>
      </c>
      <c r="L72" s="34">
        <v>7286</v>
      </c>
      <c r="M72" s="78">
        <v>7220</v>
      </c>
      <c r="N72" s="34">
        <v>7138</v>
      </c>
      <c r="O72" s="34">
        <v>7190</v>
      </c>
      <c r="P72" s="34">
        <v>7132</v>
      </c>
      <c r="Q72" s="34">
        <v>7145</v>
      </c>
      <c r="R72" s="34">
        <v>7014</v>
      </c>
      <c r="S72" s="34">
        <v>7002</v>
      </c>
      <c r="T72" s="34">
        <v>7161</v>
      </c>
      <c r="U72" s="34">
        <v>7001</v>
      </c>
      <c r="V72" s="34">
        <v>7148</v>
      </c>
      <c r="W72" s="34">
        <v>7029</v>
      </c>
      <c r="X72" s="34">
        <v>7088</v>
      </c>
      <c r="Y72" s="34">
        <v>7002</v>
      </c>
      <c r="Z72" s="34">
        <v>7166</v>
      </c>
      <c r="AA72" s="34">
        <v>7229</v>
      </c>
      <c r="AB72" s="34">
        <v>7055</v>
      </c>
      <c r="AC72" s="34">
        <v>7046</v>
      </c>
      <c r="AD72" s="34">
        <v>7223</v>
      </c>
      <c r="AE72" s="34">
        <v>7294</v>
      </c>
      <c r="AF72" s="34">
        <v>7167</v>
      </c>
      <c r="AG72" s="34">
        <v>7247</v>
      </c>
      <c r="AH72" s="34">
        <v>7001</v>
      </c>
      <c r="AI72" s="34"/>
      <c r="AJ72" s="34">
        <f>SUM(E72:AI72)</f>
        <v>214360</v>
      </c>
      <c r="AK72" s="12">
        <f>AJ72/COUNTIF(E72:AI72,"&gt;0")</f>
        <v>7145.333333333333</v>
      </c>
      <c r="AL72" s="282">
        <v>214360</v>
      </c>
      <c r="AM72" s="287">
        <f>AJ72-AL72</f>
        <v>0</v>
      </c>
      <c r="AN72" s="31">
        <f>AJ72+'May-24'!AJ89+'Apr-24'!AI89</f>
        <v>643816</v>
      </c>
    </row>
    <row r="73" spans="1:253" x14ac:dyDescent="0.3">
      <c r="B73" s="81" t="s">
        <v>82</v>
      </c>
      <c r="C73" s="10"/>
      <c r="D73" s="10"/>
      <c r="E73" s="34">
        <v>9002</v>
      </c>
      <c r="F73" s="34">
        <v>9307</v>
      </c>
      <c r="G73" s="34">
        <v>9171</v>
      </c>
      <c r="H73" s="34">
        <v>7545</v>
      </c>
      <c r="I73" s="34">
        <v>0</v>
      </c>
      <c r="J73" s="34">
        <v>0</v>
      </c>
      <c r="K73" s="34">
        <v>6137</v>
      </c>
      <c r="L73" s="34">
        <v>9002</v>
      </c>
      <c r="M73" s="34">
        <v>9147</v>
      </c>
      <c r="N73" s="34">
        <v>9213</v>
      </c>
      <c r="O73" s="34">
        <v>9205</v>
      </c>
      <c r="P73" s="34">
        <v>9003</v>
      </c>
      <c r="Q73" s="34">
        <v>8245</v>
      </c>
      <c r="R73" s="34">
        <v>9040</v>
      </c>
      <c r="S73" s="34">
        <v>9001</v>
      </c>
      <c r="T73" s="34">
        <v>9029</v>
      </c>
      <c r="U73" s="34">
        <v>8503</v>
      </c>
      <c r="V73" s="34">
        <v>9170</v>
      </c>
      <c r="W73" s="34">
        <v>9005</v>
      </c>
      <c r="X73" s="34">
        <v>9202</v>
      </c>
      <c r="Y73" s="34">
        <v>8854</v>
      </c>
      <c r="Z73" s="34">
        <v>8217</v>
      </c>
      <c r="AA73" s="34">
        <v>9001</v>
      </c>
      <c r="AB73" s="34">
        <v>8024</v>
      </c>
      <c r="AC73" s="34">
        <v>8564</v>
      </c>
      <c r="AD73" s="34">
        <v>9038</v>
      </c>
      <c r="AE73" s="34">
        <v>9045</v>
      </c>
      <c r="AF73" s="34">
        <v>7700</v>
      </c>
      <c r="AG73" s="34">
        <v>9011</v>
      </c>
      <c r="AH73" s="34">
        <v>9118</v>
      </c>
      <c r="AI73" s="34"/>
      <c r="AJ73" s="34">
        <f>SUM(E73:AI73)</f>
        <v>244499</v>
      </c>
      <c r="AK73" s="12">
        <f>AJ73/COUNTIF(E73:AI73,"&gt;0")</f>
        <v>8732.1071428571431</v>
      </c>
      <c r="AL73" s="282">
        <v>244499</v>
      </c>
      <c r="AM73" s="287">
        <f>AJ73-AL73</f>
        <v>0</v>
      </c>
      <c r="AN73" s="31">
        <f>AJ73+'May-24'!AJ90+'Apr-24'!AI90</f>
        <v>758550</v>
      </c>
    </row>
    <row r="74" spans="1:253" x14ac:dyDescent="0.3">
      <c r="R74"/>
      <c r="S74"/>
      <c r="T74"/>
      <c r="U74"/>
      <c r="AJ74" s="82"/>
      <c r="AK74" s="12"/>
    </row>
    <row r="75" spans="1:253" x14ac:dyDescent="0.3">
      <c r="B75" s="81" t="s">
        <v>83</v>
      </c>
      <c r="C75" s="10"/>
      <c r="D75" s="10" t="s">
        <v>7</v>
      </c>
      <c r="E75" s="42">
        <v>0</v>
      </c>
      <c r="F75" s="42">
        <v>0</v>
      </c>
      <c r="G75" s="42">
        <v>136</v>
      </c>
      <c r="H75" s="42">
        <v>194</v>
      </c>
      <c r="I75" s="42">
        <v>0</v>
      </c>
      <c r="J75" s="42">
        <v>0</v>
      </c>
      <c r="K75" s="42">
        <v>0</v>
      </c>
      <c r="L75" s="42">
        <v>348</v>
      </c>
      <c r="M75" s="42">
        <v>410</v>
      </c>
      <c r="N75" s="42">
        <v>208</v>
      </c>
      <c r="O75" s="42">
        <v>0</v>
      </c>
      <c r="P75" s="42">
        <v>102</v>
      </c>
      <c r="Q75" s="55">
        <v>0</v>
      </c>
      <c r="R75" s="55">
        <v>0</v>
      </c>
      <c r="S75" s="55">
        <v>351</v>
      </c>
      <c r="T75" s="55">
        <v>289</v>
      </c>
      <c r="U75" s="55">
        <v>248</v>
      </c>
      <c r="V75" s="55">
        <v>201</v>
      </c>
      <c r="W75" s="42">
        <v>322</v>
      </c>
      <c r="X75" s="23">
        <v>238</v>
      </c>
      <c r="Y75" s="23">
        <v>249</v>
      </c>
      <c r="Z75" s="23">
        <v>212</v>
      </c>
      <c r="AA75" s="55">
        <v>167</v>
      </c>
      <c r="AB75" s="45">
        <v>0</v>
      </c>
      <c r="AC75" s="45">
        <v>0</v>
      </c>
      <c r="AD75" s="45">
        <v>0</v>
      </c>
      <c r="AE75" s="45">
        <v>0</v>
      </c>
      <c r="AF75" s="45">
        <v>0</v>
      </c>
      <c r="AG75" s="45">
        <v>101</v>
      </c>
      <c r="AH75" s="22">
        <v>157</v>
      </c>
      <c r="AI75" s="22"/>
      <c r="AJ75" s="34">
        <f>SUM(E75:AI75)</f>
        <v>3933</v>
      </c>
      <c r="AK75" s="83">
        <f>AJ75/COUNTIF(E75:AI75,"&gt;0")</f>
        <v>231.35294117647058</v>
      </c>
    </row>
    <row r="76" spans="1:253" x14ac:dyDescent="0.3">
      <c r="B76" s="81" t="s">
        <v>397</v>
      </c>
      <c r="C76" s="10"/>
      <c r="D76" s="10" t="s">
        <v>85</v>
      </c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2"/>
      <c r="X76" s="55"/>
      <c r="Y76" s="55"/>
      <c r="Z76" s="55"/>
      <c r="AA76" s="22"/>
      <c r="AB76" s="22"/>
      <c r="AC76" s="22"/>
      <c r="AD76" s="22"/>
      <c r="AE76" s="22"/>
      <c r="AF76" s="22"/>
      <c r="AG76" s="22"/>
      <c r="AH76" s="22"/>
      <c r="AI76" s="22"/>
      <c r="AJ76" s="22"/>
    </row>
    <row r="77" spans="1:253" x14ac:dyDescent="0.3">
      <c r="B77" s="81" t="s">
        <v>398</v>
      </c>
      <c r="C77" s="10"/>
      <c r="D77" s="10" t="s">
        <v>87</v>
      </c>
      <c r="E77" s="23">
        <v>0</v>
      </c>
      <c r="F77" s="23">
        <v>0</v>
      </c>
      <c r="G77" s="23">
        <v>2805</v>
      </c>
      <c r="H77" s="23">
        <v>2747</v>
      </c>
      <c r="I77" s="23">
        <v>0</v>
      </c>
      <c r="J77" s="23">
        <v>0</v>
      </c>
      <c r="K77" s="23">
        <v>0</v>
      </c>
      <c r="L77" s="23">
        <v>2986</v>
      </c>
      <c r="M77" s="23">
        <v>3131</v>
      </c>
      <c r="N77" s="23">
        <v>3129</v>
      </c>
      <c r="O77" s="23">
        <v>0</v>
      </c>
      <c r="P77" s="23">
        <v>2882</v>
      </c>
      <c r="Q77" s="23">
        <v>0</v>
      </c>
      <c r="R77" s="23">
        <v>0</v>
      </c>
      <c r="S77" s="23">
        <v>2926</v>
      </c>
      <c r="T77" s="23">
        <v>2758</v>
      </c>
      <c r="U77" s="23">
        <v>2380</v>
      </c>
      <c r="V77" s="23">
        <v>2849</v>
      </c>
      <c r="W77" s="23">
        <v>2809</v>
      </c>
      <c r="X77" s="23">
        <v>2734</v>
      </c>
      <c r="Y77" s="23">
        <v>2765</v>
      </c>
      <c r="Z77" s="23">
        <v>2765</v>
      </c>
      <c r="AA77" s="23">
        <v>2647</v>
      </c>
      <c r="AB77" s="22">
        <v>0</v>
      </c>
      <c r="AC77" s="22">
        <v>0</v>
      </c>
      <c r="AD77" s="23">
        <v>0</v>
      </c>
      <c r="AE77" s="23">
        <v>0</v>
      </c>
      <c r="AF77" s="23">
        <v>0</v>
      </c>
      <c r="AG77" s="23">
        <v>2647</v>
      </c>
      <c r="AH77" s="23">
        <v>2409</v>
      </c>
      <c r="AI77" s="23"/>
      <c r="AJ77" s="38">
        <f>IFERROR(SUMPRODUCT(E77:AH77,E75:AH75)/AJ75,0)</f>
        <v>2818.8337147215866</v>
      </c>
    </row>
    <row r="78" spans="1:253" x14ac:dyDescent="0.3">
      <c r="E78" s="84"/>
      <c r="F78" s="84"/>
      <c r="G78" s="84"/>
      <c r="H78" s="84"/>
      <c r="I78" s="84"/>
      <c r="J78" s="84"/>
      <c r="K78" s="84"/>
      <c r="L78" s="84"/>
      <c r="M78" s="85"/>
      <c r="N78" s="84"/>
      <c r="O78" s="84"/>
      <c r="P78" s="84"/>
      <c r="Q78" s="84"/>
      <c r="R78" s="84"/>
      <c r="S78" s="84"/>
      <c r="T78" s="84"/>
      <c r="U78" s="86"/>
      <c r="V78" s="86"/>
      <c r="W78" s="86"/>
    </row>
    <row r="79" spans="1:253" x14ac:dyDescent="0.3">
      <c r="B79" s="81" t="s">
        <v>88</v>
      </c>
      <c r="C79" s="10"/>
      <c r="D79" s="10"/>
      <c r="E79" s="22">
        <v>1046</v>
      </c>
      <c r="F79" s="22">
        <v>0</v>
      </c>
      <c r="G79" s="22">
        <v>1480</v>
      </c>
      <c r="H79" s="22">
        <v>1716</v>
      </c>
      <c r="I79" s="22">
        <v>0</v>
      </c>
      <c r="J79" s="22">
        <v>1625</v>
      </c>
      <c r="K79" s="22">
        <v>4945</v>
      </c>
      <c r="L79" s="10">
        <v>0</v>
      </c>
      <c r="M79" s="10">
        <v>2900</v>
      </c>
      <c r="N79" s="22">
        <v>2756</v>
      </c>
      <c r="O79" s="23">
        <v>0</v>
      </c>
      <c r="P79" s="22">
        <v>2590</v>
      </c>
      <c r="Q79" s="22">
        <v>1840</v>
      </c>
      <c r="R79" s="22">
        <v>1825</v>
      </c>
      <c r="S79" s="22">
        <v>0</v>
      </c>
      <c r="T79" s="22">
        <v>2110</v>
      </c>
      <c r="U79" s="10">
        <v>1962</v>
      </c>
      <c r="V79" s="22">
        <v>0</v>
      </c>
      <c r="W79" s="22">
        <v>1475</v>
      </c>
      <c r="X79" s="22">
        <v>1045</v>
      </c>
      <c r="Y79" s="22">
        <v>4055</v>
      </c>
      <c r="Z79" s="22">
        <v>2635</v>
      </c>
      <c r="AA79" s="22">
        <v>0</v>
      </c>
      <c r="AB79" s="22">
        <v>0</v>
      </c>
      <c r="AC79" s="22">
        <v>4345</v>
      </c>
      <c r="AD79" s="22">
        <v>0</v>
      </c>
      <c r="AE79" s="22">
        <v>0</v>
      </c>
      <c r="AF79" s="22">
        <v>2440</v>
      </c>
      <c r="AG79" s="22">
        <v>0</v>
      </c>
      <c r="AH79" s="87">
        <v>2399</v>
      </c>
      <c r="AI79" s="87"/>
      <c r="AJ79" s="88">
        <f t="shared" ref="AJ79:AJ86" si="48">SUM(E79:AI79)</f>
        <v>45189</v>
      </c>
      <c r="AK79" s="89">
        <v>45189</v>
      </c>
      <c r="AL79" s="24">
        <f>AJ79-AK79</f>
        <v>0</v>
      </c>
      <c r="AM79" t="e">
        <f>AL83/SUM(AL79:AL83)</f>
        <v>#DIV/0!</v>
      </c>
      <c r="AN79" s="90">
        <f>(AJ79+AJ84)/$AJ$87</f>
        <v>0.48775613084115477</v>
      </c>
      <c r="AO79" s="90"/>
    </row>
    <row r="80" spans="1:253" x14ac:dyDescent="0.3">
      <c r="B80" s="81" t="s">
        <v>89</v>
      </c>
      <c r="C80" s="10"/>
      <c r="D80" s="10"/>
      <c r="E80" s="22">
        <v>2030</v>
      </c>
      <c r="F80" s="22">
        <v>2515</v>
      </c>
      <c r="G80" s="22">
        <v>2175</v>
      </c>
      <c r="H80" s="22">
        <v>3200</v>
      </c>
      <c r="I80" s="22">
        <v>1890</v>
      </c>
      <c r="J80" s="22">
        <v>3155</v>
      </c>
      <c r="K80" s="91">
        <v>0</v>
      </c>
      <c r="L80" s="10">
        <v>4554</v>
      </c>
      <c r="M80" s="10">
        <v>0</v>
      </c>
      <c r="N80" s="22">
        <v>1067</v>
      </c>
      <c r="O80" s="22">
        <v>3745</v>
      </c>
      <c r="P80" s="22">
        <v>2630</v>
      </c>
      <c r="Q80" s="22">
        <v>1205</v>
      </c>
      <c r="R80" s="22">
        <v>3310</v>
      </c>
      <c r="S80" s="22">
        <v>2409</v>
      </c>
      <c r="T80" s="22">
        <v>3100</v>
      </c>
      <c r="U80" s="10">
        <v>2445</v>
      </c>
      <c r="V80" s="22">
        <v>575</v>
      </c>
      <c r="W80" s="22">
        <v>4478</v>
      </c>
      <c r="X80" s="22">
        <v>4005</v>
      </c>
      <c r="Y80" s="22">
        <v>0</v>
      </c>
      <c r="Z80" s="22">
        <v>0</v>
      </c>
      <c r="AA80" s="22">
        <v>2105</v>
      </c>
      <c r="AB80" s="22">
        <v>5467</v>
      </c>
      <c r="AC80" s="22">
        <v>0</v>
      </c>
      <c r="AD80" s="22">
        <v>0</v>
      </c>
      <c r="AE80" s="22">
        <v>3320</v>
      </c>
      <c r="AF80" s="22">
        <v>0</v>
      </c>
      <c r="AG80" s="22">
        <v>1890</v>
      </c>
      <c r="AH80" s="87">
        <v>2615</v>
      </c>
      <c r="AI80" s="87"/>
      <c r="AJ80" s="88">
        <f t="shared" si="48"/>
        <v>63885</v>
      </c>
      <c r="AK80" s="89">
        <v>63885</v>
      </c>
      <c r="AL80" s="24">
        <f t="shared" ref="AL80:AL85" si="49">AJ80-AK80</f>
        <v>0</v>
      </c>
      <c r="AM80" t="e">
        <f>AL80/SUM(AL79:AL83)</f>
        <v>#DIV/0!</v>
      </c>
      <c r="AN80" s="90">
        <f>(AJ80+AJ85)/$AJ$87</f>
        <v>0.26656133156864387</v>
      </c>
      <c r="AO80" s="90"/>
    </row>
    <row r="81" spans="2:41" x14ac:dyDescent="0.3">
      <c r="B81" s="81" t="s">
        <v>90</v>
      </c>
      <c r="C81" s="10"/>
      <c r="D81" s="10"/>
      <c r="E81" s="22">
        <v>0</v>
      </c>
      <c r="F81" s="22">
        <v>0</v>
      </c>
      <c r="G81" s="22">
        <v>0</v>
      </c>
      <c r="H81" s="22">
        <v>0</v>
      </c>
      <c r="I81" s="22">
        <v>1370</v>
      </c>
      <c r="J81" s="22">
        <v>2125</v>
      </c>
      <c r="K81" s="22">
        <v>0</v>
      </c>
      <c r="L81" s="10">
        <v>1882</v>
      </c>
      <c r="M81" s="10">
        <v>0</v>
      </c>
      <c r="N81" s="22">
        <v>0</v>
      </c>
      <c r="O81" s="22">
        <v>1475</v>
      </c>
      <c r="P81" s="22">
        <v>0</v>
      </c>
      <c r="Q81" s="22">
        <v>0</v>
      </c>
      <c r="R81" s="22">
        <v>0</v>
      </c>
      <c r="S81" s="22">
        <v>2219</v>
      </c>
      <c r="T81" s="22">
        <v>0</v>
      </c>
      <c r="U81" s="10">
        <v>0</v>
      </c>
      <c r="V81" s="22">
        <v>3141</v>
      </c>
      <c r="W81" s="22">
        <v>0</v>
      </c>
      <c r="X81" s="22">
        <v>0</v>
      </c>
      <c r="Y81" s="22">
        <v>1965</v>
      </c>
      <c r="Z81" s="22">
        <v>1887</v>
      </c>
      <c r="AA81" s="22">
        <v>0</v>
      </c>
      <c r="AB81" s="22">
        <v>745</v>
      </c>
      <c r="AC81" s="22">
        <v>0</v>
      </c>
      <c r="AD81" s="22">
        <v>0</v>
      </c>
      <c r="AE81" s="22">
        <v>0</v>
      </c>
      <c r="AF81" s="22">
        <v>0</v>
      </c>
      <c r="AG81" s="22">
        <v>2084</v>
      </c>
      <c r="AH81" s="87">
        <v>0</v>
      </c>
      <c r="AI81" s="87"/>
      <c r="AJ81" s="88">
        <f t="shared" si="48"/>
        <v>18893</v>
      </c>
      <c r="AK81" s="92">
        <v>18893</v>
      </c>
      <c r="AL81" s="24">
        <f t="shared" si="49"/>
        <v>0</v>
      </c>
      <c r="AM81" t="e">
        <f>AL81/SUM(AL79:AL83)</f>
        <v>#DIV/0!</v>
      </c>
      <c r="AN81" s="90">
        <f>(AJ81)/$AJ$87</f>
        <v>3.3654385686777123E-2</v>
      </c>
      <c r="AO81" s="90"/>
    </row>
    <row r="82" spans="2:41" x14ac:dyDescent="0.3">
      <c r="B82" s="81" t="s">
        <v>91</v>
      </c>
      <c r="C82" s="10"/>
      <c r="D82" s="10"/>
      <c r="E82" s="22">
        <v>0</v>
      </c>
      <c r="F82" s="22">
        <v>0</v>
      </c>
      <c r="G82" s="22">
        <v>0</v>
      </c>
      <c r="H82" s="22">
        <v>3875</v>
      </c>
      <c r="I82" s="22">
        <v>0</v>
      </c>
      <c r="J82" s="22">
        <v>0</v>
      </c>
      <c r="K82" s="22">
        <v>0</v>
      </c>
      <c r="L82" s="10">
        <v>2142</v>
      </c>
      <c r="M82" s="10">
        <v>0</v>
      </c>
      <c r="N82" s="22">
        <v>1119</v>
      </c>
      <c r="O82" s="22">
        <v>0</v>
      </c>
      <c r="P82" s="22">
        <v>2615</v>
      </c>
      <c r="Q82" s="22">
        <v>0</v>
      </c>
      <c r="R82" s="22">
        <v>0</v>
      </c>
      <c r="S82" s="22">
        <v>2610</v>
      </c>
      <c r="T82" s="22">
        <v>0</v>
      </c>
      <c r="U82" s="10">
        <v>2290</v>
      </c>
      <c r="V82" s="22">
        <v>1595</v>
      </c>
      <c r="W82" s="22">
        <v>0</v>
      </c>
      <c r="X82" s="22">
        <v>2170</v>
      </c>
      <c r="Y82" s="22">
        <v>0</v>
      </c>
      <c r="Z82" s="22">
        <v>1049</v>
      </c>
      <c r="AA82" s="22">
        <v>3750</v>
      </c>
      <c r="AB82" s="22">
        <v>0</v>
      </c>
      <c r="AC82" s="22">
        <v>0</v>
      </c>
      <c r="AD82" s="22">
        <v>2565</v>
      </c>
      <c r="AE82" s="22">
        <v>0</v>
      </c>
      <c r="AF82" s="22">
        <v>3106</v>
      </c>
      <c r="AG82" s="22">
        <v>0</v>
      </c>
      <c r="AH82" s="22">
        <v>0</v>
      </c>
      <c r="AI82" s="22"/>
      <c r="AJ82" s="88">
        <f t="shared" si="48"/>
        <v>28886</v>
      </c>
      <c r="AK82" s="92">
        <v>28886</v>
      </c>
      <c r="AL82" s="24">
        <f>AJ82-AK82</f>
        <v>0</v>
      </c>
      <c r="AM82" t="e">
        <f>AL86/SUM(AL82:AL86)</f>
        <v>#DIV/0!</v>
      </c>
      <c r="AN82" s="90">
        <f>(AJ82)/$AJ$87</f>
        <v>5.1455067217924304E-2</v>
      </c>
      <c r="AO82" s="90"/>
    </row>
    <row r="83" spans="2:41" x14ac:dyDescent="0.3">
      <c r="B83" s="81" t="s">
        <v>92</v>
      </c>
      <c r="C83" s="10"/>
      <c r="D83" s="10"/>
      <c r="E83" s="22">
        <v>1248</v>
      </c>
      <c r="F83" s="22">
        <v>2393</v>
      </c>
      <c r="G83" s="22">
        <v>2740</v>
      </c>
      <c r="H83" s="22">
        <v>0</v>
      </c>
      <c r="I83" s="22">
        <v>2260</v>
      </c>
      <c r="J83" s="22">
        <v>0</v>
      </c>
      <c r="K83" s="22">
        <v>1485</v>
      </c>
      <c r="L83" s="10">
        <v>0</v>
      </c>
      <c r="M83" s="10">
        <v>1630</v>
      </c>
      <c r="N83" s="22">
        <v>1868</v>
      </c>
      <c r="O83" s="22">
        <v>620</v>
      </c>
      <c r="P83" s="22">
        <v>0</v>
      </c>
      <c r="Q83" s="22">
        <v>0</v>
      </c>
      <c r="R83" s="22">
        <v>833</v>
      </c>
      <c r="S83" s="22">
        <v>1505</v>
      </c>
      <c r="T83" s="22">
        <v>1695</v>
      </c>
      <c r="U83" s="10">
        <v>0</v>
      </c>
      <c r="V83" s="22">
        <v>2401</v>
      </c>
      <c r="W83" s="22">
        <v>0</v>
      </c>
      <c r="X83" s="22">
        <v>0</v>
      </c>
      <c r="Y83" s="22">
        <v>1995</v>
      </c>
      <c r="Z83" s="22">
        <v>0</v>
      </c>
      <c r="AA83" s="22">
        <v>0</v>
      </c>
      <c r="AB83" s="22">
        <v>0</v>
      </c>
      <c r="AC83" s="22">
        <v>1405</v>
      </c>
      <c r="AD83" s="22">
        <v>2045</v>
      </c>
      <c r="AE83" s="22">
        <v>1395</v>
      </c>
      <c r="AF83" s="3">
        <v>785</v>
      </c>
      <c r="AG83" s="22">
        <v>1829</v>
      </c>
      <c r="AH83" s="87">
        <v>0</v>
      </c>
      <c r="AI83" s="87"/>
      <c r="AJ83" s="88">
        <f>SUM(E83:AI83)</f>
        <v>30132</v>
      </c>
      <c r="AK83" s="92">
        <v>30132</v>
      </c>
      <c r="AL83" s="24">
        <f t="shared" si="49"/>
        <v>0</v>
      </c>
      <c r="AM83" t="e">
        <f>AL87/SUM(AL83:AL87)</f>
        <v>#DIV/0!</v>
      </c>
      <c r="AN83" s="90">
        <f>(AJ83+AJ88)/$AJ$87</f>
        <v>5.3676367114786162E-2</v>
      </c>
      <c r="AO83" s="90"/>
    </row>
    <row r="84" spans="2:41" x14ac:dyDescent="0.3">
      <c r="B84" s="81" t="s">
        <v>93</v>
      </c>
      <c r="C84" s="10"/>
      <c r="D84" s="10"/>
      <c r="E84" s="22">
        <v>8160</v>
      </c>
      <c r="F84" s="22">
        <v>6491</v>
      </c>
      <c r="G84" s="22">
        <v>9918</v>
      </c>
      <c r="H84" s="22">
        <v>7745</v>
      </c>
      <c r="I84" s="22">
        <v>4132</v>
      </c>
      <c r="J84" s="22">
        <v>7161</v>
      </c>
      <c r="K84" s="22">
        <v>8027</v>
      </c>
      <c r="L84" s="22">
        <v>8844</v>
      </c>
      <c r="M84" s="10">
        <v>7326</v>
      </c>
      <c r="N84" s="22">
        <v>8667</v>
      </c>
      <c r="O84" s="22">
        <v>7680</v>
      </c>
      <c r="P84" s="22">
        <v>9443</v>
      </c>
      <c r="Q84" s="22">
        <v>7405</v>
      </c>
      <c r="R84" s="22">
        <v>7499</v>
      </c>
      <c r="S84" s="22">
        <v>7931</v>
      </c>
      <c r="T84" s="22">
        <v>7610</v>
      </c>
      <c r="U84" s="10">
        <v>9106</v>
      </c>
      <c r="V84" s="22">
        <v>7320</v>
      </c>
      <c r="W84" s="22">
        <v>6391</v>
      </c>
      <c r="X84" s="22">
        <v>9116</v>
      </c>
      <c r="Y84" s="22">
        <v>7320</v>
      </c>
      <c r="Z84" s="22">
        <v>10770</v>
      </c>
      <c r="AA84" s="22">
        <v>7515</v>
      </c>
      <c r="AB84" s="22">
        <v>7370</v>
      </c>
      <c r="AC84" s="22">
        <v>6760</v>
      </c>
      <c r="AD84" s="22">
        <v>7105</v>
      </c>
      <c r="AE84" s="22">
        <v>7110</v>
      </c>
      <c r="AF84" s="22">
        <v>7170</v>
      </c>
      <c r="AG84" s="22">
        <v>0</v>
      </c>
      <c r="AH84" s="87">
        <v>11537</v>
      </c>
      <c r="AI84" s="87"/>
      <c r="AJ84" s="88">
        <f t="shared" si="48"/>
        <v>228629</v>
      </c>
      <c r="AK84" s="89">
        <v>228629</v>
      </c>
      <c r="AL84" s="24">
        <f t="shared" si="49"/>
        <v>0</v>
      </c>
      <c r="AN84" s="90">
        <f>(AJ83+AJ86)/$AJ$87</f>
        <v>0.16057308468549991</v>
      </c>
    </row>
    <row r="85" spans="2:41" x14ac:dyDescent="0.3">
      <c r="B85" s="81" t="s">
        <v>94</v>
      </c>
      <c r="C85" s="10"/>
      <c r="D85" s="10"/>
      <c r="E85" s="22">
        <v>2371</v>
      </c>
      <c r="F85" s="22">
        <v>1950</v>
      </c>
      <c r="G85" s="22">
        <v>0</v>
      </c>
      <c r="H85" s="22">
        <v>0</v>
      </c>
      <c r="I85" s="22">
        <v>3315</v>
      </c>
      <c r="J85" s="22">
        <v>3380</v>
      </c>
      <c r="K85" s="22">
        <v>3991</v>
      </c>
      <c r="L85" s="22">
        <v>4114</v>
      </c>
      <c r="M85" s="10">
        <v>4696</v>
      </c>
      <c r="N85" s="22">
        <v>1321</v>
      </c>
      <c r="O85" s="22">
        <v>3973</v>
      </c>
      <c r="P85" s="22">
        <v>1025</v>
      </c>
      <c r="Q85" s="22">
        <v>3665</v>
      </c>
      <c r="R85" s="22">
        <v>5280</v>
      </c>
      <c r="S85" s="22">
        <v>0</v>
      </c>
      <c r="T85" s="22">
        <v>1892</v>
      </c>
      <c r="U85" s="10">
        <v>2910</v>
      </c>
      <c r="V85" s="22">
        <v>3635</v>
      </c>
      <c r="W85" s="22">
        <v>3941</v>
      </c>
      <c r="X85" s="22">
        <v>0</v>
      </c>
      <c r="Y85" s="22">
        <v>4325</v>
      </c>
      <c r="Z85" s="22">
        <v>2054</v>
      </c>
      <c r="AA85" s="22">
        <v>1191</v>
      </c>
      <c r="AB85" s="22">
        <v>7210</v>
      </c>
      <c r="AC85" s="22">
        <v>3650</v>
      </c>
      <c r="AD85" s="22">
        <v>0</v>
      </c>
      <c r="AE85" s="22">
        <v>3311</v>
      </c>
      <c r="AF85" s="22">
        <v>2132</v>
      </c>
      <c r="AG85" s="22">
        <v>7221</v>
      </c>
      <c r="AH85" s="87">
        <v>3205</v>
      </c>
      <c r="AI85" s="87"/>
      <c r="AJ85" s="88">
        <f t="shared" si="48"/>
        <v>85758</v>
      </c>
      <c r="AK85" s="89">
        <v>85758</v>
      </c>
      <c r="AL85" s="24">
        <f t="shared" si="49"/>
        <v>0</v>
      </c>
      <c r="AN85" s="90">
        <f>(AL83+AL86)/AJ87</f>
        <v>0</v>
      </c>
    </row>
    <row r="86" spans="2:41" x14ac:dyDescent="0.3">
      <c r="B86" s="81" t="s">
        <v>95</v>
      </c>
      <c r="C86" s="10"/>
      <c r="D86" s="10"/>
      <c r="E86" s="22">
        <v>3147</v>
      </c>
      <c r="F86" s="22">
        <v>3505</v>
      </c>
      <c r="G86" s="22">
        <v>0</v>
      </c>
      <c r="H86" s="22">
        <v>0</v>
      </c>
      <c r="I86" s="22">
        <v>770</v>
      </c>
      <c r="J86" s="22">
        <v>2150</v>
      </c>
      <c r="K86" s="22">
        <v>1336</v>
      </c>
      <c r="L86" s="22">
        <v>1478</v>
      </c>
      <c r="M86" s="10">
        <v>2005</v>
      </c>
      <c r="N86" s="22">
        <v>2614</v>
      </c>
      <c r="O86" s="22">
        <v>2636</v>
      </c>
      <c r="P86" s="22">
        <v>1800</v>
      </c>
      <c r="Q86" s="22">
        <v>2250</v>
      </c>
      <c r="R86" s="22">
        <v>0</v>
      </c>
      <c r="S86" s="22">
        <v>3080</v>
      </c>
      <c r="T86" s="22">
        <v>3632</v>
      </c>
      <c r="U86" s="10">
        <v>2000</v>
      </c>
      <c r="V86" s="22">
        <v>2170</v>
      </c>
      <c r="W86" s="22">
        <v>0</v>
      </c>
      <c r="X86" s="22">
        <v>3298</v>
      </c>
      <c r="Y86" s="22">
        <v>1460</v>
      </c>
      <c r="Z86" s="22">
        <v>0</v>
      </c>
      <c r="AA86" s="22">
        <v>4350</v>
      </c>
      <c r="AB86" s="22">
        <v>0</v>
      </c>
      <c r="AC86" s="22">
        <v>2930</v>
      </c>
      <c r="AD86" s="22">
        <v>2510</v>
      </c>
      <c r="AE86" s="22">
        <v>2265</v>
      </c>
      <c r="AF86" s="22">
        <v>4030</v>
      </c>
      <c r="AG86" s="22">
        <v>4595</v>
      </c>
      <c r="AH86" s="87">
        <v>0</v>
      </c>
      <c r="AI86" s="87"/>
      <c r="AJ86" s="88">
        <f t="shared" si="48"/>
        <v>60011</v>
      </c>
      <c r="AK86" s="89">
        <v>60011</v>
      </c>
      <c r="AL86" s="24">
        <f>AJ86-AK86</f>
        <v>0</v>
      </c>
      <c r="AN86" s="90"/>
      <c r="AO86" s="90"/>
    </row>
    <row r="87" spans="2:41" x14ac:dyDescent="0.3">
      <c r="B87" s="93" t="s">
        <v>96</v>
      </c>
      <c r="C87" s="94"/>
      <c r="D87" s="94"/>
      <c r="E87" s="95">
        <f>SUM(E79:E86)</f>
        <v>18002</v>
      </c>
      <c r="F87" s="95">
        <f t="shared" ref="F87:AH87" si="50">SUM(F79:F86)</f>
        <v>16854</v>
      </c>
      <c r="G87" s="95">
        <f t="shared" si="50"/>
        <v>16313</v>
      </c>
      <c r="H87" s="95">
        <f t="shared" si="50"/>
        <v>16536</v>
      </c>
      <c r="I87" s="95">
        <f t="shared" si="50"/>
        <v>13737</v>
      </c>
      <c r="J87" s="95">
        <f t="shared" si="50"/>
        <v>19596</v>
      </c>
      <c r="K87" s="95">
        <f>SUM(K79:K86)</f>
        <v>19784</v>
      </c>
      <c r="L87" s="95">
        <f t="shared" si="50"/>
        <v>23014</v>
      </c>
      <c r="M87" s="95">
        <f t="shared" si="50"/>
        <v>18557</v>
      </c>
      <c r="N87" s="95">
        <f t="shared" si="50"/>
        <v>19412</v>
      </c>
      <c r="O87" s="95">
        <f t="shared" si="50"/>
        <v>20129</v>
      </c>
      <c r="P87" s="95">
        <f t="shared" si="50"/>
        <v>20103</v>
      </c>
      <c r="Q87" s="95">
        <f t="shared" si="50"/>
        <v>16365</v>
      </c>
      <c r="R87" s="95">
        <f t="shared" si="50"/>
        <v>18747</v>
      </c>
      <c r="S87" s="95">
        <f t="shared" si="50"/>
        <v>19754</v>
      </c>
      <c r="T87" s="95">
        <f t="shared" si="50"/>
        <v>20039</v>
      </c>
      <c r="U87" s="95">
        <f t="shared" si="50"/>
        <v>20713</v>
      </c>
      <c r="V87" s="95">
        <f t="shared" si="50"/>
        <v>20837</v>
      </c>
      <c r="W87" s="95">
        <f t="shared" si="50"/>
        <v>16285</v>
      </c>
      <c r="X87" s="95">
        <f t="shared" si="50"/>
        <v>19634</v>
      </c>
      <c r="Y87" s="95">
        <f t="shared" si="50"/>
        <v>21120</v>
      </c>
      <c r="Z87" s="95">
        <f t="shared" si="50"/>
        <v>18395</v>
      </c>
      <c r="AA87" s="95">
        <f t="shared" si="50"/>
        <v>18911</v>
      </c>
      <c r="AB87" s="95">
        <f t="shared" si="50"/>
        <v>20792</v>
      </c>
      <c r="AC87" s="95">
        <f t="shared" si="50"/>
        <v>19090</v>
      </c>
      <c r="AD87" s="95">
        <f t="shared" si="50"/>
        <v>14225</v>
      </c>
      <c r="AE87" s="95">
        <f t="shared" si="50"/>
        <v>17401</v>
      </c>
      <c r="AF87" s="95">
        <f t="shared" si="50"/>
        <v>19663</v>
      </c>
      <c r="AG87" s="95">
        <f t="shared" si="50"/>
        <v>17619</v>
      </c>
      <c r="AH87" s="95">
        <f t="shared" si="50"/>
        <v>19756</v>
      </c>
      <c r="AI87" s="95"/>
      <c r="AJ87" s="88">
        <f>SUM(E87:AI87)</f>
        <v>561383</v>
      </c>
      <c r="AK87" s="96"/>
      <c r="AL87" s="24"/>
    </row>
    <row r="88" spans="2:41" x14ac:dyDescent="0.3">
      <c r="E88" s="22" t="b">
        <f>IF(SUM(E3,E7,E39,E82)=E87, TRUE, FALSE)</f>
        <v>1</v>
      </c>
      <c r="F88" s="22" t="b">
        <f>IF(SUM(F3,F7,F39,F82)=F87, TRUE, FALSE)</f>
        <v>1</v>
      </c>
      <c r="G88" s="22" t="b">
        <f>IF(SUM(G3,G7,G39,G82)=G87, TRUE, FALSE)</f>
        <v>1</v>
      </c>
      <c r="H88" s="22" t="b">
        <f>IF(SUM(H3,H7,H39,H82)=H87, TRUE, FALSE)</f>
        <v>1</v>
      </c>
      <c r="I88" s="22" t="b">
        <f t="shared" ref="I88:R88" si="51">IF((I3+I7+I39+I82)=I87,TRUE,FALSE)</f>
        <v>1</v>
      </c>
      <c r="J88" s="22" t="b">
        <f t="shared" si="51"/>
        <v>1</v>
      </c>
      <c r="K88" s="22" t="b">
        <f t="shared" si="51"/>
        <v>1</v>
      </c>
      <c r="L88" s="22" t="b">
        <f t="shared" si="51"/>
        <v>1</v>
      </c>
      <c r="M88" s="10" t="b">
        <f t="shared" si="51"/>
        <v>1</v>
      </c>
      <c r="N88" s="22" t="b">
        <f t="shared" si="51"/>
        <v>1</v>
      </c>
      <c r="O88" s="22" t="b">
        <f t="shared" si="51"/>
        <v>1</v>
      </c>
      <c r="P88" s="22" t="b">
        <f t="shared" si="51"/>
        <v>1</v>
      </c>
      <c r="Q88" s="22" t="b">
        <f t="shared" si="51"/>
        <v>1</v>
      </c>
      <c r="R88" s="22" t="b">
        <f t="shared" si="51"/>
        <v>1</v>
      </c>
      <c r="S88" s="22" t="b">
        <v>1</v>
      </c>
      <c r="T88" s="22" t="b">
        <v>1</v>
      </c>
      <c r="U88" s="22" t="b">
        <v>1</v>
      </c>
      <c r="V88" s="22" t="b">
        <f t="shared" ref="V88:AH88" si="52">IF((V3+V7+V39+V82)=V87,TRUE,FALSE)</f>
        <v>1</v>
      </c>
      <c r="W88" s="22" t="b">
        <f t="shared" si="52"/>
        <v>1</v>
      </c>
      <c r="X88" s="22" t="b">
        <f t="shared" si="52"/>
        <v>1</v>
      </c>
      <c r="Y88" s="22" t="b">
        <f t="shared" si="52"/>
        <v>1</v>
      </c>
      <c r="Z88" s="22" t="b">
        <f t="shared" si="52"/>
        <v>1</v>
      </c>
      <c r="AA88" s="22" t="b">
        <f t="shared" si="52"/>
        <v>1</v>
      </c>
      <c r="AB88" s="22" t="b">
        <f t="shared" si="52"/>
        <v>1</v>
      </c>
      <c r="AC88" s="22" t="b">
        <f t="shared" si="52"/>
        <v>1</v>
      </c>
      <c r="AD88" s="22" t="b">
        <f t="shared" si="52"/>
        <v>1</v>
      </c>
      <c r="AE88" s="22" t="b">
        <f t="shared" si="52"/>
        <v>1</v>
      </c>
      <c r="AF88" s="22" t="b">
        <f t="shared" si="52"/>
        <v>1</v>
      </c>
      <c r="AG88" s="22" t="b">
        <f t="shared" si="52"/>
        <v>1</v>
      </c>
      <c r="AH88" s="22" t="b">
        <f t="shared" si="52"/>
        <v>1</v>
      </c>
      <c r="AI88" s="22"/>
      <c r="AJ88" s="22" t="b">
        <f>IF((AJ3+AJ7+AJ39+AJ82)=AJ87,TRUE,FALSE)</f>
        <v>1</v>
      </c>
      <c r="AK88" s="24"/>
      <c r="AL88" s="24"/>
    </row>
    <row r="89" spans="2:41" ht="15.6" x14ac:dyDescent="0.3">
      <c r="B89" s="97" t="s">
        <v>97</v>
      </c>
      <c r="E89" s="22"/>
      <c r="F89" s="22"/>
      <c r="G89" s="22"/>
      <c r="H89" s="22"/>
      <c r="I89" s="22"/>
      <c r="J89" s="22"/>
      <c r="K89" s="22"/>
      <c r="L89" s="22"/>
      <c r="M89" s="10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87"/>
      <c r="AI89" s="87"/>
      <c r="AJ89" s="22"/>
      <c r="AK89" s="24"/>
      <c r="AL89" s="24"/>
    </row>
    <row r="90" spans="2:41" x14ac:dyDescent="0.3">
      <c r="B90" s="81" t="s">
        <v>372</v>
      </c>
      <c r="C90" s="10"/>
      <c r="D90" s="10"/>
      <c r="E90" s="22">
        <v>357</v>
      </c>
      <c r="F90" s="22">
        <v>0</v>
      </c>
      <c r="G90" s="22">
        <v>503</v>
      </c>
      <c r="H90" s="22">
        <v>584</v>
      </c>
      <c r="I90" s="22">
        <v>0</v>
      </c>
      <c r="J90" s="22">
        <v>554</v>
      </c>
      <c r="K90" s="22">
        <v>1719</v>
      </c>
      <c r="L90" s="22">
        <v>0</v>
      </c>
      <c r="M90" s="10">
        <v>987</v>
      </c>
      <c r="N90" s="22">
        <v>938</v>
      </c>
      <c r="O90" s="23">
        <v>0</v>
      </c>
      <c r="P90" s="22">
        <v>891</v>
      </c>
      <c r="Q90" s="22">
        <v>626</v>
      </c>
      <c r="R90" s="22">
        <v>635</v>
      </c>
      <c r="S90" s="22">
        <v>0</v>
      </c>
      <c r="T90" s="22">
        <v>718</v>
      </c>
      <c r="U90" s="10">
        <v>654</v>
      </c>
      <c r="V90" s="22">
        <v>0</v>
      </c>
      <c r="W90" s="22">
        <v>503</v>
      </c>
      <c r="X90" s="22">
        <v>357</v>
      </c>
      <c r="Y90" s="22">
        <v>1381</v>
      </c>
      <c r="Z90" s="22">
        <v>906</v>
      </c>
      <c r="AA90" s="22">
        <v>0</v>
      </c>
      <c r="AB90" s="22">
        <v>0</v>
      </c>
      <c r="AC90" s="22">
        <v>1479</v>
      </c>
      <c r="AD90" s="22">
        <v>0</v>
      </c>
      <c r="AE90" s="22">
        <v>0</v>
      </c>
      <c r="AF90" s="22">
        <v>831</v>
      </c>
      <c r="AG90" s="22">
        <v>0</v>
      </c>
      <c r="AH90" s="87">
        <v>819</v>
      </c>
      <c r="AI90" s="87"/>
      <c r="AJ90" s="88">
        <f t="shared" ref="AJ90:AJ97" si="53">SUM(E90:AI90)</f>
        <v>15442</v>
      </c>
      <c r="AK90" s="89">
        <v>15442</v>
      </c>
      <c r="AL90" s="24">
        <f t="shared" ref="AL90:AL97" si="54">AJ90-AK90</f>
        <v>0</v>
      </c>
      <c r="AN90" s="90"/>
      <c r="AO90" s="54"/>
    </row>
    <row r="91" spans="2:41" x14ac:dyDescent="0.3">
      <c r="B91" s="81" t="s">
        <v>373</v>
      </c>
      <c r="C91" s="10"/>
      <c r="D91" s="10"/>
      <c r="E91" s="22">
        <v>692</v>
      </c>
      <c r="F91" s="22">
        <v>860</v>
      </c>
      <c r="G91" s="22">
        <v>740</v>
      </c>
      <c r="H91" s="22">
        <v>1089</v>
      </c>
      <c r="I91" s="22">
        <v>645</v>
      </c>
      <c r="J91" s="22">
        <v>1076</v>
      </c>
      <c r="K91" s="22">
        <v>0</v>
      </c>
      <c r="L91" s="22">
        <v>1549</v>
      </c>
      <c r="M91" s="10">
        <v>0</v>
      </c>
      <c r="N91" s="22">
        <v>363</v>
      </c>
      <c r="O91" s="22">
        <v>1276</v>
      </c>
      <c r="P91" s="22">
        <v>905</v>
      </c>
      <c r="Q91" s="22">
        <v>410</v>
      </c>
      <c r="R91" s="22">
        <v>1151</v>
      </c>
      <c r="S91" s="22">
        <v>822</v>
      </c>
      <c r="T91" s="22">
        <v>1056</v>
      </c>
      <c r="U91" s="10">
        <v>815</v>
      </c>
      <c r="V91" s="22">
        <v>196</v>
      </c>
      <c r="W91" s="22">
        <v>1528</v>
      </c>
      <c r="X91" s="22">
        <v>1368</v>
      </c>
      <c r="Y91" s="22">
        <v>0</v>
      </c>
      <c r="Z91" s="22">
        <v>0</v>
      </c>
      <c r="AA91" s="22">
        <v>716</v>
      </c>
      <c r="AB91" s="22">
        <v>1812</v>
      </c>
      <c r="AC91" s="22">
        <v>0</v>
      </c>
      <c r="AD91" s="22">
        <v>0</v>
      </c>
      <c r="AE91" s="22">
        <v>1146</v>
      </c>
      <c r="AF91" s="22">
        <v>0</v>
      </c>
      <c r="AG91" s="22">
        <v>644</v>
      </c>
      <c r="AH91" s="87">
        <v>893</v>
      </c>
      <c r="AI91" s="87"/>
      <c r="AJ91" s="88">
        <f t="shared" si="53"/>
        <v>21752</v>
      </c>
      <c r="AK91" s="89">
        <v>21752</v>
      </c>
      <c r="AL91" s="24">
        <f t="shared" si="54"/>
        <v>0</v>
      </c>
      <c r="AN91" s="90"/>
      <c r="AO91" s="54"/>
    </row>
    <row r="92" spans="2:41" x14ac:dyDescent="0.3">
      <c r="B92" s="81" t="s">
        <v>374</v>
      </c>
      <c r="C92" s="10"/>
      <c r="D92" s="10"/>
      <c r="E92" s="22">
        <v>0</v>
      </c>
      <c r="F92" s="22">
        <v>0</v>
      </c>
      <c r="G92" s="22">
        <v>0</v>
      </c>
      <c r="H92" s="22">
        <v>0</v>
      </c>
      <c r="I92" s="22">
        <v>388</v>
      </c>
      <c r="J92" s="22">
        <v>586</v>
      </c>
      <c r="K92" s="22">
        <v>0</v>
      </c>
      <c r="L92" s="22">
        <v>531</v>
      </c>
      <c r="M92" s="10">
        <v>0</v>
      </c>
      <c r="N92" s="22">
        <v>0</v>
      </c>
      <c r="O92" s="22">
        <v>398</v>
      </c>
      <c r="P92" s="22">
        <v>0</v>
      </c>
      <c r="Q92" s="22">
        <v>0</v>
      </c>
      <c r="R92" s="22">
        <v>0</v>
      </c>
      <c r="S92" s="22">
        <v>624</v>
      </c>
      <c r="T92" s="22">
        <v>0</v>
      </c>
      <c r="U92" s="10">
        <v>0</v>
      </c>
      <c r="V92" s="22">
        <v>877</v>
      </c>
      <c r="W92" s="22">
        <v>0</v>
      </c>
      <c r="X92" s="22">
        <v>0</v>
      </c>
      <c r="Y92" s="22">
        <v>541</v>
      </c>
      <c r="Z92" s="22">
        <v>535</v>
      </c>
      <c r="AA92" s="22">
        <v>0</v>
      </c>
      <c r="AB92" s="22">
        <v>205</v>
      </c>
      <c r="AC92" s="22">
        <v>0</v>
      </c>
      <c r="AD92" s="22">
        <v>0</v>
      </c>
      <c r="AE92" s="22">
        <v>0</v>
      </c>
      <c r="AF92" s="22">
        <v>0</v>
      </c>
      <c r="AG92" s="22">
        <v>586</v>
      </c>
      <c r="AH92" s="87">
        <v>0</v>
      </c>
      <c r="AI92" s="87"/>
      <c r="AJ92" s="88">
        <f t="shared" si="53"/>
        <v>5271</v>
      </c>
      <c r="AK92" s="89">
        <v>5271</v>
      </c>
      <c r="AL92" s="24">
        <f t="shared" si="54"/>
        <v>0</v>
      </c>
      <c r="AN92" s="90"/>
      <c r="AO92" s="54"/>
    </row>
    <row r="93" spans="2:41" x14ac:dyDescent="0.3">
      <c r="B93" s="81" t="s">
        <v>375</v>
      </c>
      <c r="C93" s="10"/>
      <c r="D93" s="10"/>
      <c r="E93" s="22">
        <v>0</v>
      </c>
      <c r="F93" s="22">
        <v>0</v>
      </c>
      <c r="G93" s="22">
        <v>0</v>
      </c>
      <c r="H93" s="22">
        <v>1164</v>
      </c>
      <c r="I93" s="22">
        <v>0</v>
      </c>
      <c r="J93" s="22">
        <v>0</v>
      </c>
      <c r="K93" s="22">
        <v>0</v>
      </c>
      <c r="L93" s="22">
        <v>644</v>
      </c>
      <c r="M93" s="10">
        <v>0</v>
      </c>
      <c r="N93" s="22">
        <v>337</v>
      </c>
      <c r="O93" s="22">
        <v>0</v>
      </c>
      <c r="P93" s="22">
        <v>791</v>
      </c>
      <c r="Q93" s="22">
        <v>0</v>
      </c>
      <c r="R93" s="22">
        <v>0</v>
      </c>
      <c r="S93" s="22">
        <v>784</v>
      </c>
      <c r="T93" s="22">
        <v>0</v>
      </c>
      <c r="U93" s="10">
        <v>677</v>
      </c>
      <c r="V93" s="22">
        <v>486</v>
      </c>
      <c r="W93" s="22">
        <v>0</v>
      </c>
      <c r="X93" s="22">
        <v>655</v>
      </c>
      <c r="Y93" s="22">
        <v>0</v>
      </c>
      <c r="Z93" s="22">
        <v>323</v>
      </c>
      <c r="AA93" s="22">
        <v>1129</v>
      </c>
      <c r="AB93" s="22">
        <v>0</v>
      </c>
      <c r="AC93" s="22">
        <v>0</v>
      </c>
      <c r="AD93" s="22">
        <v>792</v>
      </c>
      <c r="AE93" s="22">
        <v>0</v>
      </c>
      <c r="AF93" s="22">
        <v>937</v>
      </c>
      <c r="AG93" s="22">
        <v>0</v>
      </c>
      <c r="AH93" s="22">
        <v>0</v>
      </c>
      <c r="AI93" s="22"/>
      <c r="AJ93" s="88">
        <f t="shared" si="53"/>
        <v>8719</v>
      </c>
      <c r="AK93" s="89">
        <v>8719</v>
      </c>
      <c r="AL93" s="24">
        <f t="shared" si="54"/>
        <v>0</v>
      </c>
      <c r="AN93" s="90"/>
      <c r="AO93" s="54"/>
    </row>
    <row r="94" spans="2:41" x14ac:dyDescent="0.3">
      <c r="B94" s="81" t="s">
        <v>376</v>
      </c>
      <c r="C94" s="10"/>
      <c r="D94" s="10"/>
      <c r="E94" s="22">
        <v>2777</v>
      </c>
      <c r="F94" s="22">
        <v>2178</v>
      </c>
      <c r="G94" s="22">
        <v>3092</v>
      </c>
      <c r="H94" s="22">
        <v>2606</v>
      </c>
      <c r="I94" s="22">
        <v>1283</v>
      </c>
      <c r="J94" s="22">
        <v>2256</v>
      </c>
      <c r="K94" s="22">
        <v>2693</v>
      </c>
      <c r="L94" s="22">
        <v>2793</v>
      </c>
      <c r="M94" s="10">
        <v>2404</v>
      </c>
      <c r="N94" s="22">
        <v>2864</v>
      </c>
      <c r="O94" s="22">
        <v>2538</v>
      </c>
      <c r="P94" s="22">
        <v>3213</v>
      </c>
      <c r="Q94" s="22">
        <v>2445</v>
      </c>
      <c r="R94" s="22">
        <v>2513</v>
      </c>
      <c r="S94" s="22">
        <v>2611</v>
      </c>
      <c r="T94" s="22">
        <v>2491</v>
      </c>
      <c r="U94" s="10">
        <v>2889</v>
      </c>
      <c r="V94" s="22">
        <v>2495</v>
      </c>
      <c r="W94" s="22">
        <v>2050</v>
      </c>
      <c r="X94" s="22">
        <v>3074</v>
      </c>
      <c r="Y94" s="22">
        <v>2390</v>
      </c>
      <c r="Z94" s="22">
        <v>3693</v>
      </c>
      <c r="AA94" s="22">
        <v>2330</v>
      </c>
      <c r="AB94" s="22">
        <v>2333</v>
      </c>
      <c r="AC94" s="22">
        <v>2174</v>
      </c>
      <c r="AD94" s="22">
        <v>2385</v>
      </c>
      <c r="AE94" s="22">
        <v>2458</v>
      </c>
      <c r="AF94" s="22">
        <v>2440</v>
      </c>
      <c r="AG94" s="22">
        <v>0</v>
      </c>
      <c r="AH94" s="87">
        <v>3936</v>
      </c>
      <c r="AI94" s="87"/>
      <c r="AJ94" s="88">
        <f t="shared" si="53"/>
        <v>75404</v>
      </c>
      <c r="AK94" s="89">
        <v>75404</v>
      </c>
      <c r="AL94" s="24">
        <f t="shared" si="54"/>
        <v>0</v>
      </c>
      <c r="AN94" s="90"/>
      <c r="AO94" s="54"/>
    </row>
    <row r="95" spans="2:41" x14ac:dyDescent="0.3">
      <c r="B95" s="81" t="s">
        <v>377</v>
      </c>
      <c r="C95" s="10"/>
      <c r="D95" s="10"/>
      <c r="E95" s="22">
        <v>806</v>
      </c>
      <c r="F95" s="22">
        <v>654</v>
      </c>
      <c r="G95" s="22">
        <v>0</v>
      </c>
      <c r="H95" s="22">
        <v>0</v>
      </c>
      <c r="I95" s="22">
        <v>1029</v>
      </c>
      <c r="J95" s="22">
        <v>1065</v>
      </c>
      <c r="K95" s="22">
        <v>1339</v>
      </c>
      <c r="L95" s="22">
        <v>1298</v>
      </c>
      <c r="M95" s="10">
        <v>1541</v>
      </c>
      <c r="N95" s="22">
        <v>436</v>
      </c>
      <c r="O95" s="22">
        <v>1313</v>
      </c>
      <c r="P95" s="22">
        <v>349</v>
      </c>
      <c r="Q95" s="22">
        <v>1210</v>
      </c>
      <c r="R95" s="22">
        <v>1769</v>
      </c>
      <c r="S95" s="22">
        <v>0</v>
      </c>
      <c r="T95" s="22">
        <v>619</v>
      </c>
      <c r="U95" s="10">
        <v>923</v>
      </c>
      <c r="V95" s="22">
        <v>1239</v>
      </c>
      <c r="W95" s="22">
        <v>1264</v>
      </c>
      <c r="X95" s="22">
        <v>0</v>
      </c>
      <c r="Y95" s="22">
        <v>1412</v>
      </c>
      <c r="Z95" s="22">
        <v>703</v>
      </c>
      <c r="AA95" s="22">
        <v>369</v>
      </c>
      <c r="AB95" s="22">
        <v>2282</v>
      </c>
      <c r="AC95" s="22">
        <v>1174</v>
      </c>
      <c r="AD95" s="22">
        <v>0</v>
      </c>
      <c r="AE95" s="22">
        <v>1145</v>
      </c>
      <c r="AF95" s="22">
        <v>726</v>
      </c>
      <c r="AG95" s="22">
        <v>2457</v>
      </c>
      <c r="AH95" s="87">
        <v>1094</v>
      </c>
      <c r="AI95" s="87"/>
      <c r="AJ95" s="88">
        <f t="shared" si="53"/>
        <v>28216</v>
      </c>
      <c r="AK95" s="89">
        <v>28216</v>
      </c>
      <c r="AL95" s="24">
        <f t="shared" si="54"/>
        <v>0</v>
      </c>
      <c r="AN95" s="90"/>
      <c r="AO95" s="54"/>
    </row>
    <row r="96" spans="2:41" s="19" customFormat="1" x14ac:dyDescent="0.3">
      <c r="B96" s="44" t="s">
        <v>98</v>
      </c>
      <c r="C96" s="15"/>
      <c r="D96" s="15"/>
      <c r="E96" s="88">
        <v>61</v>
      </c>
      <c r="F96" s="88">
        <v>117</v>
      </c>
      <c r="G96" s="88">
        <v>134</v>
      </c>
      <c r="H96" s="88">
        <v>0</v>
      </c>
      <c r="I96" s="88">
        <v>111</v>
      </c>
      <c r="J96" s="88">
        <v>0</v>
      </c>
      <c r="K96" s="88">
        <v>73</v>
      </c>
      <c r="L96" s="88">
        <v>0</v>
      </c>
      <c r="M96" s="15">
        <v>80</v>
      </c>
      <c r="N96" s="88">
        <v>92</v>
      </c>
      <c r="O96" s="88">
        <v>30</v>
      </c>
      <c r="P96" s="88">
        <v>0</v>
      </c>
      <c r="Q96" s="88">
        <v>0</v>
      </c>
      <c r="R96" s="88">
        <v>41</v>
      </c>
      <c r="S96" s="88">
        <v>74</v>
      </c>
      <c r="T96" s="88">
        <v>83</v>
      </c>
      <c r="U96" s="15">
        <v>0</v>
      </c>
      <c r="V96" s="88">
        <v>118</v>
      </c>
      <c r="W96" s="88">
        <v>0</v>
      </c>
      <c r="X96" s="88">
        <v>0</v>
      </c>
      <c r="Y96" s="88">
        <v>98</v>
      </c>
      <c r="Z96" s="88">
        <v>0</v>
      </c>
      <c r="AA96" s="88">
        <v>0</v>
      </c>
      <c r="AB96" s="88">
        <v>0</v>
      </c>
      <c r="AC96" s="88">
        <v>69</v>
      </c>
      <c r="AD96" s="88">
        <v>100</v>
      </c>
      <c r="AE96" s="88">
        <v>68</v>
      </c>
      <c r="AF96" s="88">
        <v>38</v>
      </c>
      <c r="AG96" s="88">
        <v>90</v>
      </c>
      <c r="AH96" s="98">
        <v>0</v>
      </c>
      <c r="AI96" s="98"/>
      <c r="AJ96" s="88">
        <f t="shared" si="53"/>
        <v>1477</v>
      </c>
      <c r="AK96" s="92">
        <v>1477</v>
      </c>
      <c r="AL96" s="44">
        <f t="shared" si="54"/>
        <v>0</v>
      </c>
      <c r="AN96" s="99"/>
      <c r="AO96" s="100"/>
    </row>
    <row r="97" spans="1:41" s="19" customFormat="1" x14ac:dyDescent="0.3">
      <c r="B97" s="44" t="s">
        <v>99</v>
      </c>
      <c r="C97" s="15"/>
      <c r="D97" s="15"/>
      <c r="E97" s="88">
        <v>154</v>
      </c>
      <c r="F97" s="88">
        <v>172</v>
      </c>
      <c r="G97" s="88">
        <v>0</v>
      </c>
      <c r="H97" s="88">
        <v>0</v>
      </c>
      <c r="I97" s="88">
        <v>38</v>
      </c>
      <c r="J97" s="88">
        <v>105</v>
      </c>
      <c r="K97" s="88">
        <v>65</v>
      </c>
      <c r="L97" s="88">
        <v>72</v>
      </c>
      <c r="M97" s="15">
        <v>98</v>
      </c>
      <c r="N97" s="88">
        <v>128</v>
      </c>
      <c r="O97" s="88">
        <v>129</v>
      </c>
      <c r="P97" s="88">
        <v>88</v>
      </c>
      <c r="Q97" s="88">
        <v>110</v>
      </c>
      <c r="R97" s="88">
        <v>0</v>
      </c>
      <c r="S97" s="88">
        <v>151</v>
      </c>
      <c r="T97" s="88">
        <v>178</v>
      </c>
      <c r="U97" s="15">
        <v>98</v>
      </c>
      <c r="V97" s="88">
        <v>106</v>
      </c>
      <c r="W97" s="88">
        <v>0</v>
      </c>
      <c r="X97" s="88">
        <v>162</v>
      </c>
      <c r="Y97" s="88">
        <v>72</v>
      </c>
      <c r="Z97" s="88">
        <v>0</v>
      </c>
      <c r="AA97" s="88">
        <v>0</v>
      </c>
      <c r="AB97" s="88">
        <v>0</v>
      </c>
      <c r="AC97" s="88">
        <v>144</v>
      </c>
      <c r="AD97" s="88">
        <v>123</v>
      </c>
      <c r="AE97" s="88">
        <v>111</v>
      </c>
      <c r="AF97" s="88">
        <v>197</v>
      </c>
      <c r="AG97" s="88">
        <v>225</v>
      </c>
      <c r="AH97" s="98">
        <v>0</v>
      </c>
      <c r="AI97" s="98"/>
      <c r="AJ97" s="88">
        <f t="shared" si="53"/>
        <v>2726</v>
      </c>
      <c r="AK97" s="92">
        <v>2726</v>
      </c>
      <c r="AL97" s="44">
        <f t="shared" si="54"/>
        <v>0</v>
      </c>
      <c r="AN97" s="99"/>
      <c r="AO97" s="100"/>
    </row>
    <row r="98" spans="1:41" x14ac:dyDescent="0.3">
      <c r="E98" s="3" t="b">
        <f t="shared" ref="E98:AH98" si="55">IF((SUM(E90:E95)=(E123+E124+E125+E126)), TRUE, FALSE)</f>
        <v>1</v>
      </c>
      <c r="F98" s="3" t="b">
        <f t="shared" si="55"/>
        <v>1</v>
      </c>
      <c r="G98" s="3" t="b">
        <f>IF((SUM(G90:G95)=(G123+G124+G125+G126)), TRUE, FALSE)</f>
        <v>1</v>
      </c>
      <c r="H98" s="3" t="b">
        <f t="shared" si="55"/>
        <v>1</v>
      </c>
      <c r="I98" s="3" t="b">
        <f>IF((SUM(I90:I95)=(I123+I124+I125+I126)), TRUE, FALSE)</f>
        <v>1</v>
      </c>
      <c r="J98" s="3" t="b">
        <f t="shared" si="55"/>
        <v>1</v>
      </c>
      <c r="K98" s="3" t="b">
        <f t="shared" si="55"/>
        <v>1</v>
      </c>
      <c r="L98" s="3" t="b">
        <f t="shared" si="55"/>
        <v>1</v>
      </c>
      <c r="M98" s="3" t="b">
        <f t="shared" si="55"/>
        <v>1</v>
      </c>
      <c r="N98" s="3" t="b">
        <f t="shared" si="55"/>
        <v>1</v>
      </c>
      <c r="O98" s="3" t="b">
        <f>IF((SUM(O90:O95)=(O123+O124+O125+O126)), TRUE, FALSE)</f>
        <v>1</v>
      </c>
      <c r="P98" s="3" t="b">
        <f>IF((SUM(P90:P95)=(P123+P124+P125+P126)), TRUE, FALSE)</f>
        <v>1</v>
      </c>
      <c r="Q98" s="3" t="b">
        <f>IF((SUM(Q90:Q95)=(Q123+Q124+Q125+Q126)), TRUE, FALSE)</f>
        <v>1</v>
      </c>
      <c r="R98" s="3" t="b">
        <f>IF((SUM(R90:R95)=(R123+R124+R125+R126)), TRUE, FALSE)</f>
        <v>1</v>
      </c>
      <c r="S98" s="3" t="b">
        <f>IF((SUM(S90:S95)=(S123+S124+S125+S126)), TRUE, FALSE)</f>
        <v>1</v>
      </c>
      <c r="T98" s="3" t="b">
        <f t="shared" si="55"/>
        <v>1</v>
      </c>
      <c r="U98" s="3" t="b">
        <f t="shared" si="55"/>
        <v>1</v>
      </c>
      <c r="V98" s="3" t="b">
        <f t="shared" si="55"/>
        <v>1</v>
      </c>
      <c r="W98" s="3" t="b">
        <f t="shared" si="55"/>
        <v>1</v>
      </c>
      <c r="X98" s="3" t="b">
        <f t="shared" si="55"/>
        <v>1</v>
      </c>
      <c r="Y98" s="3" t="b">
        <f t="shared" si="55"/>
        <v>1</v>
      </c>
      <c r="Z98" s="3" t="b">
        <f t="shared" si="55"/>
        <v>1</v>
      </c>
      <c r="AA98" s="3" t="b">
        <f t="shared" si="55"/>
        <v>1</v>
      </c>
      <c r="AB98" s="3" t="b">
        <f t="shared" si="55"/>
        <v>1</v>
      </c>
      <c r="AC98" s="3" t="b">
        <f t="shared" si="55"/>
        <v>1</v>
      </c>
      <c r="AD98" s="3" t="b">
        <f t="shared" si="55"/>
        <v>1</v>
      </c>
      <c r="AE98" s="3" t="b">
        <f t="shared" si="55"/>
        <v>1</v>
      </c>
      <c r="AF98" s="3" t="b">
        <f t="shared" si="55"/>
        <v>1</v>
      </c>
      <c r="AG98" s="3" t="b">
        <f t="shared" si="55"/>
        <v>1</v>
      </c>
      <c r="AH98" s="3" t="b">
        <f t="shared" si="55"/>
        <v>1</v>
      </c>
      <c r="AJ98" s="3" t="b">
        <f>IF((SUM(AJ90:AJ95)=(AJ123+AJ124+AJ125+AJ126)), TRUE, FALSE)</f>
        <v>1</v>
      </c>
    </row>
    <row r="99" spans="1:41" x14ac:dyDescent="0.3">
      <c r="A99" s="101" t="s">
        <v>100</v>
      </c>
      <c r="B99" s="102"/>
      <c r="C99" s="103"/>
      <c r="D99" s="103"/>
      <c r="E99" s="104"/>
      <c r="F99" s="104"/>
      <c r="G99" s="262">
        <f>G97/G87</f>
        <v>0</v>
      </c>
      <c r="H99" s="104"/>
      <c r="I99" s="104">
        <v>0</v>
      </c>
      <c r="J99" s="104"/>
      <c r="K99" s="104"/>
      <c r="L99" s="104"/>
      <c r="M99" s="103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2"/>
      <c r="AL99" s="102"/>
    </row>
    <row r="100" spans="1:41" x14ac:dyDescent="0.3">
      <c r="A100" s="24"/>
      <c r="B100" s="105" t="s">
        <v>378</v>
      </c>
      <c r="C100" s="106"/>
      <c r="D100" s="106"/>
      <c r="E100" s="107"/>
      <c r="F100" s="107"/>
      <c r="G100" s="107"/>
      <c r="H100" s="107"/>
      <c r="I100" s="107"/>
      <c r="J100" s="107"/>
      <c r="K100" s="107"/>
      <c r="L100" s="107"/>
      <c r="M100" s="107"/>
      <c r="N100" s="106"/>
      <c r="O100" s="106"/>
      <c r="P100" s="106"/>
      <c r="Q100" s="106"/>
      <c r="R100" s="106"/>
      <c r="S100" s="106"/>
      <c r="T100" s="106"/>
      <c r="U100" s="106"/>
      <c r="V100" s="107"/>
      <c r="W100" s="107"/>
      <c r="X100" s="107"/>
      <c r="Y100" s="107"/>
      <c r="Z100" s="107"/>
      <c r="AA100" s="107"/>
      <c r="AB100" s="107"/>
      <c r="AC100" s="107"/>
      <c r="AD100" s="107"/>
      <c r="AE100" s="107"/>
      <c r="AF100" s="107"/>
      <c r="AG100" s="107"/>
      <c r="AH100" s="107"/>
      <c r="AI100" s="107"/>
      <c r="AJ100" s="108">
        <f>SUM(E100:AH100)</f>
        <v>0</v>
      </c>
      <c r="AK100" s="109"/>
      <c r="AL100" s="109"/>
    </row>
    <row r="101" spans="1:41" x14ac:dyDescent="0.3">
      <c r="A101" s="24"/>
      <c r="B101" s="81" t="s">
        <v>379</v>
      </c>
      <c r="C101" s="10"/>
      <c r="D101" s="10"/>
      <c r="E101" s="10">
        <v>0</v>
      </c>
      <c r="F101" s="110">
        <v>56.48</v>
      </c>
      <c r="G101" s="110">
        <v>0</v>
      </c>
      <c r="H101" s="22">
        <v>0</v>
      </c>
      <c r="I101" s="22">
        <v>82.18</v>
      </c>
      <c r="J101" s="22">
        <v>0</v>
      </c>
      <c r="K101" s="22">
        <v>0</v>
      </c>
      <c r="L101" s="22">
        <v>0</v>
      </c>
      <c r="M101" s="22">
        <v>0</v>
      </c>
      <c r="N101" s="22">
        <v>0</v>
      </c>
      <c r="O101" s="22">
        <v>31.99</v>
      </c>
      <c r="P101" s="22">
        <v>0</v>
      </c>
      <c r="Q101" s="111">
        <v>33.01</v>
      </c>
      <c r="R101" s="10">
        <v>0</v>
      </c>
      <c r="S101" s="10">
        <v>0</v>
      </c>
      <c r="T101" s="10">
        <v>121.41</v>
      </c>
      <c r="U101" s="10">
        <v>0</v>
      </c>
      <c r="V101" s="10">
        <v>0</v>
      </c>
      <c r="W101" s="110">
        <v>39.630000000000003</v>
      </c>
      <c r="X101" s="10">
        <v>18.38</v>
      </c>
      <c r="Y101" s="10">
        <v>0</v>
      </c>
      <c r="Z101" s="10">
        <v>0</v>
      </c>
      <c r="AA101" s="112">
        <v>34.619999999999997</v>
      </c>
      <c r="AB101" s="10">
        <v>0</v>
      </c>
      <c r="AC101" s="10">
        <v>0</v>
      </c>
      <c r="AD101" s="10">
        <v>134.87</v>
      </c>
      <c r="AE101" s="10">
        <v>0</v>
      </c>
      <c r="AF101" s="22">
        <v>31.24</v>
      </c>
      <c r="AG101" s="22">
        <v>0</v>
      </c>
      <c r="AH101" s="22">
        <v>33.75</v>
      </c>
      <c r="AI101" s="22"/>
      <c r="AJ101" s="38">
        <f>SUM(E101:AI101)</f>
        <v>617.55999999999995</v>
      </c>
      <c r="AK101" s="24" t="s">
        <v>103</v>
      </c>
      <c r="AL101" s="113">
        <f>AJ101/COUNTIF(E101:AI101,"&gt;-1")</f>
        <v>20.585333333333331</v>
      </c>
    </row>
    <row r="102" spans="1:41" x14ac:dyDescent="0.3">
      <c r="A102" s="24"/>
      <c r="B102" s="81" t="s">
        <v>380</v>
      </c>
      <c r="C102" s="10"/>
      <c r="D102" s="10"/>
      <c r="E102" s="22">
        <v>0</v>
      </c>
      <c r="F102" s="22">
        <v>962</v>
      </c>
      <c r="G102" s="22">
        <v>0</v>
      </c>
      <c r="H102" s="22">
        <v>0</v>
      </c>
      <c r="I102" s="22">
        <v>282</v>
      </c>
      <c r="J102" s="22">
        <v>0</v>
      </c>
      <c r="K102" s="22">
        <v>0</v>
      </c>
      <c r="L102" s="22">
        <v>0</v>
      </c>
      <c r="M102" s="22">
        <v>0</v>
      </c>
      <c r="N102" s="22">
        <v>0</v>
      </c>
      <c r="O102" s="22">
        <v>692</v>
      </c>
      <c r="P102" s="22">
        <v>0</v>
      </c>
      <c r="Q102" s="10">
        <v>580</v>
      </c>
      <c r="R102" s="22">
        <v>0</v>
      </c>
      <c r="S102" s="22">
        <v>0</v>
      </c>
      <c r="T102" s="22">
        <v>245</v>
      </c>
      <c r="U102" s="22">
        <v>0</v>
      </c>
      <c r="V102" s="22">
        <v>0</v>
      </c>
      <c r="W102" s="114">
        <v>333</v>
      </c>
      <c r="X102" s="22">
        <v>262</v>
      </c>
      <c r="Y102" s="22">
        <v>0</v>
      </c>
      <c r="Z102" s="22">
        <v>0</v>
      </c>
      <c r="AA102" s="115">
        <v>377</v>
      </c>
      <c r="AB102" s="22">
        <v>0</v>
      </c>
      <c r="AC102" s="22">
        <v>0</v>
      </c>
      <c r="AD102" s="22">
        <v>1075</v>
      </c>
      <c r="AE102" s="22">
        <v>0</v>
      </c>
      <c r="AF102" s="22">
        <v>118</v>
      </c>
      <c r="AG102" s="22">
        <v>0</v>
      </c>
      <c r="AH102" s="22">
        <v>1428</v>
      </c>
      <c r="AI102" s="22"/>
      <c r="AJ102" s="38">
        <f>SUMPRODUCT(E102:AH102,E101:AH101)/AJ101</f>
        <v>609.60475095537288</v>
      </c>
      <c r="AK102" s="24"/>
      <c r="AL102" s="24"/>
    </row>
    <row r="103" spans="1:41" x14ac:dyDescent="0.3">
      <c r="A103" s="116" t="s">
        <v>105</v>
      </c>
      <c r="R103"/>
      <c r="S103"/>
      <c r="T103"/>
      <c r="U103"/>
      <c r="AJ103" s="117"/>
      <c r="AM103" s="324">
        <f>AL101+AL105</f>
        <v>39.865666666666662</v>
      </c>
      <c r="AN103" s="83"/>
      <c r="AO103" s="83"/>
    </row>
    <row r="104" spans="1:41" x14ac:dyDescent="0.3">
      <c r="A104" s="24"/>
      <c r="B104" s="81" t="s">
        <v>381</v>
      </c>
      <c r="C104" s="10"/>
      <c r="D104" s="10"/>
      <c r="E104" s="22"/>
      <c r="F104" s="22"/>
      <c r="G104" s="22"/>
      <c r="H104" s="22"/>
      <c r="I104" s="22"/>
      <c r="J104" s="22"/>
      <c r="K104" s="22"/>
      <c r="L104" s="22"/>
      <c r="M104" s="22"/>
      <c r="N104" s="10"/>
      <c r="O104" s="10"/>
      <c r="P104" s="10"/>
      <c r="Q104" s="10"/>
      <c r="R104" s="10"/>
      <c r="S104" s="10"/>
      <c r="T104" s="10"/>
      <c r="U104" s="10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38">
        <f>SUM(E104:AH104)</f>
        <v>0</v>
      </c>
      <c r="AK104" s="24"/>
      <c r="AL104" s="24"/>
    </row>
    <row r="105" spans="1:41" x14ac:dyDescent="0.3">
      <c r="A105" s="24"/>
      <c r="B105" s="81" t="s">
        <v>382</v>
      </c>
      <c r="C105" s="10"/>
      <c r="D105" s="10"/>
      <c r="E105" s="10">
        <v>0</v>
      </c>
      <c r="F105" s="110">
        <v>50.73</v>
      </c>
      <c r="G105" s="110">
        <v>32.770000000000003</v>
      </c>
      <c r="H105" s="110">
        <v>0</v>
      </c>
      <c r="I105" s="110">
        <v>0</v>
      </c>
      <c r="J105" s="22">
        <v>0</v>
      </c>
      <c r="K105" s="22">
        <v>23.01</v>
      </c>
      <c r="L105" s="22">
        <v>0</v>
      </c>
      <c r="M105" s="22">
        <v>48</v>
      </c>
      <c r="N105" s="22">
        <v>0</v>
      </c>
      <c r="O105" s="22">
        <v>31.72</v>
      </c>
      <c r="P105" s="22">
        <v>0</v>
      </c>
      <c r="Q105" s="111">
        <v>27.23</v>
      </c>
      <c r="R105" s="110">
        <v>0</v>
      </c>
      <c r="S105" s="110">
        <v>0</v>
      </c>
      <c r="T105" s="110">
        <v>33.03</v>
      </c>
      <c r="U105" s="110">
        <v>25.72</v>
      </c>
      <c r="V105" s="110">
        <v>0</v>
      </c>
      <c r="W105" s="110">
        <v>53.27</v>
      </c>
      <c r="X105" s="22">
        <v>22.74</v>
      </c>
      <c r="Y105" s="22">
        <v>23.74</v>
      </c>
      <c r="Z105" s="22">
        <v>0</v>
      </c>
      <c r="AA105" s="10">
        <v>24.69</v>
      </c>
      <c r="AB105" s="10">
        <v>0</v>
      </c>
      <c r="AC105" s="10">
        <v>0</v>
      </c>
      <c r="AD105" s="10">
        <v>61.21</v>
      </c>
      <c r="AE105" s="23">
        <v>0</v>
      </c>
      <c r="AF105" s="22">
        <v>22.06</v>
      </c>
      <c r="AG105" s="22">
        <v>0</v>
      </c>
      <c r="AH105" s="22">
        <v>98.49</v>
      </c>
      <c r="AI105" s="26"/>
      <c r="AJ105" s="23">
        <f>SUM(E105:AI105)</f>
        <v>578.41</v>
      </c>
      <c r="AK105" s="24" t="s">
        <v>103</v>
      </c>
      <c r="AL105" s="113">
        <f>AJ105/COUNTIF(E105:AH105,"&gt;-1")</f>
        <v>19.280333333333331</v>
      </c>
    </row>
    <row r="106" spans="1:41" x14ac:dyDescent="0.3">
      <c r="A106" s="24"/>
      <c r="B106" s="81" t="s">
        <v>383</v>
      </c>
      <c r="C106" s="10"/>
      <c r="D106" s="10"/>
      <c r="E106" s="22">
        <v>0</v>
      </c>
      <c r="F106" s="22">
        <v>962</v>
      </c>
      <c r="G106" s="22">
        <v>2877</v>
      </c>
      <c r="H106" s="22">
        <v>0</v>
      </c>
      <c r="I106" s="22">
        <v>0</v>
      </c>
      <c r="J106" s="22">
        <v>0</v>
      </c>
      <c r="K106" s="22">
        <v>2624</v>
      </c>
      <c r="L106" s="22">
        <v>0</v>
      </c>
      <c r="M106" s="22">
        <v>388</v>
      </c>
      <c r="N106" s="22">
        <v>0</v>
      </c>
      <c r="O106" s="22">
        <v>692</v>
      </c>
      <c r="P106" s="22">
        <v>0</v>
      </c>
      <c r="Q106" s="22">
        <v>580</v>
      </c>
      <c r="R106" s="22">
        <v>0</v>
      </c>
      <c r="S106" s="22">
        <v>0</v>
      </c>
      <c r="T106" s="22">
        <v>245</v>
      </c>
      <c r="U106" s="118">
        <v>2571</v>
      </c>
      <c r="V106" s="118">
        <v>0</v>
      </c>
      <c r="W106" s="114">
        <v>333</v>
      </c>
      <c r="X106" s="22">
        <v>262</v>
      </c>
      <c r="Y106" s="22">
        <v>2369</v>
      </c>
      <c r="Z106" s="22">
        <v>0</v>
      </c>
      <c r="AA106" s="22">
        <v>377</v>
      </c>
      <c r="AB106" s="22">
        <v>0</v>
      </c>
      <c r="AC106" s="22">
        <v>0</v>
      </c>
      <c r="AD106" s="22">
        <v>1075</v>
      </c>
      <c r="AE106" s="22">
        <v>0</v>
      </c>
      <c r="AF106" s="22">
        <v>118</v>
      </c>
      <c r="AG106" s="22">
        <v>0</v>
      </c>
      <c r="AH106" s="22">
        <v>1428</v>
      </c>
      <c r="AI106" s="22"/>
      <c r="AJ106" s="38">
        <f>IFERROR(SUMPRODUCT(E106:AH106,E105:AH105)/AJ105,0)</f>
        <v>1093.2356459950554</v>
      </c>
      <c r="AK106" s="24"/>
      <c r="AL106" s="24"/>
    </row>
    <row r="107" spans="1:41" x14ac:dyDescent="0.3">
      <c r="N107" s="119"/>
      <c r="O107"/>
      <c r="P107"/>
      <c r="Q107"/>
      <c r="R107"/>
      <c r="S107"/>
      <c r="T107"/>
      <c r="U107"/>
    </row>
    <row r="108" spans="1:41" x14ac:dyDescent="0.3">
      <c r="B108" s="120" t="s">
        <v>107</v>
      </c>
      <c r="N108" s="121"/>
      <c r="O108" s="86"/>
      <c r="P108"/>
      <c r="R108"/>
      <c r="S108"/>
      <c r="T108"/>
      <c r="U108"/>
    </row>
    <row r="109" spans="1:41" x14ac:dyDescent="0.3">
      <c r="B109" s="122" t="s">
        <v>108</v>
      </c>
      <c r="C109" s="2" t="s">
        <v>109</v>
      </c>
      <c r="E109" s="123">
        <v>0.03</v>
      </c>
      <c r="F109" s="123">
        <v>0</v>
      </c>
      <c r="G109" s="123">
        <v>0.13</v>
      </c>
      <c r="H109" s="123">
        <v>0.08</v>
      </c>
      <c r="I109" s="123">
        <v>0.05</v>
      </c>
      <c r="J109" s="123">
        <v>0</v>
      </c>
      <c r="K109" s="123">
        <v>0.01</v>
      </c>
      <c r="L109" s="123">
        <v>0</v>
      </c>
      <c r="M109" s="124">
        <v>0.16</v>
      </c>
      <c r="N109" s="123">
        <v>0.04</v>
      </c>
      <c r="O109" s="123">
        <v>0.04</v>
      </c>
      <c r="P109" s="123">
        <v>0.03</v>
      </c>
      <c r="Q109" s="123">
        <v>0.02</v>
      </c>
      <c r="R109" s="123">
        <v>0.05</v>
      </c>
      <c r="S109" s="123">
        <v>0.01</v>
      </c>
      <c r="T109" s="123">
        <v>0</v>
      </c>
      <c r="U109" s="123">
        <v>0.08</v>
      </c>
      <c r="V109" s="123">
        <v>0.05</v>
      </c>
      <c r="W109" s="123">
        <v>0.01</v>
      </c>
      <c r="X109" s="123">
        <v>0</v>
      </c>
      <c r="Y109" s="123">
        <v>0</v>
      </c>
      <c r="Z109" s="123">
        <v>0</v>
      </c>
      <c r="AA109" s="123">
        <v>0.11</v>
      </c>
      <c r="AB109" s="123">
        <v>0</v>
      </c>
      <c r="AC109" s="123">
        <v>0</v>
      </c>
      <c r="AD109" s="123">
        <v>0</v>
      </c>
      <c r="AE109" s="123">
        <v>0.05</v>
      </c>
      <c r="AF109" s="123">
        <v>0.04</v>
      </c>
      <c r="AG109" s="123">
        <v>0</v>
      </c>
      <c r="AH109" s="123">
        <v>0.12</v>
      </c>
      <c r="AI109" s="123"/>
      <c r="AJ109" s="123">
        <f>SUMPRODUCT(E109:AH109,$E$113:$AH$113)/SUM($E$113:$AH$113)</f>
        <v>3.8621334120042074E-2</v>
      </c>
    </row>
    <row r="110" spans="1:41" x14ac:dyDescent="0.3">
      <c r="B110" s="122" t="s">
        <v>110</v>
      </c>
      <c r="C110" s="2" t="s">
        <v>109</v>
      </c>
      <c r="E110" s="123">
        <v>0.03</v>
      </c>
      <c r="F110" s="123">
        <v>7.0000000000000007E-2</v>
      </c>
      <c r="G110" s="123">
        <v>7.0000000000000007E-2</v>
      </c>
      <c r="H110" s="123">
        <v>0.06</v>
      </c>
      <c r="I110" s="123">
        <v>0</v>
      </c>
      <c r="J110" s="123">
        <v>0.1</v>
      </c>
      <c r="K110" s="123">
        <v>0</v>
      </c>
      <c r="L110" s="123">
        <v>0.04</v>
      </c>
      <c r="M110" s="124">
        <v>0.05</v>
      </c>
      <c r="N110" s="123">
        <v>0.05</v>
      </c>
      <c r="O110" s="123">
        <v>0.06</v>
      </c>
      <c r="P110" s="123">
        <v>0.02</v>
      </c>
      <c r="Q110" s="123">
        <v>0.03</v>
      </c>
      <c r="R110" s="123">
        <v>0.03</v>
      </c>
      <c r="S110" s="123">
        <v>0.04</v>
      </c>
      <c r="T110" s="123">
        <v>7.0000000000000007E-2</v>
      </c>
      <c r="U110" s="123">
        <v>0.09</v>
      </c>
      <c r="V110" s="123">
        <v>7.0000000000000007E-2</v>
      </c>
      <c r="W110" s="123">
        <v>0.08</v>
      </c>
      <c r="X110" s="123">
        <v>0.09</v>
      </c>
      <c r="Y110" s="123">
        <v>0.24</v>
      </c>
      <c r="Z110" s="123">
        <v>0.08</v>
      </c>
      <c r="AA110" s="123">
        <v>7.0000000000000007E-2</v>
      </c>
      <c r="AB110" s="123">
        <v>0.05</v>
      </c>
      <c r="AC110" s="123">
        <v>0.11</v>
      </c>
      <c r="AD110" s="123">
        <v>0.12</v>
      </c>
      <c r="AE110" s="123">
        <v>0.01</v>
      </c>
      <c r="AF110" s="123">
        <v>0.11</v>
      </c>
      <c r="AG110" s="123">
        <v>0.16</v>
      </c>
      <c r="AH110" s="123">
        <v>0.14000000000000001</v>
      </c>
      <c r="AI110" s="123"/>
      <c r="AJ110" s="123">
        <f>SUMPRODUCT(E110:AH110,$E$113:$AH$113)/SUM($E$113:$AH$113)</f>
        <v>7.3669208539084957E-2</v>
      </c>
    </row>
    <row r="111" spans="1:41" x14ac:dyDescent="0.3">
      <c r="B111" s="122" t="s">
        <v>111</v>
      </c>
      <c r="C111" s="2" t="s">
        <v>109</v>
      </c>
      <c r="E111" s="123">
        <v>0.05</v>
      </c>
      <c r="F111" s="123">
        <v>0.04</v>
      </c>
      <c r="G111" s="123">
        <v>0.01</v>
      </c>
      <c r="H111" s="123">
        <v>0</v>
      </c>
      <c r="I111" s="123">
        <v>0</v>
      </c>
      <c r="J111" s="123">
        <v>0</v>
      </c>
      <c r="K111" s="123">
        <v>0</v>
      </c>
      <c r="L111" s="123">
        <v>0.01</v>
      </c>
      <c r="M111" s="124">
        <v>0</v>
      </c>
      <c r="N111" s="123">
        <v>0</v>
      </c>
      <c r="O111" s="123">
        <v>0.03</v>
      </c>
      <c r="P111" s="123">
        <v>0</v>
      </c>
      <c r="Q111" s="123">
        <v>0</v>
      </c>
      <c r="R111" s="123">
        <v>0</v>
      </c>
      <c r="S111" s="123">
        <v>0</v>
      </c>
      <c r="T111" s="123">
        <v>0</v>
      </c>
      <c r="U111" s="123">
        <v>0</v>
      </c>
      <c r="V111" s="123">
        <v>0</v>
      </c>
      <c r="W111" s="123">
        <v>0.01</v>
      </c>
      <c r="X111" s="123">
        <v>0.1</v>
      </c>
      <c r="Y111" s="123">
        <v>0</v>
      </c>
      <c r="Z111" s="123">
        <v>0.06</v>
      </c>
      <c r="AA111" s="123">
        <v>0.12</v>
      </c>
      <c r="AB111" s="123">
        <v>0</v>
      </c>
      <c r="AC111" s="123">
        <v>0.1</v>
      </c>
      <c r="AD111" s="123">
        <v>0.01</v>
      </c>
      <c r="AE111" s="123">
        <v>0</v>
      </c>
      <c r="AF111" s="123">
        <v>0.1</v>
      </c>
      <c r="AG111" s="123">
        <v>0.15</v>
      </c>
      <c r="AH111" s="123">
        <v>0.05</v>
      </c>
      <c r="AI111" s="123"/>
      <c r="AJ111" s="123">
        <f>SUMPRODUCT(E111:AH111,$E$113:$AH$113)/SUM($E$113:$AH$113)</f>
        <v>3.101259918167875E-2</v>
      </c>
    </row>
    <row r="112" spans="1:41" x14ac:dyDescent="0.3">
      <c r="B112" s="122" t="s">
        <v>112</v>
      </c>
      <c r="C112" s="2" t="s">
        <v>109</v>
      </c>
      <c r="E112" s="34">
        <v>20070</v>
      </c>
      <c r="F112" s="34">
        <v>19623</v>
      </c>
      <c r="G112" s="34">
        <v>18204</v>
      </c>
      <c r="H112" s="34">
        <v>22007</v>
      </c>
      <c r="I112" s="34">
        <v>22544</v>
      </c>
      <c r="J112" s="34">
        <v>5811</v>
      </c>
      <c r="K112" s="34">
        <v>19544</v>
      </c>
      <c r="L112" s="34">
        <v>11716</v>
      </c>
      <c r="M112" s="78">
        <v>19202</v>
      </c>
      <c r="N112" s="34">
        <v>19101</v>
      </c>
      <c r="O112" s="34">
        <v>21142</v>
      </c>
      <c r="P112" s="34">
        <v>25825</v>
      </c>
      <c r="Q112" s="34">
        <v>22816</v>
      </c>
      <c r="R112" s="34">
        <v>20065</v>
      </c>
      <c r="S112" s="34">
        <v>26494</v>
      </c>
      <c r="T112" s="34">
        <v>15583</v>
      </c>
      <c r="U112" s="34">
        <v>18568</v>
      </c>
      <c r="V112" s="34">
        <v>22020</v>
      </c>
      <c r="W112" s="34">
        <v>21037</v>
      </c>
      <c r="X112" s="34">
        <v>18310</v>
      </c>
      <c r="Y112" s="34">
        <v>20462</v>
      </c>
      <c r="Z112" s="34">
        <v>23592</v>
      </c>
      <c r="AA112" s="34">
        <v>14972</v>
      </c>
      <c r="AB112" s="34">
        <v>20636</v>
      </c>
      <c r="AC112" s="34">
        <v>19633</v>
      </c>
      <c r="AD112" s="34">
        <v>19935</v>
      </c>
      <c r="AE112" s="34">
        <v>18909</v>
      </c>
      <c r="AF112" s="34">
        <v>21414</v>
      </c>
      <c r="AG112" s="34">
        <v>20774</v>
      </c>
      <c r="AH112" s="34">
        <v>16282</v>
      </c>
      <c r="AI112" s="34"/>
      <c r="AJ112" s="22"/>
    </row>
    <row r="113" spans="1:40" x14ac:dyDescent="0.3">
      <c r="B113" s="122" t="s">
        <v>113</v>
      </c>
      <c r="C113" s="2" t="s">
        <v>109</v>
      </c>
      <c r="E113" s="34">
        <v>22404</v>
      </c>
      <c r="F113" s="34">
        <v>19998</v>
      </c>
      <c r="G113" s="34">
        <v>22964</v>
      </c>
      <c r="H113" s="34">
        <v>25515</v>
      </c>
      <c r="I113" s="34">
        <v>22979</v>
      </c>
      <c r="J113" s="34">
        <v>4962</v>
      </c>
      <c r="K113" s="34">
        <v>18016</v>
      </c>
      <c r="L113" s="34">
        <v>12052</v>
      </c>
      <c r="M113" s="78">
        <v>22089</v>
      </c>
      <c r="N113" s="34">
        <v>20501</v>
      </c>
      <c r="O113" s="34">
        <v>24064</v>
      </c>
      <c r="P113" s="34">
        <v>26113</v>
      </c>
      <c r="Q113" s="34">
        <v>21788</v>
      </c>
      <c r="R113" s="34">
        <v>20093</v>
      </c>
      <c r="S113" s="34">
        <v>24209</v>
      </c>
      <c r="T113" s="34">
        <v>14151</v>
      </c>
      <c r="U113" s="34">
        <v>21784</v>
      </c>
      <c r="V113" s="34">
        <v>24569</v>
      </c>
      <c r="W113" s="34">
        <v>22363</v>
      </c>
      <c r="X113" s="34">
        <v>20006</v>
      </c>
      <c r="Y113" s="34">
        <v>26044</v>
      </c>
      <c r="Z113" s="34">
        <v>27132</v>
      </c>
      <c r="AA113" s="34">
        <v>20877</v>
      </c>
      <c r="AB113" s="34">
        <v>20641</v>
      </c>
      <c r="AC113" s="34">
        <v>23883</v>
      </c>
      <c r="AD113" s="34">
        <v>20898</v>
      </c>
      <c r="AE113" s="34">
        <v>19391</v>
      </c>
      <c r="AF113" s="34">
        <v>26897</v>
      </c>
      <c r="AG113" s="34">
        <v>28897</v>
      </c>
      <c r="AH113" s="34">
        <v>22143</v>
      </c>
      <c r="AI113" s="34"/>
      <c r="AJ113" s="22"/>
    </row>
    <row r="114" spans="1:40" x14ac:dyDescent="0.3">
      <c r="B114" s="125"/>
      <c r="E114" s="82"/>
      <c r="F114" s="82"/>
      <c r="G114" s="82"/>
      <c r="H114" s="82"/>
      <c r="I114" s="82"/>
      <c r="J114" s="82"/>
      <c r="K114" s="82"/>
      <c r="L114" s="82"/>
      <c r="M114" s="126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  <c r="AA114" s="82"/>
      <c r="AB114" s="82"/>
      <c r="AC114" s="82"/>
      <c r="AD114" s="82"/>
      <c r="AE114" s="82"/>
      <c r="AF114" s="82"/>
      <c r="AG114" s="82"/>
      <c r="AH114" s="82"/>
      <c r="AI114" s="82"/>
    </row>
    <row r="115" spans="1:40" x14ac:dyDescent="0.3">
      <c r="B115" s="122" t="s">
        <v>114</v>
      </c>
      <c r="C115" s="10" t="s">
        <v>115</v>
      </c>
      <c r="E115" s="34"/>
      <c r="F115" s="34"/>
      <c r="G115" s="34"/>
      <c r="H115" s="34"/>
      <c r="I115" s="34"/>
      <c r="J115" s="34"/>
      <c r="K115" s="34"/>
      <c r="L115" s="34"/>
      <c r="M115" s="78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22"/>
    </row>
    <row r="116" spans="1:40" x14ac:dyDescent="0.3">
      <c r="B116" s="122" t="s">
        <v>116</v>
      </c>
      <c r="C116" s="10" t="s">
        <v>115</v>
      </c>
      <c r="E116" s="34"/>
      <c r="F116" s="34"/>
      <c r="G116" s="34"/>
      <c r="H116" s="34"/>
      <c r="I116" s="34"/>
      <c r="J116" s="34"/>
      <c r="K116" s="34"/>
      <c r="L116" s="34"/>
      <c r="M116" s="78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22"/>
    </row>
    <row r="118" spans="1:40" x14ac:dyDescent="0.3">
      <c r="A118" s="346" t="s">
        <v>117</v>
      </c>
      <c r="B118" s="127" t="s">
        <v>384</v>
      </c>
      <c r="C118" s="10" t="s">
        <v>36</v>
      </c>
      <c r="E118" s="22">
        <v>102</v>
      </c>
      <c r="F118" s="22">
        <v>83</v>
      </c>
      <c r="G118" s="22">
        <v>121</v>
      </c>
      <c r="H118" s="22">
        <v>290</v>
      </c>
      <c r="I118" s="22">
        <v>108</v>
      </c>
      <c r="J118" s="22">
        <v>228</v>
      </c>
      <c r="K118" s="22">
        <v>163</v>
      </c>
      <c r="L118" s="22">
        <v>283</v>
      </c>
      <c r="M118" s="22">
        <v>96</v>
      </c>
      <c r="N118" s="22">
        <v>163</v>
      </c>
      <c r="O118" s="22">
        <v>146</v>
      </c>
      <c r="P118" s="22">
        <v>240</v>
      </c>
      <c r="Q118" s="22">
        <v>93</v>
      </c>
      <c r="R118" s="22">
        <v>185</v>
      </c>
      <c r="S118" s="22">
        <v>221</v>
      </c>
      <c r="T118" s="22">
        <v>160</v>
      </c>
      <c r="U118" s="22">
        <v>205</v>
      </c>
      <c r="V118" s="22">
        <v>162</v>
      </c>
      <c r="W118" s="22">
        <v>182</v>
      </c>
      <c r="X118" s="22">
        <f>260-39</f>
        <v>221</v>
      </c>
      <c r="Y118" s="22">
        <v>184</v>
      </c>
      <c r="Z118" s="22">
        <v>171</v>
      </c>
      <c r="AA118" s="22">
        <v>179</v>
      </c>
      <c r="AB118" s="22">
        <f>224-34</f>
        <v>190</v>
      </c>
      <c r="AC118" s="22">
        <f>156-6</f>
        <v>150</v>
      </c>
      <c r="AD118" s="22">
        <f>92-14</f>
        <v>78</v>
      </c>
      <c r="AE118" s="22">
        <v>102</v>
      </c>
      <c r="AF118" s="22">
        <v>170</v>
      </c>
      <c r="AG118" s="22">
        <v>122</v>
      </c>
      <c r="AH118" s="22">
        <v>154</v>
      </c>
      <c r="AI118" s="22"/>
      <c r="AJ118" s="22">
        <f>SUM(E118:AI118)</f>
        <v>4952</v>
      </c>
      <c r="AK118" s="96"/>
    </row>
    <row r="119" spans="1:40" x14ac:dyDescent="0.3">
      <c r="A119" s="346"/>
      <c r="B119" s="127" t="s">
        <v>385</v>
      </c>
      <c r="C119" s="10" t="s">
        <v>36</v>
      </c>
      <c r="E119" s="22">
        <v>62</v>
      </c>
      <c r="F119" s="22">
        <v>50</v>
      </c>
      <c r="G119" s="22">
        <v>0</v>
      </c>
      <c r="H119" s="22">
        <v>137</v>
      </c>
      <c r="I119" s="22">
        <v>52</v>
      </c>
      <c r="J119" s="22">
        <v>117</v>
      </c>
      <c r="K119" s="22">
        <v>99</v>
      </c>
      <c r="L119" s="22">
        <v>131</v>
      </c>
      <c r="M119" s="22">
        <v>58</v>
      </c>
      <c r="N119" s="22">
        <v>87</v>
      </c>
      <c r="O119" s="22">
        <v>90</v>
      </c>
      <c r="P119" s="22">
        <v>130</v>
      </c>
      <c r="Q119" s="22">
        <v>61</v>
      </c>
      <c r="R119" s="22">
        <v>103</v>
      </c>
      <c r="S119" s="22">
        <v>145</v>
      </c>
      <c r="T119" s="22">
        <v>104</v>
      </c>
      <c r="U119" s="22">
        <v>111</v>
      </c>
      <c r="V119" s="22">
        <v>59</v>
      </c>
      <c r="W119" s="22">
        <v>119</v>
      </c>
      <c r="X119" s="22">
        <v>123</v>
      </c>
      <c r="Y119" s="22">
        <v>101</v>
      </c>
      <c r="Z119" s="22">
        <v>82</v>
      </c>
      <c r="AA119" s="22">
        <v>80</v>
      </c>
      <c r="AB119" s="22">
        <v>116</v>
      </c>
      <c r="AC119" s="22">
        <v>87</v>
      </c>
      <c r="AD119" s="22">
        <v>26</v>
      </c>
      <c r="AE119" s="22">
        <v>66</v>
      </c>
      <c r="AF119" s="22">
        <v>80</v>
      </c>
      <c r="AG119" s="22">
        <v>59</v>
      </c>
      <c r="AH119" s="22">
        <v>100</v>
      </c>
      <c r="AI119" s="22"/>
      <c r="AJ119" s="22">
        <f>SUM(E119:AI119)</f>
        <v>2635</v>
      </c>
      <c r="AK119" s="96"/>
    </row>
    <row r="120" spans="1:40" x14ac:dyDescent="0.3">
      <c r="A120" s="346" t="s">
        <v>118</v>
      </c>
      <c r="B120" s="127" t="s">
        <v>386</v>
      </c>
      <c r="C120" s="10" t="s">
        <v>36</v>
      </c>
      <c r="E120" s="22">
        <f>243</f>
        <v>243</v>
      </c>
      <c r="F120" s="22">
        <f>279-F28-F29</f>
        <v>195</v>
      </c>
      <c r="G120" s="22">
        <v>229</v>
      </c>
      <c r="H120" s="22">
        <v>179</v>
      </c>
      <c r="I120" s="22">
        <v>172</v>
      </c>
      <c r="J120" s="22">
        <v>243</v>
      </c>
      <c r="K120" s="22">
        <v>278</v>
      </c>
      <c r="L120" s="22">
        <v>299</v>
      </c>
      <c r="M120" s="22">
        <v>278</v>
      </c>
      <c r="N120" s="22">
        <v>214</v>
      </c>
      <c r="O120" s="22">
        <v>262</v>
      </c>
      <c r="P120" s="22">
        <v>245</v>
      </c>
      <c r="Q120" s="22">
        <v>259</v>
      </c>
      <c r="R120" s="22">
        <v>299</v>
      </c>
      <c r="S120" s="22">
        <f>242-57</f>
        <v>185</v>
      </c>
      <c r="T120" s="22">
        <v>223</v>
      </c>
      <c r="U120" s="22">
        <v>281</v>
      </c>
      <c r="V120" s="22">
        <v>256</v>
      </c>
      <c r="W120" s="22">
        <v>242</v>
      </c>
      <c r="X120" s="22">
        <f>328-64-66</f>
        <v>198</v>
      </c>
      <c r="Y120" s="22">
        <v>272</v>
      </c>
      <c r="Z120" s="22">
        <v>301</v>
      </c>
      <c r="AA120" s="22">
        <v>0</v>
      </c>
      <c r="AB120" s="22">
        <f>525-79-105</f>
        <v>341</v>
      </c>
      <c r="AC120" s="22">
        <f>375-56-14-75</f>
        <v>230</v>
      </c>
      <c r="AD120" s="22">
        <v>167</v>
      </c>
      <c r="AE120" s="22">
        <v>244</v>
      </c>
      <c r="AF120" s="22">
        <v>218</v>
      </c>
      <c r="AG120" s="22">
        <v>169</v>
      </c>
      <c r="AH120" s="22">
        <v>345</v>
      </c>
      <c r="AI120" s="22"/>
      <c r="AJ120" s="22">
        <f>SUM(E120:AI120)</f>
        <v>7067</v>
      </c>
    </row>
    <row r="121" spans="1:40" x14ac:dyDescent="0.3">
      <c r="A121" s="346"/>
      <c r="B121" s="127" t="s">
        <v>387</v>
      </c>
      <c r="C121" s="10" t="s">
        <v>36</v>
      </c>
      <c r="E121" s="22">
        <v>211</v>
      </c>
      <c r="F121" s="22">
        <v>169</v>
      </c>
      <c r="G121" s="22">
        <v>198</v>
      </c>
      <c r="H121" s="22">
        <v>154</v>
      </c>
      <c r="I121" s="22">
        <v>149</v>
      </c>
      <c r="J121" s="22">
        <v>211</v>
      </c>
      <c r="K121" s="22">
        <v>240</v>
      </c>
      <c r="L121" s="22">
        <v>259</v>
      </c>
      <c r="M121" s="22">
        <v>240</v>
      </c>
      <c r="N121" s="22">
        <v>200</v>
      </c>
      <c r="O121" s="22">
        <v>233</v>
      </c>
      <c r="P121" s="22">
        <v>209</v>
      </c>
      <c r="Q121" s="22">
        <v>221</v>
      </c>
      <c r="R121" s="22">
        <v>256</v>
      </c>
      <c r="S121" s="22">
        <v>159</v>
      </c>
      <c r="T121" s="22">
        <v>190</v>
      </c>
      <c r="U121" s="22">
        <v>240</v>
      </c>
      <c r="V121" s="22">
        <v>219</v>
      </c>
      <c r="W121" s="22">
        <v>207</v>
      </c>
      <c r="X121" s="22">
        <v>182</v>
      </c>
      <c r="Y121" s="22">
        <v>233</v>
      </c>
      <c r="Z121" s="22">
        <v>256</v>
      </c>
      <c r="AA121" s="22">
        <v>174</v>
      </c>
      <c r="AB121" s="22">
        <v>292</v>
      </c>
      <c r="AC121" s="22">
        <v>208</v>
      </c>
      <c r="AD121" s="22">
        <v>142</v>
      </c>
      <c r="AE121" s="22">
        <v>208</v>
      </c>
      <c r="AF121" s="22">
        <v>186</v>
      </c>
      <c r="AG121" s="22">
        <v>144</v>
      </c>
      <c r="AH121" s="22">
        <v>295</v>
      </c>
      <c r="AI121" s="22"/>
      <c r="AJ121" s="22">
        <f>SUM(E121:AI121)</f>
        <v>6285</v>
      </c>
      <c r="AK121" s="283"/>
    </row>
    <row r="123" spans="1:40" x14ac:dyDescent="0.3">
      <c r="A123" s="347" t="s">
        <v>117</v>
      </c>
      <c r="B123" s="127" t="s">
        <v>388</v>
      </c>
      <c r="C123" s="10" t="s">
        <v>36</v>
      </c>
      <c r="E123" s="3">
        <v>173</v>
      </c>
      <c r="F123" s="3">
        <v>100</v>
      </c>
      <c r="G123" s="3">
        <v>200</v>
      </c>
      <c r="H123" s="3">
        <v>200</v>
      </c>
      <c r="I123" s="3">
        <v>200</v>
      </c>
      <c r="J123" s="3">
        <v>150</v>
      </c>
      <c r="K123" s="3">
        <v>0</v>
      </c>
      <c r="L123" s="3">
        <v>190</v>
      </c>
      <c r="M123" s="2">
        <v>150</v>
      </c>
      <c r="N123" s="3">
        <v>310</v>
      </c>
      <c r="O123" s="3">
        <v>0</v>
      </c>
      <c r="P123" s="3">
        <v>280</v>
      </c>
      <c r="Q123" s="3">
        <v>150</v>
      </c>
      <c r="R123" s="3">
        <v>240</v>
      </c>
      <c r="S123" s="3">
        <v>582</v>
      </c>
      <c r="T123" s="3">
        <v>307</v>
      </c>
      <c r="U123" s="3">
        <v>200</v>
      </c>
      <c r="V123" s="3">
        <v>350</v>
      </c>
      <c r="W123" s="3">
        <v>0</v>
      </c>
      <c r="X123" s="3">
        <v>220</v>
      </c>
      <c r="Y123" s="3">
        <v>0</v>
      </c>
      <c r="Z123" s="3">
        <v>300</v>
      </c>
      <c r="AA123" s="3">
        <v>150</v>
      </c>
      <c r="AB123" s="3">
        <v>100</v>
      </c>
      <c r="AC123" s="3">
        <v>0</v>
      </c>
      <c r="AD123" s="3">
        <v>250</v>
      </c>
      <c r="AE123" s="3">
        <v>200</v>
      </c>
      <c r="AF123" s="3">
        <v>300</v>
      </c>
      <c r="AG123" s="3">
        <v>400</v>
      </c>
      <c r="AH123" s="3">
        <v>460</v>
      </c>
      <c r="AJ123" s="22">
        <f>SUM(E123:AI123)</f>
        <v>6162</v>
      </c>
      <c r="AK123" s="3">
        <v>6162</v>
      </c>
    </row>
    <row r="124" spans="1:40" x14ac:dyDescent="0.3">
      <c r="A124" s="347"/>
      <c r="B124" s="127" t="s">
        <v>389</v>
      </c>
      <c r="C124" s="10" t="s">
        <v>36</v>
      </c>
      <c r="E124" s="3">
        <f t="shared" ref="E124:AH124" si="56">E90+E91+E92+E93-E123</f>
        <v>876</v>
      </c>
      <c r="F124" s="3">
        <f t="shared" si="56"/>
        <v>760</v>
      </c>
      <c r="G124" s="3">
        <f t="shared" si="56"/>
        <v>1043</v>
      </c>
      <c r="H124" s="3">
        <f t="shared" si="56"/>
        <v>2637</v>
      </c>
      <c r="I124" s="3">
        <f t="shared" si="56"/>
        <v>833</v>
      </c>
      <c r="J124" s="3">
        <f t="shared" si="56"/>
        <v>2066</v>
      </c>
      <c r="K124" s="3">
        <f t="shared" si="56"/>
        <v>1719</v>
      </c>
      <c r="L124" s="3">
        <f t="shared" si="56"/>
        <v>2534</v>
      </c>
      <c r="M124" s="3">
        <f t="shared" si="56"/>
        <v>837</v>
      </c>
      <c r="N124" s="3">
        <f t="shared" si="56"/>
        <v>1328</v>
      </c>
      <c r="O124" s="3">
        <f t="shared" si="56"/>
        <v>1674</v>
      </c>
      <c r="P124" s="3">
        <f t="shared" si="56"/>
        <v>2307</v>
      </c>
      <c r="Q124" s="3">
        <f t="shared" si="56"/>
        <v>886</v>
      </c>
      <c r="R124" s="3">
        <f t="shared" si="56"/>
        <v>1546</v>
      </c>
      <c r="S124" s="3">
        <f t="shared" si="56"/>
        <v>1648</v>
      </c>
      <c r="T124" s="3">
        <f t="shared" si="56"/>
        <v>1467</v>
      </c>
      <c r="U124" s="3">
        <f t="shared" si="56"/>
        <v>1946</v>
      </c>
      <c r="V124" s="3">
        <f t="shared" si="56"/>
        <v>1209</v>
      </c>
      <c r="W124" s="3">
        <f t="shared" si="56"/>
        <v>2031</v>
      </c>
      <c r="X124" s="3">
        <f t="shared" si="56"/>
        <v>2160</v>
      </c>
      <c r="Y124" s="3">
        <f t="shared" si="56"/>
        <v>1922</v>
      </c>
      <c r="Z124" s="3">
        <f t="shared" si="56"/>
        <v>1464</v>
      </c>
      <c r="AA124" s="3">
        <f t="shared" si="56"/>
        <v>1695</v>
      </c>
      <c r="AB124" s="3">
        <f t="shared" si="56"/>
        <v>1917</v>
      </c>
      <c r="AC124" s="3">
        <f t="shared" si="56"/>
        <v>1479</v>
      </c>
      <c r="AD124" s="3">
        <f t="shared" si="56"/>
        <v>542</v>
      </c>
      <c r="AE124" s="3">
        <f t="shared" si="56"/>
        <v>946</v>
      </c>
      <c r="AF124" s="3">
        <f t="shared" si="56"/>
        <v>1468</v>
      </c>
      <c r="AG124" s="3">
        <f t="shared" si="56"/>
        <v>830</v>
      </c>
      <c r="AH124" s="3">
        <f t="shared" si="56"/>
        <v>1252</v>
      </c>
      <c r="AJ124" s="22">
        <f>SUM(E124:AI124)</f>
        <v>45022</v>
      </c>
      <c r="AK124">
        <f>AL124-AK123</f>
        <v>22989</v>
      </c>
      <c r="AL124">
        <f>AJ123+AJ125</f>
        <v>29151</v>
      </c>
    </row>
    <row r="125" spans="1:40" x14ac:dyDescent="0.3">
      <c r="A125" s="347" t="s">
        <v>118</v>
      </c>
      <c r="B125" s="127" t="s">
        <v>390</v>
      </c>
      <c r="C125" s="10" t="s">
        <v>36</v>
      </c>
      <c r="E125" s="3">
        <v>593</v>
      </c>
      <c r="F125" s="3">
        <v>570</v>
      </c>
      <c r="G125" s="3">
        <v>725</v>
      </c>
      <c r="H125" s="3">
        <v>850</v>
      </c>
      <c r="I125" s="3">
        <v>313</v>
      </c>
      <c r="J125" s="3">
        <v>800</v>
      </c>
      <c r="K125" s="3">
        <v>1100</v>
      </c>
      <c r="L125" s="3">
        <v>698</v>
      </c>
      <c r="M125" s="2">
        <v>570</v>
      </c>
      <c r="N125" s="3">
        <v>967</v>
      </c>
      <c r="O125" s="3">
        <v>1090</v>
      </c>
      <c r="P125" s="3">
        <v>650</v>
      </c>
      <c r="Q125" s="3">
        <v>850</v>
      </c>
      <c r="R125" s="3">
        <v>880</v>
      </c>
      <c r="S125" s="3">
        <v>501</v>
      </c>
      <c r="T125" s="3">
        <v>1000</v>
      </c>
      <c r="U125" s="3">
        <v>950</v>
      </c>
      <c r="V125" s="3">
        <v>900</v>
      </c>
      <c r="W125" s="3">
        <v>1000</v>
      </c>
      <c r="X125" s="3">
        <v>500</v>
      </c>
      <c r="Y125" s="3">
        <v>850</v>
      </c>
      <c r="Z125" s="3">
        <v>851</v>
      </c>
      <c r="AA125" s="3">
        <v>500</v>
      </c>
      <c r="AB125" s="3">
        <v>480</v>
      </c>
      <c r="AC125" s="3">
        <v>1000</v>
      </c>
      <c r="AD125" s="3">
        <v>775</v>
      </c>
      <c r="AE125" s="3">
        <v>820</v>
      </c>
      <c r="AF125" s="3">
        <v>1190</v>
      </c>
      <c r="AG125" s="3">
        <v>430</v>
      </c>
      <c r="AH125" s="3">
        <v>586</v>
      </c>
      <c r="AJ125" s="22">
        <f>SUM(E125:AI125)</f>
        <v>22989</v>
      </c>
      <c r="AK125" s="3">
        <v>22989</v>
      </c>
      <c r="AL125">
        <f>AJ124+AJ126</f>
        <v>125653</v>
      </c>
      <c r="AN125" s="54">
        <f>AL124/AL32</f>
        <v>6.1860198624904508E-2</v>
      </c>
    </row>
    <row r="126" spans="1:40" x14ac:dyDescent="0.3">
      <c r="A126" s="347"/>
      <c r="B126" s="127" t="s">
        <v>391</v>
      </c>
      <c r="C126" s="10" t="s">
        <v>36</v>
      </c>
      <c r="E126" s="3">
        <f t="shared" ref="E126:AG126" si="57">E94+E95-E125</f>
        <v>2990</v>
      </c>
      <c r="F126" s="3">
        <f t="shared" si="57"/>
        <v>2262</v>
      </c>
      <c r="G126" s="3">
        <f t="shared" si="57"/>
        <v>2367</v>
      </c>
      <c r="H126" s="3">
        <f t="shared" si="57"/>
        <v>1756</v>
      </c>
      <c r="I126" s="3">
        <f t="shared" si="57"/>
        <v>1999</v>
      </c>
      <c r="J126" s="3">
        <f t="shared" si="57"/>
        <v>2521</v>
      </c>
      <c r="K126" s="3">
        <f t="shared" si="57"/>
        <v>2932</v>
      </c>
      <c r="L126" s="3">
        <f t="shared" si="57"/>
        <v>3393</v>
      </c>
      <c r="M126" s="3">
        <f t="shared" si="57"/>
        <v>3375</v>
      </c>
      <c r="N126" s="3">
        <f t="shared" si="57"/>
        <v>2333</v>
      </c>
      <c r="O126" s="3">
        <f t="shared" si="57"/>
        <v>2761</v>
      </c>
      <c r="P126" s="3">
        <f t="shared" si="57"/>
        <v>2912</v>
      </c>
      <c r="Q126" s="3">
        <f t="shared" si="57"/>
        <v>2805</v>
      </c>
      <c r="R126" s="3">
        <f t="shared" si="57"/>
        <v>3402</v>
      </c>
      <c r="S126" s="3">
        <f t="shared" si="57"/>
        <v>2110</v>
      </c>
      <c r="T126" s="3">
        <f t="shared" si="57"/>
        <v>2110</v>
      </c>
      <c r="U126" s="3">
        <f t="shared" si="57"/>
        <v>2862</v>
      </c>
      <c r="V126" s="3">
        <f t="shared" si="57"/>
        <v>2834</v>
      </c>
      <c r="W126" s="3">
        <f t="shared" si="57"/>
        <v>2314</v>
      </c>
      <c r="X126" s="3">
        <f t="shared" si="57"/>
        <v>2574</v>
      </c>
      <c r="Y126" s="3">
        <f t="shared" si="57"/>
        <v>2952</v>
      </c>
      <c r="Z126" s="3">
        <f t="shared" si="57"/>
        <v>3545</v>
      </c>
      <c r="AA126" s="3">
        <f t="shared" si="57"/>
        <v>2199</v>
      </c>
      <c r="AB126" s="3">
        <f t="shared" si="57"/>
        <v>4135</v>
      </c>
      <c r="AC126" s="3">
        <f t="shared" si="57"/>
        <v>2348</v>
      </c>
      <c r="AD126" s="3">
        <f t="shared" si="57"/>
        <v>1610</v>
      </c>
      <c r="AE126" s="3">
        <f t="shared" si="57"/>
        <v>2783</v>
      </c>
      <c r="AF126" s="3">
        <f t="shared" si="57"/>
        <v>1976</v>
      </c>
      <c r="AG126" s="3">
        <f t="shared" si="57"/>
        <v>2027</v>
      </c>
      <c r="AH126" s="3">
        <f>AH94+AH95-AH125</f>
        <v>4444</v>
      </c>
      <c r="AJ126" s="22">
        <f>SUM(E126:AI126)</f>
        <v>80631</v>
      </c>
      <c r="AK126">
        <f>AL126-AK125</f>
        <v>-22989</v>
      </c>
      <c r="AN126" s="54">
        <f>AL125/AL32</f>
        <v>0.26664332399626517</v>
      </c>
    </row>
    <row r="127" spans="1:40" x14ac:dyDescent="0.3">
      <c r="A127" s="2"/>
      <c r="B127" s="128"/>
      <c r="C127" s="129"/>
      <c r="P127" s="130"/>
      <c r="Q127" s="130"/>
      <c r="R127" s="130"/>
      <c r="S127" s="130"/>
      <c r="T127" s="130"/>
      <c r="U127" s="130"/>
      <c r="V127" s="130"/>
    </row>
    <row r="128" spans="1:40" x14ac:dyDescent="0.3">
      <c r="B128" s="128" t="s">
        <v>121</v>
      </c>
      <c r="P128" s="130"/>
      <c r="Q128" s="130"/>
      <c r="R128" s="130"/>
      <c r="S128" s="130"/>
      <c r="T128" s="130"/>
      <c r="U128" s="130"/>
      <c r="V128" s="130"/>
      <c r="AK128">
        <f>AJ125-AK125</f>
        <v>0</v>
      </c>
    </row>
    <row r="129" spans="1:38" x14ac:dyDescent="0.3">
      <c r="A129" s="24"/>
      <c r="B129" s="13" t="s">
        <v>392</v>
      </c>
      <c r="C129" s="10" t="s">
        <v>117</v>
      </c>
      <c r="D129" s="10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>
        <f>SUM(E129:AH129)</f>
        <v>0</v>
      </c>
    </row>
    <row r="130" spans="1:38" x14ac:dyDescent="0.3">
      <c r="A130" s="24"/>
      <c r="B130" s="13" t="s">
        <v>395</v>
      </c>
      <c r="C130" s="10" t="s">
        <v>118</v>
      </c>
      <c r="D130" s="10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>
        <f>SUM(E130:AH130)</f>
        <v>0</v>
      </c>
    </row>
    <row r="131" spans="1:38" x14ac:dyDescent="0.3">
      <c r="A131" s="24"/>
      <c r="B131" s="13" t="s">
        <v>393</v>
      </c>
      <c r="C131" s="10" t="s">
        <v>117</v>
      </c>
      <c r="D131" s="10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>
        <f>SUM(E131:AH131)</f>
        <v>0</v>
      </c>
    </row>
    <row r="132" spans="1:38" x14ac:dyDescent="0.3">
      <c r="A132" s="24"/>
      <c r="B132" s="13" t="s">
        <v>394</v>
      </c>
      <c r="C132" s="10" t="s">
        <v>118</v>
      </c>
      <c r="D132" s="10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>
        <f>SUM(E132:AH132)</f>
        <v>0</v>
      </c>
    </row>
    <row r="133" spans="1:38" x14ac:dyDescent="0.3">
      <c r="B133" s="275"/>
      <c r="M133" s="3"/>
    </row>
    <row r="134" spans="1:38" x14ac:dyDescent="0.3">
      <c r="B134" s="44" t="s">
        <v>256</v>
      </c>
      <c r="E134" s="84">
        <f t="shared" ref="E134:AH134" si="58">E44+E57</f>
        <v>11784138</v>
      </c>
      <c r="F134" s="84">
        <f t="shared" si="58"/>
        <v>11947343</v>
      </c>
      <c r="G134" s="84">
        <f t="shared" si="58"/>
        <v>11542155</v>
      </c>
      <c r="H134" s="84">
        <f t="shared" si="58"/>
        <v>10874292</v>
      </c>
      <c r="I134" s="84">
        <f t="shared" si="58"/>
        <v>5327916</v>
      </c>
      <c r="J134" s="84">
        <f t="shared" si="58"/>
        <v>5295336</v>
      </c>
      <c r="K134" s="84">
        <f t="shared" si="58"/>
        <v>10013193</v>
      </c>
      <c r="L134" s="84">
        <f t="shared" si="58"/>
        <v>11945546</v>
      </c>
      <c r="M134" s="84">
        <f t="shared" si="58"/>
        <v>12023501</v>
      </c>
      <c r="N134" s="84">
        <f t="shared" si="58"/>
        <v>11948680</v>
      </c>
      <c r="O134" s="84">
        <f t="shared" si="58"/>
        <v>11867965</v>
      </c>
      <c r="P134" s="84">
        <f t="shared" si="58"/>
        <v>11760896</v>
      </c>
      <c r="Q134" s="84">
        <f t="shared" si="58"/>
        <v>11240200</v>
      </c>
      <c r="R134" s="84">
        <f t="shared" si="58"/>
        <v>11632136</v>
      </c>
      <c r="S134" s="84">
        <f t="shared" si="58"/>
        <v>11737190</v>
      </c>
      <c r="T134" s="84">
        <f t="shared" si="58"/>
        <v>11838937</v>
      </c>
      <c r="U134" s="84">
        <f t="shared" si="58"/>
        <v>11427466</v>
      </c>
      <c r="V134" s="84">
        <f t="shared" si="58"/>
        <v>11938568</v>
      </c>
      <c r="W134" s="84">
        <f t="shared" si="58"/>
        <v>11768730</v>
      </c>
      <c r="X134" s="84">
        <f t="shared" si="58"/>
        <v>11929876</v>
      </c>
      <c r="Y134" s="84">
        <f t="shared" si="58"/>
        <v>11617704</v>
      </c>
      <c r="Z134" s="84">
        <f t="shared" si="58"/>
        <v>11234845</v>
      </c>
      <c r="AA134" s="84">
        <f t="shared" si="58"/>
        <v>11856760</v>
      </c>
      <c r="AB134" s="84">
        <f t="shared" si="58"/>
        <v>10980419</v>
      </c>
      <c r="AC134" s="84">
        <f t="shared" si="58"/>
        <v>11342942</v>
      </c>
      <c r="AD134" s="84">
        <f t="shared" si="58"/>
        <v>11780187</v>
      </c>
      <c r="AE134" s="84">
        <f t="shared" si="58"/>
        <v>11854820</v>
      </c>
      <c r="AF134" s="84">
        <f t="shared" si="58"/>
        <v>10817075</v>
      </c>
      <c r="AG134" s="84">
        <f t="shared" si="58"/>
        <v>11832105</v>
      </c>
      <c r="AH134" s="84">
        <f t="shared" si="58"/>
        <v>11750101</v>
      </c>
      <c r="AI134" s="84"/>
      <c r="AJ134" s="84">
        <f>AJ44+AJ57</f>
        <v>334911022</v>
      </c>
      <c r="AK134" s="117">
        <f>AJ134/(AJ72+AJ73)</f>
        <v>729.87785354542461</v>
      </c>
      <c r="AL134" s="83">
        <f>AVERAGE(AK134,'May-24'!AK151,'Apr-24'!AJ151)</f>
        <v>731.41265995364654</v>
      </c>
    </row>
    <row r="135" spans="1:38" x14ac:dyDescent="0.3">
      <c r="B135" s="44" t="s">
        <v>250</v>
      </c>
      <c r="E135" s="276">
        <f>(E49+E62)/E134</f>
        <v>0.28812485054061654</v>
      </c>
      <c r="F135" s="276">
        <f t="shared" ref="F135:AH135" si="59">(F49+F62)/F134</f>
        <v>0.28580622486522733</v>
      </c>
      <c r="G135" s="276">
        <f t="shared" si="59"/>
        <v>0.26433408665886049</v>
      </c>
      <c r="H135" s="276">
        <f t="shared" si="59"/>
        <v>0.2642812975778101</v>
      </c>
      <c r="I135" s="276">
        <f t="shared" si="59"/>
        <v>0.28889250506201675</v>
      </c>
      <c r="J135" s="276">
        <f t="shared" si="59"/>
        <v>0.27375033425640977</v>
      </c>
      <c r="K135" s="276">
        <f t="shared" si="59"/>
        <v>0.26769383152806503</v>
      </c>
      <c r="L135" s="276">
        <f t="shared" si="59"/>
        <v>0.14985292426147787</v>
      </c>
      <c r="M135" s="276">
        <f t="shared" si="59"/>
        <v>0.14536905681631332</v>
      </c>
      <c r="N135" s="276">
        <f t="shared" si="59"/>
        <v>0.15328889885744701</v>
      </c>
      <c r="O135" s="276">
        <f t="shared" si="59"/>
        <v>0.1655313274011172</v>
      </c>
      <c r="P135" s="276">
        <f t="shared" si="59"/>
        <v>0.15901509544851006</v>
      </c>
      <c r="Q135" s="276">
        <f t="shared" si="59"/>
        <v>0.15923542285724454</v>
      </c>
      <c r="R135" s="276">
        <f t="shared" si="59"/>
        <v>3.9268798095207967E-2</v>
      </c>
      <c r="S135" s="276">
        <f t="shared" si="59"/>
        <v>3.3451788716038509E-2</v>
      </c>
      <c r="T135" s="276">
        <f t="shared" si="59"/>
        <v>3.4913607530811255E-2</v>
      </c>
      <c r="U135" s="276">
        <f t="shared" si="59"/>
        <v>3.526372338364428E-2</v>
      </c>
      <c r="V135" s="276">
        <f t="shared" si="59"/>
        <v>0.16217899835223118</v>
      </c>
      <c r="W135" s="276">
        <f t="shared" si="59"/>
        <v>0.19696177922341662</v>
      </c>
      <c r="X135" s="276">
        <f t="shared" si="59"/>
        <v>0.20821297723463345</v>
      </c>
      <c r="Y135" s="276">
        <f t="shared" si="59"/>
        <v>0.15994038064664068</v>
      </c>
      <c r="Z135" s="276">
        <f t="shared" si="59"/>
        <v>0</v>
      </c>
      <c r="AA135" s="276">
        <f t="shared" si="59"/>
        <v>5.9999777342208155E-2</v>
      </c>
      <c r="AB135" s="276">
        <f t="shared" si="59"/>
        <v>0</v>
      </c>
      <c r="AC135" s="276">
        <f t="shared" si="59"/>
        <v>0</v>
      </c>
      <c r="AD135" s="276">
        <f t="shared" si="59"/>
        <v>0</v>
      </c>
      <c r="AE135" s="276">
        <f t="shared" si="59"/>
        <v>0</v>
      </c>
      <c r="AF135" s="276">
        <f t="shared" si="59"/>
        <v>0</v>
      </c>
      <c r="AG135" s="276">
        <f t="shared" si="59"/>
        <v>0</v>
      </c>
      <c r="AH135" s="276">
        <f t="shared" si="59"/>
        <v>0</v>
      </c>
      <c r="AI135" s="276"/>
      <c r="AJ135" s="276">
        <f>(AJ49+AJ62)/AJ134</f>
        <v>0.12054391557170072</v>
      </c>
    </row>
    <row r="136" spans="1:38" x14ac:dyDescent="0.3">
      <c r="B136" s="44" t="s">
        <v>251</v>
      </c>
      <c r="E136" s="276">
        <f t="shared" ref="E136:AH136" si="60">(E53+E66)/E134</f>
        <v>0.46216524280350418</v>
      </c>
      <c r="F136" s="276">
        <f t="shared" si="60"/>
        <v>0.45272911307560182</v>
      </c>
      <c r="G136" s="276">
        <f t="shared" si="60"/>
        <v>0.43336274725127155</v>
      </c>
      <c r="H136" s="276">
        <f t="shared" si="60"/>
        <v>0.46230504018100671</v>
      </c>
      <c r="I136" s="276">
        <f t="shared" si="60"/>
        <v>0.7066552851058463</v>
      </c>
      <c r="J136" s="276">
        <f t="shared" si="60"/>
        <v>0.57202413595662294</v>
      </c>
      <c r="K136" s="276">
        <f t="shared" si="60"/>
        <v>0.4153874792985614</v>
      </c>
      <c r="L136" s="276">
        <f t="shared" si="60"/>
        <v>0.7632183577042021</v>
      </c>
      <c r="M136" s="276">
        <f t="shared" si="60"/>
        <v>0.7460023498979208</v>
      </c>
      <c r="N136" s="276">
        <f t="shared" si="60"/>
        <v>0.79234668599376668</v>
      </c>
      <c r="O136" s="276">
        <f t="shared" si="60"/>
        <v>0.83063861411792161</v>
      </c>
      <c r="P136" s="276">
        <f t="shared" si="60"/>
        <v>0.81663633451056794</v>
      </c>
      <c r="Q136" s="276">
        <f>(Q53+Q66)/Q134</f>
        <v>0.83794843508122629</v>
      </c>
      <c r="R136" s="276">
        <f t="shared" si="60"/>
        <v>0.33870821317770011</v>
      </c>
      <c r="S136" s="276">
        <f t="shared" si="60"/>
        <v>0.32437917423165169</v>
      </c>
      <c r="T136" s="276">
        <f t="shared" si="60"/>
        <v>0.3187000657238061</v>
      </c>
      <c r="U136" s="276">
        <f t="shared" si="60"/>
        <v>0.32425386345494267</v>
      </c>
      <c r="V136" s="276">
        <f t="shared" si="60"/>
        <v>0.19564071670907265</v>
      </c>
      <c r="W136" s="276">
        <f t="shared" si="60"/>
        <v>0.19366660633730232</v>
      </c>
      <c r="X136" s="276">
        <f t="shared" si="60"/>
        <v>0.26065987609594599</v>
      </c>
      <c r="Y136" s="276">
        <f t="shared" si="60"/>
        <v>0.33378626275897544</v>
      </c>
      <c r="Z136" s="276">
        <f t="shared" si="60"/>
        <v>0.50424994737355078</v>
      </c>
      <c r="AA136" s="276">
        <f t="shared" si="60"/>
        <v>0.44390554586581826</v>
      </c>
      <c r="AB136" s="276">
        <f t="shared" si="60"/>
        <v>0.52517121614393769</v>
      </c>
      <c r="AC136" s="276">
        <f t="shared" si="60"/>
        <v>0.57415580543389888</v>
      </c>
      <c r="AD136" s="276">
        <f t="shared" si="60"/>
        <v>0.66943589265603343</v>
      </c>
      <c r="AE136" s="276">
        <f t="shared" si="60"/>
        <v>0.68337823771259287</v>
      </c>
      <c r="AF136" s="276">
        <f t="shared" si="60"/>
        <v>0.79741011317754573</v>
      </c>
      <c r="AG136" s="276">
        <f t="shared" si="60"/>
        <v>0.76930689847664468</v>
      </c>
      <c r="AH136" s="276">
        <f t="shared" si="60"/>
        <v>0.74585401436123822</v>
      </c>
      <c r="AI136" s="276"/>
      <c r="AJ136" s="276">
        <f>(AJ53+AJ66)/AJ134</f>
        <v>0.53980914524813706</v>
      </c>
      <c r="AK136" s="293">
        <f>AVERAGE(AJ136,'May-24'!AJ153,'Apr-24'!AI153)</f>
        <v>0.43165878674011698</v>
      </c>
    </row>
    <row r="137" spans="1:38" x14ac:dyDescent="0.3">
      <c r="B137" s="44" t="s">
        <v>270</v>
      </c>
      <c r="E137" s="276">
        <f>(E45+E58)/E134</f>
        <v>0.24989829548839296</v>
      </c>
      <c r="F137" s="276">
        <f>(F45+F58)/F134</f>
        <v>0.2532820895825959</v>
      </c>
      <c r="G137" s="276">
        <f t="shared" ref="G137:AH137" si="61">(G45+G58)/G134</f>
        <v>0.26131385343551528</v>
      </c>
      <c r="H137" s="276">
        <f t="shared" si="61"/>
        <v>0.22470906611667224</v>
      </c>
      <c r="I137" s="276">
        <f t="shared" si="61"/>
        <v>0</v>
      </c>
      <c r="J137" s="276">
        <f t="shared" si="61"/>
        <v>0.15483776666863067</v>
      </c>
      <c r="K137" s="276">
        <f t="shared" si="61"/>
        <v>0.30575961134475288</v>
      </c>
      <c r="L137" s="276">
        <f t="shared" si="61"/>
        <v>0</v>
      </c>
      <c r="M137" s="276">
        <f t="shared" si="61"/>
        <v>0</v>
      </c>
      <c r="N137" s="276">
        <f t="shared" si="61"/>
        <v>0</v>
      </c>
      <c r="O137" s="276">
        <f t="shared" si="61"/>
        <v>0</v>
      </c>
      <c r="P137" s="276">
        <f t="shared" si="61"/>
        <v>0</v>
      </c>
      <c r="Q137" s="276">
        <f t="shared" si="61"/>
        <v>0</v>
      </c>
      <c r="R137" s="276">
        <f t="shared" si="61"/>
        <v>0.62242411883767523</v>
      </c>
      <c r="S137" s="276">
        <f t="shared" si="61"/>
        <v>0.55474862381881862</v>
      </c>
      <c r="T137" s="276">
        <f t="shared" si="61"/>
        <v>0.57625790220861894</v>
      </c>
      <c r="U137" s="276">
        <f t="shared" si="61"/>
        <v>0.5825601231279095</v>
      </c>
      <c r="V137" s="276">
        <f t="shared" si="61"/>
        <v>0.59379340972887196</v>
      </c>
      <c r="W137" s="276">
        <f t="shared" si="61"/>
        <v>0.5294549199446329</v>
      </c>
      <c r="X137" s="276">
        <f t="shared" si="61"/>
        <v>0.47582623658452106</v>
      </c>
      <c r="Y137" s="276">
        <f t="shared" si="61"/>
        <v>0.44181845225183908</v>
      </c>
      <c r="Z137" s="276">
        <f t="shared" si="61"/>
        <v>0.44321474840106828</v>
      </c>
      <c r="AA137" s="276">
        <f t="shared" si="61"/>
        <v>0.45693882645849287</v>
      </c>
      <c r="AB137" s="276">
        <f t="shared" si="61"/>
        <v>0.47480191785031156</v>
      </c>
      <c r="AC137" s="276">
        <f t="shared" si="61"/>
        <v>0.42559857927511224</v>
      </c>
      <c r="AD137" s="276">
        <f t="shared" si="61"/>
        <v>0.31259342487517389</v>
      </c>
      <c r="AE137" s="276">
        <f t="shared" si="61"/>
        <v>0.31654769958548507</v>
      </c>
      <c r="AF137" s="276">
        <f t="shared" si="61"/>
        <v>0.20210491283456941</v>
      </c>
      <c r="AG137" s="276">
        <f t="shared" si="61"/>
        <v>0.20790814483137193</v>
      </c>
      <c r="AH137" s="276">
        <f t="shared" si="61"/>
        <v>0.2060778881815569</v>
      </c>
      <c r="AI137" s="276"/>
      <c r="AJ137" s="276">
        <f>(AJ58+AJ45)/AJ134</f>
        <v>0.30340407847192319</v>
      </c>
      <c r="AK137" s="293">
        <f>(AK45+AK58)/(AK44+AK57)</f>
        <v>0.22072895742793136</v>
      </c>
    </row>
    <row r="138" spans="1:38" x14ac:dyDescent="0.3">
      <c r="B138" s="44" t="s">
        <v>254</v>
      </c>
      <c r="E138" s="276">
        <f>((E101*E102)+(E105*E106))/E134</f>
        <v>0</v>
      </c>
      <c r="F138" s="276">
        <f t="shared" ref="F138:AH138" si="62">((F101*F102)+(F105*F106))/F134</f>
        <v>8.6325486763040114E-3</v>
      </c>
      <c r="G138" s="276">
        <f t="shared" si="62"/>
        <v>8.1682571408892013E-3</v>
      </c>
      <c r="H138" s="276">
        <f t="shared" si="62"/>
        <v>0</v>
      </c>
      <c r="I138" s="276">
        <f t="shared" si="62"/>
        <v>4.3496856932429117E-3</v>
      </c>
      <c r="J138" s="276">
        <f t="shared" si="62"/>
        <v>0</v>
      </c>
      <c r="K138" s="276">
        <f t="shared" si="62"/>
        <v>6.0298687940999445E-3</v>
      </c>
      <c r="L138" s="276">
        <f t="shared" si="62"/>
        <v>0</v>
      </c>
      <c r="M138" s="276">
        <f t="shared" si="62"/>
        <v>1.5489664782329206E-3</v>
      </c>
      <c r="N138" s="276">
        <f t="shared" si="62"/>
        <v>0</v>
      </c>
      <c r="O138" s="276">
        <f t="shared" si="62"/>
        <v>3.714817156943081E-3</v>
      </c>
      <c r="P138" s="276">
        <f t="shared" si="62"/>
        <v>0</v>
      </c>
      <c r="Q138" s="276">
        <f t="shared" si="62"/>
        <v>3.1084144410241806E-3</v>
      </c>
      <c r="R138" s="276">
        <f t="shared" si="62"/>
        <v>0</v>
      </c>
      <c r="S138" s="276">
        <f t="shared" si="62"/>
        <v>0</v>
      </c>
      <c r="T138" s="276">
        <f t="shared" si="62"/>
        <v>3.1960470775374513E-3</v>
      </c>
      <c r="U138" s="276">
        <f t="shared" si="62"/>
        <v>5.7865952084215338E-3</v>
      </c>
      <c r="V138" s="276">
        <f t="shared" si="62"/>
        <v>0</v>
      </c>
      <c r="W138" s="276">
        <f t="shared" si="62"/>
        <v>2.6286353752698892E-3</v>
      </c>
      <c r="X138" s="276">
        <f t="shared" si="62"/>
        <v>9.0306387090695653E-4</v>
      </c>
      <c r="Y138" s="276">
        <f t="shared" si="62"/>
        <v>4.8408928304594437E-3</v>
      </c>
      <c r="Z138" s="276">
        <f t="shared" si="62"/>
        <v>0</v>
      </c>
      <c r="AA138" s="276">
        <f t="shared" si="62"/>
        <v>1.8858330606337653E-3</v>
      </c>
      <c r="AB138" s="276">
        <f t="shared" si="62"/>
        <v>0</v>
      </c>
      <c r="AC138" s="276">
        <f t="shared" si="62"/>
        <v>0</v>
      </c>
      <c r="AD138" s="276">
        <f t="shared" si="62"/>
        <v>1.7893264342917478E-2</v>
      </c>
      <c r="AE138" s="276">
        <f t="shared" si="62"/>
        <v>0</v>
      </c>
      <c r="AF138" s="276">
        <f t="shared" si="62"/>
        <v>5.8143259615006822E-4</v>
      </c>
      <c r="AG138" s="276">
        <f t="shared" si="62"/>
        <v>0</v>
      </c>
      <c r="AH138" s="276">
        <f t="shared" si="62"/>
        <v>1.6071242281236561E-2</v>
      </c>
      <c r="AI138" s="276"/>
      <c r="AJ138" s="276">
        <f>((AJ101*AJ102)+(AJ105*AJ106))/AJ134</f>
        <v>3.0121610628867268E-3</v>
      </c>
    </row>
    <row r="139" spans="1:38" x14ac:dyDescent="0.3">
      <c r="B139" s="44" t="s">
        <v>255</v>
      </c>
      <c r="E139" s="276">
        <f>(E75*E77)/E134</f>
        <v>0</v>
      </c>
      <c r="F139" s="276">
        <f t="shared" ref="F139:AH139" si="63">(F75*F77)/F134</f>
        <v>0</v>
      </c>
      <c r="G139" s="276">
        <f t="shared" si="63"/>
        <v>3.3051020368380084E-2</v>
      </c>
      <c r="H139" s="276">
        <f t="shared" si="63"/>
        <v>4.9007144557089329E-2</v>
      </c>
      <c r="I139" s="276">
        <f t="shared" si="63"/>
        <v>0</v>
      </c>
      <c r="J139" s="276">
        <f t="shared" si="63"/>
        <v>0</v>
      </c>
      <c r="K139" s="276">
        <f t="shared" si="63"/>
        <v>0</v>
      </c>
      <c r="L139" s="276">
        <f t="shared" si="63"/>
        <v>8.6988740405838288E-2</v>
      </c>
      <c r="M139" s="276">
        <f t="shared" si="63"/>
        <v>0.10676673957111162</v>
      </c>
      <c r="N139" s="276">
        <f t="shared" si="63"/>
        <v>5.4468945523689645E-2</v>
      </c>
      <c r="O139" s="276">
        <f t="shared" si="63"/>
        <v>0</v>
      </c>
      <c r="P139" s="276">
        <f t="shared" si="63"/>
        <v>2.4995034391937485E-2</v>
      </c>
      <c r="Q139" s="276">
        <f t="shared" si="63"/>
        <v>0</v>
      </c>
      <c r="R139" s="276">
        <f t="shared" si="63"/>
        <v>0</v>
      </c>
      <c r="S139" s="276">
        <f t="shared" si="63"/>
        <v>8.7501863733994253E-2</v>
      </c>
      <c r="T139" s="276">
        <f t="shared" si="63"/>
        <v>6.7325470183682873E-2</v>
      </c>
      <c r="U139" s="276">
        <f t="shared" si="63"/>
        <v>5.1650995942582545E-2</v>
      </c>
      <c r="V139" s="276">
        <f t="shared" si="63"/>
        <v>4.7966305506657078E-2</v>
      </c>
      <c r="W139" s="276">
        <f t="shared" si="63"/>
        <v>7.6856041391042199E-2</v>
      </c>
      <c r="X139" s="276">
        <f t="shared" si="63"/>
        <v>5.4543064823138143E-2</v>
      </c>
      <c r="Y139" s="276">
        <f t="shared" si="63"/>
        <v>5.9261709542608419E-2</v>
      </c>
      <c r="Z139" s="276">
        <f t="shared" si="63"/>
        <v>5.2175174646379191E-2</v>
      </c>
      <c r="AA139" s="276">
        <f>(AA75*AA77)/AA134</f>
        <v>3.7282444782554422E-2</v>
      </c>
      <c r="AB139" s="276">
        <f t="shared" si="63"/>
        <v>0</v>
      </c>
      <c r="AC139" s="276">
        <f t="shared" si="63"/>
        <v>0</v>
      </c>
      <c r="AD139" s="276">
        <f t="shared" si="63"/>
        <v>0</v>
      </c>
      <c r="AE139" s="276">
        <f t="shared" si="63"/>
        <v>0</v>
      </c>
      <c r="AF139" s="276">
        <f t="shared" si="63"/>
        <v>0</v>
      </c>
      <c r="AG139" s="276">
        <f t="shared" si="63"/>
        <v>2.2595049655154346E-2</v>
      </c>
      <c r="AH139" s="276">
        <f t="shared" si="63"/>
        <v>3.2188063745154191E-2</v>
      </c>
      <c r="AI139" s="276"/>
      <c r="AJ139" s="276">
        <f>(AJ75*AJ77)/AJ134</f>
        <v>3.3102741539512544E-2</v>
      </c>
    </row>
  </sheetData>
  <mergeCells count="4">
    <mergeCell ref="A118:A119"/>
    <mergeCell ref="A120:A121"/>
    <mergeCell ref="A123:A124"/>
    <mergeCell ref="A125:A126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96569-091E-4C86-9F8E-3F67FBC1EB44}">
  <dimension ref="A1:ZC139"/>
  <sheetViews>
    <sheetView zoomScale="85" zoomScaleNormal="85" workbookViewId="0">
      <pane xSplit="4" ySplit="2" topLeftCell="AC3" activePane="bottomRight" state="frozen"/>
      <selection activeCell="AL51" sqref="AL51"/>
      <selection pane="topRight" activeCell="AL51" sqref="AL51"/>
      <selection pane="bottomLeft" activeCell="AL51" sqref="AL51"/>
      <selection pane="bottomRight" activeCell="AJ12" sqref="AJ12"/>
    </sheetView>
  </sheetViews>
  <sheetFormatPr defaultColWidth="8.6640625" defaultRowHeight="14.4" x14ac:dyDescent="0.3"/>
  <cols>
    <col min="1" max="1" width="4" customWidth="1"/>
    <col min="2" max="2" width="35.6640625" customWidth="1"/>
    <col min="3" max="3" width="20" style="2" bestFit="1" customWidth="1"/>
    <col min="4" max="4" width="14.33203125" style="2" bestFit="1" customWidth="1"/>
    <col min="5" max="5" width="13.21875" style="3" bestFit="1" customWidth="1"/>
    <col min="6" max="12" width="11" style="3" bestFit="1" customWidth="1"/>
    <col min="13" max="13" width="11" style="2" bestFit="1" customWidth="1"/>
    <col min="14" max="26" width="11" style="3" bestFit="1" customWidth="1"/>
    <col min="27" max="29" width="10.6640625" style="3" customWidth="1"/>
    <col min="30" max="33" width="12.44140625" style="3" customWidth="1"/>
    <col min="34" max="34" width="13" style="3" customWidth="1"/>
    <col min="35" max="35" width="11.109375" style="3" customWidth="1"/>
    <col min="36" max="36" width="15" style="3" bestFit="1" customWidth="1"/>
    <col min="37" max="37" width="14.109375" bestFit="1" customWidth="1"/>
    <col min="38" max="38" width="16" customWidth="1"/>
  </cols>
  <sheetData>
    <row r="1" spans="1:253" ht="28.8" x14ac:dyDescent="0.55000000000000004">
      <c r="A1" s="1" t="s">
        <v>0</v>
      </c>
      <c r="N1"/>
      <c r="O1"/>
      <c r="P1"/>
      <c r="R1"/>
      <c r="S1"/>
      <c r="T1"/>
      <c r="U1"/>
    </row>
    <row r="2" spans="1:253" x14ac:dyDescent="0.3">
      <c r="A2" s="4" t="s">
        <v>1</v>
      </c>
      <c r="B2" s="5" t="s">
        <v>2</v>
      </c>
      <c r="C2" s="4" t="s">
        <v>3</v>
      </c>
      <c r="D2" s="4" t="s">
        <v>4</v>
      </c>
      <c r="E2" s="6">
        <v>45474</v>
      </c>
      <c r="F2" s="6">
        <v>45475</v>
      </c>
      <c r="G2" s="6">
        <v>45476</v>
      </c>
      <c r="H2" s="6">
        <v>45477</v>
      </c>
      <c r="I2" s="6">
        <v>45478</v>
      </c>
      <c r="J2" s="6">
        <v>45479</v>
      </c>
      <c r="K2" s="6">
        <v>45480</v>
      </c>
      <c r="L2" s="6">
        <v>45481</v>
      </c>
      <c r="M2" s="6">
        <v>45482</v>
      </c>
      <c r="N2" s="6">
        <v>45483</v>
      </c>
      <c r="O2" s="6">
        <v>45484</v>
      </c>
      <c r="P2" s="6">
        <v>45485</v>
      </c>
      <c r="Q2" s="6">
        <v>45486</v>
      </c>
      <c r="R2" s="6">
        <v>45487</v>
      </c>
      <c r="S2" s="6">
        <v>45488</v>
      </c>
      <c r="T2" s="6">
        <v>45489</v>
      </c>
      <c r="U2" s="6">
        <v>45490</v>
      </c>
      <c r="V2" s="6">
        <v>45491</v>
      </c>
      <c r="W2" s="6">
        <v>45492</v>
      </c>
      <c r="X2" s="6">
        <v>45493</v>
      </c>
      <c r="Y2" s="6">
        <v>45494</v>
      </c>
      <c r="Z2" s="6">
        <v>45495</v>
      </c>
      <c r="AA2" s="6">
        <v>45496</v>
      </c>
      <c r="AB2" s="6">
        <v>45497</v>
      </c>
      <c r="AC2" s="6">
        <v>45498</v>
      </c>
      <c r="AD2" s="6">
        <v>45499</v>
      </c>
      <c r="AE2" s="6">
        <v>45500</v>
      </c>
      <c r="AF2" s="6">
        <v>45501</v>
      </c>
      <c r="AG2" s="6">
        <v>45502</v>
      </c>
      <c r="AH2" s="6">
        <v>45503</v>
      </c>
      <c r="AI2" s="6">
        <v>45504</v>
      </c>
      <c r="AJ2" s="7">
        <v>45474</v>
      </c>
    </row>
    <row r="3" spans="1:253" x14ac:dyDescent="0.3">
      <c r="A3" s="8"/>
      <c r="B3" s="9" t="s">
        <v>5</v>
      </c>
      <c r="C3" s="10" t="s">
        <v>6</v>
      </c>
      <c r="D3" s="10" t="s">
        <v>7</v>
      </c>
      <c r="E3" s="10">
        <f>E79+E80+E84+E85</f>
        <v>8305</v>
      </c>
      <c r="F3" s="10">
        <f t="shared" ref="F3:AH3" si="0">F79+F80+F84+F85</f>
        <v>8741</v>
      </c>
      <c r="G3" s="10">
        <f t="shared" si="0"/>
        <v>7638</v>
      </c>
      <c r="H3" s="10">
        <f t="shared" si="0"/>
        <v>9329</v>
      </c>
      <c r="I3" s="10">
        <f t="shared" si="0"/>
        <v>5856</v>
      </c>
      <c r="J3" s="10">
        <f t="shared" si="0"/>
        <v>4789</v>
      </c>
      <c r="K3" s="10">
        <f t="shared" si="0"/>
        <v>10579</v>
      </c>
      <c r="L3" s="10">
        <f t="shared" si="0"/>
        <v>9961</v>
      </c>
      <c r="M3" s="10">
        <f t="shared" si="0"/>
        <v>5474</v>
      </c>
      <c r="N3" s="10">
        <f t="shared" si="0"/>
        <v>6512</v>
      </c>
      <c r="O3" s="10">
        <f t="shared" si="0"/>
        <v>8258</v>
      </c>
      <c r="P3" s="10">
        <f t="shared" si="0"/>
        <v>10601</v>
      </c>
      <c r="Q3" s="10">
        <f t="shared" si="0"/>
        <v>7785</v>
      </c>
      <c r="R3" s="10">
        <f t="shared" si="0"/>
        <v>7860</v>
      </c>
      <c r="S3" s="10">
        <f t="shared" si="0"/>
        <v>9281</v>
      </c>
      <c r="T3" s="10">
        <f t="shared" si="0"/>
        <v>9815</v>
      </c>
      <c r="U3" s="10">
        <f t="shared" si="0"/>
        <v>2495</v>
      </c>
      <c r="V3" s="10">
        <f t="shared" si="0"/>
        <v>6958</v>
      </c>
      <c r="W3" s="10">
        <f t="shared" si="0"/>
        <v>7945</v>
      </c>
      <c r="X3" s="10">
        <f t="shared" si="0"/>
        <v>11610</v>
      </c>
      <c r="Y3" s="10">
        <f t="shared" si="0"/>
        <v>3882</v>
      </c>
      <c r="Z3" s="10">
        <f t="shared" si="0"/>
        <v>11842</v>
      </c>
      <c r="AA3" s="10">
        <f t="shared" si="0"/>
        <v>5552</v>
      </c>
      <c r="AB3" s="10">
        <f t="shared" si="0"/>
        <v>11860</v>
      </c>
      <c r="AC3" s="10">
        <f t="shared" si="0"/>
        <v>8385</v>
      </c>
      <c r="AD3" s="10">
        <f t="shared" si="0"/>
        <v>11440</v>
      </c>
      <c r="AE3" s="10">
        <f t="shared" si="0"/>
        <v>14061</v>
      </c>
      <c r="AF3" s="10">
        <f t="shared" si="0"/>
        <v>12871</v>
      </c>
      <c r="AG3" s="10">
        <f t="shared" si="0"/>
        <v>13325</v>
      </c>
      <c r="AH3" s="10">
        <f t="shared" si="0"/>
        <v>5330</v>
      </c>
      <c r="AI3" s="10">
        <f t="shared" ref="AI3" si="1">AI79+AI80+AI84+AI85</f>
        <v>8990</v>
      </c>
      <c r="AJ3" s="11">
        <f>SUM(E3:AI3)</f>
        <v>267330</v>
      </c>
      <c r="AK3" s="12">
        <f>AJ3+'Apr-24'!AI3+'May-24'!AJ3+'Jun-24'!AJ3</f>
        <v>1375485</v>
      </c>
    </row>
    <row r="4" spans="1:253" x14ac:dyDescent="0.3">
      <c r="A4" s="8"/>
      <c r="B4" s="9" t="s">
        <v>8</v>
      </c>
      <c r="C4" s="10" t="s">
        <v>6</v>
      </c>
      <c r="D4" s="10" t="s">
        <v>7</v>
      </c>
      <c r="E4" s="10">
        <f>E90+E91+E94+E95</f>
        <v>2833</v>
      </c>
      <c r="F4" s="10">
        <f t="shared" ref="F4:AH4" si="2">F90+F91+F94+F95</f>
        <v>2978</v>
      </c>
      <c r="G4" s="10">
        <f t="shared" si="2"/>
        <v>2375</v>
      </c>
      <c r="H4" s="10">
        <f t="shared" si="2"/>
        <v>2958</v>
      </c>
      <c r="I4" s="10">
        <f t="shared" si="2"/>
        <v>1997</v>
      </c>
      <c r="J4" s="10">
        <f t="shared" si="2"/>
        <v>1654</v>
      </c>
      <c r="K4" s="10">
        <f t="shared" si="2"/>
        <v>3574</v>
      </c>
      <c r="L4" s="10">
        <f t="shared" si="2"/>
        <v>3409</v>
      </c>
      <c r="M4" s="10">
        <f t="shared" si="2"/>
        <v>1866</v>
      </c>
      <c r="N4" s="10">
        <f t="shared" si="2"/>
        <v>2219</v>
      </c>
      <c r="O4" s="10">
        <f>O90+O91+O94+O95</f>
        <v>2813</v>
      </c>
      <c r="P4" s="10">
        <f>P90+P91+P94+P95</f>
        <v>3607</v>
      </c>
      <c r="Q4" s="10">
        <f>Q90+Q91+Q94+Q95</f>
        <v>2571</v>
      </c>
      <c r="R4" s="10">
        <f>R90+R91+R94+R95</f>
        <v>2689</v>
      </c>
      <c r="S4" s="10">
        <f t="shared" si="2"/>
        <v>3134</v>
      </c>
      <c r="T4" s="10">
        <f t="shared" si="2"/>
        <v>3354</v>
      </c>
      <c r="U4" s="10">
        <f t="shared" si="2"/>
        <v>853</v>
      </c>
      <c r="V4" s="10">
        <f t="shared" si="2"/>
        <v>2377</v>
      </c>
      <c r="W4" s="10">
        <f t="shared" si="2"/>
        <v>2708</v>
      </c>
      <c r="X4" s="10">
        <f t="shared" si="2"/>
        <v>3963</v>
      </c>
      <c r="Y4" s="10">
        <f t="shared" si="2"/>
        <v>1318</v>
      </c>
      <c r="Z4" s="10">
        <f t="shared" si="2"/>
        <v>4006</v>
      </c>
      <c r="AA4" s="10">
        <f t="shared" si="2"/>
        <v>1866</v>
      </c>
      <c r="AB4" s="10">
        <f t="shared" si="2"/>
        <v>4077</v>
      </c>
      <c r="AC4" s="10">
        <f t="shared" si="2"/>
        <v>2827</v>
      </c>
      <c r="AD4" s="10">
        <f t="shared" si="2"/>
        <v>3893</v>
      </c>
      <c r="AE4" s="10">
        <f t="shared" si="2"/>
        <v>4694</v>
      </c>
      <c r="AF4" s="10">
        <f t="shared" si="2"/>
        <v>4151</v>
      </c>
      <c r="AG4" s="10">
        <f t="shared" si="2"/>
        <v>4348</v>
      </c>
      <c r="AH4" s="10">
        <f t="shared" si="2"/>
        <v>1804</v>
      </c>
      <c r="AI4" s="10">
        <f t="shared" ref="AI4" si="3">AI90+AI91+AI94+AI95</f>
        <v>3066</v>
      </c>
      <c r="AJ4" s="11">
        <f>SUM(E4:AI4)</f>
        <v>89982</v>
      </c>
      <c r="AK4" s="12">
        <f>AJ4+'Apr-24'!AI4+'May-24'!AJ4+'Jun-24'!AJ4</f>
        <v>449978</v>
      </c>
    </row>
    <row r="5" spans="1:253" s="19" customFormat="1" x14ac:dyDescent="0.3">
      <c r="A5" s="13">
        <v>1</v>
      </c>
      <c r="B5" s="14" t="s">
        <v>9</v>
      </c>
      <c r="C5" s="15" t="s">
        <v>6</v>
      </c>
      <c r="D5" s="15" t="s">
        <v>10</v>
      </c>
      <c r="E5" s="16">
        <f t="shared" ref="E5:AH5" si="4">E4/E3</f>
        <v>0.34111980734497288</v>
      </c>
      <c r="F5" s="16">
        <f t="shared" si="4"/>
        <v>0.34069328452122183</v>
      </c>
      <c r="G5" s="16">
        <f t="shared" si="4"/>
        <v>0.31094527363184077</v>
      </c>
      <c r="H5" s="16">
        <f t="shared" si="4"/>
        <v>0.31707578518597923</v>
      </c>
      <c r="I5" s="16">
        <f t="shared" si="4"/>
        <v>0.34101775956284153</v>
      </c>
      <c r="J5" s="16">
        <f t="shared" si="4"/>
        <v>0.34537481728962205</v>
      </c>
      <c r="K5" s="16">
        <f t="shared" si="4"/>
        <v>0.33783911522828247</v>
      </c>
      <c r="L5" s="16">
        <f t="shared" si="4"/>
        <v>0.34223471539002109</v>
      </c>
      <c r="M5" s="17">
        <f t="shared" si="4"/>
        <v>0.34088417975886004</v>
      </c>
      <c r="N5" s="16">
        <f t="shared" si="4"/>
        <v>0.34075552825552824</v>
      </c>
      <c r="O5" s="16">
        <f t="shared" si="4"/>
        <v>0.3406393799951562</v>
      </c>
      <c r="P5" s="16">
        <f t="shared" si="4"/>
        <v>0.34025091972455429</v>
      </c>
      <c r="Q5" s="16">
        <f t="shared" si="4"/>
        <v>0.33025048169556842</v>
      </c>
      <c r="R5" s="16">
        <f t="shared" si="4"/>
        <v>0.3421119592875318</v>
      </c>
      <c r="S5" s="16">
        <f t="shared" si="4"/>
        <v>0.33767912940415906</v>
      </c>
      <c r="T5" s="16">
        <f t="shared" si="4"/>
        <v>0.34172185430463575</v>
      </c>
      <c r="U5" s="16">
        <f t="shared" si="4"/>
        <v>0.34188376753507016</v>
      </c>
      <c r="V5" s="16">
        <f t="shared" si="4"/>
        <v>0.34162115550445532</v>
      </c>
      <c r="W5" s="16">
        <f t="shared" si="4"/>
        <v>0.34084329767149152</v>
      </c>
      <c r="X5" s="16">
        <f t="shared" si="4"/>
        <v>0.34134366925064602</v>
      </c>
      <c r="Y5" s="16">
        <f t="shared" si="4"/>
        <v>0.33951571354971666</v>
      </c>
      <c r="Z5" s="16">
        <f t="shared" si="4"/>
        <v>0.33828745144401284</v>
      </c>
      <c r="AA5" s="16">
        <f t="shared" si="4"/>
        <v>0.3360951008645533</v>
      </c>
      <c r="AB5" s="16">
        <f t="shared" si="4"/>
        <v>0.34376053962900505</v>
      </c>
      <c r="AC5" s="16">
        <f t="shared" si="4"/>
        <v>0.33714967203339297</v>
      </c>
      <c r="AD5" s="16">
        <f t="shared" si="4"/>
        <v>0.34029720279720282</v>
      </c>
      <c r="AE5" s="16">
        <f t="shared" si="4"/>
        <v>0.33383116421307163</v>
      </c>
      <c r="AF5" s="16">
        <f t="shared" si="4"/>
        <v>0.32250796363918888</v>
      </c>
      <c r="AG5" s="16">
        <f t="shared" si="4"/>
        <v>0.32630393996247653</v>
      </c>
      <c r="AH5" s="16">
        <f t="shared" si="4"/>
        <v>0.33846153846153848</v>
      </c>
      <c r="AI5" s="16">
        <f t="shared" ref="AI5" si="5">AI4/AI3</f>
        <v>0.34104560622914348</v>
      </c>
      <c r="AJ5" s="18">
        <f>AJ4/AJ3</f>
        <v>0.33659521939176301</v>
      </c>
      <c r="AK5" s="18">
        <f>AK4/AK3</f>
        <v>0.32714133560162417</v>
      </c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</row>
    <row r="6" spans="1:253" x14ac:dyDescent="0.3">
      <c r="A6" s="8"/>
      <c r="B6" s="9" t="s">
        <v>8</v>
      </c>
      <c r="C6" s="10" t="s">
        <v>6</v>
      </c>
      <c r="D6" s="10" t="s">
        <v>7</v>
      </c>
      <c r="E6" s="10">
        <f>E92</f>
        <v>0</v>
      </c>
      <c r="F6" s="10">
        <f t="shared" ref="F6:AH6" si="6">F92</f>
        <v>0</v>
      </c>
      <c r="G6" s="10">
        <f t="shared" si="6"/>
        <v>558</v>
      </c>
      <c r="H6" s="10">
        <f t="shared" si="6"/>
        <v>237</v>
      </c>
      <c r="I6" s="10">
        <f t="shared" si="6"/>
        <v>629</v>
      </c>
      <c r="J6" s="10">
        <f>J92</f>
        <v>0</v>
      </c>
      <c r="K6" s="10">
        <f t="shared" si="6"/>
        <v>266</v>
      </c>
      <c r="L6" s="10">
        <f t="shared" si="6"/>
        <v>0</v>
      </c>
      <c r="M6" s="10">
        <f t="shared" si="6"/>
        <v>157</v>
      </c>
      <c r="N6" s="10">
        <f t="shared" si="6"/>
        <v>0</v>
      </c>
      <c r="O6" s="10">
        <f>O92</f>
        <v>0</v>
      </c>
      <c r="P6" s="10">
        <f>P92</f>
        <v>344</v>
      </c>
      <c r="Q6" s="10">
        <f>Q92</f>
        <v>0</v>
      </c>
      <c r="R6" s="10">
        <f>R92</f>
        <v>0</v>
      </c>
      <c r="S6" s="10">
        <f t="shared" si="6"/>
        <v>0</v>
      </c>
      <c r="T6" s="10">
        <f t="shared" si="6"/>
        <v>0</v>
      </c>
      <c r="U6" s="10">
        <f t="shared" si="6"/>
        <v>0</v>
      </c>
      <c r="V6" s="10">
        <f t="shared" si="6"/>
        <v>592</v>
      </c>
      <c r="W6" s="10">
        <f t="shared" si="6"/>
        <v>0</v>
      </c>
      <c r="X6" s="10">
        <f t="shared" si="6"/>
        <v>0</v>
      </c>
      <c r="Y6" s="10">
        <f t="shared" si="6"/>
        <v>0</v>
      </c>
      <c r="Z6" s="10">
        <f t="shared" si="6"/>
        <v>0</v>
      </c>
      <c r="AA6" s="10">
        <f t="shared" si="6"/>
        <v>552</v>
      </c>
      <c r="AB6" s="10">
        <f t="shared" si="6"/>
        <v>160</v>
      </c>
      <c r="AC6" s="10">
        <f t="shared" si="6"/>
        <v>0</v>
      </c>
      <c r="AD6" s="10">
        <f t="shared" si="6"/>
        <v>0</v>
      </c>
      <c r="AE6" s="10">
        <f t="shared" si="6"/>
        <v>324</v>
      </c>
      <c r="AF6" s="10">
        <f t="shared" si="6"/>
        <v>472</v>
      </c>
      <c r="AG6" s="10">
        <f t="shared" si="6"/>
        <v>496</v>
      </c>
      <c r="AH6" s="10">
        <f t="shared" si="6"/>
        <v>0</v>
      </c>
      <c r="AI6" s="10">
        <f t="shared" ref="AI6" si="7">AI92</f>
        <v>0</v>
      </c>
      <c r="AJ6" s="11">
        <f>SUM(E6:AI6)</f>
        <v>4787</v>
      </c>
      <c r="AK6" s="12">
        <f>AJ6+'Apr-24'!AI6+'May-24'!AJ6+'Jun-24'!AJ6</f>
        <v>20017</v>
      </c>
    </row>
    <row r="7" spans="1:253" x14ac:dyDescent="0.3">
      <c r="A7" s="8"/>
      <c r="B7" s="9" t="s">
        <v>11</v>
      </c>
      <c r="C7" s="10" t="s">
        <v>6</v>
      </c>
      <c r="D7" s="10" t="s">
        <v>7</v>
      </c>
      <c r="E7" s="10">
        <f>E81</f>
        <v>0</v>
      </c>
      <c r="F7" s="10">
        <f t="shared" ref="F7:AH7" si="8">F81</f>
        <v>0</v>
      </c>
      <c r="G7" s="10">
        <f t="shared" si="8"/>
        <v>2061</v>
      </c>
      <c r="H7" s="10">
        <f t="shared" si="8"/>
        <v>845</v>
      </c>
      <c r="I7" s="10">
        <f t="shared" si="8"/>
        <v>2166</v>
      </c>
      <c r="J7" s="10">
        <f t="shared" si="8"/>
        <v>0</v>
      </c>
      <c r="K7" s="10">
        <f t="shared" si="8"/>
        <v>948</v>
      </c>
      <c r="L7" s="10">
        <f t="shared" si="8"/>
        <v>0</v>
      </c>
      <c r="M7" s="10">
        <f t="shared" si="8"/>
        <v>559</v>
      </c>
      <c r="N7" s="10">
        <f t="shared" si="8"/>
        <v>0</v>
      </c>
      <c r="O7" s="10">
        <f t="shared" si="8"/>
        <v>0</v>
      </c>
      <c r="P7" s="10">
        <f t="shared" si="8"/>
        <v>1229</v>
      </c>
      <c r="Q7" s="10">
        <f t="shared" si="8"/>
        <v>0</v>
      </c>
      <c r="R7" s="10">
        <f t="shared" si="8"/>
        <v>0</v>
      </c>
      <c r="S7" s="10">
        <f t="shared" si="8"/>
        <v>0</v>
      </c>
      <c r="T7" s="10">
        <f t="shared" si="8"/>
        <v>0</v>
      </c>
      <c r="U7" s="10">
        <f t="shared" si="8"/>
        <v>0</v>
      </c>
      <c r="V7" s="10">
        <f t="shared" si="8"/>
        <v>2110</v>
      </c>
      <c r="W7" s="10">
        <f t="shared" si="8"/>
        <v>0</v>
      </c>
      <c r="X7" s="10">
        <f t="shared" si="8"/>
        <v>0</v>
      </c>
      <c r="Y7" s="10">
        <f t="shared" si="8"/>
        <v>0</v>
      </c>
      <c r="Z7" s="10">
        <f t="shared" si="8"/>
        <v>0</v>
      </c>
      <c r="AA7" s="10">
        <f t="shared" si="8"/>
        <v>1895</v>
      </c>
      <c r="AB7" s="10">
        <f t="shared" si="8"/>
        <v>550</v>
      </c>
      <c r="AC7" s="10">
        <f t="shared" si="8"/>
        <v>0</v>
      </c>
      <c r="AD7" s="10">
        <f t="shared" si="8"/>
        <v>0</v>
      </c>
      <c r="AE7" s="10">
        <f t="shared" si="8"/>
        <v>1156</v>
      </c>
      <c r="AF7" s="10">
        <f t="shared" si="8"/>
        <v>1680</v>
      </c>
      <c r="AG7" s="10">
        <f t="shared" si="8"/>
        <v>1825</v>
      </c>
      <c r="AH7" s="10">
        <f t="shared" si="8"/>
        <v>0</v>
      </c>
      <c r="AI7" s="10">
        <f t="shared" ref="AI7" si="9">AI81</f>
        <v>0</v>
      </c>
      <c r="AJ7" s="11">
        <f>SUM(E7:AI7)</f>
        <v>17024</v>
      </c>
      <c r="AK7" s="12">
        <f>AJ7+'Apr-24'!AI7+'May-24'!AJ7+'Jun-24'!AJ7</f>
        <v>72257</v>
      </c>
    </row>
    <row r="8" spans="1:253" s="19" customFormat="1" x14ac:dyDescent="0.3">
      <c r="A8" s="13">
        <v>2</v>
      </c>
      <c r="B8" s="14" t="s">
        <v>12</v>
      </c>
      <c r="C8" s="15" t="s">
        <v>6</v>
      </c>
      <c r="D8" s="15" t="s">
        <v>10</v>
      </c>
      <c r="E8" s="21" t="str">
        <f t="shared" ref="E8:AH8" si="10">IFERROR(E6/E7,"-")</f>
        <v>-</v>
      </c>
      <c r="F8" s="21" t="str">
        <f t="shared" si="10"/>
        <v>-</v>
      </c>
      <c r="G8" s="21">
        <f t="shared" si="10"/>
        <v>0.27074235807860264</v>
      </c>
      <c r="H8" s="21">
        <f t="shared" si="10"/>
        <v>0.2804733727810651</v>
      </c>
      <c r="I8" s="21">
        <f t="shared" si="10"/>
        <v>0.29039704524469068</v>
      </c>
      <c r="J8" s="21" t="str">
        <f t="shared" si="10"/>
        <v>-</v>
      </c>
      <c r="K8" s="21">
        <f t="shared" si="10"/>
        <v>0.28059071729957807</v>
      </c>
      <c r="L8" s="21" t="str">
        <f t="shared" si="10"/>
        <v>-</v>
      </c>
      <c r="M8" s="21">
        <f t="shared" si="10"/>
        <v>0.28085867620751342</v>
      </c>
      <c r="N8" s="21" t="str">
        <f t="shared" si="10"/>
        <v>-</v>
      </c>
      <c r="O8" s="21" t="str">
        <f t="shared" si="10"/>
        <v>-</v>
      </c>
      <c r="P8" s="21">
        <f t="shared" si="10"/>
        <v>0.27990235964198534</v>
      </c>
      <c r="Q8" s="21" t="str">
        <f t="shared" si="10"/>
        <v>-</v>
      </c>
      <c r="R8" s="21" t="str">
        <f t="shared" si="10"/>
        <v>-</v>
      </c>
      <c r="S8" s="21" t="str">
        <f t="shared" si="10"/>
        <v>-</v>
      </c>
      <c r="T8" s="21" t="str">
        <f t="shared" si="10"/>
        <v>-</v>
      </c>
      <c r="U8" s="21" t="str">
        <f t="shared" si="10"/>
        <v>-</v>
      </c>
      <c r="V8" s="21">
        <f t="shared" si="10"/>
        <v>0.28056872037914693</v>
      </c>
      <c r="W8" s="21" t="str">
        <f t="shared" si="10"/>
        <v>-</v>
      </c>
      <c r="X8" s="21" t="str">
        <f t="shared" si="10"/>
        <v>-</v>
      </c>
      <c r="Y8" s="21" t="str">
        <f t="shared" si="10"/>
        <v>-</v>
      </c>
      <c r="Z8" s="21" t="str">
        <f t="shared" si="10"/>
        <v>-</v>
      </c>
      <c r="AA8" s="21">
        <f t="shared" si="10"/>
        <v>0.29129287598944592</v>
      </c>
      <c r="AB8" s="21">
        <f t="shared" si="10"/>
        <v>0.29090909090909089</v>
      </c>
      <c r="AC8" s="21" t="str">
        <f t="shared" si="10"/>
        <v>-</v>
      </c>
      <c r="AD8" s="21" t="str">
        <f t="shared" si="10"/>
        <v>-</v>
      </c>
      <c r="AE8" s="21">
        <f t="shared" si="10"/>
        <v>0.28027681660899656</v>
      </c>
      <c r="AF8" s="21">
        <f t="shared" si="10"/>
        <v>0.28095238095238095</v>
      </c>
      <c r="AG8" s="21">
        <f t="shared" si="10"/>
        <v>0.27178082191780822</v>
      </c>
      <c r="AH8" s="21" t="str">
        <f t="shared" si="10"/>
        <v>-</v>
      </c>
      <c r="AI8" s="21" t="str">
        <f t="shared" ref="AI8" si="11">IFERROR(AI6/AI7,"-")</f>
        <v>-</v>
      </c>
      <c r="AJ8" s="18">
        <f>AJ6/AJ7</f>
        <v>0.28119125939849626</v>
      </c>
      <c r="AK8" s="18">
        <f>AK6/AK7</f>
        <v>0.2770250633156649</v>
      </c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</row>
    <row r="9" spans="1:253" x14ac:dyDescent="0.3">
      <c r="A9" s="8"/>
      <c r="B9" s="9" t="s">
        <v>8</v>
      </c>
      <c r="C9" s="10" t="s">
        <v>6</v>
      </c>
      <c r="D9" s="10" t="s">
        <v>7</v>
      </c>
      <c r="E9" s="10">
        <f>E93</f>
        <v>507</v>
      </c>
      <c r="F9" s="10">
        <f t="shared" ref="F9:AH9" si="12">F93</f>
        <v>0</v>
      </c>
      <c r="G9" s="10">
        <f t="shared" si="12"/>
        <v>593</v>
      </c>
      <c r="H9" s="10">
        <f t="shared" si="12"/>
        <v>0</v>
      </c>
      <c r="I9" s="10">
        <f t="shared" si="12"/>
        <v>0</v>
      </c>
      <c r="J9" s="10">
        <f t="shared" si="12"/>
        <v>278</v>
      </c>
      <c r="K9" s="10">
        <f t="shared" si="12"/>
        <v>351</v>
      </c>
      <c r="L9" s="10">
        <f t="shared" si="12"/>
        <v>0</v>
      </c>
      <c r="M9" s="10">
        <f t="shared" si="12"/>
        <v>636</v>
      </c>
      <c r="N9" s="10">
        <f t="shared" si="12"/>
        <v>0</v>
      </c>
      <c r="O9" s="10">
        <f t="shared" si="12"/>
        <v>0</v>
      </c>
      <c r="P9" s="10">
        <f t="shared" si="12"/>
        <v>0</v>
      </c>
      <c r="Q9" s="10">
        <f t="shared" si="12"/>
        <v>895</v>
      </c>
      <c r="R9" s="10">
        <f t="shared" si="12"/>
        <v>0</v>
      </c>
      <c r="S9" s="10">
        <f t="shared" si="12"/>
        <v>333</v>
      </c>
      <c r="T9" s="10">
        <f t="shared" si="12"/>
        <v>0</v>
      </c>
      <c r="U9" s="10">
        <f t="shared" si="12"/>
        <v>0</v>
      </c>
      <c r="V9" s="10">
        <f t="shared" si="12"/>
        <v>0</v>
      </c>
      <c r="W9" s="10">
        <f t="shared" si="12"/>
        <v>962</v>
      </c>
      <c r="X9" s="10">
        <f t="shared" si="12"/>
        <v>0</v>
      </c>
      <c r="Y9" s="10">
        <f t="shared" si="12"/>
        <v>514</v>
      </c>
      <c r="Z9" s="10">
        <f t="shared" si="12"/>
        <v>0</v>
      </c>
      <c r="AA9" s="10">
        <f t="shared" si="12"/>
        <v>0</v>
      </c>
      <c r="AB9" s="10">
        <f t="shared" si="12"/>
        <v>456</v>
      </c>
      <c r="AC9" s="10">
        <f t="shared" si="12"/>
        <v>391</v>
      </c>
      <c r="AD9" s="10">
        <f t="shared" si="12"/>
        <v>0</v>
      </c>
      <c r="AE9" s="10">
        <f t="shared" si="12"/>
        <v>728</v>
      </c>
      <c r="AF9" s="10">
        <f t="shared" si="12"/>
        <v>0</v>
      </c>
      <c r="AG9" s="10">
        <f t="shared" si="12"/>
        <v>0</v>
      </c>
      <c r="AH9" s="10">
        <f t="shared" si="12"/>
        <v>976</v>
      </c>
      <c r="AI9" s="10">
        <f t="shared" ref="AI9" si="13">AI93</f>
        <v>0</v>
      </c>
      <c r="AJ9" s="69">
        <f>SUM(E9:AI9)</f>
        <v>7620</v>
      </c>
      <c r="AK9" s="12">
        <f>AJ9+'Apr-24'!AI9+'May-24'!AJ9+'Jun-24'!AJ9</f>
        <v>31508</v>
      </c>
    </row>
    <row r="10" spans="1:253" x14ac:dyDescent="0.3">
      <c r="A10" s="8"/>
      <c r="B10" s="9" t="s">
        <v>207</v>
      </c>
      <c r="C10" s="10" t="s">
        <v>6</v>
      </c>
      <c r="D10" s="10" t="s">
        <v>7</v>
      </c>
      <c r="E10" s="10">
        <f>E82</f>
        <v>1690</v>
      </c>
      <c r="F10" s="10">
        <f t="shared" ref="F10:AH10" si="14">F82</f>
        <v>0</v>
      </c>
      <c r="G10" s="10">
        <f t="shared" si="14"/>
        <v>2006</v>
      </c>
      <c r="H10" s="10">
        <f t="shared" si="14"/>
        <v>0</v>
      </c>
      <c r="I10" s="10">
        <f t="shared" si="14"/>
        <v>0</v>
      </c>
      <c r="J10" s="10">
        <f t="shared" si="14"/>
        <v>920</v>
      </c>
      <c r="K10" s="10">
        <f t="shared" si="14"/>
        <v>1167</v>
      </c>
      <c r="L10" s="10">
        <f t="shared" si="14"/>
        <v>0</v>
      </c>
      <c r="M10" s="10">
        <f t="shared" si="14"/>
        <v>2095</v>
      </c>
      <c r="N10" s="10">
        <f t="shared" si="14"/>
        <v>0</v>
      </c>
      <c r="O10" s="10">
        <f t="shared" si="14"/>
        <v>0</v>
      </c>
      <c r="P10" s="10">
        <f t="shared" si="14"/>
        <v>0</v>
      </c>
      <c r="Q10" s="10">
        <f t="shared" si="14"/>
        <v>2980</v>
      </c>
      <c r="R10" s="10">
        <f t="shared" si="14"/>
        <v>0</v>
      </c>
      <c r="S10" s="10">
        <f t="shared" si="14"/>
        <v>1105</v>
      </c>
      <c r="T10" s="10">
        <f t="shared" si="14"/>
        <v>0</v>
      </c>
      <c r="U10" s="10">
        <f t="shared" si="14"/>
        <v>0</v>
      </c>
      <c r="V10" s="10">
        <f t="shared" si="14"/>
        <v>0</v>
      </c>
      <c r="W10" s="10">
        <f t="shared" si="14"/>
        <v>3260</v>
      </c>
      <c r="X10" s="10">
        <f t="shared" si="14"/>
        <v>0</v>
      </c>
      <c r="Y10" s="10">
        <f t="shared" si="14"/>
        <v>1705</v>
      </c>
      <c r="Z10" s="10">
        <f t="shared" si="14"/>
        <v>0</v>
      </c>
      <c r="AA10" s="10">
        <f t="shared" si="14"/>
        <v>0</v>
      </c>
      <c r="AB10" s="10">
        <f t="shared" si="14"/>
        <v>1515</v>
      </c>
      <c r="AC10" s="10">
        <f t="shared" si="14"/>
        <v>1270</v>
      </c>
      <c r="AD10" s="10">
        <f t="shared" si="14"/>
        <v>0</v>
      </c>
      <c r="AE10" s="10">
        <f t="shared" si="14"/>
        <v>2425</v>
      </c>
      <c r="AF10" s="10">
        <f t="shared" si="14"/>
        <v>0</v>
      </c>
      <c r="AG10" s="10">
        <f t="shared" si="14"/>
        <v>0</v>
      </c>
      <c r="AH10" s="10">
        <f t="shared" si="14"/>
        <v>3250</v>
      </c>
      <c r="AI10" s="10">
        <f t="shared" ref="AI10" si="15">AI82</f>
        <v>0</v>
      </c>
      <c r="AJ10" s="69">
        <f>SUM(E10:AI10)</f>
        <v>25388</v>
      </c>
      <c r="AK10" s="12">
        <f>AJ10+'Apr-24'!AI10+'May-24'!AJ10+'Jun-24'!AJ10</f>
        <v>104892</v>
      </c>
    </row>
    <row r="11" spans="1:253" x14ac:dyDescent="0.3">
      <c r="A11" s="13">
        <v>3</v>
      </c>
      <c r="B11" s="14" t="s">
        <v>206</v>
      </c>
      <c r="C11" s="15" t="s">
        <v>6</v>
      </c>
      <c r="D11" s="15" t="s">
        <v>10</v>
      </c>
      <c r="E11" s="21">
        <f>IFERROR(E9/E10,"-")</f>
        <v>0.3</v>
      </c>
      <c r="F11" s="21" t="str">
        <f t="shared" ref="F11:AH11" si="16">IFERROR(F9/F10,"-")</f>
        <v>-</v>
      </c>
      <c r="G11" s="21">
        <f t="shared" si="16"/>
        <v>0.29561316051844466</v>
      </c>
      <c r="H11" s="21" t="str">
        <f t="shared" si="16"/>
        <v>-</v>
      </c>
      <c r="I11" s="21" t="str">
        <f t="shared" si="16"/>
        <v>-</v>
      </c>
      <c r="J11" s="21">
        <f t="shared" si="16"/>
        <v>0.30217391304347824</v>
      </c>
      <c r="K11" s="21">
        <f t="shared" si="16"/>
        <v>0.30077120822622105</v>
      </c>
      <c r="L11" s="21" t="str">
        <f t="shared" si="16"/>
        <v>-</v>
      </c>
      <c r="M11" s="21">
        <f t="shared" si="16"/>
        <v>0.30357995226730311</v>
      </c>
      <c r="N11" s="21" t="str">
        <f t="shared" si="16"/>
        <v>-</v>
      </c>
      <c r="O11" s="21" t="str">
        <f t="shared" si="16"/>
        <v>-</v>
      </c>
      <c r="P11" s="21" t="str">
        <f t="shared" si="16"/>
        <v>-</v>
      </c>
      <c r="Q11" s="21">
        <f t="shared" si="16"/>
        <v>0.30033557046979864</v>
      </c>
      <c r="R11" s="21" t="str">
        <f t="shared" si="16"/>
        <v>-</v>
      </c>
      <c r="S11" s="21">
        <f t="shared" si="16"/>
        <v>0.3013574660633484</v>
      </c>
      <c r="T11" s="21" t="str">
        <f t="shared" si="16"/>
        <v>-</v>
      </c>
      <c r="U11" s="21" t="str">
        <f t="shared" si="16"/>
        <v>-</v>
      </c>
      <c r="V11" s="21" t="str">
        <f t="shared" si="16"/>
        <v>-</v>
      </c>
      <c r="W11" s="21">
        <f t="shared" si="16"/>
        <v>0.29509202453987732</v>
      </c>
      <c r="X11" s="21" t="str">
        <f t="shared" si="16"/>
        <v>-</v>
      </c>
      <c r="Y11" s="21">
        <f t="shared" si="16"/>
        <v>0.30146627565982403</v>
      </c>
      <c r="Z11" s="21" t="str">
        <f t="shared" si="16"/>
        <v>-</v>
      </c>
      <c r="AA11" s="21" t="str">
        <f t="shared" si="16"/>
        <v>-</v>
      </c>
      <c r="AB11" s="21">
        <f t="shared" si="16"/>
        <v>0.30099009900990098</v>
      </c>
      <c r="AC11" s="21">
        <f t="shared" si="16"/>
        <v>0.30787401574803147</v>
      </c>
      <c r="AD11" s="21" t="str">
        <f t="shared" si="16"/>
        <v>-</v>
      </c>
      <c r="AE11" s="21">
        <f t="shared" si="16"/>
        <v>0.30020618556701029</v>
      </c>
      <c r="AF11" s="21" t="str">
        <f t="shared" si="16"/>
        <v>-</v>
      </c>
      <c r="AG11" s="21" t="str">
        <f t="shared" si="16"/>
        <v>-</v>
      </c>
      <c r="AH11" s="21">
        <f t="shared" si="16"/>
        <v>0.30030769230769233</v>
      </c>
      <c r="AI11" s="21" t="str">
        <f t="shared" ref="AI11" si="17">IFERROR(AI9/AI10,"-")</f>
        <v>-</v>
      </c>
      <c r="AJ11" s="223">
        <f>AJ9/AJ10</f>
        <v>0.30014179927524814</v>
      </c>
      <c r="AK11" s="223">
        <f>AK9/AK10</f>
        <v>0.30038515806734545</v>
      </c>
    </row>
    <row r="12" spans="1:253" x14ac:dyDescent="0.3">
      <c r="A12" s="8"/>
      <c r="B12" s="9" t="s">
        <v>13</v>
      </c>
      <c r="C12" s="10" t="s">
        <v>14</v>
      </c>
      <c r="D12" s="10" t="s">
        <v>15</v>
      </c>
      <c r="E12" s="22">
        <v>1186.52</v>
      </c>
      <c r="F12" s="22">
        <v>1074.0899999999999</v>
      </c>
      <c r="G12" s="22">
        <v>1101.47</v>
      </c>
      <c r="H12" s="22">
        <v>1062.56</v>
      </c>
      <c r="I12" s="22">
        <v>1101.05</v>
      </c>
      <c r="J12" s="22">
        <v>1119.55</v>
      </c>
      <c r="K12" s="23">
        <v>1127.81</v>
      </c>
      <c r="L12" s="22">
        <v>1057.9000000000001</v>
      </c>
      <c r="M12" s="22">
        <v>245.76</v>
      </c>
      <c r="N12" s="22">
        <v>0</v>
      </c>
      <c r="O12" s="22">
        <v>0</v>
      </c>
      <c r="P12" s="22">
        <v>0</v>
      </c>
      <c r="Q12" s="22">
        <v>133.9</v>
      </c>
      <c r="R12" s="22">
        <v>910.04</v>
      </c>
      <c r="S12" s="22">
        <v>920</v>
      </c>
      <c r="T12" s="22">
        <v>1010.08</v>
      </c>
      <c r="U12" s="22">
        <v>1007</v>
      </c>
      <c r="V12" s="22">
        <v>1072.48</v>
      </c>
      <c r="W12" s="22">
        <v>1041.5999999999999</v>
      </c>
      <c r="X12" s="22">
        <v>1082.47</v>
      </c>
      <c r="Y12" s="22">
        <v>1105.3499999999999</v>
      </c>
      <c r="Z12" s="22">
        <v>1050.3900000000001</v>
      </c>
      <c r="AA12" s="22">
        <v>1096.01</v>
      </c>
      <c r="AB12" s="22">
        <v>998.11</v>
      </c>
      <c r="AC12" s="22">
        <v>1059.57</v>
      </c>
      <c r="AD12" s="22">
        <v>547.80999999999995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/>
    </row>
    <row r="13" spans="1:253" x14ac:dyDescent="0.3">
      <c r="A13" s="8"/>
      <c r="B13" s="24" t="s">
        <v>16</v>
      </c>
      <c r="C13" s="10" t="s">
        <v>14</v>
      </c>
      <c r="D13" s="10" t="s">
        <v>17</v>
      </c>
      <c r="E13" s="26">
        <v>5.27</v>
      </c>
      <c r="F13" s="26">
        <v>5.32</v>
      </c>
      <c r="G13" s="26">
        <v>5.51</v>
      </c>
      <c r="H13" s="26">
        <v>5.4</v>
      </c>
      <c r="I13" s="26">
        <v>5.38</v>
      </c>
      <c r="J13" s="26">
        <v>5.4</v>
      </c>
      <c r="K13" s="25">
        <v>5.37</v>
      </c>
      <c r="L13" s="25">
        <v>5.52</v>
      </c>
      <c r="M13" s="25">
        <v>6.26</v>
      </c>
      <c r="N13" s="26">
        <v>7.36</v>
      </c>
      <c r="O13" s="26">
        <v>6.51</v>
      </c>
      <c r="P13" s="26">
        <v>6.67</v>
      </c>
      <c r="Q13" s="26">
        <v>7.24</v>
      </c>
      <c r="R13" s="26">
        <v>5.54</v>
      </c>
      <c r="S13" s="26">
        <v>5.51</v>
      </c>
      <c r="T13" s="22">
        <v>5.63</v>
      </c>
      <c r="U13" s="22">
        <v>5.59</v>
      </c>
      <c r="V13" s="22">
        <v>5.83</v>
      </c>
      <c r="W13" s="22">
        <v>5.75</v>
      </c>
      <c r="X13" s="22">
        <v>5.86</v>
      </c>
      <c r="Y13" s="22">
        <v>5.71</v>
      </c>
      <c r="Z13" s="22">
        <v>5.86</v>
      </c>
      <c r="AA13" s="22">
        <v>5.68</v>
      </c>
      <c r="AB13" s="22">
        <v>5.9</v>
      </c>
      <c r="AC13" s="22">
        <v>5.82</v>
      </c>
      <c r="AD13" s="22">
        <v>5.93</v>
      </c>
      <c r="AE13" s="26">
        <v>0</v>
      </c>
      <c r="AF13" s="26">
        <v>0</v>
      </c>
      <c r="AG13" s="26">
        <v>0</v>
      </c>
      <c r="AH13" s="26">
        <v>0</v>
      </c>
      <c r="AI13" s="26">
        <v>0</v>
      </c>
      <c r="AJ13" s="27"/>
    </row>
    <row r="14" spans="1:253" x14ac:dyDescent="0.3">
      <c r="A14" s="8"/>
      <c r="B14" s="24" t="s">
        <v>18</v>
      </c>
      <c r="C14" s="10" t="s">
        <v>14</v>
      </c>
      <c r="D14" s="10" t="s">
        <v>19</v>
      </c>
      <c r="E14" s="23">
        <f>E12/E13*1000</f>
        <v>225146.110056926</v>
      </c>
      <c r="F14" s="23">
        <f>F12/F13*1000</f>
        <v>201896.61654135335</v>
      </c>
      <c r="G14" s="23">
        <f>G12/G13*1000</f>
        <v>199903.81125226861</v>
      </c>
      <c r="H14" s="23">
        <f>H12/H13*1000</f>
        <v>196770.37037037036</v>
      </c>
      <c r="I14" s="23">
        <f t="shared" ref="I14:AH14" si="18">I12/I13*1000</f>
        <v>204656.13382899627</v>
      </c>
      <c r="J14" s="23">
        <f t="shared" si="18"/>
        <v>207324.07407407404</v>
      </c>
      <c r="K14" s="23">
        <f t="shared" si="18"/>
        <v>210020.48417132214</v>
      </c>
      <c r="L14" s="23">
        <f t="shared" si="18"/>
        <v>191648.55072463772</v>
      </c>
      <c r="M14" s="23">
        <f t="shared" si="18"/>
        <v>39258.78594249201</v>
      </c>
      <c r="N14" s="23">
        <f t="shared" si="18"/>
        <v>0</v>
      </c>
      <c r="O14" s="23">
        <f t="shared" si="18"/>
        <v>0</v>
      </c>
      <c r="P14" s="23">
        <f t="shared" si="18"/>
        <v>0</v>
      </c>
      <c r="Q14" s="23">
        <f t="shared" si="18"/>
        <v>18494.475138121546</v>
      </c>
      <c r="R14" s="23">
        <f>R12/R13*1000</f>
        <v>164267.14801444043</v>
      </c>
      <c r="S14" s="23">
        <f>S12/S13*1000</f>
        <v>166969.14700544465</v>
      </c>
      <c r="T14" s="23">
        <f t="shared" si="18"/>
        <v>179410.30195381885</v>
      </c>
      <c r="U14" s="23">
        <f t="shared" si="18"/>
        <v>180143.11270125225</v>
      </c>
      <c r="V14" s="23">
        <f t="shared" si="18"/>
        <v>183958.83361921099</v>
      </c>
      <c r="W14" s="23">
        <f>W12/W13*1000</f>
        <v>181147.82608695651</v>
      </c>
      <c r="X14" s="23">
        <f t="shared" si="18"/>
        <v>184721.84300341297</v>
      </c>
      <c r="Y14" s="23">
        <f t="shared" si="18"/>
        <v>193581.43607705779</v>
      </c>
      <c r="Z14" s="23">
        <f t="shared" si="18"/>
        <v>179247.44027303753</v>
      </c>
      <c r="AA14" s="23">
        <f t="shared" si="18"/>
        <v>192959.50704225354</v>
      </c>
      <c r="AB14" s="23">
        <f t="shared" si="18"/>
        <v>169171.18644067796</v>
      </c>
      <c r="AC14" s="23">
        <f t="shared" si="18"/>
        <v>182056.70103092783</v>
      </c>
      <c r="AD14" s="23">
        <f t="shared" si="18"/>
        <v>92379.426644182124</v>
      </c>
      <c r="AE14" s="23" t="e">
        <f t="shared" si="18"/>
        <v>#DIV/0!</v>
      </c>
      <c r="AF14" s="23" t="e">
        <f t="shared" si="18"/>
        <v>#DIV/0!</v>
      </c>
      <c r="AG14" s="23" t="e">
        <f t="shared" si="18"/>
        <v>#DIV/0!</v>
      </c>
      <c r="AH14" s="23" t="e">
        <f t="shared" si="18"/>
        <v>#DIV/0!</v>
      </c>
      <c r="AI14" s="23" t="e">
        <f t="shared" ref="AI14" si="19">AI12/AI13*1000</f>
        <v>#DIV/0!</v>
      </c>
      <c r="AJ14" s="28">
        <f>SUMIF(E15:AI15,"&gt;5950",E14:AI14)</f>
        <v>3887380.0609126217</v>
      </c>
    </row>
    <row r="15" spans="1:253" x14ac:dyDescent="0.3">
      <c r="A15" s="8"/>
      <c r="B15" s="9" t="s">
        <v>20</v>
      </c>
      <c r="C15" s="10" t="s">
        <v>14</v>
      </c>
      <c r="D15" s="10" t="s">
        <v>15</v>
      </c>
      <c r="E15" s="29">
        <f>E72</f>
        <v>7014</v>
      </c>
      <c r="F15" s="29">
        <f t="shared" ref="F15:AH15" si="20">F72</f>
        <v>7007</v>
      </c>
      <c r="G15" s="29">
        <f t="shared" si="20"/>
        <v>6989</v>
      </c>
      <c r="H15" s="29">
        <f t="shared" si="20"/>
        <v>7002</v>
      </c>
      <c r="I15" s="29">
        <f t="shared" si="20"/>
        <v>6538</v>
      </c>
      <c r="J15" s="29">
        <f t="shared" si="20"/>
        <v>7001</v>
      </c>
      <c r="K15" s="29">
        <f t="shared" si="20"/>
        <v>7049</v>
      </c>
      <c r="L15" s="29">
        <f t="shared" si="20"/>
        <v>6717</v>
      </c>
      <c r="M15" s="29">
        <f t="shared" si="20"/>
        <v>2141</v>
      </c>
      <c r="N15" s="29">
        <f t="shared" si="20"/>
        <v>0</v>
      </c>
      <c r="O15" s="29">
        <f t="shared" si="20"/>
        <v>0</v>
      </c>
      <c r="P15" s="29">
        <f t="shared" si="20"/>
        <v>0</v>
      </c>
      <c r="Q15" s="29">
        <f t="shared" si="20"/>
        <v>3896</v>
      </c>
      <c r="R15" s="29">
        <f t="shared" si="20"/>
        <v>6416</v>
      </c>
      <c r="S15" s="29">
        <f t="shared" si="20"/>
        <v>6160</v>
      </c>
      <c r="T15" s="29">
        <f t="shared" si="20"/>
        <v>7206</v>
      </c>
      <c r="U15" s="29">
        <f t="shared" si="20"/>
        <v>7256</v>
      </c>
      <c r="V15" s="29">
        <f t="shared" si="20"/>
        <v>7268</v>
      </c>
      <c r="W15" s="29">
        <f t="shared" si="20"/>
        <v>7211</v>
      </c>
      <c r="X15" s="29">
        <f t="shared" si="20"/>
        <v>7307</v>
      </c>
      <c r="Y15" s="29">
        <f t="shared" si="20"/>
        <v>7287</v>
      </c>
      <c r="Z15" s="29">
        <f t="shared" si="20"/>
        <v>7017</v>
      </c>
      <c r="AA15" s="29">
        <f t="shared" si="20"/>
        <v>7096</v>
      </c>
      <c r="AB15" s="29">
        <f t="shared" si="20"/>
        <v>7215</v>
      </c>
      <c r="AC15" s="29">
        <f t="shared" si="20"/>
        <v>7118</v>
      </c>
      <c r="AD15" s="29">
        <f t="shared" si="20"/>
        <v>7153</v>
      </c>
      <c r="AE15" s="29">
        <f t="shared" si="20"/>
        <v>3501</v>
      </c>
      <c r="AF15" s="29">
        <f t="shared" si="20"/>
        <v>0</v>
      </c>
      <c r="AG15" s="29">
        <f t="shared" si="20"/>
        <v>0</v>
      </c>
      <c r="AH15" s="29">
        <f t="shared" si="20"/>
        <v>0</v>
      </c>
      <c r="AI15" s="29">
        <f t="shared" ref="AI15" si="21">AI72</f>
        <v>2623</v>
      </c>
      <c r="AJ15" s="30">
        <f>SUM(E15:AI15)</f>
        <v>159188</v>
      </c>
      <c r="AK15" s="12">
        <f>AJ15+'Apr-24'!AI15+'May-24'!AJ15+'Jun-24'!AJ15</f>
        <v>803004</v>
      </c>
    </row>
    <row r="16" spans="1:253" s="19" customFormat="1" x14ac:dyDescent="0.3">
      <c r="A16" s="13">
        <v>4</v>
      </c>
      <c r="B16" s="14" t="s">
        <v>21</v>
      </c>
      <c r="C16" s="15" t="s">
        <v>14</v>
      </c>
      <c r="D16" s="15" t="s">
        <v>22</v>
      </c>
      <c r="E16" s="32">
        <f>E14/E15</f>
        <v>32.09953094623981</v>
      </c>
      <c r="F16" s="32">
        <f>F14/F15</f>
        <v>28.813560231390515</v>
      </c>
      <c r="G16" s="32">
        <f t="shared" ref="G16:AH16" si="22">G14/G15</f>
        <v>28.602634318538936</v>
      </c>
      <c r="H16" s="32">
        <f t="shared" si="22"/>
        <v>28.102023760407079</v>
      </c>
      <c r="I16" s="32">
        <f t="shared" si="22"/>
        <v>31.302559472162169</v>
      </c>
      <c r="J16" s="32">
        <f t="shared" si="22"/>
        <v>29.613494368529359</v>
      </c>
      <c r="K16" s="32">
        <f t="shared" si="22"/>
        <v>29.794365749939303</v>
      </c>
      <c r="L16" s="32">
        <f t="shared" si="22"/>
        <v>28.531867012749402</v>
      </c>
      <c r="M16" s="32">
        <f t="shared" si="22"/>
        <v>18.336658543900985</v>
      </c>
      <c r="N16" s="32" t="e">
        <f t="shared" si="22"/>
        <v>#DIV/0!</v>
      </c>
      <c r="O16" s="32" t="e">
        <f t="shared" si="22"/>
        <v>#DIV/0!</v>
      </c>
      <c r="P16" s="32" t="e">
        <f t="shared" si="22"/>
        <v>#DIV/0!</v>
      </c>
      <c r="Q16" s="32">
        <f t="shared" si="22"/>
        <v>4.7470418732344832</v>
      </c>
      <c r="R16" s="32">
        <f t="shared" si="22"/>
        <v>25.602735039657176</v>
      </c>
      <c r="S16" s="32">
        <f t="shared" si="22"/>
        <v>27.105381007377378</v>
      </c>
      <c r="T16" s="32">
        <f t="shared" si="22"/>
        <v>24.897349702167478</v>
      </c>
      <c r="U16" s="32">
        <f t="shared" si="22"/>
        <v>24.826779589477983</v>
      </c>
      <c r="V16" s="32">
        <f t="shared" si="22"/>
        <v>25.310791637205693</v>
      </c>
      <c r="W16" s="32">
        <f>W14/W15</f>
        <v>25.121040921780128</v>
      </c>
      <c r="X16" s="32">
        <f t="shared" si="22"/>
        <v>25.280120843494316</v>
      </c>
      <c r="Y16" s="32">
        <f t="shared" si="22"/>
        <v>26.565313033766678</v>
      </c>
      <c r="Z16" s="32">
        <f t="shared" si="22"/>
        <v>25.544739956254457</v>
      </c>
      <c r="AA16" s="32">
        <f t="shared" si="22"/>
        <v>27.192715197611829</v>
      </c>
      <c r="AB16" s="32">
        <f t="shared" si="22"/>
        <v>23.447149887827855</v>
      </c>
      <c r="AC16" s="32">
        <f t="shared" si="22"/>
        <v>25.576945916117985</v>
      </c>
      <c r="AD16" s="32">
        <f t="shared" si="22"/>
        <v>12.914780741532521</v>
      </c>
      <c r="AE16" s="32" t="e">
        <f t="shared" si="22"/>
        <v>#DIV/0!</v>
      </c>
      <c r="AF16" s="32" t="e">
        <f t="shared" si="22"/>
        <v>#DIV/0!</v>
      </c>
      <c r="AG16" s="32" t="e">
        <f t="shared" si="22"/>
        <v>#DIV/0!</v>
      </c>
      <c r="AH16" s="32" t="e">
        <f t="shared" si="22"/>
        <v>#DIV/0!</v>
      </c>
      <c r="AI16" s="32" t="e">
        <f t="shared" ref="AI16" si="23">AI14/AI15</f>
        <v>#DIV/0!</v>
      </c>
      <c r="AJ16" s="33">
        <f>AJ14/AJ15</f>
        <v>24.420057170845929</v>
      </c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</row>
    <row r="17" spans="1:253" x14ac:dyDescent="0.3">
      <c r="A17" s="8"/>
      <c r="B17" s="9" t="s">
        <v>23</v>
      </c>
      <c r="C17" s="10" t="s">
        <v>14</v>
      </c>
      <c r="D17" s="10" t="s">
        <v>15</v>
      </c>
      <c r="E17" s="22">
        <v>1083.0999999999999</v>
      </c>
      <c r="F17" s="22">
        <v>1061.19</v>
      </c>
      <c r="G17" s="22">
        <v>266.39</v>
      </c>
      <c r="H17" s="22">
        <v>1097.3800000000001</v>
      </c>
      <c r="I17" s="22">
        <v>1093.51</v>
      </c>
      <c r="J17" s="22">
        <v>1044.22</v>
      </c>
      <c r="K17" s="22">
        <v>962.07</v>
      </c>
      <c r="L17" s="22">
        <v>898.09</v>
      </c>
      <c r="M17" s="22">
        <v>969.9</v>
      </c>
      <c r="N17" s="22">
        <v>927.15</v>
      </c>
      <c r="O17" s="22">
        <v>1047.3499999999999</v>
      </c>
      <c r="P17" s="22">
        <v>1007.83</v>
      </c>
      <c r="Q17" s="22">
        <v>960.14</v>
      </c>
      <c r="R17" s="22">
        <v>869.91</v>
      </c>
      <c r="S17" s="22">
        <v>915.5</v>
      </c>
      <c r="T17" s="22">
        <v>721.6</v>
      </c>
      <c r="U17" s="22">
        <v>807.54</v>
      </c>
      <c r="V17" s="22">
        <v>124.33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11"/>
    </row>
    <row r="18" spans="1:253" x14ac:dyDescent="0.3">
      <c r="A18" s="8"/>
      <c r="B18" s="9" t="s">
        <v>24</v>
      </c>
      <c r="C18" s="10" t="s">
        <v>14</v>
      </c>
      <c r="D18" s="10" t="s">
        <v>15</v>
      </c>
      <c r="E18" s="22">
        <v>123</v>
      </c>
      <c r="F18" s="22">
        <v>117.12</v>
      </c>
      <c r="G18" s="22">
        <v>81.95</v>
      </c>
      <c r="H18" s="22">
        <v>111.91</v>
      </c>
      <c r="I18" s="22">
        <v>116.16</v>
      </c>
      <c r="J18" s="22">
        <v>121.16</v>
      </c>
      <c r="K18" s="22">
        <v>110.14</v>
      </c>
      <c r="L18" s="22">
        <v>111.09</v>
      </c>
      <c r="M18" s="22">
        <v>112.71</v>
      </c>
      <c r="N18" s="22">
        <v>119.58</v>
      </c>
      <c r="O18" s="22">
        <v>115.46</v>
      </c>
      <c r="P18" s="22">
        <v>110.46</v>
      </c>
      <c r="Q18" s="23">
        <v>117.97</v>
      </c>
      <c r="R18" s="22">
        <v>115.06</v>
      </c>
      <c r="S18" s="22">
        <v>107.4</v>
      </c>
      <c r="T18" s="22">
        <v>102.22</v>
      </c>
      <c r="U18" s="22">
        <v>108.48</v>
      </c>
      <c r="V18" s="22">
        <v>28.57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11"/>
    </row>
    <row r="19" spans="1:253" x14ac:dyDescent="0.3">
      <c r="A19" s="8"/>
      <c r="B19" s="9" t="s">
        <v>16</v>
      </c>
      <c r="C19" s="10" t="s">
        <v>14</v>
      </c>
      <c r="D19" s="10" t="s">
        <v>17</v>
      </c>
      <c r="E19" s="26">
        <f t="shared" ref="E19:AH19" si="24">E13</f>
        <v>5.27</v>
      </c>
      <c r="F19" s="26">
        <f t="shared" si="24"/>
        <v>5.32</v>
      </c>
      <c r="G19" s="26">
        <f t="shared" si="24"/>
        <v>5.51</v>
      </c>
      <c r="H19" s="26">
        <f t="shared" si="24"/>
        <v>5.4</v>
      </c>
      <c r="I19" s="26">
        <f t="shared" si="24"/>
        <v>5.38</v>
      </c>
      <c r="J19" s="26">
        <f t="shared" si="24"/>
        <v>5.4</v>
      </c>
      <c r="K19" s="26">
        <f t="shared" si="24"/>
        <v>5.37</v>
      </c>
      <c r="L19" s="26">
        <f t="shared" si="24"/>
        <v>5.52</v>
      </c>
      <c r="M19" s="26">
        <f t="shared" si="24"/>
        <v>6.26</v>
      </c>
      <c r="N19" s="26">
        <f t="shared" si="24"/>
        <v>7.36</v>
      </c>
      <c r="O19" s="26">
        <f t="shared" si="24"/>
        <v>6.51</v>
      </c>
      <c r="P19" s="26">
        <f t="shared" si="24"/>
        <v>6.67</v>
      </c>
      <c r="Q19" s="26">
        <f t="shared" si="24"/>
        <v>7.24</v>
      </c>
      <c r="R19" s="26">
        <f>R13</f>
        <v>5.54</v>
      </c>
      <c r="S19" s="26">
        <f>S13</f>
        <v>5.51</v>
      </c>
      <c r="T19" s="26">
        <f t="shared" si="24"/>
        <v>5.63</v>
      </c>
      <c r="U19" s="26">
        <f t="shared" si="24"/>
        <v>5.59</v>
      </c>
      <c r="V19" s="26">
        <f t="shared" si="24"/>
        <v>5.83</v>
      </c>
      <c r="W19" s="26">
        <f t="shared" si="24"/>
        <v>5.75</v>
      </c>
      <c r="X19" s="26">
        <f t="shared" si="24"/>
        <v>5.86</v>
      </c>
      <c r="Y19" s="26">
        <f t="shared" si="24"/>
        <v>5.71</v>
      </c>
      <c r="Z19" s="26">
        <f t="shared" si="24"/>
        <v>5.86</v>
      </c>
      <c r="AA19" s="26">
        <f t="shared" si="24"/>
        <v>5.68</v>
      </c>
      <c r="AB19" s="26">
        <f t="shared" si="24"/>
        <v>5.9</v>
      </c>
      <c r="AC19" s="26">
        <f t="shared" si="24"/>
        <v>5.82</v>
      </c>
      <c r="AD19" s="26">
        <f t="shared" si="24"/>
        <v>5.93</v>
      </c>
      <c r="AE19" s="26">
        <f t="shared" si="24"/>
        <v>0</v>
      </c>
      <c r="AF19" s="26">
        <f t="shared" si="24"/>
        <v>0</v>
      </c>
      <c r="AG19" s="26">
        <f t="shared" si="24"/>
        <v>0</v>
      </c>
      <c r="AH19" s="26">
        <f t="shared" si="24"/>
        <v>0</v>
      </c>
      <c r="AI19" s="26">
        <f t="shared" ref="AI19" si="25">AI13</f>
        <v>0</v>
      </c>
      <c r="AJ19" s="11"/>
    </row>
    <row r="20" spans="1:253" x14ac:dyDescent="0.3">
      <c r="A20" s="8"/>
      <c r="B20" s="24" t="s">
        <v>25</v>
      </c>
      <c r="C20" s="10" t="s">
        <v>14</v>
      </c>
      <c r="D20" s="10" t="s">
        <v>19</v>
      </c>
      <c r="E20" s="23">
        <f t="shared" ref="E20:AH20" si="26">(E17+E18)/E19*1000</f>
        <v>228861.48007590135</v>
      </c>
      <c r="F20" s="23">
        <f t="shared" si="26"/>
        <v>221486.84210526312</v>
      </c>
      <c r="G20" s="23">
        <f t="shared" si="26"/>
        <v>63219.600725952812</v>
      </c>
      <c r="H20" s="23">
        <f t="shared" si="26"/>
        <v>223942.59259259261</v>
      </c>
      <c r="I20" s="23">
        <f t="shared" si="26"/>
        <v>224845.72490706321</v>
      </c>
      <c r="J20" s="23">
        <f t="shared" si="26"/>
        <v>215811.11111111112</v>
      </c>
      <c r="K20" s="23">
        <f t="shared" si="26"/>
        <v>199666.66666666666</v>
      </c>
      <c r="L20" s="23">
        <f t="shared" si="26"/>
        <v>182822.46376811597</v>
      </c>
      <c r="M20" s="23">
        <f t="shared" si="26"/>
        <v>172940.89456869007</v>
      </c>
      <c r="N20" s="23">
        <f t="shared" si="26"/>
        <v>142218.75</v>
      </c>
      <c r="O20" s="23">
        <f t="shared" si="26"/>
        <v>178619.04761904763</v>
      </c>
      <c r="P20" s="23">
        <f t="shared" si="26"/>
        <v>167659.67016491754</v>
      </c>
      <c r="Q20" s="23">
        <f t="shared" si="26"/>
        <v>148910.22099447512</v>
      </c>
      <c r="R20" s="23">
        <f t="shared" si="26"/>
        <v>177792.41877256316</v>
      </c>
      <c r="S20" s="23">
        <f t="shared" si="26"/>
        <v>185644.28312159711</v>
      </c>
      <c r="T20" s="23">
        <f t="shared" si="26"/>
        <v>146326.82060390766</v>
      </c>
      <c r="U20" s="23">
        <f t="shared" si="26"/>
        <v>163867.62075134169</v>
      </c>
      <c r="V20" s="23">
        <f t="shared" si="26"/>
        <v>26226.415094339623</v>
      </c>
      <c r="W20" s="23">
        <f t="shared" si="26"/>
        <v>0</v>
      </c>
      <c r="X20" s="23">
        <f t="shared" si="26"/>
        <v>0</v>
      </c>
      <c r="Y20" s="23">
        <f t="shared" si="26"/>
        <v>0</v>
      </c>
      <c r="Z20" s="23">
        <f t="shared" si="26"/>
        <v>0</v>
      </c>
      <c r="AA20" s="23">
        <f t="shared" si="26"/>
        <v>0</v>
      </c>
      <c r="AB20" s="23">
        <f t="shared" si="26"/>
        <v>0</v>
      </c>
      <c r="AC20" s="23">
        <f t="shared" si="26"/>
        <v>0</v>
      </c>
      <c r="AD20" s="23">
        <f t="shared" si="26"/>
        <v>0</v>
      </c>
      <c r="AE20" s="23" t="e">
        <f t="shared" si="26"/>
        <v>#DIV/0!</v>
      </c>
      <c r="AF20" s="23" t="e">
        <f t="shared" si="26"/>
        <v>#DIV/0!</v>
      </c>
      <c r="AG20" s="23" t="e">
        <f t="shared" si="26"/>
        <v>#DIV/0!</v>
      </c>
      <c r="AH20" s="23" t="e">
        <f t="shared" si="26"/>
        <v>#DIV/0!</v>
      </c>
      <c r="AI20" s="23" t="e">
        <f t="shared" ref="AI20" si="27">(AI17+AI18)/AI19*1000</f>
        <v>#DIV/0!</v>
      </c>
      <c r="AJ20" s="28">
        <f>SUMIF(E21:AI21,"&gt;7905",E20:AI20)</f>
        <v>3007643.0229175943</v>
      </c>
    </row>
    <row r="21" spans="1:253" x14ac:dyDescent="0.3">
      <c r="A21" s="8"/>
      <c r="B21" s="9" t="s">
        <v>20</v>
      </c>
      <c r="C21" s="10" t="s">
        <v>14</v>
      </c>
      <c r="D21" s="10" t="s">
        <v>15</v>
      </c>
      <c r="E21" s="34">
        <f>E73</f>
        <v>8685</v>
      </c>
      <c r="F21" s="34">
        <f t="shared" ref="F21:AH21" si="28">F73</f>
        <v>9030</v>
      </c>
      <c r="G21" s="34">
        <f t="shared" si="28"/>
        <v>6990</v>
      </c>
      <c r="H21" s="34">
        <f t="shared" si="28"/>
        <v>9064</v>
      </c>
      <c r="I21" s="34">
        <f t="shared" si="28"/>
        <v>9019</v>
      </c>
      <c r="J21" s="34">
        <f t="shared" si="28"/>
        <v>9002</v>
      </c>
      <c r="K21" s="34">
        <f t="shared" si="28"/>
        <v>8509</v>
      </c>
      <c r="L21" s="34">
        <f t="shared" si="28"/>
        <v>8303</v>
      </c>
      <c r="M21" s="34">
        <f t="shared" si="28"/>
        <v>8852</v>
      </c>
      <c r="N21" s="34">
        <f t="shared" si="28"/>
        <v>8280</v>
      </c>
      <c r="O21" s="34">
        <f t="shared" si="28"/>
        <v>9046</v>
      </c>
      <c r="P21" s="34">
        <f t="shared" si="28"/>
        <v>9064</v>
      </c>
      <c r="Q21" s="34">
        <f t="shared" si="28"/>
        <v>8620</v>
      </c>
      <c r="R21" s="34">
        <f t="shared" si="28"/>
        <v>8428</v>
      </c>
      <c r="S21" s="34">
        <f t="shared" si="28"/>
        <v>8561</v>
      </c>
      <c r="T21" s="34">
        <f t="shared" si="28"/>
        <v>9109</v>
      </c>
      <c r="U21" s="34">
        <f t="shared" si="28"/>
        <v>9213</v>
      </c>
      <c r="V21" s="34">
        <f t="shared" si="28"/>
        <v>9225</v>
      </c>
      <c r="W21" s="34">
        <f t="shared" si="28"/>
        <v>0</v>
      </c>
      <c r="X21" s="34">
        <f t="shared" si="28"/>
        <v>0</v>
      </c>
      <c r="Y21" s="34">
        <f t="shared" si="28"/>
        <v>0</v>
      </c>
      <c r="Z21" s="34">
        <f t="shared" si="28"/>
        <v>0</v>
      </c>
      <c r="AA21" s="34">
        <f t="shared" si="28"/>
        <v>0</v>
      </c>
      <c r="AB21" s="34">
        <f t="shared" si="28"/>
        <v>0</v>
      </c>
      <c r="AC21" s="34">
        <f t="shared" si="28"/>
        <v>0</v>
      </c>
      <c r="AD21" s="34">
        <f t="shared" si="28"/>
        <v>0</v>
      </c>
      <c r="AE21" s="34">
        <f t="shared" si="28"/>
        <v>0</v>
      </c>
      <c r="AF21" s="34">
        <f t="shared" si="28"/>
        <v>0</v>
      </c>
      <c r="AG21" s="34">
        <f t="shared" si="28"/>
        <v>0</v>
      </c>
      <c r="AH21" s="34">
        <f t="shared" si="28"/>
        <v>0</v>
      </c>
      <c r="AI21" s="34">
        <f t="shared" ref="AI21" si="29">AI73</f>
        <v>1951</v>
      </c>
      <c r="AJ21" s="30">
        <f>SUM(E21:AI21)</f>
        <v>158951</v>
      </c>
      <c r="AK21" s="12">
        <f>AJ21+'Apr-24'!AI21+'May-24'!AJ21+'Jun-24'!AJ21</f>
        <v>917501</v>
      </c>
    </row>
    <row r="22" spans="1:253" s="19" customFormat="1" x14ac:dyDescent="0.3">
      <c r="A22" s="13">
        <v>5</v>
      </c>
      <c r="B22" s="14" t="s">
        <v>26</v>
      </c>
      <c r="C22" s="15" t="s">
        <v>14</v>
      </c>
      <c r="D22" s="15" t="s">
        <v>22</v>
      </c>
      <c r="E22" s="32">
        <f>E20/E21</f>
        <v>26.351350613229862</v>
      </c>
      <c r="F22" s="32">
        <f>F20/F21</f>
        <v>24.52788949116978</v>
      </c>
      <c r="G22" s="32">
        <f>G20/G21</f>
        <v>9.0442919493494731</v>
      </c>
      <c r="H22" s="32">
        <f t="shared" ref="H22:AH22" si="30">H20/H21</f>
        <v>24.706817364584357</v>
      </c>
      <c r="I22" s="32">
        <f t="shared" si="30"/>
        <v>24.930227842007231</v>
      </c>
      <c r="J22" s="32">
        <f t="shared" si="30"/>
        <v>23.973684860154535</v>
      </c>
      <c r="K22" s="32">
        <f t="shared" si="30"/>
        <v>23.46535041328789</v>
      </c>
      <c r="L22" s="32">
        <f t="shared" si="30"/>
        <v>22.018844245226539</v>
      </c>
      <c r="M22" s="35">
        <f t="shared" si="30"/>
        <v>19.536928893887264</v>
      </c>
      <c r="N22" s="32">
        <f t="shared" si="30"/>
        <v>17.176177536231883</v>
      </c>
      <c r="O22" s="32">
        <f t="shared" si="30"/>
        <v>19.745638693239844</v>
      </c>
      <c r="P22" s="32">
        <f t="shared" si="30"/>
        <v>18.4973157728285</v>
      </c>
      <c r="Q22" s="32">
        <f t="shared" si="30"/>
        <v>17.274967632769737</v>
      </c>
      <c r="R22" s="32">
        <f t="shared" si="30"/>
        <v>21.095445986303176</v>
      </c>
      <c r="S22" s="32">
        <f t="shared" si="30"/>
        <v>21.684882971802022</v>
      </c>
      <c r="T22" s="32">
        <f t="shared" si="30"/>
        <v>16.063982940378491</v>
      </c>
      <c r="U22" s="32">
        <f t="shared" si="30"/>
        <v>17.78656471847842</v>
      </c>
      <c r="V22" s="32">
        <f t="shared" si="30"/>
        <v>2.8429718259446748</v>
      </c>
      <c r="W22" s="32" t="e">
        <f t="shared" si="30"/>
        <v>#DIV/0!</v>
      </c>
      <c r="X22" s="32" t="e">
        <f t="shared" si="30"/>
        <v>#DIV/0!</v>
      </c>
      <c r="Y22" s="32" t="e">
        <f t="shared" si="30"/>
        <v>#DIV/0!</v>
      </c>
      <c r="Z22" s="32" t="e">
        <f t="shared" si="30"/>
        <v>#DIV/0!</v>
      </c>
      <c r="AA22" s="32" t="e">
        <f>AA20/AA21</f>
        <v>#DIV/0!</v>
      </c>
      <c r="AB22" s="32" t="e">
        <f t="shared" si="30"/>
        <v>#DIV/0!</v>
      </c>
      <c r="AC22" s="32" t="e">
        <f t="shared" si="30"/>
        <v>#DIV/0!</v>
      </c>
      <c r="AD22" s="32" t="e">
        <f t="shared" si="30"/>
        <v>#DIV/0!</v>
      </c>
      <c r="AE22" s="32" t="e">
        <f t="shared" si="30"/>
        <v>#DIV/0!</v>
      </c>
      <c r="AF22" s="32" t="e">
        <f t="shared" si="30"/>
        <v>#DIV/0!</v>
      </c>
      <c r="AG22" s="32" t="e">
        <f t="shared" si="30"/>
        <v>#DIV/0!</v>
      </c>
      <c r="AH22" s="32" t="e">
        <f t="shared" si="30"/>
        <v>#DIV/0!</v>
      </c>
      <c r="AI22" s="32" t="e">
        <f t="shared" ref="AI22" si="31">AI20/AI21</f>
        <v>#DIV/0!</v>
      </c>
      <c r="AJ22" s="36">
        <f>AJ20/AJ21</f>
        <v>18.921825109106543</v>
      </c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</row>
    <row r="23" spans="1:253" s="19" customFormat="1" x14ac:dyDescent="0.3">
      <c r="A23" s="13"/>
      <c r="B23" s="14" t="s">
        <v>27</v>
      </c>
      <c r="C23" s="15" t="s">
        <v>14</v>
      </c>
      <c r="D23" s="15" t="s">
        <v>19</v>
      </c>
      <c r="E23" s="32">
        <v>453270</v>
      </c>
      <c r="F23" s="32">
        <v>422280</v>
      </c>
      <c r="G23" s="32">
        <v>333330</v>
      </c>
      <c r="H23" s="32">
        <v>419330</v>
      </c>
      <c r="I23" s="32">
        <v>428640</v>
      </c>
      <c r="J23" s="32">
        <v>422060</v>
      </c>
      <c r="K23" s="32">
        <v>409270</v>
      </c>
      <c r="L23" s="32">
        <v>373550</v>
      </c>
      <c r="M23" s="35">
        <v>208240</v>
      </c>
      <c r="N23" s="32">
        <v>137850</v>
      </c>
      <c r="O23" s="32">
        <v>173440</v>
      </c>
      <c r="P23" s="32">
        <v>162080</v>
      </c>
      <c r="Q23" s="32">
        <v>158420</v>
      </c>
      <c r="R23" s="32">
        <v>341090</v>
      </c>
      <c r="S23" s="32">
        <v>351920</v>
      </c>
      <c r="T23" s="32">
        <v>325060</v>
      </c>
      <c r="U23" s="32">
        <v>342140</v>
      </c>
      <c r="V23" s="32">
        <v>208820</v>
      </c>
      <c r="W23" s="32">
        <v>179930</v>
      </c>
      <c r="X23" s="32">
        <v>183760</v>
      </c>
      <c r="Y23" s="32">
        <v>192600</v>
      </c>
      <c r="Z23" s="32">
        <v>178360</v>
      </c>
      <c r="AA23" s="32">
        <v>192310</v>
      </c>
      <c r="AB23" s="32">
        <v>168210</v>
      </c>
      <c r="AC23" s="32">
        <v>181370</v>
      </c>
      <c r="AD23" s="32">
        <v>96880</v>
      </c>
      <c r="AE23" s="32">
        <v>0</v>
      </c>
      <c r="AF23" s="32">
        <v>0</v>
      </c>
      <c r="AG23" s="32">
        <v>0</v>
      </c>
      <c r="AH23" s="32">
        <v>0</v>
      </c>
      <c r="AI23" s="32">
        <v>0</v>
      </c>
      <c r="AJ23" s="28">
        <f>SUM(E23:AI23)</f>
        <v>7044210</v>
      </c>
      <c r="AK23" s="12">
        <f>AJ23+'Apr-24'!AI23+'May-24'!AJ23+'Jun-24'!AJ23</f>
        <v>44184360</v>
      </c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</row>
    <row r="24" spans="1:253" s="19" customFormat="1" x14ac:dyDescent="0.3">
      <c r="A24" s="13">
        <v>6</v>
      </c>
      <c r="B24" s="14" t="s">
        <v>28</v>
      </c>
      <c r="C24" s="15" t="s">
        <v>14</v>
      </c>
      <c r="D24" s="15" t="s">
        <v>22</v>
      </c>
      <c r="E24" s="32">
        <f t="shared" ref="E24:AH24" si="32">E23/(E72+E73)</f>
        <v>28.872539652207148</v>
      </c>
      <c r="F24" s="32">
        <f t="shared" si="32"/>
        <v>26.33160815613893</v>
      </c>
      <c r="G24" s="32">
        <f t="shared" si="32"/>
        <v>23.845053294227053</v>
      </c>
      <c r="H24" s="32">
        <f t="shared" si="32"/>
        <v>26.100460600024896</v>
      </c>
      <c r="I24" s="32">
        <f t="shared" si="32"/>
        <v>27.552870090634443</v>
      </c>
      <c r="J24" s="32">
        <f t="shared" si="32"/>
        <v>26.373804911579079</v>
      </c>
      <c r="K24" s="32">
        <f t="shared" si="32"/>
        <v>26.306080473068519</v>
      </c>
      <c r="L24" s="32">
        <f t="shared" si="32"/>
        <v>24.870173102529961</v>
      </c>
      <c r="M24" s="35">
        <f t="shared" si="32"/>
        <v>18.942963704175384</v>
      </c>
      <c r="N24" s="32">
        <f t="shared" si="32"/>
        <v>16.64855072463768</v>
      </c>
      <c r="O24" s="32">
        <f t="shared" si="32"/>
        <v>19.173115189033826</v>
      </c>
      <c r="P24" s="32">
        <f t="shared" si="32"/>
        <v>17.881729920564872</v>
      </c>
      <c r="Q24" s="32">
        <f t="shared" si="32"/>
        <v>12.657398529881752</v>
      </c>
      <c r="R24" s="32">
        <f t="shared" si="32"/>
        <v>22.978307733764485</v>
      </c>
      <c r="S24" s="32">
        <f t="shared" si="32"/>
        <v>23.905984647782081</v>
      </c>
      <c r="T24" s="32">
        <f t="shared" si="32"/>
        <v>19.923996322402697</v>
      </c>
      <c r="U24" s="32">
        <f t="shared" si="32"/>
        <v>20.774788997510473</v>
      </c>
      <c r="V24" s="32">
        <f t="shared" si="32"/>
        <v>12.661128963802826</v>
      </c>
      <c r="W24" s="32">
        <f t="shared" si="32"/>
        <v>24.952156427679935</v>
      </c>
      <c r="X24" s="32">
        <f t="shared" si="32"/>
        <v>25.14848775147119</v>
      </c>
      <c r="Y24" s="32">
        <f t="shared" si="32"/>
        <v>26.430629888843146</v>
      </c>
      <c r="Z24" s="32">
        <f t="shared" si="32"/>
        <v>25.418269915918483</v>
      </c>
      <c r="AA24" s="32">
        <f t="shared" si="32"/>
        <v>27.101183765501691</v>
      </c>
      <c r="AB24" s="32">
        <f t="shared" si="32"/>
        <v>23.313929313929314</v>
      </c>
      <c r="AC24" s="32">
        <f t="shared" si="32"/>
        <v>25.480472042708627</v>
      </c>
      <c r="AD24" s="32">
        <f t="shared" si="32"/>
        <v>13.5439675660562</v>
      </c>
      <c r="AE24" s="32">
        <f t="shared" si="32"/>
        <v>0</v>
      </c>
      <c r="AF24" s="32" t="e">
        <f t="shared" si="32"/>
        <v>#DIV/0!</v>
      </c>
      <c r="AG24" s="32" t="e">
        <f t="shared" si="32"/>
        <v>#DIV/0!</v>
      </c>
      <c r="AH24" s="32" t="e">
        <f t="shared" si="32"/>
        <v>#DIV/0!</v>
      </c>
      <c r="AI24" s="32">
        <f t="shared" ref="AI24" si="33">AI23/(AI72+AI73)</f>
        <v>0</v>
      </c>
      <c r="AJ24" s="33">
        <f>AJ23/(AJ15+AJ21)</f>
        <v>22.141925384816069</v>
      </c>
      <c r="AK24" s="33">
        <f>AK23/(AK15+AK21)</f>
        <v>25.681041322169943</v>
      </c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</row>
    <row r="25" spans="1:253" x14ac:dyDescent="0.3">
      <c r="A25" s="8"/>
      <c r="B25" s="9" t="s">
        <v>29</v>
      </c>
      <c r="C25" s="10" t="s">
        <v>30</v>
      </c>
      <c r="D25" s="10" t="s">
        <v>31</v>
      </c>
      <c r="E25" s="38"/>
      <c r="F25" s="38"/>
      <c r="G25" s="38"/>
      <c r="H25" s="38"/>
      <c r="I25" s="38"/>
      <c r="J25" s="38"/>
      <c r="K25" s="38"/>
      <c r="L25" s="38"/>
      <c r="M25" s="39"/>
      <c r="N25" s="40"/>
      <c r="O25" s="40"/>
      <c r="P25" s="40"/>
      <c r="Q25" s="39"/>
      <c r="R25" s="40"/>
      <c r="S25" s="40"/>
      <c r="T25" s="40"/>
      <c r="U25" s="40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8"/>
    </row>
    <row r="26" spans="1:253" x14ac:dyDescent="0.3">
      <c r="A26" s="8"/>
      <c r="B26" s="9" t="s">
        <v>32</v>
      </c>
      <c r="C26" s="10" t="s">
        <v>30</v>
      </c>
      <c r="D26" s="10" t="s">
        <v>31</v>
      </c>
      <c r="E26" s="38"/>
      <c r="F26" s="38"/>
      <c r="G26" s="38"/>
      <c r="H26" s="38"/>
      <c r="I26" s="38"/>
      <c r="J26" s="38"/>
      <c r="K26" s="38"/>
      <c r="L26" s="38"/>
      <c r="M26" s="39"/>
      <c r="N26" s="40"/>
      <c r="O26" s="40"/>
      <c r="P26" s="40"/>
      <c r="Q26" s="39"/>
      <c r="R26" s="40"/>
      <c r="S26" s="40"/>
      <c r="T26" s="40"/>
      <c r="U26" s="40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8"/>
    </row>
    <row r="27" spans="1:253" s="19" customFormat="1" x14ac:dyDescent="0.3">
      <c r="A27" s="13">
        <v>7</v>
      </c>
      <c r="B27" s="14" t="s">
        <v>33</v>
      </c>
      <c r="C27" s="15" t="s">
        <v>30</v>
      </c>
      <c r="D27" s="15" t="s">
        <v>34</v>
      </c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28" t="e">
        <f>(AVERAGE(E27:AI27)*31)/1000</f>
        <v>#DIV/0!</v>
      </c>
      <c r="AK27" s="12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</row>
    <row r="28" spans="1:253" x14ac:dyDescent="0.3">
      <c r="A28" s="24"/>
      <c r="B28" s="9" t="s">
        <v>35</v>
      </c>
      <c r="C28" s="10" t="s">
        <v>36</v>
      </c>
      <c r="D28" s="10" t="s">
        <v>7</v>
      </c>
      <c r="E28" s="10">
        <v>47</v>
      </c>
      <c r="F28" s="10">
        <v>27</v>
      </c>
      <c r="G28" s="10">
        <v>55</v>
      </c>
      <c r="H28" s="10">
        <v>55</v>
      </c>
      <c r="I28" s="10">
        <v>37</v>
      </c>
      <c r="J28" s="10">
        <v>34</v>
      </c>
      <c r="K28" s="10">
        <v>51</v>
      </c>
      <c r="L28" s="10">
        <v>55</v>
      </c>
      <c r="M28" s="10">
        <v>26</v>
      </c>
      <c r="N28" s="10">
        <v>18</v>
      </c>
      <c r="O28" s="10">
        <v>53</v>
      </c>
      <c r="P28" s="10">
        <v>53</v>
      </c>
      <c r="Q28" s="10">
        <v>50</v>
      </c>
      <c r="R28" s="10">
        <v>46</v>
      </c>
      <c r="S28" s="10">
        <v>42</v>
      </c>
      <c r="T28" s="10">
        <v>51</v>
      </c>
      <c r="U28" s="10">
        <v>11</v>
      </c>
      <c r="V28" s="10">
        <v>41</v>
      </c>
      <c r="W28" s="10">
        <v>52</v>
      </c>
      <c r="X28" s="10">
        <v>48</v>
      </c>
      <c r="Y28" s="10">
        <v>28</v>
      </c>
      <c r="Z28" s="10">
        <v>49</v>
      </c>
      <c r="AA28" s="10">
        <v>34</v>
      </c>
      <c r="AB28" s="10">
        <v>49</v>
      </c>
      <c r="AC28" s="10">
        <v>40</v>
      </c>
      <c r="AD28" s="10">
        <v>49</v>
      </c>
      <c r="AE28" s="10">
        <v>65</v>
      </c>
      <c r="AF28" s="10">
        <v>89</v>
      </c>
      <c r="AG28" s="10">
        <v>67</v>
      </c>
      <c r="AH28" s="10">
        <v>33</v>
      </c>
      <c r="AI28" s="10">
        <v>29</v>
      </c>
      <c r="AJ28" s="28">
        <f t="shared" ref="AJ28:AJ33" si="34">SUM(E28:AI28)</f>
        <v>1384</v>
      </c>
      <c r="AK28" s="12">
        <f>AJ28+'Jun-24'!AK28</f>
        <v>6138</v>
      </c>
    </row>
    <row r="29" spans="1:253" x14ac:dyDescent="0.3">
      <c r="A29" s="24"/>
      <c r="B29" s="9" t="s">
        <v>268</v>
      </c>
      <c r="C29" s="10" t="s">
        <v>36</v>
      </c>
      <c r="D29" s="10" t="s">
        <v>7</v>
      </c>
      <c r="E29" s="10">
        <f>29+46</f>
        <v>75</v>
      </c>
      <c r="F29" s="10">
        <f>36+27</f>
        <v>63</v>
      </c>
      <c r="G29" s="10">
        <f>22+41</f>
        <v>63</v>
      </c>
      <c r="H29" s="10">
        <f>22+56</f>
        <v>78</v>
      </c>
      <c r="I29" s="10">
        <f>19+34</f>
        <v>53</v>
      </c>
      <c r="J29" s="10">
        <f>31+5</f>
        <v>36</v>
      </c>
      <c r="K29" s="10">
        <f>36+38</f>
        <v>74</v>
      </c>
      <c r="L29" s="10">
        <f>41+13</f>
        <v>54</v>
      </c>
      <c r="M29" s="10">
        <f>24+26</f>
        <v>50</v>
      </c>
      <c r="N29" s="10">
        <f>28+22</f>
        <v>50</v>
      </c>
      <c r="O29" s="10">
        <f>16+40</f>
        <v>56</v>
      </c>
      <c r="P29" s="10">
        <f>31+30</f>
        <v>61</v>
      </c>
      <c r="Q29" s="10">
        <f>25+0</f>
        <v>25</v>
      </c>
      <c r="R29" s="10">
        <f>12+0</f>
        <v>12</v>
      </c>
      <c r="S29" s="10">
        <f>33+42</f>
        <v>75</v>
      </c>
      <c r="T29" s="10">
        <f>24+51</f>
        <v>75</v>
      </c>
      <c r="U29" s="10">
        <f>7+24</f>
        <v>31</v>
      </c>
      <c r="V29" s="10">
        <f>13+41</f>
        <v>54</v>
      </c>
      <c r="W29" s="10">
        <f>29+52</f>
        <v>81</v>
      </c>
      <c r="X29" s="10">
        <f>45+48</f>
        <v>93</v>
      </c>
      <c r="Y29" s="10">
        <f>26+44</f>
        <v>70</v>
      </c>
      <c r="Z29" s="10">
        <f>36+49</f>
        <v>85</v>
      </c>
      <c r="AA29" s="10">
        <f>28+34</f>
        <v>62</v>
      </c>
      <c r="AB29" s="10">
        <f>49+51</f>
        <v>100</v>
      </c>
      <c r="AC29" s="10">
        <f>50+40</f>
        <v>90</v>
      </c>
      <c r="AD29" s="10">
        <f>39+61</f>
        <v>100</v>
      </c>
      <c r="AE29" s="10">
        <f>50+79</f>
        <v>129</v>
      </c>
      <c r="AF29" s="10">
        <f>29+89</f>
        <v>118</v>
      </c>
      <c r="AG29" s="10">
        <f>42+81</f>
        <v>123</v>
      </c>
      <c r="AH29" s="10">
        <f>29+44</f>
        <v>73</v>
      </c>
      <c r="AI29" s="10">
        <f>0+38</f>
        <v>38</v>
      </c>
      <c r="AJ29" s="28">
        <f t="shared" si="34"/>
        <v>2147</v>
      </c>
      <c r="AK29" s="12">
        <f>AJ29+'Jun-24'!AK29</f>
        <v>4490</v>
      </c>
    </row>
    <row r="30" spans="1:253" x14ac:dyDescent="0.3">
      <c r="A30" s="24"/>
      <c r="B30" s="9" t="s">
        <v>37</v>
      </c>
      <c r="C30" s="10" t="s">
        <v>36</v>
      </c>
      <c r="D30" s="10" t="s">
        <v>7</v>
      </c>
      <c r="E30" s="10">
        <v>60</v>
      </c>
      <c r="F30" s="10">
        <v>0</v>
      </c>
      <c r="G30" s="10">
        <v>0</v>
      </c>
      <c r="H30" s="10">
        <v>47</v>
      </c>
      <c r="I30" s="10">
        <v>26</v>
      </c>
      <c r="J30" s="10">
        <v>0</v>
      </c>
      <c r="K30" s="10">
        <v>36</v>
      </c>
      <c r="L30" s="10">
        <v>0</v>
      </c>
      <c r="M30" s="10">
        <v>0</v>
      </c>
      <c r="N30" s="10">
        <v>0</v>
      </c>
      <c r="O30" s="10">
        <v>64</v>
      </c>
      <c r="P30" s="10">
        <v>33</v>
      </c>
      <c r="Q30" s="10">
        <v>22</v>
      </c>
      <c r="R30" s="10">
        <v>25</v>
      </c>
      <c r="S30" s="10">
        <v>0</v>
      </c>
      <c r="T30" s="22">
        <v>15</v>
      </c>
      <c r="U30" s="10">
        <v>0</v>
      </c>
      <c r="V30" s="10">
        <v>0</v>
      </c>
      <c r="W30" s="10">
        <v>0</v>
      </c>
      <c r="X30" s="10">
        <v>36</v>
      </c>
      <c r="Y30" s="10">
        <v>56</v>
      </c>
      <c r="Z30" s="10">
        <v>0</v>
      </c>
      <c r="AA30" s="10">
        <v>18</v>
      </c>
      <c r="AB30" s="10">
        <v>0</v>
      </c>
      <c r="AC30" s="10">
        <v>82</v>
      </c>
      <c r="AD30" s="10">
        <v>18</v>
      </c>
      <c r="AE30" s="10">
        <v>14</v>
      </c>
      <c r="AF30" s="10">
        <v>51</v>
      </c>
      <c r="AG30" s="10">
        <v>0</v>
      </c>
      <c r="AH30" s="10">
        <v>0</v>
      </c>
      <c r="AI30" s="10">
        <v>0</v>
      </c>
      <c r="AJ30" s="28">
        <f t="shared" si="34"/>
        <v>603</v>
      </c>
      <c r="AK30" s="12">
        <f>AJ30+'Jun-24'!AK30</f>
        <v>3834</v>
      </c>
    </row>
    <row r="31" spans="1:253" x14ac:dyDescent="0.3">
      <c r="A31" s="24"/>
      <c r="B31" s="9" t="s">
        <v>38</v>
      </c>
      <c r="C31" s="10" t="s">
        <v>36</v>
      </c>
      <c r="D31" s="10" t="s">
        <v>7</v>
      </c>
      <c r="E31" s="10">
        <v>63</v>
      </c>
      <c r="F31" s="10">
        <v>62</v>
      </c>
      <c r="G31" s="10">
        <v>0</v>
      </c>
      <c r="H31" s="10">
        <v>85</v>
      </c>
      <c r="I31" s="10">
        <v>32</v>
      </c>
      <c r="J31" s="10">
        <v>27</v>
      </c>
      <c r="K31" s="10">
        <v>0</v>
      </c>
      <c r="L31" s="10">
        <v>0</v>
      </c>
      <c r="M31" s="10">
        <v>34</v>
      </c>
      <c r="N31" s="10">
        <v>87</v>
      </c>
      <c r="O31" s="10">
        <v>0</v>
      </c>
      <c r="P31" s="10">
        <v>0</v>
      </c>
      <c r="Q31" s="10">
        <v>0</v>
      </c>
      <c r="R31" s="10">
        <v>103</v>
      </c>
      <c r="S31" s="10">
        <v>0</v>
      </c>
      <c r="T31" s="22">
        <v>0</v>
      </c>
      <c r="U31" s="10">
        <v>54</v>
      </c>
      <c r="V31" s="10">
        <v>0</v>
      </c>
      <c r="W31" s="10">
        <v>0</v>
      </c>
      <c r="X31" s="10">
        <v>0</v>
      </c>
      <c r="Y31" s="10">
        <v>63</v>
      </c>
      <c r="Z31" s="10">
        <v>0</v>
      </c>
      <c r="AA31" s="10">
        <v>26</v>
      </c>
      <c r="AB31" s="10">
        <v>0</v>
      </c>
      <c r="AC31" s="10">
        <v>35</v>
      </c>
      <c r="AD31" s="10">
        <v>61</v>
      </c>
      <c r="AE31" s="10">
        <v>55</v>
      </c>
      <c r="AF31" s="10">
        <v>0</v>
      </c>
      <c r="AG31" s="10">
        <v>54</v>
      </c>
      <c r="AH31" s="10">
        <v>45</v>
      </c>
      <c r="AI31" s="10">
        <v>37</v>
      </c>
      <c r="AJ31" s="28">
        <f t="shared" si="34"/>
        <v>923</v>
      </c>
      <c r="AK31" s="12">
        <f>AJ31+'Jun-24'!AK31</f>
        <v>5361</v>
      </c>
    </row>
    <row r="32" spans="1:253" x14ac:dyDescent="0.3">
      <c r="A32" s="24"/>
      <c r="B32" s="9" t="s">
        <v>39</v>
      </c>
      <c r="C32" s="10" t="s">
        <v>36</v>
      </c>
      <c r="D32" s="10" t="s">
        <v>7</v>
      </c>
      <c r="E32" s="42">
        <f t="shared" ref="E32:AH33" si="35">E118+E120</f>
        <v>260</v>
      </c>
      <c r="F32" s="42">
        <f t="shared" si="35"/>
        <v>241</v>
      </c>
      <c r="G32" s="42">
        <f>G118+G120</f>
        <v>303</v>
      </c>
      <c r="H32" s="42">
        <f>H118+H120</f>
        <v>256</v>
      </c>
      <c r="I32" s="42">
        <f t="shared" si="35"/>
        <v>209</v>
      </c>
      <c r="J32" s="42">
        <f t="shared" si="35"/>
        <v>140</v>
      </c>
      <c r="K32" s="42">
        <f t="shared" si="35"/>
        <v>338</v>
      </c>
      <c r="L32" s="42">
        <f t="shared" si="35"/>
        <v>250</v>
      </c>
      <c r="M32" s="42">
        <f t="shared" si="35"/>
        <v>222</v>
      </c>
      <c r="N32" s="42">
        <f t="shared" si="35"/>
        <v>181</v>
      </c>
      <c r="O32" s="42">
        <f t="shared" si="35"/>
        <v>200</v>
      </c>
      <c r="P32" s="42">
        <f t="shared" si="35"/>
        <v>318</v>
      </c>
      <c r="Q32" s="42">
        <f t="shared" si="35"/>
        <v>317</v>
      </c>
      <c r="R32" s="42">
        <f>R118+R120</f>
        <v>229</v>
      </c>
      <c r="S32" s="42">
        <f t="shared" si="35"/>
        <v>257</v>
      </c>
      <c r="T32" s="42">
        <f t="shared" si="35"/>
        <v>232</v>
      </c>
      <c r="U32" s="42">
        <f t="shared" si="35"/>
        <v>61</v>
      </c>
      <c r="V32" s="42">
        <f t="shared" si="35"/>
        <v>232</v>
      </c>
      <c r="W32" s="42">
        <f t="shared" si="35"/>
        <v>270</v>
      </c>
      <c r="X32" s="42">
        <f t="shared" si="35"/>
        <v>286</v>
      </c>
      <c r="Y32" s="42">
        <f t="shared" si="35"/>
        <v>133</v>
      </c>
      <c r="Z32" s="42">
        <f t="shared" si="35"/>
        <v>292</v>
      </c>
      <c r="AA32" s="42">
        <f t="shared" si="35"/>
        <v>181</v>
      </c>
      <c r="AB32" s="42">
        <f t="shared" si="35"/>
        <v>353</v>
      </c>
      <c r="AC32" s="42">
        <f t="shared" si="35"/>
        <v>238</v>
      </c>
      <c r="AD32" s="42">
        <f t="shared" si="35"/>
        <v>280</v>
      </c>
      <c r="AE32" s="42">
        <f t="shared" si="35"/>
        <v>458</v>
      </c>
      <c r="AF32" s="42">
        <f t="shared" si="35"/>
        <v>330</v>
      </c>
      <c r="AG32" s="42">
        <f t="shared" si="35"/>
        <v>370</v>
      </c>
      <c r="AH32" s="42">
        <f t="shared" si="35"/>
        <v>213</v>
      </c>
      <c r="AI32" s="42">
        <f t="shared" ref="AI32" si="36">AI118+AI120</f>
        <v>265</v>
      </c>
      <c r="AJ32" s="28">
        <f t="shared" si="34"/>
        <v>7915</v>
      </c>
      <c r="AK32" s="12">
        <f>AJ32+'Jun-24'!AK32</f>
        <v>41124</v>
      </c>
    </row>
    <row r="33" spans="1:253" x14ac:dyDescent="0.3">
      <c r="A33" s="24"/>
      <c r="B33" s="9" t="s">
        <v>40</v>
      </c>
      <c r="C33" s="10" t="s">
        <v>36</v>
      </c>
      <c r="D33" s="10" t="s">
        <v>7</v>
      </c>
      <c r="E33" s="10">
        <f t="shared" si="35"/>
        <v>183</v>
      </c>
      <c r="F33" s="10">
        <f t="shared" si="35"/>
        <v>175</v>
      </c>
      <c r="G33" s="10">
        <f t="shared" si="35"/>
        <v>234</v>
      </c>
      <c r="H33" s="10">
        <f t="shared" si="35"/>
        <v>204</v>
      </c>
      <c r="I33" s="10">
        <f t="shared" si="35"/>
        <v>160</v>
      </c>
      <c r="J33" s="10">
        <f t="shared" si="35"/>
        <v>114</v>
      </c>
      <c r="K33" s="10">
        <f t="shared" si="35"/>
        <v>254</v>
      </c>
      <c r="L33" s="10">
        <f t="shared" si="35"/>
        <v>200</v>
      </c>
      <c r="M33" s="10">
        <f t="shared" si="35"/>
        <v>163</v>
      </c>
      <c r="N33" s="10">
        <f t="shared" si="35"/>
        <v>130</v>
      </c>
      <c r="O33" s="10">
        <f t="shared" si="35"/>
        <v>165</v>
      </c>
      <c r="P33" s="10">
        <f t="shared" si="35"/>
        <v>237</v>
      </c>
      <c r="Q33" s="10">
        <f t="shared" si="35"/>
        <v>215</v>
      </c>
      <c r="R33" s="10">
        <f t="shared" si="35"/>
        <v>157</v>
      </c>
      <c r="S33" s="10">
        <f t="shared" si="35"/>
        <v>208</v>
      </c>
      <c r="T33" s="10">
        <f t="shared" si="35"/>
        <v>196</v>
      </c>
      <c r="U33" s="10">
        <f t="shared" si="35"/>
        <v>50</v>
      </c>
      <c r="V33" s="10">
        <f t="shared" si="35"/>
        <v>182</v>
      </c>
      <c r="W33" s="10">
        <f t="shared" si="35"/>
        <v>224</v>
      </c>
      <c r="X33" s="10">
        <f t="shared" si="35"/>
        <v>232</v>
      </c>
      <c r="Y33" s="10">
        <f t="shared" si="35"/>
        <v>95</v>
      </c>
      <c r="Z33" s="10">
        <f t="shared" si="35"/>
        <v>296</v>
      </c>
      <c r="AA33" s="10">
        <f t="shared" si="35"/>
        <v>166</v>
      </c>
      <c r="AB33" s="10">
        <f t="shared" si="35"/>
        <v>327</v>
      </c>
      <c r="AC33" s="10">
        <f t="shared" si="35"/>
        <v>229</v>
      </c>
      <c r="AD33" s="10">
        <f t="shared" si="35"/>
        <v>286</v>
      </c>
      <c r="AE33" s="10">
        <f t="shared" si="35"/>
        <v>405</v>
      </c>
      <c r="AF33" s="10">
        <f t="shared" si="35"/>
        <v>347</v>
      </c>
      <c r="AG33" s="10">
        <f t="shared" si="35"/>
        <v>360</v>
      </c>
      <c r="AH33" s="10">
        <f t="shared" si="35"/>
        <v>182</v>
      </c>
      <c r="AI33" s="10">
        <f t="shared" ref="AI33" si="37">AI119+AI121</f>
        <v>224</v>
      </c>
      <c r="AJ33" s="28">
        <f t="shared" si="34"/>
        <v>6600</v>
      </c>
      <c r="AK33" s="12">
        <f>AJ33+'Jun-24'!AK33</f>
        <v>28735</v>
      </c>
    </row>
    <row r="34" spans="1:253" x14ac:dyDescent="0.3">
      <c r="A34" s="24"/>
      <c r="B34" s="9" t="s">
        <v>41</v>
      </c>
      <c r="C34" s="10" t="s">
        <v>36</v>
      </c>
      <c r="D34" s="10" t="s">
        <v>7</v>
      </c>
      <c r="E34" s="43">
        <f>SUM(E28:E33)</f>
        <v>688</v>
      </c>
      <c r="F34" s="43">
        <f>SUM(F28:F33)</f>
        <v>568</v>
      </c>
      <c r="G34" s="43">
        <f t="shared" ref="G34:AH34" si="38">SUM(G28:G33)</f>
        <v>655</v>
      </c>
      <c r="H34" s="43">
        <f>SUM(H28:H33)</f>
        <v>725</v>
      </c>
      <c r="I34" s="43">
        <f t="shared" si="38"/>
        <v>517</v>
      </c>
      <c r="J34" s="43">
        <f t="shared" si="38"/>
        <v>351</v>
      </c>
      <c r="K34" s="43">
        <f t="shared" si="38"/>
        <v>753</v>
      </c>
      <c r="L34" s="43">
        <f t="shared" si="38"/>
        <v>559</v>
      </c>
      <c r="M34" s="43">
        <f t="shared" si="38"/>
        <v>495</v>
      </c>
      <c r="N34" s="43">
        <f t="shared" si="38"/>
        <v>466</v>
      </c>
      <c r="O34" s="43">
        <f t="shared" si="38"/>
        <v>538</v>
      </c>
      <c r="P34" s="43">
        <f t="shared" si="38"/>
        <v>702</v>
      </c>
      <c r="Q34" s="43">
        <f t="shared" si="38"/>
        <v>629</v>
      </c>
      <c r="R34" s="43">
        <f>SUM(R28:R33)</f>
        <v>572</v>
      </c>
      <c r="S34" s="43">
        <f t="shared" si="38"/>
        <v>582</v>
      </c>
      <c r="T34" s="43">
        <f t="shared" si="38"/>
        <v>569</v>
      </c>
      <c r="U34" s="43">
        <f t="shared" si="38"/>
        <v>207</v>
      </c>
      <c r="V34" s="43">
        <f t="shared" si="38"/>
        <v>509</v>
      </c>
      <c r="W34" s="43">
        <f t="shared" si="38"/>
        <v>627</v>
      </c>
      <c r="X34" s="43">
        <f t="shared" si="38"/>
        <v>695</v>
      </c>
      <c r="Y34" s="43">
        <f t="shared" si="38"/>
        <v>445</v>
      </c>
      <c r="Z34" s="43">
        <f t="shared" si="38"/>
        <v>722</v>
      </c>
      <c r="AA34" s="43">
        <f t="shared" si="38"/>
        <v>487</v>
      </c>
      <c r="AB34" s="43">
        <f t="shared" si="38"/>
        <v>829</v>
      </c>
      <c r="AC34" s="43">
        <f>SUM(AC28:AC33)</f>
        <v>714</v>
      </c>
      <c r="AD34" s="43">
        <f t="shared" si="38"/>
        <v>794</v>
      </c>
      <c r="AE34" s="43">
        <f t="shared" si="38"/>
        <v>1126</v>
      </c>
      <c r="AF34" s="43">
        <f t="shared" si="38"/>
        <v>935</v>
      </c>
      <c r="AG34" s="43">
        <f t="shared" si="38"/>
        <v>974</v>
      </c>
      <c r="AH34" s="43">
        <f t="shared" si="38"/>
        <v>546</v>
      </c>
      <c r="AI34" s="43">
        <f t="shared" ref="AI34" si="39">SUM(AI28:AI33)</f>
        <v>593</v>
      </c>
      <c r="AJ34" s="28">
        <f>SUM(E34:AI34)</f>
        <v>19572</v>
      </c>
      <c r="AK34" s="12">
        <f>AJ34+'Jun-24'!AK34</f>
        <v>89682</v>
      </c>
    </row>
    <row r="35" spans="1:253" s="19" customFormat="1" x14ac:dyDescent="0.3">
      <c r="A35" s="44">
        <v>8</v>
      </c>
      <c r="B35" s="44" t="s">
        <v>42</v>
      </c>
      <c r="C35" s="15" t="s">
        <v>36</v>
      </c>
      <c r="D35" s="15" t="s">
        <v>43</v>
      </c>
      <c r="E35" s="16">
        <f t="shared" ref="E35:F35" si="40">(E28+E33+E29)/E34</f>
        <v>0.4433139534883721</v>
      </c>
      <c r="F35" s="16">
        <f t="shared" si="40"/>
        <v>0.46654929577464788</v>
      </c>
      <c r="G35" s="16">
        <f>(G28+G33+G29)/G34</f>
        <v>0.53740458015267178</v>
      </c>
      <c r="H35" s="16">
        <f>(H28+H33+H29)/H34</f>
        <v>0.46482758620689657</v>
      </c>
      <c r="I35" s="16">
        <f t="shared" ref="I35:AG35" si="41">(I28+I33+I29)/I34</f>
        <v>0.48355899419729209</v>
      </c>
      <c r="J35" s="16">
        <f t="shared" si="41"/>
        <v>0.5242165242165242</v>
      </c>
      <c r="K35" s="16">
        <f t="shared" si="41"/>
        <v>0.50332005312084993</v>
      </c>
      <c r="L35" s="16">
        <f>(L28+L33+L29)/L34</f>
        <v>0.55277280858676203</v>
      </c>
      <c r="M35" s="16">
        <f t="shared" si="41"/>
        <v>0.48282828282828283</v>
      </c>
      <c r="N35" s="16">
        <f t="shared" si="41"/>
        <v>0.42489270386266093</v>
      </c>
      <c r="O35" s="16">
        <f>(O28+O33+O29)/O34</f>
        <v>0.50929368029739774</v>
      </c>
      <c r="P35" s="16">
        <f t="shared" si="41"/>
        <v>0.5</v>
      </c>
      <c r="Q35" s="16">
        <f t="shared" si="41"/>
        <v>0.46104928457869632</v>
      </c>
      <c r="R35" s="16">
        <f t="shared" si="41"/>
        <v>0.37587412587412589</v>
      </c>
      <c r="S35" s="16">
        <f t="shared" si="41"/>
        <v>0.55841924398625431</v>
      </c>
      <c r="T35" s="16">
        <f t="shared" si="41"/>
        <v>0.56590509666080846</v>
      </c>
      <c r="U35" s="16">
        <f t="shared" si="41"/>
        <v>0.44444444444444442</v>
      </c>
      <c r="V35" s="16">
        <f t="shared" si="41"/>
        <v>0.54420432220039294</v>
      </c>
      <c r="W35" s="16">
        <f t="shared" si="41"/>
        <v>0.56937799043062198</v>
      </c>
      <c r="X35" s="16">
        <f t="shared" si="41"/>
        <v>0.53669064748201434</v>
      </c>
      <c r="Y35" s="16">
        <f>(Y28+Y33+Y29)/Y34</f>
        <v>0.43370786516853932</v>
      </c>
      <c r="Z35" s="16">
        <f t="shared" si="41"/>
        <v>0.59556786703601106</v>
      </c>
      <c r="AA35" s="16">
        <f t="shared" si="41"/>
        <v>0.53798767967145789</v>
      </c>
      <c r="AB35" s="16">
        <f t="shared" si="41"/>
        <v>0.57418576598311222</v>
      </c>
      <c r="AC35" s="16">
        <f>(AC28+AC33+AC29)/AC34</f>
        <v>0.50280112044817926</v>
      </c>
      <c r="AD35" s="16">
        <f t="shared" si="41"/>
        <v>0.54785894206549124</v>
      </c>
      <c r="AE35" s="16">
        <f t="shared" si="41"/>
        <v>0.53197158081705154</v>
      </c>
      <c r="AF35" s="16">
        <f>(AF28+AF33+AF29)/AF34</f>
        <v>0.59251336898395723</v>
      </c>
      <c r="AG35" s="16">
        <f t="shared" si="41"/>
        <v>0.56468172484599588</v>
      </c>
      <c r="AH35" s="16">
        <f>(AH28+AH33+AH29)/AH34</f>
        <v>0.52747252747252749</v>
      </c>
      <c r="AI35" s="16">
        <f>(AI28+AI33+AI29)/AI34</f>
        <v>0.49072512647554806</v>
      </c>
      <c r="AJ35" s="16">
        <f>(AJ28+AJ33+AJ29)/AJ34</f>
        <v>0.51762722256284488</v>
      </c>
      <c r="AK35" s="21">
        <f>(AK28+AK33+AK29)/AK34</f>
        <v>0.43891750853013983</v>
      </c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</row>
    <row r="36" spans="1:253" x14ac:dyDescent="0.3">
      <c r="A36" s="24"/>
      <c r="B36" s="24" t="s">
        <v>44</v>
      </c>
      <c r="C36" s="10" t="s">
        <v>36</v>
      </c>
      <c r="D36" s="10" t="s">
        <v>7</v>
      </c>
      <c r="E36" s="45">
        <f t="shared" ref="E36:AH36" si="42">E123+E125</f>
        <v>850</v>
      </c>
      <c r="F36" s="45">
        <f t="shared" si="42"/>
        <v>740</v>
      </c>
      <c r="G36" s="45">
        <f t="shared" si="42"/>
        <v>708</v>
      </c>
      <c r="H36" s="45">
        <f t="shared" si="42"/>
        <v>761</v>
      </c>
      <c r="I36" s="45">
        <f t="shared" si="42"/>
        <v>698</v>
      </c>
      <c r="J36" s="45">
        <f t="shared" si="42"/>
        <v>459</v>
      </c>
      <c r="K36" s="45">
        <f t="shared" si="42"/>
        <v>819</v>
      </c>
      <c r="L36" s="45">
        <f t="shared" si="42"/>
        <v>722</v>
      </c>
      <c r="M36" s="45">
        <f t="shared" si="42"/>
        <v>843</v>
      </c>
      <c r="N36" s="45">
        <f t="shared" si="42"/>
        <v>688</v>
      </c>
      <c r="O36" s="45">
        <f t="shared" si="42"/>
        <v>522</v>
      </c>
      <c r="P36" s="45">
        <f t="shared" si="42"/>
        <v>464</v>
      </c>
      <c r="Q36" s="45">
        <f t="shared" si="42"/>
        <v>403</v>
      </c>
      <c r="R36" s="45">
        <f t="shared" si="42"/>
        <v>0</v>
      </c>
      <c r="S36" s="45">
        <f t="shared" si="42"/>
        <v>100</v>
      </c>
      <c r="T36" s="45">
        <f t="shared" si="42"/>
        <v>0</v>
      </c>
      <c r="U36" s="45">
        <f t="shared" si="42"/>
        <v>0</v>
      </c>
      <c r="V36" s="45">
        <f t="shared" si="42"/>
        <v>0</v>
      </c>
      <c r="W36" s="45">
        <f t="shared" si="42"/>
        <v>0</v>
      </c>
      <c r="X36" s="45">
        <f t="shared" si="42"/>
        <v>0</v>
      </c>
      <c r="Y36" s="45">
        <f t="shared" si="42"/>
        <v>0</v>
      </c>
      <c r="Z36" s="45">
        <f>Z123+Z125</f>
        <v>0</v>
      </c>
      <c r="AA36" s="45">
        <f t="shared" si="42"/>
        <v>0</v>
      </c>
      <c r="AB36" s="45">
        <f t="shared" si="42"/>
        <v>0</v>
      </c>
      <c r="AC36" s="45">
        <f t="shared" si="42"/>
        <v>0</v>
      </c>
      <c r="AD36" s="45">
        <f t="shared" si="42"/>
        <v>0</v>
      </c>
      <c r="AE36" s="45">
        <f t="shared" si="42"/>
        <v>0</v>
      </c>
      <c r="AF36" s="45">
        <f t="shared" si="42"/>
        <v>0</v>
      </c>
      <c r="AG36" s="45">
        <f t="shared" si="42"/>
        <v>250</v>
      </c>
      <c r="AH36" s="45">
        <f t="shared" si="42"/>
        <v>0</v>
      </c>
      <c r="AI36" s="45">
        <f t="shared" ref="AI36" si="43">AI123+AI125</f>
        <v>100</v>
      </c>
      <c r="AJ36" s="11">
        <f>SUM(E36:AI36)</f>
        <v>9127</v>
      </c>
      <c r="AK36" s="12">
        <f>AJ36+'Jun-24'!AK36</f>
        <v>94940</v>
      </c>
    </row>
    <row r="37" spans="1:253" x14ac:dyDescent="0.3">
      <c r="A37" s="24"/>
      <c r="B37" s="24" t="s">
        <v>45</v>
      </c>
      <c r="C37" s="10" t="s">
        <v>36</v>
      </c>
      <c r="D37" s="10" t="s">
        <v>7</v>
      </c>
      <c r="E37" s="45">
        <f t="shared" ref="E37:AH37" si="44">SUM(E123:E126)</f>
        <v>3340</v>
      </c>
      <c r="F37" s="45">
        <f t="shared" si="44"/>
        <v>2978</v>
      </c>
      <c r="G37" s="45">
        <f t="shared" si="44"/>
        <v>3526</v>
      </c>
      <c r="H37" s="45">
        <f t="shared" si="44"/>
        <v>3195</v>
      </c>
      <c r="I37" s="45">
        <f t="shared" si="44"/>
        <v>2626</v>
      </c>
      <c r="J37" s="45">
        <f t="shared" si="44"/>
        <v>1932</v>
      </c>
      <c r="K37" s="45">
        <f t="shared" si="44"/>
        <v>4191</v>
      </c>
      <c r="L37" s="45">
        <f t="shared" si="44"/>
        <v>3409</v>
      </c>
      <c r="M37" s="45">
        <f t="shared" si="44"/>
        <v>2659</v>
      </c>
      <c r="N37" s="45">
        <f t="shared" si="44"/>
        <v>2219</v>
      </c>
      <c r="O37" s="45">
        <f t="shared" si="44"/>
        <v>2813</v>
      </c>
      <c r="P37" s="45">
        <f t="shared" si="44"/>
        <v>3951</v>
      </c>
      <c r="Q37" s="45">
        <f t="shared" si="44"/>
        <v>3466</v>
      </c>
      <c r="R37" s="45">
        <f t="shared" si="44"/>
        <v>2689</v>
      </c>
      <c r="S37" s="45">
        <f t="shared" si="44"/>
        <v>3467</v>
      </c>
      <c r="T37" s="45">
        <f t="shared" si="44"/>
        <v>3354</v>
      </c>
      <c r="U37" s="45">
        <f t="shared" si="44"/>
        <v>853</v>
      </c>
      <c r="V37" s="45">
        <f t="shared" si="44"/>
        <v>2969</v>
      </c>
      <c r="W37" s="45">
        <f t="shared" si="44"/>
        <v>3670</v>
      </c>
      <c r="X37" s="45">
        <f t="shared" si="44"/>
        <v>3963</v>
      </c>
      <c r="Y37" s="45">
        <f t="shared" si="44"/>
        <v>1832</v>
      </c>
      <c r="Z37" s="45">
        <f t="shared" si="44"/>
        <v>4006</v>
      </c>
      <c r="AA37" s="45">
        <f t="shared" si="44"/>
        <v>2418</v>
      </c>
      <c r="AB37" s="45">
        <f t="shared" si="44"/>
        <v>4693</v>
      </c>
      <c r="AC37" s="45">
        <f t="shared" si="44"/>
        <v>3218</v>
      </c>
      <c r="AD37" s="45">
        <f t="shared" si="44"/>
        <v>3893</v>
      </c>
      <c r="AE37" s="45">
        <f t="shared" si="44"/>
        <v>5746</v>
      </c>
      <c r="AF37" s="45">
        <f t="shared" si="44"/>
        <v>4623</v>
      </c>
      <c r="AG37" s="45">
        <f t="shared" si="44"/>
        <v>4844</v>
      </c>
      <c r="AH37" s="45">
        <f t="shared" si="44"/>
        <v>2780</v>
      </c>
      <c r="AI37" s="45">
        <f t="shared" ref="AI37" si="45">SUM(AI123:AI126)</f>
        <v>3066</v>
      </c>
      <c r="AJ37" s="11">
        <f>SUM(E37:AI37)</f>
        <v>102389</v>
      </c>
      <c r="AK37" s="12">
        <f>AJ37+'Jun-24'!AK37</f>
        <v>501503</v>
      </c>
    </row>
    <row r="38" spans="1:253" x14ac:dyDescent="0.3">
      <c r="A38" s="44">
        <v>9</v>
      </c>
      <c r="B38" s="44" t="s">
        <v>46</v>
      </c>
      <c r="C38" s="15" t="s">
        <v>36</v>
      </c>
      <c r="D38" s="15" t="s">
        <v>43</v>
      </c>
      <c r="E38" s="48">
        <f t="shared" ref="E38:AK38" si="46">E36/E37</f>
        <v>0.25449101796407186</v>
      </c>
      <c r="F38" s="48">
        <f t="shared" si="46"/>
        <v>0.24848891873740767</v>
      </c>
      <c r="G38" s="48">
        <f t="shared" si="46"/>
        <v>0.20079410096426545</v>
      </c>
      <c r="H38" s="48">
        <f t="shared" si="46"/>
        <v>0.23818466353677623</v>
      </c>
      <c r="I38" s="48">
        <f t="shared" si="46"/>
        <v>0.26580350342726583</v>
      </c>
      <c r="J38" s="48">
        <f t="shared" si="46"/>
        <v>0.2375776397515528</v>
      </c>
      <c r="K38" s="48">
        <f t="shared" si="46"/>
        <v>0.19541875447387258</v>
      </c>
      <c r="L38" s="48">
        <f t="shared" si="46"/>
        <v>0.21179231446171898</v>
      </c>
      <c r="M38" s="49">
        <f t="shared" si="46"/>
        <v>0.317036479879654</v>
      </c>
      <c r="N38" s="48">
        <f t="shared" si="46"/>
        <v>0.31004957187922488</v>
      </c>
      <c r="O38" s="48">
        <f t="shared" si="46"/>
        <v>0.18556701030927836</v>
      </c>
      <c r="P38" s="48">
        <f t="shared" si="46"/>
        <v>0.11743862313338395</v>
      </c>
      <c r="Q38" s="48">
        <f>Q36/Q37</f>
        <v>0.11627236006924409</v>
      </c>
      <c r="R38" s="48">
        <f t="shared" si="46"/>
        <v>0</v>
      </c>
      <c r="S38" s="48">
        <f t="shared" si="46"/>
        <v>2.884338044418806E-2</v>
      </c>
      <c r="T38" s="48">
        <f t="shared" si="46"/>
        <v>0</v>
      </c>
      <c r="U38" s="48">
        <f t="shared" si="46"/>
        <v>0</v>
      </c>
      <c r="V38" s="48">
        <f t="shared" si="46"/>
        <v>0</v>
      </c>
      <c r="W38" s="48">
        <f t="shared" si="46"/>
        <v>0</v>
      </c>
      <c r="X38" s="48">
        <f t="shared" si="46"/>
        <v>0</v>
      </c>
      <c r="Y38" s="48">
        <f t="shared" si="46"/>
        <v>0</v>
      </c>
      <c r="Z38" s="48">
        <f>Z36/Z37</f>
        <v>0</v>
      </c>
      <c r="AA38" s="48">
        <f t="shared" si="46"/>
        <v>0</v>
      </c>
      <c r="AB38" s="48">
        <f t="shared" si="46"/>
        <v>0</v>
      </c>
      <c r="AC38" s="48">
        <f t="shared" si="46"/>
        <v>0</v>
      </c>
      <c r="AD38" s="48">
        <f t="shared" si="46"/>
        <v>0</v>
      </c>
      <c r="AE38" s="48">
        <f t="shared" si="46"/>
        <v>0</v>
      </c>
      <c r="AF38" s="48">
        <f t="shared" si="46"/>
        <v>0</v>
      </c>
      <c r="AG38" s="48">
        <f t="shared" si="46"/>
        <v>5.1610239471511145E-2</v>
      </c>
      <c r="AH38" s="48">
        <f t="shared" si="46"/>
        <v>0</v>
      </c>
      <c r="AI38" s="48">
        <f t="shared" ref="AI38" si="47">AI36/AI37</f>
        <v>3.2615786040443573E-2</v>
      </c>
      <c r="AJ38" s="48">
        <f t="shared" si="46"/>
        <v>8.9140435007666843E-2</v>
      </c>
      <c r="AK38" s="48">
        <f t="shared" si="46"/>
        <v>0.18931093134039079</v>
      </c>
    </row>
    <row r="39" spans="1:253" x14ac:dyDescent="0.3">
      <c r="A39" s="24"/>
      <c r="B39" s="24" t="s">
        <v>47</v>
      </c>
      <c r="C39" s="10" t="s">
        <v>6</v>
      </c>
      <c r="D39" s="10" t="s">
        <v>7</v>
      </c>
      <c r="E39" s="45">
        <f t="shared" ref="E39:AH39" si="48">E83+E86</f>
        <v>4696</v>
      </c>
      <c r="F39" s="45">
        <f t="shared" si="48"/>
        <v>2530</v>
      </c>
      <c r="G39" s="45">
        <f t="shared" si="48"/>
        <v>0</v>
      </c>
      <c r="H39" s="45">
        <f t="shared" si="48"/>
        <v>5004</v>
      </c>
      <c r="I39" s="45">
        <f t="shared" si="48"/>
        <v>2192</v>
      </c>
      <c r="J39" s="45">
        <f t="shared" si="48"/>
        <v>989</v>
      </c>
      <c r="K39" s="45">
        <f t="shared" si="48"/>
        <v>1344</v>
      </c>
      <c r="L39" s="45">
        <f t="shared" si="48"/>
        <v>0</v>
      </c>
      <c r="M39" s="45">
        <f t="shared" si="48"/>
        <v>1302</v>
      </c>
      <c r="N39" s="45">
        <f t="shared" si="48"/>
        <v>3300</v>
      </c>
      <c r="O39" s="45">
        <f t="shared" si="48"/>
        <v>2435</v>
      </c>
      <c r="P39" s="45">
        <f t="shared" si="48"/>
        <v>1248</v>
      </c>
      <c r="Q39" s="45">
        <f t="shared" si="48"/>
        <v>850</v>
      </c>
      <c r="R39" s="45">
        <f t="shared" si="48"/>
        <v>4260</v>
      </c>
      <c r="S39" s="45">
        <f>S83+S86</f>
        <v>0</v>
      </c>
      <c r="T39" s="45">
        <f t="shared" si="48"/>
        <v>610</v>
      </c>
      <c r="U39" s="45">
        <f t="shared" si="48"/>
        <v>2155</v>
      </c>
      <c r="V39" s="45">
        <f t="shared" si="48"/>
        <v>0</v>
      </c>
      <c r="W39" s="45">
        <f t="shared" si="48"/>
        <v>0</v>
      </c>
      <c r="X39" s="45">
        <f t="shared" si="48"/>
        <v>1441</v>
      </c>
      <c r="Y39" s="45">
        <f t="shared" si="48"/>
        <v>4826</v>
      </c>
      <c r="Z39" s="45">
        <f t="shared" si="48"/>
        <v>0</v>
      </c>
      <c r="AA39" s="45">
        <f t="shared" si="48"/>
        <v>1895</v>
      </c>
      <c r="AB39" s="45">
        <f t="shared" si="48"/>
        <v>0</v>
      </c>
      <c r="AC39" s="45">
        <f t="shared" si="48"/>
        <v>4451</v>
      </c>
      <c r="AD39" s="45">
        <f t="shared" si="48"/>
        <v>2713</v>
      </c>
      <c r="AE39" s="45">
        <f t="shared" si="48"/>
        <v>2771</v>
      </c>
      <c r="AF39" s="45">
        <f t="shared" si="48"/>
        <v>2071</v>
      </c>
      <c r="AG39" s="45">
        <f t="shared" si="48"/>
        <v>2195</v>
      </c>
      <c r="AH39" s="45">
        <f t="shared" si="48"/>
        <v>1810</v>
      </c>
      <c r="AI39" s="45">
        <f t="shared" ref="AI39" si="49">AI83+AI86</f>
        <v>1475</v>
      </c>
      <c r="AJ39" s="11">
        <f>SUM(E39:AI39)</f>
        <v>58563</v>
      </c>
      <c r="AK39" s="12">
        <f>AJ39+'Jun-24'!AK39</f>
        <v>335337</v>
      </c>
    </row>
    <row r="40" spans="1:253" x14ac:dyDescent="0.3">
      <c r="A40" s="24"/>
      <c r="B40" s="24" t="s">
        <v>48</v>
      </c>
      <c r="C40" s="10" t="s">
        <v>6</v>
      </c>
      <c r="D40" s="10" t="s">
        <v>7</v>
      </c>
      <c r="E40" s="45">
        <f>E96+E97</f>
        <v>230</v>
      </c>
      <c r="F40" s="45">
        <f t="shared" ref="F40:AH40" si="50">F96+F97</f>
        <v>124</v>
      </c>
      <c r="G40" s="45">
        <f t="shared" si="50"/>
        <v>0</v>
      </c>
      <c r="H40" s="45">
        <f t="shared" si="50"/>
        <v>246</v>
      </c>
      <c r="I40" s="45">
        <f t="shared" si="50"/>
        <v>107</v>
      </c>
      <c r="J40" s="45">
        <f t="shared" si="50"/>
        <v>48</v>
      </c>
      <c r="K40" s="45">
        <f t="shared" si="50"/>
        <v>66</v>
      </c>
      <c r="L40" s="45">
        <f t="shared" si="50"/>
        <v>0</v>
      </c>
      <c r="M40" s="45">
        <f t="shared" si="50"/>
        <v>64</v>
      </c>
      <c r="N40" s="45">
        <f t="shared" si="50"/>
        <v>162</v>
      </c>
      <c r="O40" s="45">
        <f>O96+O97</f>
        <v>119</v>
      </c>
      <c r="P40" s="45">
        <f>P96+P97</f>
        <v>61</v>
      </c>
      <c r="Q40" s="45">
        <f>Q96+Q97</f>
        <v>42</v>
      </c>
      <c r="R40" s="45">
        <f>R96+R97</f>
        <v>209</v>
      </c>
      <c r="S40" s="45">
        <f t="shared" si="50"/>
        <v>0</v>
      </c>
      <c r="T40" s="45">
        <f t="shared" si="50"/>
        <v>30</v>
      </c>
      <c r="U40" s="45">
        <f t="shared" si="50"/>
        <v>106</v>
      </c>
      <c r="V40" s="45">
        <f t="shared" si="50"/>
        <v>0</v>
      </c>
      <c r="W40" s="45">
        <f t="shared" si="50"/>
        <v>0</v>
      </c>
      <c r="X40" s="45">
        <f t="shared" si="50"/>
        <v>71</v>
      </c>
      <c r="Y40" s="45">
        <f t="shared" si="50"/>
        <v>236</v>
      </c>
      <c r="Z40" s="45">
        <f t="shared" si="50"/>
        <v>0</v>
      </c>
      <c r="AA40" s="45">
        <f t="shared" si="50"/>
        <v>93</v>
      </c>
      <c r="AB40" s="45">
        <f t="shared" si="50"/>
        <v>0</v>
      </c>
      <c r="AC40" s="45">
        <f t="shared" si="50"/>
        <v>218</v>
      </c>
      <c r="AD40" s="45">
        <f t="shared" si="50"/>
        <v>133</v>
      </c>
      <c r="AE40" s="45">
        <f t="shared" si="50"/>
        <v>136</v>
      </c>
      <c r="AF40" s="45">
        <f t="shared" si="50"/>
        <v>101</v>
      </c>
      <c r="AG40" s="45">
        <f t="shared" si="50"/>
        <v>108</v>
      </c>
      <c r="AH40" s="45">
        <f t="shared" si="50"/>
        <v>89</v>
      </c>
      <c r="AI40" s="45">
        <f t="shared" ref="AI40" si="51">AI96+AI97</f>
        <v>72</v>
      </c>
      <c r="AJ40" s="11">
        <f>SUM(E40:AI40)</f>
        <v>2871</v>
      </c>
      <c r="AK40" s="12">
        <f>AJ40+'Jun-24'!AK40</f>
        <v>15642.91</v>
      </c>
    </row>
    <row r="41" spans="1:253" x14ac:dyDescent="0.3">
      <c r="A41" s="44">
        <v>10</v>
      </c>
      <c r="B41" s="44" t="s">
        <v>49</v>
      </c>
      <c r="C41" s="15" t="s">
        <v>36</v>
      </c>
      <c r="D41" s="15" t="s">
        <v>43</v>
      </c>
      <c r="E41" s="48">
        <f t="shared" ref="E41:AH41" si="52">IFERROR(E40/E39,"-")</f>
        <v>4.8977853492333905E-2</v>
      </c>
      <c r="F41" s="48">
        <f t="shared" si="52"/>
        <v>4.9011857707509883E-2</v>
      </c>
      <c r="G41" s="48" t="str">
        <f t="shared" si="52"/>
        <v>-</v>
      </c>
      <c r="H41" s="48">
        <f t="shared" si="52"/>
        <v>4.9160671462829736E-2</v>
      </c>
      <c r="I41" s="48">
        <f t="shared" si="52"/>
        <v>4.8813868613138689E-2</v>
      </c>
      <c r="J41" s="48">
        <f t="shared" si="52"/>
        <v>4.8533872598584431E-2</v>
      </c>
      <c r="K41" s="48">
        <f t="shared" si="52"/>
        <v>4.9107142857142856E-2</v>
      </c>
      <c r="L41" s="48" t="str">
        <f t="shared" si="52"/>
        <v>-</v>
      </c>
      <c r="M41" s="48">
        <f t="shared" si="52"/>
        <v>4.9155145929339478E-2</v>
      </c>
      <c r="N41" s="48">
        <f t="shared" si="52"/>
        <v>4.9090909090909088E-2</v>
      </c>
      <c r="O41" s="48">
        <f t="shared" si="52"/>
        <v>4.887063655030801E-2</v>
      </c>
      <c r="P41" s="48">
        <f t="shared" si="52"/>
        <v>4.8878205128205128E-2</v>
      </c>
      <c r="Q41" s="48">
        <f t="shared" si="52"/>
        <v>4.9411764705882349E-2</v>
      </c>
      <c r="R41" s="48">
        <f t="shared" si="52"/>
        <v>4.9061032863849767E-2</v>
      </c>
      <c r="S41" s="48" t="str">
        <f t="shared" si="52"/>
        <v>-</v>
      </c>
      <c r="T41" s="48">
        <f t="shared" si="52"/>
        <v>4.9180327868852458E-2</v>
      </c>
      <c r="U41" s="48">
        <f t="shared" si="52"/>
        <v>4.9187935034802781E-2</v>
      </c>
      <c r="V41" s="48" t="str">
        <f t="shared" si="52"/>
        <v>-</v>
      </c>
      <c r="W41" s="48" t="str">
        <f t="shared" si="52"/>
        <v>-</v>
      </c>
      <c r="X41" s="48">
        <f t="shared" si="52"/>
        <v>4.9271339347675226E-2</v>
      </c>
      <c r="Y41" s="48">
        <f t="shared" si="52"/>
        <v>4.8901782014090345E-2</v>
      </c>
      <c r="Z41" s="48" t="str">
        <f t="shared" si="52"/>
        <v>-</v>
      </c>
      <c r="AA41" s="48">
        <f t="shared" si="52"/>
        <v>4.9076517150395779E-2</v>
      </c>
      <c r="AB41" s="48" t="str">
        <f t="shared" si="52"/>
        <v>-</v>
      </c>
      <c r="AC41" s="48">
        <f t="shared" si="52"/>
        <v>4.8977757807234332E-2</v>
      </c>
      <c r="AD41" s="48">
        <f>IFERROR(AD40/AD39,"-")</f>
        <v>4.9023221525985997E-2</v>
      </c>
      <c r="AE41" s="48">
        <f t="shared" si="52"/>
        <v>4.9079754601226995E-2</v>
      </c>
      <c r="AF41" s="48">
        <f t="shared" si="52"/>
        <v>4.8768710767745048E-2</v>
      </c>
      <c r="AG41" s="48">
        <f t="shared" si="52"/>
        <v>4.920273348519362E-2</v>
      </c>
      <c r="AH41" s="48">
        <f t="shared" si="52"/>
        <v>4.9171270718232046E-2</v>
      </c>
      <c r="AI41" s="48">
        <f t="shared" ref="AI41" si="53">IFERROR(AI40/AI39,"-")</f>
        <v>4.8813559322033899E-2</v>
      </c>
      <c r="AJ41" s="16">
        <f>AJ40/AJ39</f>
        <v>4.9024127862302133E-2</v>
      </c>
      <c r="AK41" s="16">
        <f>AK40/AK39</f>
        <v>4.6648326906962252E-2</v>
      </c>
    </row>
    <row r="42" spans="1:253" x14ac:dyDescent="0.3">
      <c r="A42" s="24"/>
      <c r="B42" s="24" t="s">
        <v>216</v>
      </c>
      <c r="C42" s="10" t="s">
        <v>51</v>
      </c>
      <c r="D42" s="10" t="s">
        <v>7</v>
      </c>
      <c r="E42" s="52">
        <v>287</v>
      </c>
      <c r="F42" s="52">
        <v>309</v>
      </c>
      <c r="G42" s="52">
        <v>224</v>
      </c>
      <c r="H42" s="52">
        <v>286</v>
      </c>
      <c r="I42" s="52">
        <v>288</v>
      </c>
      <c r="J42" s="52">
        <v>288</v>
      </c>
      <c r="K42" s="52">
        <v>281</v>
      </c>
      <c r="L42" s="52">
        <v>286</v>
      </c>
      <c r="M42" s="52">
        <v>303</v>
      </c>
      <c r="N42" s="52">
        <v>274</v>
      </c>
      <c r="O42" s="52">
        <v>334</v>
      </c>
      <c r="P42" s="52">
        <v>464</v>
      </c>
      <c r="Q42" s="52">
        <v>431</v>
      </c>
      <c r="R42" s="52">
        <v>416</v>
      </c>
      <c r="S42" s="42">
        <v>319</v>
      </c>
      <c r="T42" s="10">
        <v>324</v>
      </c>
      <c r="U42" s="10">
        <v>330</v>
      </c>
      <c r="V42" s="10">
        <v>368</v>
      </c>
      <c r="W42" s="10">
        <v>0</v>
      </c>
      <c r="X42" s="53">
        <v>0</v>
      </c>
      <c r="Y42" s="53">
        <v>0</v>
      </c>
      <c r="Z42" s="53">
        <v>0</v>
      </c>
      <c r="AA42" s="53">
        <v>0</v>
      </c>
      <c r="AB42" s="53">
        <v>0</v>
      </c>
      <c r="AC42" s="53">
        <v>0</v>
      </c>
      <c r="AD42" s="53">
        <v>0</v>
      </c>
      <c r="AE42" s="53">
        <v>0</v>
      </c>
      <c r="AF42" s="53">
        <v>0</v>
      </c>
      <c r="AG42" s="53">
        <v>0</v>
      </c>
      <c r="AH42" s="53">
        <v>0</v>
      </c>
      <c r="AI42" s="53">
        <v>0</v>
      </c>
      <c r="AJ42" s="11">
        <f t="shared" ref="AJ42:AJ45" si="54">SUM(E42:AI42)</f>
        <v>5812</v>
      </c>
      <c r="AK42" s="12">
        <f>AJ42+'Jun-24'!AK42</f>
        <v>27227</v>
      </c>
      <c r="AL42" s="54">
        <f>AJ45/AJ44</f>
        <v>0.39822409497330347</v>
      </c>
    </row>
    <row r="43" spans="1:253" x14ac:dyDescent="0.3">
      <c r="A43" s="24"/>
      <c r="B43" s="24" t="s">
        <v>217</v>
      </c>
      <c r="C43" s="10" t="s">
        <v>51</v>
      </c>
      <c r="D43" s="10"/>
      <c r="E43" s="60">
        <v>8018</v>
      </c>
      <c r="F43" s="60">
        <v>8013</v>
      </c>
      <c r="G43" s="60">
        <v>8023</v>
      </c>
      <c r="H43" s="60">
        <v>8018</v>
      </c>
      <c r="I43" s="60">
        <v>8023</v>
      </c>
      <c r="J43" s="60">
        <v>8018</v>
      </c>
      <c r="K43" s="60">
        <v>8020</v>
      </c>
      <c r="L43" s="60">
        <v>8013</v>
      </c>
      <c r="M43" s="60">
        <v>8018</v>
      </c>
      <c r="N43" s="60">
        <v>8023</v>
      </c>
      <c r="O43" s="60">
        <v>8021</v>
      </c>
      <c r="P43" s="60">
        <v>8013</v>
      </c>
      <c r="Q43" s="60">
        <v>8018</v>
      </c>
      <c r="R43" s="60">
        <v>8013</v>
      </c>
      <c r="S43" s="23">
        <v>7979</v>
      </c>
      <c r="T43" s="23">
        <v>7973</v>
      </c>
      <c r="U43" s="23">
        <v>7968</v>
      </c>
      <c r="V43" s="23">
        <v>7963</v>
      </c>
      <c r="W43" s="23">
        <v>0</v>
      </c>
      <c r="X43" s="23">
        <v>0</v>
      </c>
      <c r="Y43" s="23">
        <v>0</v>
      </c>
      <c r="Z43" s="23">
        <v>0</v>
      </c>
      <c r="AA43" s="23">
        <v>0</v>
      </c>
      <c r="AB43" s="23">
        <v>0</v>
      </c>
      <c r="AC43" s="23">
        <v>0</v>
      </c>
      <c r="AD43" s="23">
        <v>0</v>
      </c>
      <c r="AE43" s="23">
        <v>0</v>
      </c>
      <c r="AF43" s="23">
        <v>0</v>
      </c>
      <c r="AG43" s="23">
        <v>0</v>
      </c>
      <c r="AH43" s="23">
        <v>0</v>
      </c>
      <c r="AI43" s="23">
        <v>0</v>
      </c>
      <c r="AJ43" s="11">
        <f t="shared" si="54"/>
        <v>144135</v>
      </c>
      <c r="AK43" s="12">
        <f>AJ43+'Jun-24'!AK43</f>
        <v>618463.53079999995</v>
      </c>
    </row>
    <row r="44" spans="1:253" x14ac:dyDescent="0.3">
      <c r="A44" s="24"/>
      <c r="B44" s="24" t="s">
        <v>53</v>
      </c>
      <c r="C44" s="10" t="s">
        <v>51</v>
      </c>
      <c r="D44" s="10"/>
      <c r="E44" s="23">
        <f>E69*E73</f>
        <v>6374790</v>
      </c>
      <c r="F44" s="23">
        <f t="shared" ref="F44:AH44" si="55">F69*F73</f>
        <v>6591900</v>
      </c>
      <c r="G44" s="23">
        <f t="shared" si="55"/>
        <v>5207550</v>
      </c>
      <c r="H44" s="23">
        <f t="shared" si="55"/>
        <v>6662040</v>
      </c>
      <c r="I44" s="23">
        <f t="shared" si="55"/>
        <v>6647003</v>
      </c>
      <c r="J44" s="23">
        <f t="shared" si="55"/>
        <v>6643476</v>
      </c>
      <c r="K44" s="23">
        <f t="shared" si="55"/>
        <v>6254115</v>
      </c>
      <c r="L44" s="23">
        <f t="shared" si="55"/>
        <v>6094402</v>
      </c>
      <c r="M44" s="23">
        <f t="shared" si="55"/>
        <v>6506220</v>
      </c>
      <c r="N44" s="23">
        <f t="shared" si="55"/>
        <v>6085800</v>
      </c>
      <c r="O44" s="23">
        <f t="shared" si="55"/>
        <v>6558350</v>
      </c>
      <c r="P44" s="23">
        <f t="shared" si="55"/>
        <v>6580464</v>
      </c>
      <c r="Q44" s="23">
        <f t="shared" si="55"/>
        <v>6249500</v>
      </c>
      <c r="R44" s="23">
        <f t="shared" si="55"/>
        <v>6101872</v>
      </c>
      <c r="S44" s="23">
        <f t="shared" si="55"/>
        <v>6326579</v>
      </c>
      <c r="T44" s="23">
        <f t="shared" si="55"/>
        <v>6722442</v>
      </c>
      <c r="U44" s="23">
        <f t="shared" si="55"/>
        <v>6836046</v>
      </c>
      <c r="V44" s="23">
        <f t="shared" si="55"/>
        <v>6706575</v>
      </c>
      <c r="W44" s="23">
        <f t="shared" si="55"/>
        <v>0</v>
      </c>
      <c r="X44" s="23">
        <f t="shared" si="55"/>
        <v>0</v>
      </c>
      <c r="Y44" s="23">
        <f t="shared" si="55"/>
        <v>0</v>
      </c>
      <c r="Z44" s="23">
        <f t="shared" si="55"/>
        <v>0</v>
      </c>
      <c r="AA44" s="23">
        <f t="shared" si="55"/>
        <v>0</v>
      </c>
      <c r="AB44" s="23">
        <f t="shared" si="55"/>
        <v>0</v>
      </c>
      <c r="AC44" s="23">
        <f t="shared" si="55"/>
        <v>0</v>
      </c>
      <c r="AD44" s="23">
        <f t="shared" si="55"/>
        <v>0</v>
      </c>
      <c r="AE44" s="23">
        <f t="shared" si="55"/>
        <v>0</v>
      </c>
      <c r="AF44" s="23">
        <f t="shared" si="55"/>
        <v>0</v>
      </c>
      <c r="AG44" s="23">
        <f t="shared" si="55"/>
        <v>0</v>
      </c>
      <c r="AH44" s="23">
        <f t="shared" si="55"/>
        <v>0</v>
      </c>
      <c r="AI44" s="23">
        <f t="shared" ref="AI44" si="56">AI69*AI73</f>
        <v>1707125</v>
      </c>
      <c r="AJ44" s="28">
        <f>SUM(E44:AI44)</f>
        <v>116856249</v>
      </c>
      <c r="AK44" s="12">
        <f>AJ44+'Jun-24'!AK44</f>
        <v>676433630.29999995</v>
      </c>
    </row>
    <row r="45" spans="1:253" x14ac:dyDescent="0.3">
      <c r="A45" s="24"/>
      <c r="B45" s="24" t="s">
        <v>54</v>
      </c>
      <c r="C45" s="10" t="s">
        <v>51</v>
      </c>
      <c r="D45" s="10"/>
      <c r="E45" s="55">
        <f>E42*E43</f>
        <v>2301166</v>
      </c>
      <c r="F45" s="55">
        <f>F42*F43</f>
        <v>2476017</v>
      </c>
      <c r="G45" s="55">
        <f t="shared" ref="G45:AH45" si="57">G42*G43</f>
        <v>1797152</v>
      </c>
      <c r="H45" s="55">
        <f t="shared" si="57"/>
        <v>2293148</v>
      </c>
      <c r="I45" s="55">
        <f t="shared" si="57"/>
        <v>2310624</v>
      </c>
      <c r="J45" s="55">
        <f t="shared" si="57"/>
        <v>2309184</v>
      </c>
      <c r="K45" s="55">
        <f t="shared" si="57"/>
        <v>2253620</v>
      </c>
      <c r="L45" s="55">
        <f t="shared" si="57"/>
        <v>2291718</v>
      </c>
      <c r="M45" s="42">
        <f>M42*M43</f>
        <v>2429454</v>
      </c>
      <c r="N45" s="55">
        <f t="shared" si="57"/>
        <v>2198302</v>
      </c>
      <c r="O45" s="55">
        <f t="shared" si="57"/>
        <v>2679014</v>
      </c>
      <c r="P45" s="55">
        <f t="shared" si="57"/>
        <v>3718032</v>
      </c>
      <c r="Q45" s="55">
        <f t="shared" si="57"/>
        <v>3455758</v>
      </c>
      <c r="R45" s="55">
        <f t="shared" si="57"/>
        <v>3333408</v>
      </c>
      <c r="S45" s="55">
        <f t="shared" si="57"/>
        <v>2545301</v>
      </c>
      <c r="T45" s="55">
        <f t="shared" si="57"/>
        <v>2583252</v>
      </c>
      <c r="U45" s="55">
        <f t="shared" si="57"/>
        <v>2629440</v>
      </c>
      <c r="V45" s="55">
        <f t="shared" si="57"/>
        <v>2930384</v>
      </c>
      <c r="W45" s="55">
        <f t="shared" si="57"/>
        <v>0</v>
      </c>
      <c r="X45" s="55">
        <f t="shared" si="57"/>
        <v>0</v>
      </c>
      <c r="Y45" s="55">
        <f t="shared" si="57"/>
        <v>0</v>
      </c>
      <c r="Z45" s="55">
        <f t="shared" si="57"/>
        <v>0</v>
      </c>
      <c r="AA45" s="55">
        <f t="shared" si="57"/>
        <v>0</v>
      </c>
      <c r="AB45" s="55">
        <f t="shared" si="57"/>
        <v>0</v>
      </c>
      <c r="AC45" s="55">
        <f t="shared" si="57"/>
        <v>0</v>
      </c>
      <c r="AD45" s="55">
        <f t="shared" si="57"/>
        <v>0</v>
      </c>
      <c r="AE45" s="55">
        <f t="shared" si="57"/>
        <v>0</v>
      </c>
      <c r="AF45" s="55">
        <f t="shared" si="57"/>
        <v>0</v>
      </c>
      <c r="AG45" s="55">
        <f t="shared" si="57"/>
        <v>0</v>
      </c>
      <c r="AH45" s="55">
        <f t="shared" si="57"/>
        <v>0</v>
      </c>
      <c r="AI45" s="55">
        <f t="shared" ref="AI45" si="58">AI42*AI43</f>
        <v>0</v>
      </c>
      <c r="AJ45" s="11">
        <f t="shared" si="54"/>
        <v>46534974</v>
      </c>
      <c r="AK45" s="12">
        <f>AJ45+'Jun-24'!AK45</f>
        <v>218727406.49000001</v>
      </c>
      <c r="AL45" s="293">
        <f>AVERAGE('Jul-24'!AJ46,'Aug-24'!AJ46)</f>
        <v>0.40870967251691681</v>
      </c>
    </row>
    <row r="46" spans="1:253" x14ac:dyDescent="0.3">
      <c r="A46" s="44"/>
      <c r="B46" s="44" t="s">
        <v>221</v>
      </c>
      <c r="C46" s="15"/>
      <c r="D46" s="15"/>
      <c r="E46" s="56">
        <f>E45/E44</f>
        <v>0.36097910676273259</v>
      </c>
      <c r="F46" s="56">
        <f t="shared" ref="F46:AH46" si="59">F45/F44</f>
        <v>0.37561507304419062</v>
      </c>
      <c r="G46" s="56">
        <f>G45/G44</f>
        <v>0.34510508780520588</v>
      </c>
      <c r="H46" s="56">
        <f t="shared" si="59"/>
        <v>0.34421108249124893</v>
      </c>
      <c r="I46" s="56">
        <f t="shared" si="59"/>
        <v>0.34761891938366812</v>
      </c>
      <c r="J46" s="56">
        <f t="shared" si="59"/>
        <v>0.34758671514731143</v>
      </c>
      <c r="K46" s="56">
        <f t="shared" si="59"/>
        <v>0.36034195085955406</v>
      </c>
      <c r="L46" s="56">
        <f t="shared" si="59"/>
        <v>0.37603656601582897</v>
      </c>
      <c r="M46" s="56">
        <f t="shared" si="59"/>
        <v>0.37340483414332748</v>
      </c>
      <c r="N46" s="56">
        <f t="shared" si="59"/>
        <v>0.36121824575240724</v>
      </c>
      <c r="O46" s="56">
        <f t="shared" si="59"/>
        <v>0.4084890254408502</v>
      </c>
      <c r="P46" s="56">
        <f t="shared" si="59"/>
        <v>0.56501061323335255</v>
      </c>
      <c r="Q46" s="56">
        <f t="shared" si="59"/>
        <v>0.55296551724137932</v>
      </c>
      <c r="R46" s="56">
        <f t="shared" si="59"/>
        <v>0.54629267870581355</v>
      </c>
      <c r="S46" s="56">
        <f t="shared" si="59"/>
        <v>0.40231869387863489</v>
      </c>
      <c r="T46" s="56">
        <f t="shared" si="59"/>
        <v>0.3842728579882132</v>
      </c>
      <c r="U46" s="56">
        <f t="shared" si="59"/>
        <v>0.38464340351132803</v>
      </c>
      <c r="V46" s="56">
        <f t="shared" si="59"/>
        <v>0.43694195621461029</v>
      </c>
      <c r="W46" s="56" t="e">
        <f t="shared" si="59"/>
        <v>#DIV/0!</v>
      </c>
      <c r="X46" s="56" t="e">
        <f t="shared" si="59"/>
        <v>#DIV/0!</v>
      </c>
      <c r="Y46" s="56" t="e">
        <f t="shared" si="59"/>
        <v>#DIV/0!</v>
      </c>
      <c r="Z46" s="56" t="e">
        <f t="shared" si="59"/>
        <v>#DIV/0!</v>
      </c>
      <c r="AA46" s="56" t="e">
        <f t="shared" si="59"/>
        <v>#DIV/0!</v>
      </c>
      <c r="AB46" s="56" t="e">
        <f t="shared" si="59"/>
        <v>#DIV/0!</v>
      </c>
      <c r="AC46" s="56" t="e">
        <f t="shared" si="59"/>
        <v>#DIV/0!</v>
      </c>
      <c r="AD46" s="56" t="e">
        <f t="shared" si="59"/>
        <v>#DIV/0!</v>
      </c>
      <c r="AE46" s="56" t="e">
        <f t="shared" si="59"/>
        <v>#DIV/0!</v>
      </c>
      <c r="AF46" s="56" t="e">
        <f t="shared" si="59"/>
        <v>#DIV/0!</v>
      </c>
      <c r="AG46" s="56" t="e">
        <f t="shared" si="59"/>
        <v>#DIV/0!</v>
      </c>
      <c r="AH46" s="56" t="e">
        <f t="shared" si="59"/>
        <v>#DIV/0!</v>
      </c>
      <c r="AI46" s="56">
        <f t="shared" ref="AI46" si="60">AI45/AI44</f>
        <v>0</v>
      </c>
      <c r="AJ46" s="16">
        <f>AJ45/AJ44</f>
        <v>0.39822409497330347</v>
      </c>
      <c r="AK46" s="16">
        <f>AK45/AK44</f>
        <v>0.32335383205739471</v>
      </c>
    </row>
    <row r="47" spans="1:253" s="51" customFormat="1" x14ac:dyDescent="0.3">
      <c r="B47" s="58" t="s">
        <v>215</v>
      </c>
      <c r="C47" s="59" t="s">
        <v>51</v>
      </c>
      <c r="D47" s="59" t="s">
        <v>7</v>
      </c>
      <c r="E47" s="53">
        <v>0</v>
      </c>
      <c r="F47" s="53">
        <v>0</v>
      </c>
      <c r="G47" s="53">
        <v>0</v>
      </c>
      <c r="H47" s="53">
        <v>0</v>
      </c>
      <c r="I47" s="53">
        <v>0</v>
      </c>
      <c r="J47" s="53">
        <v>0</v>
      </c>
      <c r="K47" s="53">
        <v>0</v>
      </c>
      <c r="L47" s="53">
        <v>0</v>
      </c>
      <c r="M47" s="53">
        <v>0</v>
      </c>
      <c r="N47" s="53">
        <v>0</v>
      </c>
      <c r="O47" s="53">
        <v>0</v>
      </c>
      <c r="P47" s="53">
        <v>0</v>
      </c>
      <c r="Q47" s="53">
        <v>0</v>
      </c>
      <c r="R47" s="53">
        <v>0</v>
      </c>
      <c r="S47" s="53">
        <v>532</v>
      </c>
      <c r="T47" s="10">
        <v>540</v>
      </c>
      <c r="U47" s="10">
        <v>550</v>
      </c>
      <c r="V47" s="10">
        <v>614</v>
      </c>
      <c r="W47" s="10">
        <v>0</v>
      </c>
      <c r="X47" s="10">
        <v>0</v>
      </c>
      <c r="Y47" s="10">
        <v>0</v>
      </c>
      <c r="Z47" s="53">
        <v>0</v>
      </c>
      <c r="AA47" s="22">
        <v>0</v>
      </c>
      <c r="AB47" s="22">
        <v>0</v>
      </c>
      <c r="AC47" s="22">
        <v>0</v>
      </c>
      <c r="AD47" s="22">
        <v>0</v>
      </c>
      <c r="AE47" s="22">
        <v>0</v>
      </c>
      <c r="AF47" s="22">
        <v>0</v>
      </c>
      <c r="AG47" s="22">
        <v>0</v>
      </c>
      <c r="AH47" s="22">
        <v>0</v>
      </c>
      <c r="AI47" s="22">
        <v>180</v>
      </c>
      <c r="AJ47" s="11">
        <f t="shared" ref="AJ47:AJ49" si="61">SUM(E47:AI47)</f>
        <v>2416</v>
      </c>
      <c r="AK47" s="12">
        <f>AJ47+'Jun-24'!AK47</f>
        <v>36214.851999999999</v>
      </c>
      <c r="AL47" s="62">
        <f>AJ49/AJ44</f>
        <v>9.226472775110213E-2</v>
      </c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62"/>
      <c r="BL47" s="62"/>
      <c r="BM47" s="62"/>
      <c r="BN47" s="62"/>
      <c r="BO47" s="62"/>
      <c r="BP47" s="62"/>
      <c r="BQ47" s="62"/>
      <c r="BR47" s="62"/>
      <c r="BS47" s="62"/>
      <c r="BT47" s="62"/>
      <c r="BU47" s="62"/>
      <c r="BV47" s="62"/>
      <c r="BW47" s="62"/>
      <c r="BX47" s="62"/>
      <c r="BY47" s="62"/>
      <c r="BZ47" s="62"/>
      <c r="CA47" s="62"/>
      <c r="CB47" s="62"/>
      <c r="CC47" s="62"/>
      <c r="CD47" s="62"/>
      <c r="CE47" s="62"/>
      <c r="CF47" s="62"/>
      <c r="CG47" s="62"/>
      <c r="CH47" s="62"/>
      <c r="CI47" s="62"/>
      <c r="CJ47" s="62"/>
      <c r="CK47" s="62"/>
      <c r="CL47" s="62"/>
      <c r="CM47" s="62"/>
      <c r="CN47" s="62"/>
      <c r="CO47" s="62"/>
      <c r="CP47" s="62"/>
      <c r="CQ47" s="62"/>
      <c r="CR47" s="62"/>
      <c r="CS47" s="62"/>
      <c r="CT47" s="62"/>
      <c r="CU47" s="62"/>
      <c r="CV47" s="62"/>
      <c r="CW47" s="62"/>
      <c r="CX47" s="62"/>
      <c r="CY47" s="62"/>
      <c r="CZ47" s="62"/>
      <c r="DA47" s="62"/>
      <c r="DB47" s="62"/>
      <c r="DC47" s="62"/>
      <c r="DD47" s="62"/>
      <c r="DE47" s="62"/>
      <c r="DF47" s="62"/>
      <c r="DG47" s="62"/>
      <c r="DH47" s="62"/>
      <c r="DI47" s="62"/>
      <c r="DJ47" s="62"/>
      <c r="DK47" s="62"/>
      <c r="DL47" s="62"/>
      <c r="DM47" s="62"/>
      <c r="DN47" s="62"/>
      <c r="DO47" s="62"/>
      <c r="DP47" s="62"/>
      <c r="DQ47" s="62"/>
      <c r="DR47" s="62"/>
      <c r="DS47" s="62"/>
      <c r="DT47" s="62"/>
      <c r="DU47" s="62"/>
      <c r="DV47" s="62"/>
      <c r="DW47" s="62"/>
      <c r="DX47" s="62"/>
      <c r="DY47" s="62"/>
      <c r="DZ47" s="62"/>
      <c r="EA47" s="62"/>
      <c r="EB47" s="62"/>
      <c r="EC47" s="62"/>
      <c r="ED47" s="62"/>
      <c r="EE47" s="62"/>
      <c r="EF47" s="62"/>
      <c r="EG47" s="62"/>
      <c r="EH47" s="62"/>
      <c r="EI47" s="62"/>
      <c r="EJ47" s="62"/>
      <c r="EK47" s="62"/>
      <c r="EL47" s="62"/>
      <c r="EM47" s="62"/>
      <c r="EN47" s="62"/>
      <c r="EO47" s="62"/>
      <c r="EP47" s="62"/>
      <c r="EQ47" s="62"/>
      <c r="ER47" s="62"/>
      <c r="ES47" s="62"/>
      <c r="ET47" s="62"/>
      <c r="EU47" s="62"/>
      <c r="EV47" s="62"/>
      <c r="EW47" s="62"/>
      <c r="EX47" s="62"/>
      <c r="EY47" s="62"/>
      <c r="EZ47" s="62"/>
      <c r="FA47" s="62"/>
      <c r="FB47" s="62"/>
      <c r="FC47" s="62"/>
      <c r="FD47" s="62"/>
      <c r="FE47" s="62"/>
      <c r="FF47" s="62"/>
      <c r="FG47" s="62"/>
      <c r="FH47" s="62"/>
      <c r="FI47" s="62"/>
      <c r="FJ47" s="62"/>
      <c r="FK47" s="62"/>
      <c r="FL47" s="62"/>
      <c r="FM47" s="62"/>
      <c r="FN47" s="62"/>
      <c r="FO47" s="62"/>
      <c r="FP47" s="62"/>
      <c r="FQ47" s="62"/>
      <c r="FR47" s="62"/>
      <c r="FS47" s="62"/>
      <c r="FT47" s="62"/>
      <c r="FU47" s="62"/>
      <c r="FV47" s="62"/>
      <c r="FW47" s="62"/>
      <c r="FX47" s="62"/>
      <c r="FY47" s="62"/>
      <c r="FZ47" s="62"/>
      <c r="GA47" s="62"/>
      <c r="GB47" s="62"/>
      <c r="GC47" s="62"/>
      <c r="GD47" s="62"/>
      <c r="GE47" s="62"/>
      <c r="GF47" s="62"/>
      <c r="GG47" s="62"/>
      <c r="GH47" s="62"/>
      <c r="GI47" s="62"/>
      <c r="GJ47" s="62"/>
      <c r="GK47" s="62"/>
      <c r="GL47" s="62"/>
      <c r="GM47" s="62"/>
      <c r="GN47" s="62"/>
      <c r="GO47" s="62"/>
      <c r="GP47" s="62"/>
      <c r="GQ47" s="62"/>
      <c r="GR47" s="62"/>
      <c r="GS47" s="62"/>
      <c r="GT47" s="62"/>
      <c r="GU47" s="62"/>
      <c r="GV47" s="62"/>
      <c r="GW47" s="62"/>
      <c r="GX47" s="62"/>
      <c r="GY47" s="62"/>
      <c r="GZ47" s="62"/>
      <c r="HA47" s="62"/>
      <c r="HB47" s="62"/>
      <c r="HC47" s="62"/>
      <c r="HD47" s="62"/>
      <c r="HE47" s="62"/>
      <c r="HF47" s="62"/>
      <c r="HG47" s="62"/>
      <c r="HH47" s="62"/>
      <c r="HI47" s="62"/>
      <c r="HJ47" s="62"/>
      <c r="HK47" s="62"/>
      <c r="HL47" s="62"/>
      <c r="HM47" s="62"/>
      <c r="HN47" s="62"/>
      <c r="HO47" s="62"/>
      <c r="HP47" s="62"/>
      <c r="HQ47" s="62"/>
      <c r="HR47" s="62"/>
      <c r="HS47" s="62"/>
      <c r="HT47" s="62"/>
      <c r="HU47" s="62"/>
      <c r="HV47" s="62"/>
      <c r="HW47" s="62"/>
      <c r="HX47" s="62"/>
      <c r="HY47" s="62"/>
      <c r="HZ47" s="62"/>
      <c r="IA47" s="62"/>
      <c r="IB47" s="62"/>
      <c r="IC47" s="62"/>
      <c r="ID47" s="62"/>
      <c r="IE47" s="62"/>
      <c r="IF47" s="62"/>
      <c r="IG47" s="62"/>
      <c r="IH47" s="62"/>
      <c r="II47" s="62"/>
      <c r="IJ47" s="62"/>
      <c r="IK47" s="62"/>
      <c r="IL47" s="62"/>
      <c r="IM47" s="62"/>
      <c r="IN47" s="62"/>
      <c r="IO47" s="62"/>
      <c r="IP47" s="62"/>
      <c r="IQ47" s="62"/>
      <c r="IR47" s="62"/>
      <c r="IS47" s="62"/>
    </row>
    <row r="48" spans="1:253" s="51" customFormat="1" x14ac:dyDescent="0.3">
      <c r="B48" s="58" t="s">
        <v>218</v>
      </c>
      <c r="C48" s="59" t="s">
        <v>51</v>
      </c>
      <c r="D48" s="59" t="s">
        <v>55</v>
      </c>
      <c r="E48" s="60">
        <v>0</v>
      </c>
      <c r="F48" s="60">
        <v>0</v>
      </c>
      <c r="G48" s="60">
        <v>0</v>
      </c>
      <c r="H48" s="60">
        <v>0</v>
      </c>
      <c r="I48" s="60">
        <v>0</v>
      </c>
      <c r="J48" s="60">
        <v>0</v>
      </c>
      <c r="K48" s="60">
        <v>0</v>
      </c>
      <c r="L48" s="60">
        <v>0</v>
      </c>
      <c r="M48" s="60">
        <v>0</v>
      </c>
      <c r="N48" s="60">
        <v>0</v>
      </c>
      <c r="O48" s="60">
        <v>0</v>
      </c>
      <c r="P48" s="60">
        <v>0</v>
      </c>
      <c r="Q48" s="60">
        <v>0</v>
      </c>
      <c r="R48" s="60">
        <v>0</v>
      </c>
      <c r="S48" s="60">
        <v>4470</v>
      </c>
      <c r="T48" s="60">
        <v>4462</v>
      </c>
      <c r="U48" s="23">
        <v>4455</v>
      </c>
      <c r="V48" s="23">
        <v>4460</v>
      </c>
      <c r="W48" s="23">
        <v>0</v>
      </c>
      <c r="X48" s="23">
        <v>0</v>
      </c>
      <c r="Y48" s="23">
        <v>0</v>
      </c>
      <c r="Z48" s="23">
        <v>0</v>
      </c>
      <c r="AA48" s="23">
        <v>0</v>
      </c>
      <c r="AB48" s="23">
        <v>0</v>
      </c>
      <c r="AC48" s="22">
        <v>0</v>
      </c>
      <c r="AD48" s="22">
        <v>0</v>
      </c>
      <c r="AE48" s="22">
        <v>0</v>
      </c>
      <c r="AF48" s="22">
        <v>0</v>
      </c>
      <c r="AG48" s="22">
        <v>0</v>
      </c>
      <c r="AH48" s="22">
        <v>0</v>
      </c>
      <c r="AI48" s="22">
        <v>4475</v>
      </c>
      <c r="AJ48" s="11">
        <f t="shared" si="61"/>
        <v>22322</v>
      </c>
      <c r="AK48" s="12">
        <f>AJ48+'Jun-24'!AK48</f>
        <v>416568.52800000005</v>
      </c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2"/>
      <c r="BH48" s="62"/>
      <c r="BI48" s="62"/>
      <c r="BJ48" s="62"/>
      <c r="BK48" s="62"/>
      <c r="BL48" s="62"/>
      <c r="BM48" s="62"/>
      <c r="BN48" s="62"/>
      <c r="BO48" s="62"/>
      <c r="BP48" s="62"/>
      <c r="BQ48" s="62"/>
      <c r="BR48" s="62"/>
      <c r="BS48" s="62"/>
      <c r="BT48" s="62"/>
      <c r="BU48" s="62"/>
      <c r="BV48" s="62"/>
      <c r="BW48" s="62"/>
      <c r="BX48" s="62"/>
      <c r="BY48" s="62"/>
      <c r="BZ48" s="62"/>
      <c r="CA48" s="62"/>
      <c r="CB48" s="62"/>
      <c r="CC48" s="62"/>
      <c r="CD48" s="62"/>
      <c r="CE48" s="62"/>
      <c r="CF48" s="62"/>
      <c r="CG48" s="62"/>
      <c r="CH48" s="62"/>
      <c r="CI48" s="62"/>
      <c r="CJ48" s="62"/>
      <c r="CK48" s="62"/>
      <c r="CL48" s="62"/>
      <c r="CM48" s="62"/>
      <c r="CN48" s="62"/>
      <c r="CO48" s="62"/>
      <c r="CP48" s="62"/>
      <c r="CQ48" s="62"/>
      <c r="CR48" s="62"/>
      <c r="CS48" s="62"/>
      <c r="CT48" s="62"/>
      <c r="CU48" s="62"/>
      <c r="CV48" s="62"/>
      <c r="CW48" s="62"/>
      <c r="CX48" s="62"/>
      <c r="CY48" s="62"/>
      <c r="CZ48" s="62"/>
      <c r="DA48" s="62"/>
      <c r="DB48" s="62"/>
      <c r="DC48" s="62"/>
      <c r="DD48" s="62"/>
      <c r="DE48" s="62"/>
      <c r="DF48" s="62"/>
      <c r="DG48" s="62"/>
      <c r="DH48" s="62"/>
      <c r="DI48" s="62"/>
      <c r="DJ48" s="62"/>
      <c r="DK48" s="62"/>
      <c r="DL48" s="62"/>
      <c r="DM48" s="62"/>
      <c r="DN48" s="62"/>
      <c r="DO48" s="62"/>
      <c r="DP48" s="62"/>
      <c r="DQ48" s="62"/>
      <c r="DR48" s="62"/>
      <c r="DS48" s="62"/>
      <c r="DT48" s="62"/>
      <c r="DU48" s="62"/>
      <c r="DV48" s="62"/>
      <c r="DW48" s="62"/>
      <c r="DX48" s="62"/>
      <c r="DY48" s="62"/>
      <c r="DZ48" s="62"/>
      <c r="EA48" s="62"/>
      <c r="EB48" s="62"/>
      <c r="EC48" s="62"/>
      <c r="ED48" s="62"/>
      <c r="EE48" s="62"/>
      <c r="EF48" s="62"/>
      <c r="EG48" s="62"/>
      <c r="EH48" s="62"/>
      <c r="EI48" s="62"/>
      <c r="EJ48" s="62"/>
      <c r="EK48" s="62"/>
      <c r="EL48" s="62"/>
      <c r="EM48" s="62"/>
      <c r="EN48" s="62"/>
      <c r="EO48" s="62"/>
      <c r="EP48" s="62"/>
      <c r="EQ48" s="62"/>
      <c r="ER48" s="62"/>
      <c r="ES48" s="62"/>
      <c r="ET48" s="62"/>
      <c r="EU48" s="62"/>
      <c r="EV48" s="62"/>
      <c r="EW48" s="62"/>
      <c r="EX48" s="62"/>
      <c r="EY48" s="62"/>
      <c r="EZ48" s="62"/>
      <c r="FA48" s="62"/>
      <c r="FB48" s="62"/>
      <c r="FC48" s="62"/>
      <c r="FD48" s="62"/>
      <c r="FE48" s="62"/>
      <c r="FF48" s="62"/>
      <c r="FG48" s="62"/>
      <c r="FH48" s="62"/>
      <c r="FI48" s="62"/>
      <c r="FJ48" s="62"/>
      <c r="FK48" s="62"/>
      <c r="FL48" s="62"/>
      <c r="FM48" s="62"/>
      <c r="FN48" s="62"/>
      <c r="FO48" s="62"/>
      <c r="FP48" s="62"/>
      <c r="FQ48" s="62"/>
      <c r="FR48" s="62"/>
      <c r="FS48" s="62"/>
      <c r="FT48" s="62"/>
      <c r="FU48" s="62"/>
      <c r="FV48" s="62"/>
      <c r="FW48" s="62"/>
      <c r="FX48" s="62"/>
      <c r="FY48" s="62"/>
      <c r="FZ48" s="62"/>
      <c r="GA48" s="62"/>
      <c r="GB48" s="62"/>
      <c r="GC48" s="62"/>
      <c r="GD48" s="62"/>
      <c r="GE48" s="62"/>
      <c r="GF48" s="62"/>
      <c r="GG48" s="62"/>
      <c r="GH48" s="62"/>
      <c r="GI48" s="62"/>
      <c r="GJ48" s="62"/>
      <c r="GK48" s="62"/>
      <c r="GL48" s="62"/>
      <c r="GM48" s="62"/>
      <c r="GN48" s="62"/>
      <c r="GO48" s="62"/>
      <c r="GP48" s="62"/>
      <c r="GQ48" s="62"/>
      <c r="GR48" s="62"/>
      <c r="GS48" s="62"/>
      <c r="GT48" s="62"/>
      <c r="GU48" s="62"/>
      <c r="GV48" s="62"/>
      <c r="GW48" s="62"/>
      <c r="GX48" s="62"/>
      <c r="GY48" s="62"/>
      <c r="GZ48" s="62"/>
      <c r="HA48" s="62"/>
      <c r="HB48" s="62"/>
      <c r="HC48" s="62"/>
      <c r="HD48" s="62"/>
      <c r="HE48" s="62"/>
      <c r="HF48" s="62"/>
      <c r="HG48" s="62"/>
      <c r="HH48" s="62"/>
      <c r="HI48" s="62"/>
      <c r="HJ48" s="62"/>
      <c r="HK48" s="62"/>
      <c r="HL48" s="62"/>
      <c r="HM48" s="62"/>
      <c r="HN48" s="62"/>
      <c r="HO48" s="62"/>
      <c r="HP48" s="62"/>
      <c r="HQ48" s="62"/>
      <c r="HR48" s="62"/>
      <c r="HS48" s="62"/>
      <c r="HT48" s="62"/>
      <c r="HU48" s="62"/>
      <c r="HV48" s="62"/>
      <c r="HW48" s="62"/>
      <c r="HX48" s="62"/>
      <c r="HY48" s="62"/>
      <c r="HZ48" s="62"/>
      <c r="IA48" s="62"/>
      <c r="IB48" s="62"/>
      <c r="IC48" s="62"/>
      <c r="ID48" s="62"/>
      <c r="IE48" s="62"/>
      <c r="IF48" s="62"/>
      <c r="IG48" s="62"/>
      <c r="IH48" s="62"/>
      <c r="II48" s="62"/>
      <c r="IJ48" s="62"/>
      <c r="IK48" s="62"/>
      <c r="IL48" s="62"/>
      <c r="IM48" s="62"/>
      <c r="IN48" s="62"/>
      <c r="IO48" s="62"/>
      <c r="IP48" s="62"/>
      <c r="IQ48" s="62"/>
      <c r="IR48" s="62"/>
      <c r="IS48" s="62"/>
    </row>
    <row r="49" spans="1:679" s="51" customFormat="1" x14ac:dyDescent="0.3">
      <c r="B49" s="58" t="s">
        <v>219</v>
      </c>
      <c r="C49" s="59" t="s">
        <v>51</v>
      </c>
      <c r="D49" s="59" t="s">
        <v>55</v>
      </c>
      <c r="E49" s="63">
        <f>E47*E48</f>
        <v>0</v>
      </c>
      <c r="F49" s="63">
        <f>F47*F48</f>
        <v>0</v>
      </c>
      <c r="G49" s="63">
        <f t="shared" ref="G49:AH49" si="62">G47*G48</f>
        <v>0</v>
      </c>
      <c r="H49" s="63">
        <f t="shared" si="62"/>
        <v>0</v>
      </c>
      <c r="I49" s="63">
        <f t="shared" si="62"/>
        <v>0</v>
      </c>
      <c r="J49" s="63">
        <f t="shared" si="62"/>
        <v>0</v>
      </c>
      <c r="K49" s="63">
        <f t="shared" si="62"/>
        <v>0</v>
      </c>
      <c r="L49" s="63">
        <f t="shared" si="62"/>
        <v>0</v>
      </c>
      <c r="M49" s="63">
        <f>M47*M48</f>
        <v>0</v>
      </c>
      <c r="N49" s="63">
        <f t="shared" si="62"/>
        <v>0</v>
      </c>
      <c r="O49" s="63">
        <f t="shared" si="62"/>
        <v>0</v>
      </c>
      <c r="P49" s="63">
        <f t="shared" si="62"/>
        <v>0</v>
      </c>
      <c r="Q49" s="63">
        <f t="shared" si="62"/>
        <v>0</v>
      </c>
      <c r="R49" s="63">
        <f t="shared" si="62"/>
        <v>0</v>
      </c>
      <c r="S49" s="63">
        <f t="shared" si="62"/>
        <v>2378040</v>
      </c>
      <c r="T49" s="63">
        <f t="shared" si="62"/>
        <v>2409480</v>
      </c>
      <c r="U49" s="63">
        <f t="shared" si="62"/>
        <v>2450250</v>
      </c>
      <c r="V49" s="23">
        <f t="shared" si="62"/>
        <v>2738440</v>
      </c>
      <c r="W49" s="23">
        <f t="shared" si="62"/>
        <v>0</v>
      </c>
      <c r="X49" s="23">
        <f t="shared" si="62"/>
        <v>0</v>
      </c>
      <c r="Y49" s="23">
        <f t="shared" si="62"/>
        <v>0</v>
      </c>
      <c r="Z49" s="23">
        <f t="shared" si="62"/>
        <v>0</v>
      </c>
      <c r="AA49" s="23">
        <f t="shared" si="62"/>
        <v>0</v>
      </c>
      <c r="AB49" s="23">
        <f t="shared" si="62"/>
        <v>0</v>
      </c>
      <c r="AC49" s="63">
        <f t="shared" si="62"/>
        <v>0</v>
      </c>
      <c r="AD49" s="63">
        <f t="shared" si="62"/>
        <v>0</v>
      </c>
      <c r="AE49" s="63">
        <f t="shared" si="62"/>
        <v>0</v>
      </c>
      <c r="AF49" s="63">
        <f t="shared" si="62"/>
        <v>0</v>
      </c>
      <c r="AG49" s="63">
        <f t="shared" si="62"/>
        <v>0</v>
      </c>
      <c r="AH49" s="63">
        <f t="shared" si="62"/>
        <v>0</v>
      </c>
      <c r="AI49" s="63">
        <f t="shared" ref="AI49" si="63">AI47*AI48</f>
        <v>805500</v>
      </c>
      <c r="AJ49" s="11">
        <f t="shared" si="61"/>
        <v>10781710</v>
      </c>
      <c r="AK49" s="12">
        <f>AJ49+'Jun-24'!AK49</f>
        <v>179591878.64399999</v>
      </c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2"/>
      <c r="BH49" s="62"/>
      <c r="BI49" s="62"/>
      <c r="BJ49" s="62"/>
      <c r="BK49" s="62"/>
      <c r="BL49" s="62"/>
      <c r="BM49" s="62"/>
      <c r="BN49" s="62"/>
      <c r="BO49" s="62"/>
      <c r="BP49" s="62"/>
      <c r="BQ49" s="62"/>
      <c r="BR49" s="62"/>
      <c r="BS49" s="62"/>
      <c r="BT49" s="62"/>
      <c r="BU49" s="62"/>
      <c r="BV49" s="62"/>
      <c r="BW49" s="62"/>
      <c r="BX49" s="62"/>
      <c r="BY49" s="62"/>
      <c r="BZ49" s="62"/>
      <c r="CA49" s="62"/>
      <c r="CB49" s="62"/>
      <c r="CC49" s="62"/>
      <c r="CD49" s="62"/>
      <c r="CE49" s="62"/>
      <c r="CF49" s="62"/>
      <c r="CG49" s="62"/>
      <c r="CH49" s="62"/>
      <c r="CI49" s="62"/>
      <c r="CJ49" s="62"/>
      <c r="CK49" s="62"/>
      <c r="CL49" s="62"/>
      <c r="CM49" s="62"/>
      <c r="CN49" s="62"/>
      <c r="CO49" s="62"/>
      <c r="CP49" s="62"/>
      <c r="CQ49" s="62"/>
      <c r="CR49" s="62"/>
      <c r="CS49" s="62"/>
      <c r="CT49" s="62"/>
      <c r="CU49" s="62"/>
      <c r="CV49" s="62"/>
      <c r="CW49" s="62"/>
      <c r="CX49" s="62"/>
      <c r="CY49" s="62"/>
      <c r="CZ49" s="62"/>
      <c r="DA49" s="62"/>
      <c r="DB49" s="62"/>
      <c r="DC49" s="62"/>
      <c r="DD49" s="62"/>
      <c r="DE49" s="62"/>
      <c r="DF49" s="62"/>
      <c r="DG49" s="62"/>
      <c r="DH49" s="62"/>
      <c r="DI49" s="62"/>
      <c r="DJ49" s="62"/>
      <c r="DK49" s="62"/>
      <c r="DL49" s="62"/>
      <c r="DM49" s="62"/>
      <c r="DN49" s="62"/>
      <c r="DO49" s="62"/>
      <c r="DP49" s="62"/>
      <c r="DQ49" s="62"/>
      <c r="DR49" s="62"/>
      <c r="DS49" s="62"/>
      <c r="DT49" s="62"/>
      <c r="DU49" s="62"/>
      <c r="DV49" s="62"/>
      <c r="DW49" s="62"/>
      <c r="DX49" s="62"/>
      <c r="DY49" s="62"/>
      <c r="DZ49" s="62"/>
      <c r="EA49" s="62"/>
      <c r="EB49" s="62"/>
      <c r="EC49" s="62"/>
      <c r="ED49" s="62"/>
      <c r="EE49" s="62"/>
      <c r="EF49" s="62"/>
      <c r="EG49" s="62"/>
      <c r="EH49" s="62"/>
      <c r="EI49" s="62"/>
      <c r="EJ49" s="62"/>
      <c r="EK49" s="62"/>
      <c r="EL49" s="62"/>
      <c r="EM49" s="62"/>
      <c r="EN49" s="62"/>
      <c r="EO49" s="62"/>
      <c r="EP49" s="62"/>
      <c r="EQ49" s="62"/>
      <c r="ER49" s="62"/>
      <c r="ES49" s="62"/>
      <c r="ET49" s="62"/>
      <c r="EU49" s="62"/>
      <c r="EV49" s="62"/>
      <c r="EW49" s="62"/>
      <c r="EX49" s="62"/>
      <c r="EY49" s="62"/>
      <c r="EZ49" s="62"/>
      <c r="FA49" s="62"/>
      <c r="FB49" s="62"/>
      <c r="FC49" s="62"/>
      <c r="FD49" s="62"/>
      <c r="FE49" s="62"/>
      <c r="FF49" s="62"/>
      <c r="FG49" s="62"/>
      <c r="FH49" s="62"/>
      <c r="FI49" s="62"/>
      <c r="FJ49" s="62"/>
      <c r="FK49" s="62"/>
      <c r="FL49" s="62"/>
      <c r="FM49" s="62"/>
      <c r="FN49" s="62"/>
      <c r="FO49" s="62"/>
      <c r="FP49" s="62"/>
      <c r="FQ49" s="62"/>
      <c r="FR49" s="62"/>
      <c r="FS49" s="62"/>
      <c r="FT49" s="62"/>
      <c r="FU49" s="62"/>
      <c r="FV49" s="62"/>
      <c r="FW49" s="62"/>
      <c r="FX49" s="62"/>
      <c r="FY49" s="62"/>
      <c r="FZ49" s="62"/>
      <c r="GA49" s="62"/>
      <c r="GB49" s="62"/>
      <c r="GC49" s="62"/>
      <c r="GD49" s="62"/>
      <c r="GE49" s="62"/>
      <c r="GF49" s="62"/>
      <c r="GG49" s="62"/>
      <c r="GH49" s="62"/>
      <c r="GI49" s="62"/>
      <c r="GJ49" s="62"/>
      <c r="GK49" s="62"/>
      <c r="GL49" s="62"/>
      <c r="GM49" s="62"/>
      <c r="GN49" s="62"/>
      <c r="GO49" s="62"/>
      <c r="GP49" s="62"/>
      <c r="GQ49" s="62"/>
      <c r="GR49" s="62"/>
      <c r="GS49" s="62"/>
      <c r="GT49" s="62"/>
      <c r="GU49" s="62"/>
      <c r="GV49" s="62"/>
      <c r="GW49" s="62"/>
      <c r="GX49" s="62"/>
      <c r="GY49" s="62"/>
      <c r="GZ49" s="62"/>
      <c r="HA49" s="62"/>
      <c r="HB49" s="62"/>
      <c r="HC49" s="62"/>
      <c r="HD49" s="62"/>
      <c r="HE49" s="62"/>
      <c r="HF49" s="62"/>
      <c r="HG49" s="62"/>
      <c r="HH49" s="62"/>
      <c r="HI49" s="62"/>
      <c r="HJ49" s="62"/>
      <c r="HK49" s="62"/>
      <c r="HL49" s="62"/>
      <c r="HM49" s="62"/>
      <c r="HN49" s="62"/>
      <c r="HO49" s="62"/>
      <c r="HP49" s="62"/>
      <c r="HQ49" s="62"/>
      <c r="HR49" s="62"/>
      <c r="HS49" s="62"/>
      <c r="HT49" s="62"/>
      <c r="HU49" s="62"/>
      <c r="HV49" s="62"/>
      <c r="HW49" s="62"/>
      <c r="HX49" s="62"/>
      <c r="HY49" s="62"/>
      <c r="HZ49" s="62"/>
      <c r="IA49" s="62"/>
      <c r="IB49" s="62"/>
      <c r="IC49" s="62"/>
      <c r="ID49" s="62"/>
      <c r="IE49" s="62"/>
      <c r="IF49" s="62"/>
      <c r="IG49" s="62"/>
      <c r="IH49" s="62"/>
      <c r="II49" s="62"/>
      <c r="IJ49" s="62"/>
      <c r="IK49" s="62"/>
      <c r="IL49" s="62"/>
      <c r="IM49" s="62"/>
      <c r="IN49" s="62"/>
      <c r="IO49" s="62"/>
      <c r="IP49" s="62"/>
      <c r="IQ49" s="62"/>
      <c r="IR49" s="62"/>
      <c r="IS49" s="62"/>
    </row>
    <row r="50" spans="1:679" x14ac:dyDescent="0.3">
      <c r="A50" s="19">
        <v>11</v>
      </c>
      <c r="B50" s="44" t="s">
        <v>220</v>
      </c>
      <c r="C50" s="15"/>
      <c r="D50" s="15"/>
      <c r="E50" s="21">
        <f>E49/E44</f>
        <v>0</v>
      </c>
      <c r="F50" s="21">
        <f>F49/F44</f>
        <v>0</v>
      </c>
      <c r="G50" s="21">
        <f t="shared" ref="G50:AG50" si="64">G49/G44</f>
        <v>0</v>
      </c>
      <c r="H50" s="21">
        <f t="shared" si="64"/>
        <v>0</v>
      </c>
      <c r="I50" s="21">
        <f t="shared" si="64"/>
        <v>0</v>
      </c>
      <c r="J50" s="21">
        <f t="shared" si="64"/>
        <v>0</v>
      </c>
      <c r="K50" s="21">
        <f t="shared" si="64"/>
        <v>0</v>
      </c>
      <c r="L50" s="21">
        <f t="shared" si="64"/>
        <v>0</v>
      </c>
      <c r="M50" s="21">
        <f t="shared" si="64"/>
        <v>0</v>
      </c>
      <c r="N50" s="21">
        <f t="shared" si="64"/>
        <v>0</v>
      </c>
      <c r="O50" s="21">
        <f t="shared" si="64"/>
        <v>0</v>
      </c>
      <c r="P50" s="21">
        <f t="shared" si="64"/>
        <v>0</v>
      </c>
      <c r="Q50" s="21">
        <f t="shared" si="64"/>
        <v>0</v>
      </c>
      <c r="R50" s="21">
        <f t="shared" si="64"/>
        <v>0</v>
      </c>
      <c r="S50" s="21">
        <f t="shared" si="64"/>
        <v>0.37588086705311036</v>
      </c>
      <c r="T50" s="21">
        <f t="shared" si="64"/>
        <v>0.35842332295317686</v>
      </c>
      <c r="U50" s="21">
        <f t="shared" si="64"/>
        <v>0.35843088241360577</v>
      </c>
      <c r="V50" s="21">
        <f t="shared" si="64"/>
        <v>0.40832168431725585</v>
      </c>
      <c r="W50" s="21" t="e">
        <f t="shared" si="64"/>
        <v>#DIV/0!</v>
      </c>
      <c r="X50" s="21" t="e">
        <f t="shared" si="64"/>
        <v>#DIV/0!</v>
      </c>
      <c r="Y50" s="21" t="e">
        <f t="shared" si="64"/>
        <v>#DIV/0!</v>
      </c>
      <c r="Z50" s="21" t="e">
        <f t="shared" si="64"/>
        <v>#DIV/0!</v>
      </c>
      <c r="AA50" s="21" t="e">
        <f t="shared" si="64"/>
        <v>#DIV/0!</v>
      </c>
      <c r="AB50" s="21" t="e">
        <f t="shared" si="64"/>
        <v>#DIV/0!</v>
      </c>
      <c r="AC50" s="21" t="e">
        <f t="shared" si="64"/>
        <v>#DIV/0!</v>
      </c>
      <c r="AD50" s="21" t="e">
        <f t="shared" si="64"/>
        <v>#DIV/0!</v>
      </c>
      <c r="AE50" s="21" t="e">
        <f t="shared" si="64"/>
        <v>#DIV/0!</v>
      </c>
      <c r="AF50" s="21" t="e">
        <f t="shared" si="64"/>
        <v>#DIV/0!</v>
      </c>
      <c r="AG50" s="21" t="e">
        <f t="shared" si="64"/>
        <v>#DIV/0!</v>
      </c>
      <c r="AH50" s="216" t="e">
        <f>AH49/AH44</f>
        <v>#DIV/0!</v>
      </c>
      <c r="AI50" s="216">
        <f>AI49/AI44</f>
        <v>0.47184593981108591</v>
      </c>
      <c r="AJ50" s="16">
        <f>AJ49/AJ44</f>
        <v>9.226472775110213E-2</v>
      </c>
      <c r="AK50" s="16">
        <f>AK49/AK44</f>
        <v>0.26549815177632513</v>
      </c>
    </row>
    <row r="51" spans="1:679" s="51" customFormat="1" x14ac:dyDescent="0.3">
      <c r="B51" s="24" t="s">
        <v>59</v>
      </c>
      <c r="C51" s="59" t="s">
        <v>51</v>
      </c>
      <c r="D51" s="59" t="s">
        <v>55</v>
      </c>
      <c r="E51" s="52">
        <v>861</v>
      </c>
      <c r="F51" s="52">
        <v>925</v>
      </c>
      <c r="G51" s="52">
        <v>673</v>
      </c>
      <c r="H51" s="52">
        <v>857</v>
      </c>
      <c r="I51" s="52">
        <v>864</v>
      </c>
      <c r="J51" s="52">
        <v>868</v>
      </c>
      <c r="K51" s="52">
        <v>843</v>
      </c>
      <c r="L51" s="52">
        <v>858</v>
      </c>
      <c r="M51" s="52">
        <v>908</v>
      </c>
      <c r="N51" s="52">
        <v>821</v>
      </c>
      <c r="O51" s="52">
        <v>1001</v>
      </c>
      <c r="P51" s="52">
        <v>696</v>
      </c>
      <c r="Q51" s="52">
        <v>646</v>
      </c>
      <c r="R51" s="52">
        <v>624</v>
      </c>
      <c r="S51" s="53">
        <v>213</v>
      </c>
      <c r="T51" s="53">
        <v>216</v>
      </c>
      <c r="U51" s="53">
        <v>220</v>
      </c>
      <c r="V51" s="53">
        <v>246</v>
      </c>
      <c r="W51" s="53">
        <v>0</v>
      </c>
      <c r="X51" s="53">
        <v>0</v>
      </c>
      <c r="Y51" s="53">
        <v>0</v>
      </c>
      <c r="Z51" s="53">
        <v>0</v>
      </c>
      <c r="AA51" s="53">
        <v>0</v>
      </c>
      <c r="AB51" s="53">
        <v>0</v>
      </c>
      <c r="AC51" s="53">
        <v>0</v>
      </c>
      <c r="AD51" s="53">
        <v>0</v>
      </c>
      <c r="AE51" s="53">
        <v>0</v>
      </c>
      <c r="AF51" s="53">
        <v>0</v>
      </c>
      <c r="AG51" s="53">
        <v>0</v>
      </c>
      <c r="AH51" s="53">
        <v>0</v>
      </c>
      <c r="AI51" s="53">
        <v>180</v>
      </c>
      <c r="AJ51" s="11">
        <f t="shared" ref="AJ51:AJ53" si="65">SUM(E51:AI51)</f>
        <v>12520</v>
      </c>
      <c r="AK51" s="12">
        <f>AJ51+'Jun-24'!AK51</f>
        <v>43294.148000000001</v>
      </c>
      <c r="AL51" s="62">
        <f>AJ53/AJ44</f>
        <v>0.43724998395250564</v>
      </c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62"/>
      <c r="BJ51" s="62"/>
      <c r="BK51" s="62"/>
      <c r="BL51" s="62"/>
      <c r="BM51" s="62"/>
      <c r="BN51" s="62"/>
      <c r="BO51" s="62"/>
      <c r="BP51" s="62"/>
      <c r="BQ51" s="62"/>
      <c r="BR51" s="62"/>
      <c r="BS51" s="62"/>
      <c r="BT51" s="62"/>
      <c r="BU51" s="62"/>
      <c r="BV51" s="62"/>
      <c r="BW51" s="62"/>
      <c r="BX51" s="62"/>
      <c r="BY51" s="62"/>
      <c r="BZ51" s="62"/>
      <c r="CA51" s="62"/>
      <c r="CB51" s="62"/>
      <c r="CC51" s="62"/>
      <c r="CD51" s="62"/>
      <c r="CE51" s="62"/>
      <c r="CF51" s="62"/>
      <c r="CG51" s="62"/>
      <c r="CH51" s="62"/>
      <c r="CI51" s="62"/>
      <c r="CJ51" s="62"/>
      <c r="CK51" s="62"/>
      <c r="CL51" s="62"/>
      <c r="CM51" s="62"/>
      <c r="CN51" s="62"/>
      <c r="CO51" s="62"/>
      <c r="CP51" s="62"/>
      <c r="CQ51" s="62"/>
      <c r="CR51" s="62"/>
      <c r="CS51" s="62"/>
      <c r="CT51" s="62"/>
      <c r="CU51" s="62"/>
      <c r="CV51" s="62"/>
      <c r="CW51" s="62"/>
      <c r="CX51" s="62"/>
      <c r="CY51" s="62"/>
      <c r="CZ51" s="62"/>
      <c r="DA51" s="62"/>
      <c r="DB51" s="62"/>
      <c r="DC51" s="62"/>
      <c r="DD51" s="62"/>
      <c r="DE51" s="62"/>
      <c r="DF51" s="62"/>
      <c r="DG51" s="62"/>
      <c r="DH51" s="62"/>
      <c r="DI51" s="62"/>
      <c r="DJ51" s="62"/>
      <c r="DK51" s="62"/>
      <c r="DL51" s="62"/>
      <c r="DM51" s="62"/>
      <c r="DN51" s="62"/>
      <c r="DO51" s="62"/>
      <c r="DP51" s="62"/>
      <c r="DQ51" s="62"/>
      <c r="DR51" s="62"/>
      <c r="DS51" s="62"/>
      <c r="DT51" s="62"/>
      <c r="DU51" s="62"/>
      <c r="DV51" s="62"/>
      <c r="DW51" s="62"/>
      <c r="DX51" s="62"/>
      <c r="DY51" s="62"/>
      <c r="DZ51" s="62"/>
      <c r="EA51" s="62"/>
      <c r="EB51" s="62"/>
      <c r="EC51" s="62"/>
      <c r="ED51" s="62"/>
      <c r="EE51" s="62"/>
      <c r="EF51" s="62"/>
      <c r="EG51" s="62"/>
      <c r="EH51" s="62"/>
      <c r="EI51" s="62"/>
      <c r="EJ51" s="62"/>
      <c r="EK51" s="62"/>
      <c r="EL51" s="62"/>
      <c r="EM51" s="62"/>
      <c r="EN51" s="62"/>
      <c r="EO51" s="62"/>
      <c r="EP51" s="62"/>
      <c r="EQ51" s="62"/>
      <c r="ER51" s="62"/>
      <c r="ES51" s="62"/>
      <c r="ET51" s="62"/>
      <c r="EU51" s="62"/>
      <c r="EV51" s="62"/>
      <c r="EW51" s="62"/>
      <c r="EX51" s="62"/>
      <c r="EY51" s="62"/>
      <c r="EZ51" s="62"/>
      <c r="FA51" s="62"/>
      <c r="FB51" s="62"/>
      <c r="FC51" s="62"/>
      <c r="FD51" s="62"/>
      <c r="FE51" s="62"/>
      <c r="FF51" s="62"/>
      <c r="FG51" s="62"/>
      <c r="FH51" s="62"/>
      <c r="FI51" s="62"/>
      <c r="FJ51" s="62"/>
      <c r="FK51" s="62"/>
      <c r="FL51" s="62"/>
      <c r="FM51" s="62"/>
      <c r="FN51" s="62"/>
      <c r="FO51" s="62"/>
      <c r="FP51" s="62"/>
      <c r="FQ51" s="62"/>
      <c r="FR51" s="62"/>
      <c r="FS51" s="62"/>
      <c r="FT51" s="62"/>
      <c r="FU51" s="62"/>
      <c r="FV51" s="62"/>
      <c r="FW51" s="62"/>
      <c r="FX51" s="62"/>
      <c r="FY51" s="62"/>
      <c r="FZ51" s="62"/>
      <c r="GA51" s="62"/>
      <c r="GB51" s="62"/>
      <c r="GC51" s="62"/>
      <c r="GD51" s="62"/>
      <c r="GE51" s="62"/>
      <c r="GF51" s="62"/>
      <c r="GG51" s="62"/>
      <c r="GH51" s="62"/>
      <c r="GI51" s="62"/>
      <c r="GJ51" s="62"/>
      <c r="GK51" s="62"/>
      <c r="GL51" s="62"/>
      <c r="GM51" s="62"/>
      <c r="GN51" s="62"/>
      <c r="GO51" s="62"/>
      <c r="GP51" s="62"/>
      <c r="GQ51" s="62"/>
      <c r="GR51" s="62"/>
      <c r="GS51" s="62"/>
      <c r="GT51" s="62"/>
      <c r="GU51" s="62"/>
      <c r="GV51" s="62"/>
      <c r="GW51" s="62"/>
      <c r="GX51" s="62"/>
      <c r="GY51" s="62"/>
      <c r="GZ51" s="62"/>
      <c r="HA51" s="62"/>
      <c r="HB51" s="62"/>
      <c r="HC51" s="62"/>
      <c r="HD51" s="62"/>
      <c r="HE51" s="62"/>
      <c r="HF51" s="62"/>
      <c r="HG51" s="62"/>
      <c r="HH51" s="62"/>
      <c r="HI51" s="62"/>
      <c r="HJ51" s="62"/>
      <c r="HK51" s="62"/>
      <c r="HL51" s="62"/>
      <c r="HM51" s="62"/>
      <c r="HN51" s="62"/>
      <c r="HO51" s="62"/>
      <c r="HP51" s="62"/>
      <c r="HQ51" s="62"/>
      <c r="HR51" s="62"/>
      <c r="HS51" s="62"/>
      <c r="HT51" s="62"/>
      <c r="HU51" s="62"/>
      <c r="HV51" s="62"/>
      <c r="HW51" s="62"/>
      <c r="HX51" s="62"/>
      <c r="HY51" s="62"/>
      <c r="HZ51" s="62"/>
      <c r="IA51" s="62"/>
      <c r="IB51" s="62"/>
      <c r="IC51" s="62"/>
      <c r="ID51" s="62"/>
      <c r="IE51" s="62"/>
      <c r="IF51" s="62"/>
      <c r="IG51" s="62"/>
      <c r="IH51" s="62"/>
      <c r="II51" s="62"/>
      <c r="IJ51" s="62"/>
      <c r="IK51" s="62"/>
      <c r="IL51" s="62"/>
      <c r="IM51" s="62"/>
      <c r="IN51" s="62"/>
      <c r="IO51" s="62"/>
      <c r="IP51" s="62"/>
      <c r="IQ51" s="62"/>
      <c r="IR51" s="62"/>
      <c r="IS51" s="62"/>
    </row>
    <row r="52" spans="1:679" s="51" customFormat="1" x14ac:dyDescent="0.3">
      <c r="B52" s="24" t="s">
        <v>60</v>
      </c>
      <c r="C52" s="59" t="s">
        <v>51</v>
      </c>
      <c r="D52" s="59" t="s">
        <v>55</v>
      </c>
      <c r="E52" s="60">
        <v>4130</v>
      </c>
      <c r="F52" s="60">
        <v>4120</v>
      </c>
      <c r="G52" s="60">
        <v>4215</v>
      </c>
      <c r="H52" s="60">
        <v>4082</v>
      </c>
      <c r="I52" s="60">
        <v>4085</v>
      </c>
      <c r="J52" s="60">
        <v>4075</v>
      </c>
      <c r="K52" s="60">
        <v>4010</v>
      </c>
      <c r="L52" s="60">
        <v>3929</v>
      </c>
      <c r="M52" s="60">
        <v>3930</v>
      </c>
      <c r="N52" s="60">
        <v>4030</v>
      </c>
      <c r="O52" s="60">
        <v>3842</v>
      </c>
      <c r="P52" s="60">
        <v>4012</v>
      </c>
      <c r="Q52" s="60">
        <v>4329</v>
      </c>
      <c r="R52" s="60">
        <v>4328</v>
      </c>
      <c r="S52" s="23">
        <v>4266</v>
      </c>
      <c r="T52" s="23">
        <v>4229</v>
      </c>
      <c r="U52" s="23">
        <v>4220</v>
      </c>
      <c r="V52" s="23">
        <v>4225</v>
      </c>
      <c r="W52" s="23">
        <v>0</v>
      </c>
      <c r="X52" s="23">
        <v>0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0</v>
      </c>
      <c r="AF52" s="23">
        <v>0</v>
      </c>
      <c r="AG52" s="23">
        <v>0</v>
      </c>
      <c r="AH52" s="23">
        <v>0</v>
      </c>
      <c r="AI52" s="23">
        <v>4295</v>
      </c>
      <c r="AJ52" s="11">
        <f t="shared" si="65"/>
        <v>78352</v>
      </c>
      <c r="AK52" s="12">
        <f>AJ52+'Jun-24'!AK52</f>
        <v>489058.52800000005</v>
      </c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2"/>
      <c r="BJ52" s="62"/>
      <c r="BK52" s="62"/>
      <c r="BL52" s="62"/>
      <c r="BM52" s="62"/>
      <c r="BN52" s="62"/>
      <c r="BO52" s="62"/>
      <c r="BP52" s="62"/>
      <c r="BQ52" s="62"/>
      <c r="BR52" s="62"/>
      <c r="BS52" s="62"/>
      <c r="BT52" s="62"/>
      <c r="BU52" s="62"/>
      <c r="BV52" s="62"/>
      <c r="BW52" s="62"/>
      <c r="BX52" s="62"/>
      <c r="BY52" s="62"/>
      <c r="BZ52" s="62"/>
      <c r="CA52" s="62"/>
      <c r="CB52" s="62"/>
      <c r="CC52" s="62"/>
      <c r="CD52" s="62"/>
      <c r="CE52" s="62"/>
      <c r="CF52" s="62"/>
      <c r="CG52" s="62"/>
      <c r="CH52" s="62"/>
      <c r="CI52" s="62"/>
      <c r="CJ52" s="62"/>
      <c r="CK52" s="62"/>
      <c r="CL52" s="62"/>
      <c r="CM52" s="62"/>
      <c r="CN52" s="62"/>
      <c r="CO52" s="62"/>
      <c r="CP52" s="62"/>
      <c r="CQ52" s="62"/>
      <c r="CR52" s="62"/>
      <c r="CS52" s="62"/>
      <c r="CT52" s="62"/>
      <c r="CU52" s="62"/>
      <c r="CV52" s="62"/>
      <c r="CW52" s="62"/>
      <c r="CX52" s="62"/>
      <c r="CY52" s="62"/>
      <c r="CZ52" s="62"/>
      <c r="DA52" s="62"/>
      <c r="DB52" s="62"/>
      <c r="DC52" s="62"/>
      <c r="DD52" s="62"/>
      <c r="DE52" s="62"/>
      <c r="DF52" s="62"/>
      <c r="DG52" s="62"/>
      <c r="DH52" s="62"/>
      <c r="DI52" s="62"/>
      <c r="DJ52" s="62"/>
      <c r="DK52" s="62"/>
      <c r="DL52" s="62"/>
      <c r="DM52" s="62"/>
      <c r="DN52" s="62"/>
      <c r="DO52" s="62"/>
      <c r="DP52" s="62"/>
      <c r="DQ52" s="62"/>
      <c r="DR52" s="62"/>
      <c r="DS52" s="62"/>
      <c r="DT52" s="62"/>
      <c r="DU52" s="62"/>
      <c r="DV52" s="62"/>
      <c r="DW52" s="62"/>
      <c r="DX52" s="62"/>
      <c r="DY52" s="62"/>
      <c r="DZ52" s="62"/>
      <c r="EA52" s="62"/>
      <c r="EB52" s="62"/>
      <c r="EC52" s="62"/>
      <c r="ED52" s="62"/>
      <c r="EE52" s="62"/>
      <c r="EF52" s="62"/>
      <c r="EG52" s="62"/>
      <c r="EH52" s="62"/>
      <c r="EI52" s="62"/>
      <c r="EJ52" s="62"/>
      <c r="EK52" s="62"/>
      <c r="EL52" s="62"/>
      <c r="EM52" s="62"/>
      <c r="EN52" s="62"/>
      <c r="EO52" s="62"/>
      <c r="EP52" s="62"/>
      <c r="EQ52" s="62"/>
      <c r="ER52" s="62"/>
      <c r="ES52" s="62"/>
      <c r="ET52" s="62"/>
      <c r="EU52" s="62"/>
      <c r="EV52" s="62"/>
      <c r="EW52" s="62"/>
      <c r="EX52" s="62"/>
      <c r="EY52" s="62"/>
      <c r="EZ52" s="62"/>
      <c r="FA52" s="62"/>
      <c r="FB52" s="62"/>
      <c r="FC52" s="62"/>
      <c r="FD52" s="62"/>
      <c r="FE52" s="62"/>
      <c r="FF52" s="62"/>
      <c r="FG52" s="62"/>
      <c r="FH52" s="62"/>
      <c r="FI52" s="62"/>
      <c r="FJ52" s="62"/>
      <c r="FK52" s="62"/>
      <c r="FL52" s="62"/>
      <c r="FM52" s="62"/>
      <c r="FN52" s="62"/>
      <c r="FO52" s="62"/>
      <c r="FP52" s="62"/>
      <c r="FQ52" s="62"/>
      <c r="FR52" s="62"/>
      <c r="FS52" s="62"/>
      <c r="FT52" s="62"/>
      <c r="FU52" s="62"/>
      <c r="FV52" s="62"/>
      <c r="FW52" s="62"/>
      <c r="FX52" s="62"/>
      <c r="FY52" s="62"/>
      <c r="FZ52" s="62"/>
      <c r="GA52" s="62"/>
      <c r="GB52" s="62"/>
      <c r="GC52" s="62"/>
      <c r="GD52" s="62"/>
      <c r="GE52" s="62"/>
      <c r="GF52" s="62"/>
      <c r="GG52" s="62"/>
      <c r="GH52" s="62"/>
      <c r="GI52" s="62"/>
      <c r="GJ52" s="62"/>
      <c r="GK52" s="62"/>
      <c r="GL52" s="62"/>
      <c r="GM52" s="62"/>
      <c r="GN52" s="62"/>
      <c r="GO52" s="62"/>
      <c r="GP52" s="62"/>
      <c r="GQ52" s="62"/>
      <c r="GR52" s="62"/>
      <c r="GS52" s="62"/>
      <c r="GT52" s="62"/>
      <c r="GU52" s="62"/>
      <c r="GV52" s="62"/>
      <c r="GW52" s="62"/>
      <c r="GX52" s="62"/>
      <c r="GY52" s="62"/>
      <c r="GZ52" s="62"/>
      <c r="HA52" s="62"/>
      <c r="HB52" s="62"/>
      <c r="HC52" s="62"/>
      <c r="HD52" s="62"/>
      <c r="HE52" s="62"/>
      <c r="HF52" s="62"/>
      <c r="HG52" s="62"/>
      <c r="HH52" s="62"/>
      <c r="HI52" s="62"/>
      <c r="HJ52" s="62"/>
      <c r="HK52" s="62"/>
      <c r="HL52" s="62"/>
      <c r="HM52" s="62"/>
      <c r="HN52" s="62"/>
      <c r="HO52" s="62"/>
      <c r="HP52" s="62"/>
      <c r="HQ52" s="62"/>
      <c r="HR52" s="62"/>
      <c r="HS52" s="62"/>
      <c r="HT52" s="62"/>
      <c r="HU52" s="62"/>
      <c r="HV52" s="62"/>
      <c r="HW52" s="62"/>
      <c r="HX52" s="62"/>
      <c r="HY52" s="62"/>
      <c r="HZ52" s="62"/>
      <c r="IA52" s="62"/>
      <c r="IB52" s="62"/>
      <c r="IC52" s="62"/>
      <c r="ID52" s="62"/>
      <c r="IE52" s="62"/>
      <c r="IF52" s="62"/>
      <c r="IG52" s="62"/>
      <c r="IH52" s="62"/>
      <c r="II52" s="62"/>
      <c r="IJ52" s="62"/>
      <c r="IK52" s="62"/>
      <c r="IL52" s="62"/>
      <c r="IM52" s="62"/>
      <c r="IN52" s="62"/>
      <c r="IO52" s="62"/>
      <c r="IP52" s="62"/>
      <c r="IQ52" s="62"/>
      <c r="IR52" s="62"/>
      <c r="IS52" s="62"/>
    </row>
    <row r="53" spans="1:679" s="51" customFormat="1" x14ac:dyDescent="0.3">
      <c r="B53" s="24" t="s">
        <v>61</v>
      </c>
      <c r="C53" s="59" t="s">
        <v>51</v>
      </c>
      <c r="D53" s="59" t="s">
        <v>55</v>
      </c>
      <c r="E53" s="63">
        <f>E51*E52</f>
        <v>3555930</v>
      </c>
      <c r="F53" s="63">
        <f>F51*F52</f>
        <v>3811000</v>
      </c>
      <c r="G53" s="63">
        <f t="shared" ref="G53:AH53" si="66">G51*G52</f>
        <v>2836695</v>
      </c>
      <c r="H53" s="63">
        <f t="shared" si="66"/>
        <v>3498274</v>
      </c>
      <c r="I53" s="63">
        <f t="shared" si="66"/>
        <v>3529440</v>
      </c>
      <c r="J53" s="63">
        <f t="shared" si="66"/>
        <v>3537100</v>
      </c>
      <c r="K53" s="63">
        <f t="shared" si="66"/>
        <v>3380430</v>
      </c>
      <c r="L53" s="63">
        <f t="shared" si="66"/>
        <v>3371082</v>
      </c>
      <c r="M53" s="64">
        <f t="shared" si="66"/>
        <v>3568440</v>
      </c>
      <c r="N53" s="63">
        <f t="shared" si="66"/>
        <v>3308630</v>
      </c>
      <c r="O53" s="63">
        <f t="shared" si="66"/>
        <v>3845842</v>
      </c>
      <c r="P53" s="63">
        <f t="shared" si="66"/>
        <v>2792352</v>
      </c>
      <c r="Q53" s="63">
        <f t="shared" si="66"/>
        <v>2796534</v>
      </c>
      <c r="R53" s="63">
        <f>R51*R52</f>
        <v>2700672</v>
      </c>
      <c r="S53" s="63">
        <f>S51*S52</f>
        <v>908658</v>
      </c>
      <c r="T53" s="63">
        <f>T51*T52</f>
        <v>913464</v>
      </c>
      <c r="U53" s="63">
        <f>U51*U52</f>
        <v>928400</v>
      </c>
      <c r="V53" s="63">
        <f t="shared" si="66"/>
        <v>1039350</v>
      </c>
      <c r="W53" s="63">
        <f t="shared" si="66"/>
        <v>0</v>
      </c>
      <c r="X53" s="63">
        <f t="shared" si="66"/>
        <v>0</v>
      </c>
      <c r="Y53" s="63">
        <f t="shared" si="66"/>
        <v>0</v>
      </c>
      <c r="Z53" s="63">
        <f t="shared" si="66"/>
        <v>0</v>
      </c>
      <c r="AA53" s="63">
        <f t="shared" si="66"/>
        <v>0</v>
      </c>
      <c r="AB53" s="63">
        <f t="shared" si="66"/>
        <v>0</v>
      </c>
      <c r="AC53" s="63">
        <f t="shared" si="66"/>
        <v>0</v>
      </c>
      <c r="AD53" s="63">
        <f t="shared" si="66"/>
        <v>0</v>
      </c>
      <c r="AE53" s="63">
        <f t="shared" si="66"/>
        <v>0</v>
      </c>
      <c r="AF53" s="63">
        <f t="shared" si="66"/>
        <v>0</v>
      </c>
      <c r="AG53" s="63">
        <f t="shared" si="66"/>
        <v>0</v>
      </c>
      <c r="AH53" s="63">
        <f t="shared" si="66"/>
        <v>0</v>
      </c>
      <c r="AI53" s="63">
        <f t="shared" ref="AI53" si="67">AI51*AI52</f>
        <v>773100</v>
      </c>
      <c r="AJ53" s="11">
        <f t="shared" si="65"/>
        <v>51095393</v>
      </c>
      <c r="AK53" s="12">
        <f>AJ53+'Jun-24'!AK53</f>
        <v>199478680.24000001</v>
      </c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2"/>
      <c r="BH53" s="62"/>
      <c r="BI53" s="62"/>
      <c r="BJ53" s="62"/>
      <c r="BK53" s="62"/>
      <c r="BL53" s="62"/>
      <c r="BM53" s="62"/>
      <c r="BN53" s="62"/>
      <c r="BO53" s="62"/>
      <c r="BP53" s="62"/>
      <c r="BQ53" s="62"/>
      <c r="BR53" s="62"/>
      <c r="BS53" s="62"/>
      <c r="BT53" s="62"/>
      <c r="BU53" s="62"/>
      <c r="BV53" s="62"/>
      <c r="BW53" s="62"/>
      <c r="BX53" s="62"/>
      <c r="BY53" s="62"/>
      <c r="BZ53" s="62"/>
      <c r="CA53" s="62"/>
      <c r="CB53" s="62"/>
      <c r="CC53" s="62"/>
      <c r="CD53" s="62"/>
      <c r="CE53" s="62"/>
      <c r="CF53" s="62"/>
      <c r="CG53" s="62"/>
      <c r="CH53" s="62"/>
      <c r="CI53" s="62"/>
      <c r="CJ53" s="62"/>
      <c r="CK53" s="62"/>
      <c r="CL53" s="62"/>
      <c r="CM53" s="62"/>
      <c r="CN53" s="62"/>
      <c r="CO53" s="62"/>
      <c r="CP53" s="62"/>
      <c r="CQ53" s="62"/>
      <c r="CR53" s="62"/>
      <c r="CS53" s="62"/>
      <c r="CT53" s="62"/>
      <c r="CU53" s="62"/>
      <c r="CV53" s="62"/>
      <c r="CW53" s="62"/>
      <c r="CX53" s="62"/>
      <c r="CY53" s="62"/>
      <c r="CZ53" s="62"/>
      <c r="DA53" s="62"/>
      <c r="DB53" s="62"/>
      <c r="DC53" s="62"/>
      <c r="DD53" s="62"/>
      <c r="DE53" s="62"/>
      <c r="DF53" s="62"/>
      <c r="DG53" s="62"/>
      <c r="DH53" s="62"/>
      <c r="DI53" s="62"/>
      <c r="DJ53" s="62"/>
      <c r="DK53" s="62"/>
      <c r="DL53" s="62"/>
      <c r="DM53" s="62"/>
      <c r="DN53" s="62"/>
      <c r="DO53" s="62"/>
      <c r="DP53" s="62"/>
      <c r="DQ53" s="62"/>
      <c r="DR53" s="62"/>
      <c r="DS53" s="62"/>
      <c r="DT53" s="62"/>
      <c r="DU53" s="62"/>
      <c r="DV53" s="62"/>
      <c r="DW53" s="62"/>
      <c r="DX53" s="62"/>
      <c r="DY53" s="62"/>
      <c r="DZ53" s="62"/>
      <c r="EA53" s="62"/>
      <c r="EB53" s="62"/>
      <c r="EC53" s="62"/>
      <c r="ED53" s="62"/>
      <c r="EE53" s="62"/>
      <c r="EF53" s="62"/>
      <c r="EG53" s="62"/>
      <c r="EH53" s="62"/>
      <c r="EI53" s="62"/>
      <c r="EJ53" s="62"/>
      <c r="EK53" s="62"/>
      <c r="EL53" s="62"/>
      <c r="EM53" s="62"/>
      <c r="EN53" s="62"/>
      <c r="EO53" s="62"/>
      <c r="EP53" s="62"/>
      <c r="EQ53" s="62"/>
      <c r="ER53" s="62"/>
      <c r="ES53" s="62"/>
      <c r="ET53" s="62"/>
      <c r="EU53" s="62"/>
      <c r="EV53" s="62"/>
      <c r="EW53" s="62"/>
      <c r="EX53" s="62"/>
      <c r="EY53" s="62"/>
      <c r="EZ53" s="62"/>
      <c r="FA53" s="62"/>
      <c r="FB53" s="62"/>
      <c r="FC53" s="62"/>
      <c r="FD53" s="62"/>
      <c r="FE53" s="62"/>
      <c r="FF53" s="62"/>
      <c r="FG53" s="62"/>
      <c r="FH53" s="62"/>
      <c r="FI53" s="62"/>
      <c r="FJ53" s="62"/>
      <c r="FK53" s="62"/>
      <c r="FL53" s="62"/>
      <c r="FM53" s="62"/>
      <c r="FN53" s="62"/>
      <c r="FO53" s="62"/>
      <c r="FP53" s="62"/>
      <c r="FQ53" s="62"/>
      <c r="FR53" s="62"/>
      <c r="FS53" s="62"/>
      <c r="FT53" s="62"/>
      <c r="FU53" s="62"/>
      <c r="FV53" s="62"/>
      <c r="FW53" s="62"/>
      <c r="FX53" s="62"/>
      <c r="FY53" s="62"/>
      <c r="FZ53" s="62"/>
      <c r="GA53" s="62"/>
      <c r="GB53" s="62"/>
      <c r="GC53" s="62"/>
      <c r="GD53" s="62"/>
      <c r="GE53" s="62"/>
      <c r="GF53" s="62"/>
      <c r="GG53" s="62"/>
      <c r="GH53" s="62"/>
      <c r="GI53" s="62"/>
      <c r="GJ53" s="62"/>
      <c r="GK53" s="62"/>
      <c r="GL53" s="62"/>
      <c r="GM53" s="62"/>
      <c r="GN53" s="62"/>
      <c r="GO53" s="62"/>
      <c r="GP53" s="62"/>
      <c r="GQ53" s="62"/>
      <c r="GR53" s="62"/>
      <c r="GS53" s="62"/>
      <c r="GT53" s="62"/>
      <c r="GU53" s="62"/>
      <c r="GV53" s="62"/>
      <c r="GW53" s="62"/>
      <c r="GX53" s="62"/>
      <c r="GY53" s="62"/>
      <c r="GZ53" s="62"/>
      <c r="HA53" s="62"/>
      <c r="HB53" s="62"/>
      <c r="HC53" s="62"/>
      <c r="HD53" s="62"/>
      <c r="HE53" s="62"/>
      <c r="HF53" s="62"/>
      <c r="HG53" s="62"/>
      <c r="HH53" s="62"/>
      <c r="HI53" s="62"/>
      <c r="HJ53" s="62"/>
      <c r="HK53" s="62"/>
      <c r="HL53" s="62"/>
      <c r="HM53" s="62"/>
      <c r="HN53" s="62"/>
      <c r="HO53" s="62"/>
      <c r="HP53" s="62"/>
      <c r="HQ53" s="62"/>
      <c r="HR53" s="62"/>
      <c r="HS53" s="62"/>
      <c r="HT53" s="62"/>
      <c r="HU53" s="62"/>
      <c r="HV53" s="62"/>
      <c r="HW53" s="62"/>
      <c r="HX53" s="62"/>
      <c r="HY53" s="62"/>
      <c r="HZ53" s="62"/>
      <c r="IA53" s="62"/>
      <c r="IB53" s="62"/>
      <c r="IC53" s="62"/>
      <c r="ID53" s="62"/>
      <c r="IE53" s="62"/>
      <c r="IF53" s="62"/>
      <c r="IG53" s="62"/>
      <c r="IH53" s="62"/>
      <c r="II53" s="62"/>
      <c r="IJ53" s="62"/>
      <c r="IK53" s="62"/>
      <c r="IL53" s="62"/>
      <c r="IM53" s="62"/>
      <c r="IN53" s="62"/>
      <c r="IO53" s="62"/>
      <c r="IP53" s="62"/>
      <c r="IQ53" s="62"/>
      <c r="IR53" s="62"/>
      <c r="IS53" s="62"/>
    </row>
    <row r="54" spans="1:679" x14ac:dyDescent="0.3">
      <c r="A54" s="19">
        <v>14</v>
      </c>
      <c r="B54" s="44" t="s">
        <v>62</v>
      </c>
      <c r="C54" s="15"/>
      <c r="D54" s="15"/>
      <c r="E54" s="21">
        <f>E53/E44</f>
        <v>0.55781131613747281</v>
      </c>
      <c r="F54" s="21">
        <f>F53/F44</f>
        <v>0.57813377023316492</v>
      </c>
      <c r="G54" s="21">
        <f>G53/G44</f>
        <v>0.54472736699599622</v>
      </c>
      <c r="H54" s="21">
        <f>H53/H44</f>
        <v>0.52510552323312376</v>
      </c>
      <c r="I54" s="21">
        <f t="shared" ref="I54:AH54" si="68">I53/I44</f>
        <v>0.53098215842538354</v>
      </c>
      <c r="J54" s="21">
        <f t="shared" si="68"/>
        <v>0.53241706600580785</v>
      </c>
      <c r="K54" s="21">
        <f t="shared" si="68"/>
        <v>0.54051292628933112</v>
      </c>
      <c r="L54" s="21">
        <f t="shared" si="68"/>
        <v>0.55314401642687827</v>
      </c>
      <c r="M54" s="21">
        <f t="shared" si="68"/>
        <v>0.54846592952589979</v>
      </c>
      <c r="N54" s="21">
        <f t="shared" si="68"/>
        <v>0.54366393900555388</v>
      </c>
      <c r="O54" s="21">
        <f t="shared" si="68"/>
        <v>0.58640389732173492</v>
      </c>
      <c r="P54" s="21">
        <f t="shared" si="68"/>
        <v>0.42433968182182896</v>
      </c>
      <c r="Q54" s="21">
        <f t="shared" si="68"/>
        <v>0.44748123849907995</v>
      </c>
      <c r="R54" s="21">
        <f t="shared" si="68"/>
        <v>0.44259728817648092</v>
      </c>
      <c r="S54" s="21">
        <f t="shared" si="68"/>
        <v>0.14362548859344046</v>
      </c>
      <c r="T54" s="21">
        <f t="shared" si="68"/>
        <v>0.13588276403128505</v>
      </c>
      <c r="U54" s="21">
        <f t="shared" si="68"/>
        <v>0.13580950157444815</v>
      </c>
      <c r="V54" s="21">
        <f t="shared" si="68"/>
        <v>0.15497478220999542</v>
      </c>
      <c r="W54" s="21" t="e">
        <f t="shared" si="68"/>
        <v>#DIV/0!</v>
      </c>
      <c r="X54" s="21" t="e">
        <f t="shared" si="68"/>
        <v>#DIV/0!</v>
      </c>
      <c r="Y54" s="21" t="e">
        <f t="shared" si="68"/>
        <v>#DIV/0!</v>
      </c>
      <c r="Z54" s="21" t="e">
        <f t="shared" si="68"/>
        <v>#DIV/0!</v>
      </c>
      <c r="AA54" s="21" t="e">
        <f t="shared" si="68"/>
        <v>#DIV/0!</v>
      </c>
      <c r="AB54" s="21" t="e">
        <f t="shared" si="68"/>
        <v>#DIV/0!</v>
      </c>
      <c r="AC54" s="21" t="e">
        <f t="shared" si="68"/>
        <v>#DIV/0!</v>
      </c>
      <c r="AD54" s="21" t="e">
        <f t="shared" si="68"/>
        <v>#DIV/0!</v>
      </c>
      <c r="AE54" s="21" t="e">
        <f t="shared" si="68"/>
        <v>#DIV/0!</v>
      </c>
      <c r="AF54" s="21" t="e">
        <f t="shared" si="68"/>
        <v>#DIV/0!</v>
      </c>
      <c r="AG54" s="21" t="e">
        <f t="shared" si="68"/>
        <v>#DIV/0!</v>
      </c>
      <c r="AH54" s="21" t="e">
        <f t="shared" si="68"/>
        <v>#DIV/0!</v>
      </c>
      <c r="AI54" s="21">
        <f t="shared" ref="AI54" si="69">AI53/AI44</f>
        <v>0.4528666617851651</v>
      </c>
      <c r="AJ54" s="16">
        <f>AJ53/AJ44</f>
        <v>0.43724998395250564</v>
      </c>
      <c r="AK54" s="16">
        <f>AK53/AK44</f>
        <v>0.29489763859246726</v>
      </c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2"/>
      <c r="BH54" s="62"/>
      <c r="BI54" s="62"/>
      <c r="BJ54" s="62"/>
      <c r="BK54" s="62"/>
      <c r="BL54" s="62"/>
      <c r="BM54" s="62"/>
      <c r="BN54" s="62"/>
      <c r="BO54" s="62"/>
      <c r="BP54" s="62"/>
      <c r="BQ54" s="62"/>
      <c r="BR54" s="62"/>
      <c r="BS54" s="62"/>
      <c r="BT54" s="62"/>
      <c r="BU54" s="62"/>
      <c r="BV54" s="62"/>
      <c r="BW54" s="62"/>
      <c r="BX54" s="62"/>
      <c r="BY54" s="62"/>
      <c r="BZ54" s="62"/>
      <c r="CA54" s="62"/>
      <c r="CB54" s="62"/>
      <c r="CC54" s="62"/>
      <c r="CD54" s="62"/>
      <c r="CE54" s="62"/>
      <c r="CF54" s="62"/>
      <c r="CG54" s="62"/>
      <c r="CH54" s="62"/>
      <c r="CI54" s="62"/>
      <c r="CJ54" s="62"/>
      <c r="CK54" s="62"/>
      <c r="CL54" s="62"/>
      <c r="CM54" s="62"/>
      <c r="CN54" s="62"/>
      <c r="CO54" s="62"/>
      <c r="CP54" s="62"/>
      <c r="CQ54" s="62"/>
      <c r="CR54" s="62"/>
      <c r="CS54" s="62"/>
      <c r="CT54" s="62"/>
      <c r="CU54" s="62"/>
      <c r="CV54" s="62"/>
      <c r="CW54" s="62"/>
      <c r="CX54" s="62"/>
      <c r="CY54" s="62"/>
      <c r="CZ54" s="62"/>
      <c r="DA54" s="62"/>
      <c r="DB54" s="62"/>
      <c r="DC54" s="62"/>
      <c r="DD54" s="62"/>
      <c r="DE54" s="62"/>
      <c r="DF54" s="62"/>
      <c r="DG54" s="62"/>
      <c r="DH54" s="62"/>
      <c r="DI54" s="62"/>
      <c r="DJ54" s="62"/>
      <c r="DK54" s="62"/>
      <c r="DL54" s="62"/>
      <c r="DM54" s="62"/>
      <c r="DN54" s="62"/>
      <c r="DO54" s="62"/>
      <c r="DP54" s="62"/>
      <c r="DQ54" s="62"/>
      <c r="DR54" s="62"/>
      <c r="DS54" s="62"/>
      <c r="DT54" s="62"/>
      <c r="DU54" s="62"/>
      <c r="DV54" s="62"/>
      <c r="DW54" s="62"/>
      <c r="DX54" s="62"/>
      <c r="DY54" s="62"/>
      <c r="DZ54" s="62"/>
      <c r="EA54" s="62"/>
      <c r="EB54" s="62"/>
      <c r="EC54" s="62"/>
      <c r="ED54" s="62"/>
      <c r="EE54" s="62"/>
      <c r="EF54" s="62"/>
      <c r="EG54" s="62"/>
      <c r="EH54" s="62"/>
      <c r="EI54" s="62"/>
      <c r="EJ54" s="62"/>
      <c r="EK54" s="62"/>
      <c r="EL54" s="62"/>
      <c r="EM54" s="62"/>
      <c r="EN54" s="62"/>
      <c r="EO54" s="62"/>
      <c r="EP54" s="62"/>
      <c r="EQ54" s="62"/>
      <c r="ER54" s="62"/>
      <c r="ES54" s="62"/>
      <c r="ET54" s="62"/>
      <c r="EU54" s="62"/>
      <c r="EV54" s="62"/>
      <c r="EW54" s="62"/>
      <c r="EX54" s="62"/>
      <c r="EY54" s="62"/>
      <c r="EZ54" s="62"/>
      <c r="FA54" s="62"/>
      <c r="FB54" s="62"/>
      <c r="FC54" s="62"/>
      <c r="FD54" s="62"/>
      <c r="FE54" s="62"/>
      <c r="FF54" s="62"/>
      <c r="FG54" s="62"/>
      <c r="FH54" s="62"/>
      <c r="FI54" s="62"/>
      <c r="FJ54" s="62"/>
      <c r="FK54" s="62"/>
      <c r="FL54" s="62"/>
      <c r="FM54" s="62"/>
      <c r="FN54" s="62"/>
      <c r="FO54" s="62"/>
      <c r="FP54" s="62"/>
      <c r="FQ54" s="62"/>
      <c r="FR54" s="62"/>
      <c r="FS54" s="62"/>
      <c r="FT54" s="62"/>
      <c r="FU54" s="62"/>
      <c r="FV54" s="62"/>
      <c r="FW54" s="62"/>
      <c r="FX54" s="62"/>
      <c r="FY54" s="62"/>
      <c r="FZ54" s="62"/>
      <c r="GA54" s="62"/>
      <c r="GB54" s="62"/>
      <c r="GC54" s="62"/>
      <c r="GD54" s="62"/>
      <c r="GE54" s="62"/>
      <c r="GF54" s="62"/>
      <c r="GG54" s="62"/>
      <c r="GH54" s="62"/>
      <c r="GI54" s="62"/>
      <c r="GJ54" s="62"/>
      <c r="GK54" s="62"/>
      <c r="GL54" s="62"/>
      <c r="GM54" s="62"/>
      <c r="GN54" s="62"/>
      <c r="GO54" s="62"/>
      <c r="GP54" s="62"/>
      <c r="GQ54" s="62"/>
      <c r="GR54" s="62"/>
      <c r="GS54" s="62"/>
      <c r="GT54" s="62"/>
      <c r="GU54" s="62"/>
      <c r="GV54" s="62"/>
      <c r="GW54" s="62"/>
      <c r="GX54" s="62"/>
      <c r="GY54" s="62"/>
      <c r="GZ54" s="62"/>
      <c r="HA54" s="62"/>
      <c r="HB54" s="62"/>
      <c r="HC54" s="62"/>
      <c r="HD54" s="62"/>
      <c r="HE54" s="62"/>
      <c r="HF54" s="62"/>
      <c r="HG54" s="62"/>
      <c r="HH54" s="62"/>
      <c r="HI54" s="62"/>
      <c r="HJ54" s="62"/>
      <c r="HK54" s="62"/>
      <c r="HL54" s="62"/>
      <c r="HM54" s="62"/>
      <c r="HN54" s="62"/>
      <c r="HO54" s="62"/>
      <c r="HP54" s="62"/>
      <c r="HQ54" s="62"/>
      <c r="HR54" s="62"/>
      <c r="HS54" s="62"/>
      <c r="HT54" s="62"/>
      <c r="HU54" s="62"/>
      <c r="HV54" s="62"/>
      <c r="HW54" s="62"/>
      <c r="HX54" s="62"/>
      <c r="HY54" s="62"/>
      <c r="HZ54" s="62"/>
      <c r="IA54" s="62"/>
      <c r="IB54" s="62"/>
      <c r="IC54" s="62"/>
      <c r="ID54" s="62"/>
      <c r="IE54" s="62"/>
      <c r="IF54" s="62"/>
      <c r="IG54" s="62"/>
      <c r="IH54" s="62"/>
      <c r="II54" s="62"/>
      <c r="IJ54" s="62"/>
      <c r="IK54" s="62"/>
      <c r="IL54" s="62"/>
      <c r="IM54" s="62"/>
      <c r="IN54" s="62"/>
      <c r="IO54" s="62"/>
      <c r="IP54" s="62"/>
      <c r="IQ54" s="62"/>
      <c r="IR54" s="62"/>
      <c r="IS54" s="62"/>
    </row>
    <row r="55" spans="1:679" x14ac:dyDescent="0.3">
      <c r="A55" s="24"/>
      <c r="B55" s="24" t="s">
        <v>50</v>
      </c>
      <c r="C55" s="10" t="s">
        <v>51</v>
      </c>
      <c r="D55" s="10" t="s">
        <v>7</v>
      </c>
      <c r="E55" s="10">
        <v>0</v>
      </c>
      <c r="F55" s="10">
        <v>0</v>
      </c>
      <c r="G55" s="23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55">
        <v>0</v>
      </c>
      <c r="O55" s="55">
        <v>0</v>
      </c>
      <c r="P55" s="55">
        <v>0</v>
      </c>
      <c r="Q55" s="55">
        <v>0</v>
      </c>
      <c r="R55" s="55">
        <v>0</v>
      </c>
      <c r="S55" s="55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22">
        <v>0</v>
      </c>
      <c r="AB55" s="22">
        <v>0</v>
      </c>
      <c r="AC55" s="22">
        <v>0</v>
      </c>
      <c r="AD55" s="53">
        <v>0</v>
      </c>
      <c r="AE55" s="53">
        <v>0</v>
      </c>
      <c r="AF55" s="22">
        <v>0</v>
      </c>
      <c r="AG55" s="22">
        <v>0</v>
      </c>
      <c r="AH55" s="22">
        <v>0</v>
      </c>
      <c r="AI55" s="22">
        <v>0</v>
      </c>
      <c r="AJ55" s="11">
        <f t="shared" ref="AJ55:AJ58" si="70">SUM(E55:AI55)</f>
        <v>0</v>
      </c>
      <c r="AK55" s="12">
        <f>AJ55+'Jun-24'!AK55</f>
        <v>6729.201</v>
      </c>
    </row>
    <row r="56" spans="1:679" x14ac:dyDescent="0.3">
      <c r="A56" s="24"/>
      <c r="B56" s="24" t="s">
        <v>52</v>
      </c>
      <c r="C56" s="10" t="s">
        <v>51</v>
      </c>
      <c r="D56" s="10"/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55">
        <v>0</v>
      </c>
      <c r="O56" s="55">
        <v>0</v>
      </c>
      <c r="P56" s="55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0</v>
      </c>
      <c r="Y56" s="23">
        <v>0</v>
      </c>
      <c r="Z56" s="23">
        <v>0</v>
      </c>
      <c r="AA56" s="23">
        <v>0</v>
      </c>
      <c r="AB56" s="22">
        <v>0</v>
      </c>
      <c r="AC56" s="22">
        <v>0</v>
      </c>
      <c r="AD56" s="53">
        <v>0</v>
      </c>
      <c r="AE56" s="53">
        <v>0</v>
      </c>
      <c r="AF56" s="22">
        <v>0</v>
      </c>
      <c r="AG56" s="22">
        <v>0</v>
      </c>
      <c r="AH56" s="22">
        <v>0</v>
      </c>
      <c r="AI56" s="22">
        <v>0</v>
      </c>
      <c r="AJ56" s="11">
        <f t="shared" si="70"/>
        <v>0</v>
      </c>
      <c r="AK56" s="12">
        <f>AJ56+'Jun-24'!AK56</f>
        <v>393974.83999999997</v>
      </c>
    </row>
    <row r="57" spans="1:679" x14ac:dyDescent="0.3">
      <c r="A57" s="24"/>
      <c r="B57" s="24" t="s">
        <v>53</v>
      </c>
      <c r="C57" s="10" t="s">
        <v>51</v>
      </c>
      <c r="D57" s="10"/>
      <c r="E57" s="23">
        <f>E68*E72</f>
        <v>5085150</v>
      </c>
      <c r="F57" s="23">
        <f t="shared" ref="F57:AH57" si="71">F68*F72</f>
        <v>5066061</v>
      </c>
      <c r="G57" s="23">
        <f t="shared" si="71"/>
        <v>5060036</v>
      </c>
      <c r="H57" s="23">
        <f t="shared" si="71"/>
        <v>5062446</v>
      </c>
      <c r="I57" s="23">
        <f t="shared" si="71"/>
        <v>4733512</v>
      </c>
      <c r="J57" s="23">
        <f t="shared" si="71"/>
        <v>5075725</v>
      </c>
      <c r="K57" s="23">
        <f t="shared" si="71"/>
        <v>5096427</v>
      </c>
      <c r="L57" s="23">
        <f t="shared" si="71"/>
        <v>4876542</v>
      </c>
      <c r="M57" s="42">
        <f t="shared" si="71"/>
        <v>1550084</v>
      </c>
      <c r="N57" s="23">
        <f>N68*N72</f>
        <v>0</v>
      </c>
      <c r="O57" s="23">
        <f t="shared" si="71"/>
        <v>0</v>
      </c>
      <c r="P57" s="23">
        <f t="shared" si="71"/>
        <v>0</v>
      </c>
      <c r="Q57" s="23">
        <f t="shared" si="71"/>
        <v>3120696</v>
      </c>
      <c r="R57" s="23">
        <f t="shared" si="71"/>
        <v>4876160</v>
      </c>
      <c r="S57" s="23">
        <f t="shared" si="71"/>
        <v>4466000</v>
      </c>
      <c r="T57" s="23">
        <f t="shared" si="71"/>
        <v>5217144</v>
      </c>
      <c r="U57" s="23">
        <f t="shared" si="71"/>
        <v>5267856</v>
      </c>
      <c r="V57" s="23">
        <f t="shared" si="71"/>
        <v>5262032</v>
      </c>
      <c r="W57" s="23">
        <f t="shared" si="71"/>
        <v>5235186</v>
      </c>
      <c r="X57" s="23">
        <f>X68*X72</f>
        <v>5290268</v>
      </c>
      <c r="Y57" s="23">
        <f t="shared" si="71"/>
        <v>5268501</v>
      </c>
      <c r="Z57" s="23">
        <f t="shared" si="71"/>
        <v>5073291</v>
      </c>
      <c r="AA57" s="23">
        <f>AA68*AA72</f>
        <v>5130408</v>
      </c>
      <c r="AB57" s="23">
        <f t="shared" si="71"/>
        <v>5216445</v>
      </c>
      <c r="AC57" s="23">
        <f t="shared" si="71"/>
        <v>5146314</v>
      </c>
      <c r="AD57" s="23">
        <f t="shared" si="71"/>
        <v>5171619</v>
      </c>
      <c r="AE57" s="23">
        <f t="shared" si="71"/>
        <v>2555730</v>
      </c>
      <c r="AF57" s="23">
        <f t="shared" si="71"/>
        <v>0</v>
      </c>
      <c r="AG57" s="23">
        <f t="shared" si="71"/>
        <v>0</v>
      </c>
      <c r="AH57" s="23">
        <f t="shared" si="71"/>
        <v>0</v>
      </c>
      <c r="AI57" s="23">
        <f t="shared" ref="AI57" si="72">AI68*AI72</f>
        <v>2229550</v>
      </c>
      <c r="AJ57" s="11">
        <f t="shared" si="70"/>
        <v>116133183</v>
      </c>
      <c r="AK57" s="12">
        <f>AJ57+'Jun-24'!AK57</f>
        <v>582290729.89999998</v>
      </c>
    </row>
    <row r="58" spans="1:679" s="51" customFormat="1" x14ac:dyDescent="0.3">
      <c r="A58" s="58"/>
      <c r="B58" s="58" t="s">
        <v>54</v>
      </c>
      <c r="C58" s="59" t="s">
        <v>51</v>
      </c>
      <c r="D58" s="59"/>
      <c r="E58" s="67">
        <f>E56*E55</f>
        <v>0</v>
      </c>
      <c r="F58" s="67">
        <f t="shared" ref="F58:AH58" si="73">F56*F55</f>
        <v>0</v>
      </c>
      <c r="G58" s="67">
        <f t="shared" si="73"/>
        <v>0</v>
      </c>
      <c r="H58" s="67">
        <f>H56*H55</f>
        <v>0</v>
      </c>
      <c r="I58" s="67">
        <f t="shared" si="73"/>
        <v>0</v>
      </c>
      <c r="J58" s="67">
        <f t="shared" si="73"/>
        <v>0</v>
      </c>
      <c r="K58" s="67">
        <f t="shared" si="73"/>
        <v>0</v>
      </c>
      <c r="L58" s="67">
        <f t="shared" si="73"/>
        <v>0</v>
      </c>
      <c r="M58" s="68">
        <f t="shared" si="73"/>
        <v>0</v>
      </c>
      <c r="N58" s="68">
        <f t="shared" si="73"/>
        <v>0</v>
      </c>
      <c r="O58" s="68">
        <f t="shared" si="73"/>
        <v>0</v>
      </c>
      <c r="P58" s="68">
        <f t="shared" si="73"/>
        <v>0</v>
      </c>
      <c r="Q58" s="68">
        <f t="shared" si="73"/>
        <v>0</v>
      </c>
      <c r="R58" s="68">
        <f t="shared" si="73"/>
        <v>0</v>
      </c>
      <c r="S58" s="68">
        <f t="shared" si="73"/>
        <v>0</v>
      </c>
      <c r="T58" s="68">
        <f t="shared" si="73"/>
        <v>0</v>
      </c>
      <c r="U58" s="68">
        <f t="shared" si="73"/>
        <v>0</v>
      </c>
      <c r="V58" s="67">
        <f t="shared" si="73"/>
        <v>0</v>
      </c>
      <c r="W58" s="67">
        <f t="shared" si="73"/>
        <v>0</v>
      </c>
      <c r="X58" s="67">
        <f t="shared" si="73"/>
        <v>0</v>
      </c>
      <c r="Y58" s="67">
        <f t="shared" si="73"/>
        <v>0</v>
      </c>
      <c r="Z58" s="67">
        <f t="shared" si="73"/>
        <v>0</v>
      </c>
      <c r="AA58" s="67">
        <f t="shared" si="73"/>
        <v>0</v>
      </c>
      <c r="AB58" s="67">
        <f t="shared" si="73"/>
        <v>0</v>
      </c>
      <c r="AC58" s="67">
        <f t="shared" si="73"/>
        <v>0</v>
      </c>
      <c r="AD58" s="67">
        <f t="shared" si="73"/>
        <v>0</v>
      </c>
      <c r="AE58" s="67">
        <f t="shared" si="73"/>
        <v>0</v>
      </c>
      <c r="AF58" s="67">
        <f t="shared" si="73"/>
        <v>0</v>
      </c>
      <c r="AG58" s="67">
        <f t="shared" si="73"/>
        <v>0</v>
      </c>
      <c r="AH58" s="67">
        <f t="shared" si="73"/>
        <v>0</v>
      </c>
      <c r="AI58" s="67">
        <f t="shared" ref="AI58" si="74">AI56*AI55</f>
        <v>0</v>
      </c>
      <c r="AJ58" s="11">
        <f t="shared" si="70"/>
        <v>0</v>
      </c>
      <c r="AK58" s="12">
        <f>AJ58+'Jun-24'!AK58</f>
        <v>54216968.809</v>
      </c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</row>
    <row r="59" spans="1:679" s="19" customFormat="1" x14ac:dyDescent="0.3">
      <c r="A59" s="44"/>
      <c r="B59" s="44" t="s">
        <v>222</v>
      </c>
      <c r="C59" s="15" t="s">
        <v>51</v>
      </c>
      <c r="D59" s="15" t="s">
        <v>7</v>
      </c>
      <c r="E59" s="56">
        <f>E58/E57</f>
        <v>0</v>
      </c>
      <c r="F59" s="56">
        <f>F58/F57</f>
        <v>0</v>
      </c>
      <c r="G59" s="56">
        <f t="shared" ref="G59:AH59" si="75">G58/G57</f>
        <v>0</v>
      </c>
      <c r="H59" s="56">
        <f t="shared" si="75"/>
        <v>0</v>
      </c>
      <c r="I59" s="56">
        <f t="shared" si="75"/>
        <v>0</v>
      </c>
      <c r="J59" s="56">
        <f t="shared" si="75"/>
        <v>0</v>
      </c>
      <c r="K59" s="56">
        <f t="shared" si="75"/>
        <v>0</v>
      </c>
      <c r="L59" s="56">
        <f t="shared" si="75"/>
        <v>0</v>
      </c>
      <c r="M59" s="56">
        <f t="shared" si="75"/>
        <v>0</v>
      </c>
      <c r="N59" s="56" t="e">
        <f t="shared" si="75"/>
        <v>#DIV/0!</v>
      </c>
      <c r="O59" s="56" t="e">
        <f t="shared" si="75"/>
        <v>#DIV/0!</v>
      </c>
      <c r="P59" s="56" t="e">
        <f t="shared" si="75"/>
        <v>#DIV/0!</v>
      </c>
      <c r="Q59" s="56">
        <f t="shared" si="75"/>
        <v>0</v>
      </c>
      <c r="R59" s="56">
        <f t="shared" si="75"/>
        <v>0</v>
      </c>
      <c r="S59" s="56">
        <f t="shared" si="75"/>
        <v>0</v>
      </c>
      <c r="T59" s="56">
        <f t="shared" si="75"/>
        <v>0</v>
      </c>
      <c r="U59" s="56">
        <f t="shared" si="75"/>
        <v>0</v>
      </c>
      <c r="V59" s="56">
        <f t="shared" si="75"/>
        <v>0</v>
      </c>
      <c r="W59" s="56">
        <f t="shared" si="75"/>
        <v>0</v>
      </c>
      <c r="X59" s="56">
        <f t="shared" si="75"/>
        <v>0</v>
      </c>
      <c r="Y59" s="56">
        <f t="shared" si="75"/>
        <v>0</v>
      </c>
      <c r="Z59" s="56">
        <f t="shared" si="75"/>
        <v>0</v>
      </c>
      <c r="AA59" s="56">
        <f>AA58/AA57</f>
        <v>0</v>
      </c>
      <c r="AB59" s="56">
        <f t="shared" si="75"/>
        <v>0</v>
      </c>
      <c r="AC59" s="56">
        <f t="shared" si="75"/>
        <v>0</v>
      </c>
      <c r="AD59" s="56">
        <f t="shared" si="75"/>
        <v>0</v>
      </c>
      <c r="AE59" s="56">
        <f t="shared" si="75"/>
        <v>0</v>
      </c>
      <c r="AF59" s="56" t="e">
        <f t="shared" si="75"/>
        <v>#DIV/0!</v>
      </c>
      <c r="AG59" s="56" t="e">
        <f t="shared" si="75"/>
        <v>#DIV/0!</v>
      </c>
      <c r="AH59" s="56" t="e">
        <f t="shared" si="75"/>
        <v>#DIV/0!</v>
      </c>
      <c r="AI59" s="56">
        <f t="shared" ref="AI59" si="76">AI58/AI57</f>
        <v>0</v>
      </c>
      <c r="AJ59" s="16">
        <f>AJ58/AJ57</f>
        <v>0</v>
      </c>
      <c r="AK59" s="16">
        <f>AK58/AK57</f>
        <v>9.3109792110739914E-2</v>
      </c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</row>
    <row r="60" spans="1:679" x14ac:dyDescent="0.3">
      <c r="A60" s="24"/>
      <c r="B60" s="24" t="s">
        <v>213</v>
      </c>
      <c r="C60" s="10" t="s">
        <v>51</v>
      </c>
      <c r="D60" s="10"/>
      <c r="E60" s="55">
        <v>0</v>
      </c>
      <c r="F60" s="55">
        <v>0</v>
      </c>
      <c r="G60" s="55">
        <v>0</v>
      </c>
      <c r="H60" s="55">
        <v>0</v>
      </c>
      <c r="I60" s="55">
        <v>0</v>
      </c>
      <c r="J60" s="55">
        <v>0</v>
      </c>
      <c r="K60" s="55">
        <v>0</v>
      </c>
      <c r="L60" s="55">
        <v>0</v>
      </c>
      <c r="M60" s="42">
        <v>0</v>
      </c>
      <c r="N60" s="42">
        <v>0</v>
      </c>
      <c r="O60" s="42">
        <v>0</v>
      </c>
      <c r="P60" s="42">
        <v>0</v>
      </c>
      <c r="Q60" s="42">
        <v>0</v>
      </c>
      <c r="R60" s="42">
        <v>0</v>
      </c>
      <c r="S60" s="55">
        <v>0</v>
      </c>
      <c r="T60" s="55">
        <v>0</v>
      </c>
      <c r="U60" s="55">
        <v>0</v>
      </c>
      <c r="V60" s="55">
        <v>0</v>
      </c>
      <c r="W60" s="55">
        <v>0</v>
      </c>
      <c r="X60" s="55">
        <v>0</v>
      </c>
      <c r="Y60" s="55">
        <v>0</v>
      </c>
      <c r="Z60" s="55">
        <v>0</v>
      </c>
      <c r="AA60" s="55">
        <v>0</v>
      </c>
      <c r="AB60" s="55">
        <v>0</v>
      </c>
      <c r="AC60" s="55">
        <v>0</v>
      </c>
      <c r="AD60" s="55">
        <v>0</v>
      </c>
      <c r="AE60" s="55">
        <v>0</v>
      </c>
      <c r="AF60" s="55">
        <v>0</v>
      </c>
      <c r="AG60" s="55">
        <v>0</v>
      </c>
      <c r="AH60" s="55">
        <v>0</v>
      </c>
      <c r="AI60" s="55">
        <v>0</v>
      </c>
      <c r="AJ60" s="11">
        <f t="shared" ref="AJ60:AJ62" si="77">SUM(E60:AI60)</f>
        <v>0</v>
      </c>
      <c r="AK60" s="12">
        <f>AJ60+'Jun-24'!AK60</f>
        <v>24420</v>
      </c>
    </row>
    <row r="61" spans="1:679" x14ac:dyDescent="0.3">
      <c r="A61" s="24"/>
      <c r="B61" s="24" t="s">
        <v>224</v>
      </c>
      <c r="C61" s="10" t="s">
        <v>51</v>
      </c>
      <c r="D61" s="10"/>
      <c r="E61" s="55">
        <v>0</v>
      </c>
      <c r="F61" s="55">
        <v>0</v>
      </c>
      <c r="G61" s="55">
        <v>0</v>
      </c>
      <c r="H61" s="55">
        <v>0</v>
      </c>
      <c r="I61" s="55">
        <v>0</v>
      </c>
      <c r="J61" s="55">
        <v>0</v>
      </c>
      <c r="K61" s="55">
        <v>0</v>
      </c>
      <c r="L61" s="55">
        <v>0</v>
      </c>
      <c r="M61" s="42">
        <v>0</v>
      </c>
      <c r="N61" s="42">
        <v>0</v>
      </c>
      <c r="O61" s="42">
        <v>0</v>
      </c>
      <c r="P61" s="42">
        <v>0</v>
      </c>
      <c r="Q61" s="42">
        <v>0</v>
      </c>
      <c r="R61" s="42">
        <v>0</v>
      </c>
      <c r="S61" s="55">
        <v>0</v>
      </c>
      <c r="T61" s="55">
        <v>0</v>
      </c>
      <c r="U61" s="55">
        <v>0</v>
      </c>
      <c r="V61" s="55">
        <v>0</v>
      </c>
      <c r="W61" s="55">
        <v>0</v>
      </c>
      <c r="X61" s="55">
        <v>0</v>
      </c>
      <c r="Y61" s="55">
        <v>0</v>
      </c>
      <c r="Z61" s="55">
        <v>0</v>
      </c>
      <c r="AA61" s="55">
        <v>0</v>
      </c>
      <c r="AB61" s="55">
        <v>0</v>
      </c>
      <c r="AC61" s="55">
        <v>0</v>
      </c>
      <c r="AD61" s="55">
        <v>0</v>
      </c>
      <c r="AE61" s="55">
        <v>0</v>
      </c>
      <c r="AF61" s="55">
        <v>0</v>
      </c>
      <c r="AG61" s="55">
        <v>0</v>
      </c>
      <c r="AH61" s="55">
        <v>0</v>
      </c>
      <c r="AI61" s="55">
        <v>0</v>
      </c>
      <c r="AJ61" s="11">
        <f t="shared" si="77"/>
        <v>0</v>
      </c>
      <c r="AK61" s="12">
        <f>AJ61+'Jun-24'!AK61</f>
        <v>342945.05200000003</v>
      </c>
    </row>
    <row r="62" spans="1:679" x14ac:dyDescent="0.3">
      <c r="A62" s="24"/>
      <c r="B62" s="24" t="s">
        <v>214</v>
      </c>
      <c r="C62" s="10" t="s">
        <v>51</v>
      </c>
      <c r="D62" s="10"/>
      <c r="E62" s="55">
        <f t="shared" ref="E62:AH62" si="78">E61*E60</f>
        <v>0</v>
      </c>
      <c r="F62" s="55">
        <f t="shared" si="78"/>
        <v>0</v>
      </c>
      <c r="G62" s="55">
        <f t="shared" si="78"/>
        <v>0</v>
      </c>
      <c r="H62" s="55">
        <f t="shared" si="78"/>
        <v>0</v>
      </c>
      <c r="I62" s="55">
        <f t="shared" si="78"/>
        <v>0</v>
      </c>
      <c r="J62" s="55">
        <f t="shared" si="78"/>
        <v>0</v>
      </c>
      <c r="K62" s="55">
        <f>K61*K60</f>
        <v>0</v>
      </c>
      <c r="L62" s="55">
        <f t="shared" si="78"/>
        <v>0</v>
      </c>
      <c r="M62" s="55">
        <f t="shared" si="78"/>
        <v>0</v>
      </c>
      <c r="N62" s="55">
        <f t="shared" si="78"/>
        <v>0</v>
      </c>
      <c r="O62" s="55">
        <f t="shared" si="78"/>
        <v>0</v>
      </c>
      <c r="P62" s="55">
        <f t="shared" si="78"/>
        <v>0</v>
      </c>
      <c r="Q62" s="55">
        <f t="shared" si="78"/>
        <v>0</v>
      </c>
      <c r="R62" s="55">
        <f t="shared" si="78"/>
        <v>0</v>
      </c>
      <c r="S62" s="55">
        <f t="shared" si="78"/>
        <v>0</v>
      </c>
      <c r="T62" s="55">
        <f t="shared" si="78"/>
        <v>0</v>
      </c>
      <c r="U62" s="55">
        <f t="shared" si="78"/>
        <v>0</v>
      </c>
      <c r="V62" s="55">
        <f t="shared" si="78"/>
        <v>0</v>
      </c>
      <c r="W62" s="55">
        <f t="shared" si="78"/>
        <v>0</v>
      </c>
      <c r="X62" s="55">
        <f t="shared" si="78"/>
        <v>0</v>
      </c>
      <c r="Y62" s="55">
        <f t="shared" si="78"/>
        <v>0</v>
      </c>
      <c r="Z62" s="55">
        <f t="shared" si="78"/>
        <v>0</v>
      </c>
      <c r="AA62" s="55">
        <f t="shared" si="78"/>
        <v>0</v>
      </c>
      <c r="AB62" s="55">
        <f t="shared" si="78"/>
        <v>0</v>
      </c>
      <c r="AC62" s="55">
        <f t="shared" si="78"/>
        <v>0</v>
      </c>
      <c r="AD62" s="55">
        <f t="shared" si="78"/>
        <v>0</v>
      </c>
      <c r="AE62" s="55">
        <f t="shared" si="78"/>
        <v>0</v>
      </c>
      <c r="AF62" s="55">
        <f t="shared" si="78"/>
        <v>0</v>
      </c>
      <c r="AG62" s="55">
        <f t="shared" si="78"/>
        <v>0</v>
      </c>
      <c r="AH62" s="55">
        <f t="shared" si="78"/>
        <v>0</v>
      </c>
      <c r="AI62" s="55">
        <f t="shared" ref="AI62" si="79">AI61*AI60</f>
        <v>0</v>
      </c>
      <c r="AJ62" s="11">
        <f t="shared" si="77"/>
        <v>0</v>
      </c>
      <c r="AK62" s="12">
        <f>AJ62+'Jun-24'!AK62</f>
        <v>116345206.54800001</v>
      </c>
    </row>
    <row r="63" spans="1:679" x14ac:dyDescent="0.3">
      <c r="A63" s="44">
        <v>12</v>
      </c>
      <c r="B63" s="44" t="s">
        <v>223</v>
      </c>
      <c r="C63" s="15" t="s">
        <v>51</v>
      </c>
      <c r="D63" s="15" t="s">
        <v>55</v>
      </c>
      <c r="E63" s="21">
        <f>E62/E57</f>
        <v>0</v>
      </c>
      <c r="F63" s="21">
        <f t="shared" ref="F63:AH63" si="80">F62/F57</f>
        <v>0</v>
      </c>
      <c r="G63" s="21">
        <f t="shared" si="80"/>
        <v>0</v>
      </c>
      <c r="H63" s="21">
        <f t="shared" si="80"/>
        <v>0</v>
      </c>
      <c r="I63" s="21">
        <f t="shared" si="80"/>
        <v>0</v>
      </c>
      <c r="J63" s="21">
        <f t="shared" si="80"/>
        <v>0</v>
      </c>
      <c r="K63" s="21">
        <f t="shared" si="80"/>
        <v>0</v>
      </c>
      <c r="L63" s="21">
        <f t="shared" si="80"/>
        <v>0</v>
      </c>
      <c r="M63" s="21">
        <f t="shared" si="80"/>
        <v>0</v>
      </c>
      <c r="N63" s="21" t="e">
        <f t="shared" si="80"/>
        <v>#DIV/0!</v>
      </c>
      <c r="O63" s="21" t="e">
        <f t="shared" si="80"/>
        <v>#DIV/0!</v>
      </c>
      <c r="P63" s="21" t="e">
        <f t="shared" si="80"/>
        <v>#DIV/0!</v>
      </c>
      <c r="Q63" s="21">
        <f t="shared" si="80"/>
        <v>0</v>
      </c>
      <c r="R63" s="21">
        <f t="shared" si="80"/>
        <v>0</v>
      </c>
      <c r="S63" s="21">
        <f t="shared" si="80"/>
        <v>0</v>
      </c>
      <c r="T63" s="21">
        <f t="shared" si="80"/>
        <v>0</v>
      </c>
      <c r="U63" s="21">
        <f t="shared" si="80"/>
        <v>0</v>
      </c>
      <c r="V63" s="21">
        <f t="shared" si="80"/>
        <v>0</v>
      </c>
      <c r="W63" s="21">
        <f t="shared" si="80"/>
        <v>0</v>
      </c>
      <c r="X63" s="21">
        <f t="shared" si="80"/>
        <v>0</v>
      </c>
      <c r="Y63" s="21">
        <f t="shared" si="80"/>
        <v>0</v>
      </c>
      <c r="Z63" s="21">
        <f t="shared" si="80"/>
        <v>0</v>
      </c>
      <c r="AA63" s="21">
        <f t="shared" si="80"/>
        <v>0</v>
      </c>
      <c r="AB63" s="21">
        <f t="shared" si="80"/>
        <v>0</v>
      </c>
      <c r="AC63" s="21">
        <f t="shared" si="80"/>
        <v>0</v>
      </c>
      <c r="AD63" s="21">
        <f t="shared" si="80"/>
        <v>0</v>
      </c>
      <c r="AE63" s="21">
        <f t="shared" si="80"/>
        <v>0</v>
      </c>
      <c r="AF63" s="21" t="e">
        <f t="shared" si="80"/>
        <v>#DIV/0!</v>
      </c>
      <c r="AG63" s="21" t="e">
        <f t="shared" si="80"/>
        <v>#DIV/0!</v>
      </c>
      <c r="AH63" s="21" t="e">
        <f t="shared" si="80"/>
        <v>#DIV/0!</v>
      </c>
      <c r="AI63" s="21">
        <f t="shared" ref="AI63" si="81">AI62/AI57</f>
        <v>0</v>
      </c>
      <c r="AJ63" s="16">
        <f>AJ62/AJ57</f>
        <v>0</v>
      </c>
      <c r="AK63" s="16">
        <f>AK62/AK57</f>
        <v>0.19980604288167289</v>
      </c>
    </row>
    <row r="64" spans="1:679" x14ac:dyDescent="0.3">
      <c r="B64" s="24" t="s">
        <v>59</v>
      </c>
      <c r="C64" s="10" t="s">
        <v>51</v>
      </c>
      <c r="D64" s="10" t="s">
        <v>55</v>
      </c>
      <c r="E64" s="22">
        <v>1227</v>
      </c>
      <c r="F64" s="22">
        <v>1098</v>
      </c>
      <c r="G64" s="23">
        <v>1167</v>
      </c>
      <c r="H64" s="22">
        <v>1101</v>
      </c>
      <c r="I64" s="22">
        <v>974</v>
      </c>
      <c r="J64" s="22">
        <v>1195</v>
      </c>
      <c r="K64" s="22">
        <v>1254</v>
      </c>
      <c r="L64" s="22">
        <v>1150</v>
      </c>
      <c r="M64" s="10">
        <v>367</v>
      </c>
      <c r="N64" s="42">
        <v>0</v>
      </c>
      <c r="O64" s="42">
        <v>0</v>
      </c>
      <c r="P64" s="42">
        <v>0</v>
      </c>
      <c r="Q64" s="69">
        <v>712</v>
      </c>
      <c r="R64" s="69">
        <v>1082</v>
      </c>
      <c r="S64" s="69">
        <v>1048</v>
      </c>
      <c r="T64" s="69">
        <v>1285</v>
      </c>
      <c r="U64" s="69">
        <v>1282</v>
      </c>
      <c r="V64" s="69">
        <v>1296</v>
      </c>
      <c r="W64" s="10">
        <v>1152</v>
      </c>
      <c r="X64" s="10">
        <v>1165</v>
      </c>
      <c r="Y64" s="10">
        <v>1140</v>
      </c>
      <c r="Z64" s="10">
        <v>1194</v>
      </c>
      <c r="AA64" s="10">
        <v>1102</v>
      </c>
      <c r="AB64" s="22">
        <v>1155</v>
      </c>
      <c r="AC64" s="22">
        <v>1137</v>
      </c>
      <c r="AD64" s="53">
        <v>1120</v>
      </c>
      <c r="AE64" s="53">
        <v>637</v>
      </c>
      <c r="AF64" s="53">
        <v>0</v>
      </c>
      <c r="AG64" s="53">
        <v>0</v>
      </c>
      <c r="AH64" s="53">
        <v>0</v>
      </c>
      <c r="AI64" s="53">
        <v>482</v>
      </c>
      <c r="AJ64" s="11">
        <f t="shared" ref="AJ64:AJ66" si="82">SUM(E64:AI64)</f>
        <v>26522</v>
      </c>
      <c r="AK64" s="12">
        <f>AJ64+'Jun-24'!AK64</f>
        <v>86263.798999999999</v>
      </c>
    </row>
    <row r="65" spans="1:253" x14ac:dyDescent="0.3">
      <c r="B65" s="24" t="s">
        <v>60</v>
      </c>
      <c r="C65" s="10" t="s">
        <v>51</v>
      </c>
      <c r="D65" s="10" t="s">
        <v>55</v>
      </c>
      <c r="E65" s="23">
        <v>4130</v>
      </c>
      <c r="F65" s="23">
        <v>4616</v>
      </c>
      <c r="G65" s="23">
        <v>4320</v>
      </c>
      <c r="H65" s="23">
        <v>4529</v>
      </c>
      <c r="I65" s="23">
        <v>4859</v>
      </c>
      <c r="J65" s="23">
        <v>4248</v>
      </c>
      <c r="K65" s="23">
        <v>4030</v>
      </c>
      <c r="L65" s="23">
        <v>4222</v>
      </c>
      <c r="M65" s="23">
        <v>4225</v>
      </c>
      <c r="N65" s="42">
        <v>0</v>
      </c>
      <c r="O65" s="42">
        <v>0</v>
      </c>
      <c r="P65" s="42">
        <v>0</v>
      </c>
      <c r="Q65" s="23">
        <v>4385</v>
      </c>
      <c r="R65" s="23">
        <v>4380</v>
      </c>
      <c r="S65" s="23">
        <v>4266</v>
      </c>
      <c r="T65" s="23">
        <v>4062</v>
      </c>
      <c r="U65" s="23">
        <v>4055</v>
      </c>
      <c r="V65" s="23">
        <v>4062</v>
      </c>
      <c r="W65" s="23">
        <v>4546</v>
      </c>
      <c r="X65" s="23">
        <v>4540</v>
      </c>
      <c r="Y65" s="23">
        <v>4575</v>
      </c>
      <c r="Z65" s="23">
        <v>4248</v>
      </c>
      <c r="AA65" s="23">
        <v>4554</v>
      </c>
      <c r="AB65" s="53">
        <v>4517</v>
      </c>
      <c r="AC65" s="53">
        <v>4525</v>
      </c>
      <c r="AD65" s="53">
        <v>4530</v>
      </c>
      <c r="AE65" s="53">
        <v>4012</v>
      </c>
      <c r="AF65" s="53">
        <v>0</v>
      </c>
      <c r="AG65" s="53">
        <v>0</v>
      </c>
      <c r="AH65" s="53">
        <v>0</v>
      </c>
      <c r="AI65" s="53">
        <v>4622</v>
      </c>
      <c r="AJ65" s="11">
        <f t="shared" si="82"/>
        <v>109058</v>
      </c>
      <c r="AK65" s="12">
        <f>AJ65+'Jun-24'!AK65</f>
        <v>560183.05200000003</v>
      </c>
    </row>
    <row r="66" spans="1:253" x14ac:dyDescent="0.3">
      <c r="B66" s="24" t="s">
        <v>61</v>
      </c>
      <c r="C66" s="10" t="s">
        <v>51</v>
      </c>
      <c r="D66" s="10" t="s">
        <v>55</v>
      </c>
      <c r="E66" s="70">
        <f>E65*E64</f>
        <v>5067510</v>
      </c>
      <c r="F66" s="70">
        <f>F65*F64</f>
        <v>5068368</v>
      </c>
      <c r="G66" s="70">
        <f t="shared" ref="G66:AH66" si="83">G65*G64</f>
        <v>5041440</v>
      </c>
      <c r="H66" s="70">
        <f t="shared" si="83"/>
        <v>4986429</v>
      </c>
      <c r="I66" s="70">
        <f t="shared" si="83"/>
        <v>4732666</v>
      </c>
      <c r="J66" s="70">
        <f t="shared" si="83"/>
        <v>5076360</v>
      </c>
      <c r="K66" s="70">
        <f t="shared" si="83"/>
        <v>5053620</v>
      </c>
      <c r="L66" s="70">
        <f t="shared" si="83"/>
        <v>4855300</v>
      </c>
      <c r="M66" s="71">
        <f t="shared" si="83"/>
        <v>1550575</v>
      </c>
      <c r="N66" s="70">
        <f t="shared" si="83"/>
        <v>0</v>
      </c>
      <c r="O66" s="70">
        <f t="shared" si="83"/>
        <v>0</v>
      </c>
      <c r="P66" s="70">
        <f t="shared" si="83"/>
        <v>0</v>
      </c>
      <c r="Q66" s="70">
        <f t="shared" si="83"/>
        <v>3122120</v>
      </c>
      <c r="R66" s="70">
        <f>R65*R64</f>
        <v>4739160</v>
      </c>
      <c r="S66" s="70">
        <f>S65*S64</f>
        <v>4470768</v>
      </c>
      <c r="T66" s="70">
        <f>T65*T64</f>
        <v>5219670</v>
      </c>
      <c r="U66" s="70">
        <f>U65*U64</f>
        <v>5198510</v>
      </c>
      <c r="V66" s="70">
        <f t="shared" si="83"/>
        <v>5264352</v>
      </c>
      <c r="W66" s="70">
        <f t="shared" si="83"/>
        <v>5236992</v>
      </c>
      <c r="X66" s="70">
        <f t="shared" si="83"/>
        <v>5289100</v>
      </c>
      <c r="Y66" s="70">
        <f t="shared" si="83"/>
        <v>5215500</v>
      </c>
      <c r="Z66" s="70">
        <f t="shared" si="83"/>
        <v>5072112</v>
      </c>
      <c r="AA66" s="70">
        <f t="shared" si="83"/>
        <v>5018508</v>
      </c>
      <c r="AB66" s="70">
        <f t="shared" si="83"/>
        <v>5217135</v>
      </c>
      <c r="AC66" s="70">
        <f t="shared" si="83"/>
        <v>5144925</v>
      </c>
      <c r="AD66" s="70">
        <f t="shared" si="83"/>
        <v>5073600</v>
      </c>
      <c r="AE66" s="70">
        <f t="shared" si="83"/>
        <v>2555644</v>
      </c>
      <c r="AF66" s="70">
        <f t="shared" si="83"/>
        <v>0</v>
      </c>
      <c r="AG66" s="70">
        <f t="shared" si="83"/>
        <v>0</v>
      </c>
      <c r="AH66" s="70">
        <f t="shared" si="83"/>
        <v>0</v>
      </c>
      <c r="AI66" s="70">
        <f t="shared" ref="AI66" si="84">AI65*AI64</f>
        <v>2227804</v>
      </c>
      <c r="AJ66" s="11">
        <f t="shared" si="82"/>
        <v>115498168</v>
      </c>
      <c r="AK66" s="12">
        <f>AJ66+'Jun-24'!AK66</f>
        <v>409119404.89899999</v>
      </c>
    </row>
    <row r="67" spans="1:253" x14ac:dyDescent="0.3">
      <c r="A67" s="19">
        <v>14</v>
      </c>
      <c r="B67" s="44" t="s">
        <v>63</v>
      </c>
      <c r="C67" s="15" t="s">
        <v>51</v>
      </c>
      <c r="D67" s="15" t="s">
        <v>55</v>
      </c>
      <c r="E67" s="21">
        <f t="shared" ref="E67:AH67" si="85">E66/(E57)</f>
        <v>0.99653107577947553</v>
      </c>
      <c r="F67" s="21">
        <f t="shared" si="85"/>
        <v>1.0004553833836585</v>
      </c>
      <c r="G67" s="21">
        <f t="shared" si="85"/>
        <v>0.99632492733253286</v>
      </c>
      <c r="H67" s="21">
        <f t="shared" si="85"/>
        <v>0.98498413612708169</v>
      </c>
      <c r="I67" s="21">
        <f t="shared" si="85"/>
        <v>0.99982127435189772</v>
      </c>
      <c r="J67" s="21">
        <f t="shared" si="85"/>
        <v>1.0001251052805264</v>
      </c>
      <c r="K67" s="21">
        <f t="shared" si="85"/>
        <v>0.9916005860576439</v>
      </c>
      <c r="L67" s="21">
        <f t="shared" si="85"/>
        <v>0.9956440444889022</v>
      </c>
      <c r="M67" s="21">
        <f t="shared" si="85"/>
        <v>1.000316757027361</v>
      </c>
      <c r="N67" s="21" t="e">
        <f t="shared" si="85"/>
        <v>#DIV/0!</v>
      </c>
      <c r="O67" s="21" t="e">
        <f>O66/(O57)</f>
        <v>#DIV/0!</v>
      </c>
      <c r="P67" s="21" t="e">
        <f t="shared" si="85"/>
        <v>#DIV/0!</v>
      </c>
      <c r="Q67" s="21">
        <f t="shared" si="85"/>
        <v>1.0004563084645219</v>
      </c>
      <c r="R67" s="21">
        <f t="shared" si="85"/>
        <v>0.97190412127575798</v>
      </c>
      <c r="S67" s="21">
        <f t="shared" si="85"/>
        <v>1.0010676220331394</v>
      </c>
      <c r="T67" s="21">
        <f t="shared" si="85"/>
        <v>1.0004841729497977</v>
      </c>
      <c r="U67" s="21">
        <f t="shared" si="85"/>
        <v>0.98683601070340576</v>
      </c>
      <c r="V67" s="21">
        <f t="shared" si="85"/>
        <v>1.0004408943161121</v>
      </c>
      <c r="W67" s="21">
        <f t="shared" si="85"/>
        <v>1.0003449734164174</v>
      </c>
      <c r="X67" s="21">
        <f t="shared" si="85"/>
        <v>0.99977921723436314</v>
      </c>
      <c r="Y67" s="21">
        <f t="shared" si="85"/>
        <v>0.98994002278826554</v>
      </c>
      <c r="Z67" s="21">
        <f t="shared" si="85"/>
        <v>0.9997676064708293</v>
      </c>
      <c r="AA67" s="21">
        <f>AA66/(AA57)</f>
        <v>0.978188869189351</v>
      </c>
      <c r="AB67" s="21">
        <f t="shared" si="85"/>
        <v>1.0001322739911951</v>
      </c>
      <c r="AC67" s="21">
        <f t="shared" si="85"/>
        <v>0.99973009808573665</v>
      </c>
      <c r="AD67" s="21">
        <f t="shared" si="85"/>
        <v>0.98104674764324284</v>
      </c>
      <c r="AE67" s="21">
        <f t="shared" si="85"/>
        <v>0.99996635012305679</v>
      </c>
      <c r="AF67" s="21" t="e">
        <f t="shared" si="85"/>
        <v>#DIV/0!</v>
      </c>
      <c r="AG67" s="21" t="e">
        <f t="shared" si="85"/>
        <v>#DIV/0!</v>
      </c>
      <c r="AH67" s="21" t="e">
        <f t="shared" si="85"/>
        <v>#DIV/0!</v>
      </c>
      <c r="AI67" s="21">
        <f t="shared" ref="AI67" si="86">AI66/(AI57)</f>
        <v>0.99921688233051509</v>
      </c>
      <c r="AJ67" s="16">
        <f>AJ66/(AJ57)</f>
        <v>0.99453201071738473</v>
      </c>
      <c r="AK67" s="16">
        <f>AK66/(AK57)</f>
        <v>0.70260332835671335</v>
      </c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62"/>
      <c r="BN67" s="62"/>
      <c r="BO67" s="62"/>
      <c r="BP67" s="62"/>
      <c r="BQ67" s="62"/>
      <c r="BR67" s="62"/>
      <c r="BS67" s="62"/>
      <c r="BT67" s="62"/>
      <c r="BU67" s="62"/>
      <c r="BV67" s="62"/>
      <c r="BW67" s="62"/>
      <c r="BX67" s="62"/>
      <c r="BY67" s="62"/>
      <c r="BZ67" s="62"/>
      <c r="CA67" s="62"/>
      <c r="CB67" s="62"/>
      <c r="CC67" s="62"/>
      <c r="CD67" s="62"/>
      <c r="CE67" s="62"/>
      <c r="CF67" s="62"/>
      <c r="CG67" s="62"/>
      <c r="CH67" s="62"/>
      <c r="CI67" s="62"/>
      <c r="CJ67" s="62"/>
      <c r="CK67" s="62"/>
      <c r="CL67" s="62"/>
      <c r="CM67" s="62"/>
      <c r="CN67" s="62"/>
      <c r="CO67" s="62"/>
      <c r="CP67" s="62"/>
      <c r="CQ67" s="62"/>
      <c r="CR67" s="62"/>
      <c r="CS67" s="62"/>
      <c r="CT67" s="62"/>
      <c r="CU67" s="62"/>
      <c r="CV67" s="62"/>
      <c r="CW67" s="62"/>
      <c r="CX67" s="62"/>
      <c r="CY67" s="62"/>
      <c r="CZ67" s="62"/>
      <c r="DA67" s="62"/>
      <c r="DB67" s="62"/>
      <c r="DC67" s="62"/>
      <c r="DD67" s="62"/>
      <c r="DE67" s="62"/>
      <c r="DF67" s="62"/>
      <c r="DG67" s="62"/>
      <c r="DH67" s="62"/>
      <c r="DI67" s="62"/>
      <c r="DJ67" s="62"/>
      <c r="DK67" s="62"/>
      <c r="DL67" s="62"/>
      <c r="DM67" s="62"/>
      <c r="DN67" s="62"/>
      <c r="DO67" s="62"/>
      <c r="DP67" s="62"/>
      <c r="DQ67" s="62"/>
      <c r="DR67" s="62"/>
      <c r="DS67" s="62"/>
      <c r="DT67" s="62"/>
      <c r="DU67" s="62"/>
      <c r="DV67" s="62"/>
      <c r="DW67" s="62"/>
      <c r="DX67" s="62"/>
      <c r="DY67" s="62"/>
      <c r="DZ67" s="62"/>
      <c r="EA67" s="62"/>
      <c r="EB67" s="62"/>
      <c r="EC67" s="62"/>
      <c r="ED67" s="62"/>
      <c r="EE67" s="62"/>
      <c r="EF67" s="62"/>
      <c r="EG67" s="62"/>
      <c r="EH67" s="62"/>
      <c r="EI67" s="62"/>
      <c r="EJ67" s="62"/>
      <c r="EK67" s="62"/>
      <c r="EL67" s="62"/>
      <c r="EM67" s="62"/>
      <c r="EN67" s="62"/>
      <c r="EO67" s="62"/>
      <c r="EP67" s="62"/>
      <c r="EQ67" s="62"/>
      <c r="ER67" s="62"/>
      <c r="ES67" s="62"/>
      <c r="ET67" s="62"/>
      <c r="EU67" s="62"/>
      <c r="EV67" s="62"/>
      <c r="EW67" s="62"/>
      <c r="EX67" s="62"/>
      <c r="EY67" s="62"/>
      <c r="EZ67" s="62"/>
      <c r="FA67" s="62"/>
      <c r="FB67" s="62"/>
      <c r="FC67" s="62"/>
      <c r="FD67" s="62"/>
      <c r="FE67" s="62"/>
      <c r="FF67" s="62"/>
      <c r="FG67" s="62"/>
      <c r="FH67" s="62"/>
      <c r="FI67" s="62"/>
      <c r="FJ67" s="62"/>
      <c r="FK67" s="62"/>
      <c r="FL67" s="62"/>
      <c r="FM67" s="62"/>
      <c r="FN67" s="62"/>
      <c r="FO67" s="62"/>
      <c r="FP67" s="62"/>
      <c r="FQ67" s="62"/>
      <c r="FR67" s="62"/>
      <c r="FS67" s="62"/>
      <c r="FT67" s="62"/>
      <c r="FU67" s="62"/>
      <c r="FV67" s="62"/>
      <c r="FW67" s="62"/>
      <c r="FX67" s="62"/>
      <c r="FY67" s="62"/>
      <c r="FZ67" s="62"/>
      <c r="GA67" s="62"/>
      <c r="GB67" s="62"/>
      <c r="GC67" s="62"/>
      <c r="GD67" s="62"/>
      <c r="GE67" s="62"/>
      <c r="GF67" s="62"/>
      <c r="GG67" s="62"/>
      <c r="GH67" s="62"/>
      <c r="GI67" s="62"/>
      <c r="GJ67" s="62"/>
      <c r="GK67" s="62"/>
      <c r="GL67" s="62"/>
      <c r="GM67" s="62"/>
      <c r="GN67" s="62"/>
      <c r="GO67" s="62"/>
      <c r="GP67" s="62"/>
      <c r="GQ67" s="62"/>
      <c r="GR67" s="62"/>
      <c r="GS67" s="62"/>
      <c r="GT67" s="62"/>
      <c r="GU67" s="62"/>
      <c r="GV67" s="62"/>
      <c r="GW67" s="62"/>
      <c r="GX67" s="62"/>
      <c r="GY67" s="62"/>
      <c r="GZ67" s="62"/>
      <c r="HA67" s="62"/>
      <c r="HB67" s="62"/>
      <c r="HC67" s="62"/>
      <c r="HD67" s="62"/>
      <c r="HE67" s="62"/>
      <c r="HF67" s="62"/>
      <c r="HG67" s="62"/>
      <c r="HH67" s="62"/>
      <c r="HI67" s="62"/>
      <c r="HJ67" s="62"/>
      <c r="HK67" s="62"/>
      <c r="HL67" s="62"/>
      <c r="HM67" s="62"/>
      <c r="HN67" s="62"/>
      <c r="HO67" s="62"/>
      <c r="HP67" s="62"/>
      <c r="HQ67" s="62"/>
      <c r="HR67" s="62"/>
      <c r="HS67" s="62"/>
      <c r="HT67" s="62"/>
      <c r="HU67" s="62"/>
      <c r="HV67" s="62"/>
      <c r="HW67" s="62"/>
      <c r="HX67" s="62"/>
      <c r="HY67" s="62"/>
      <c r="HZ67" s="62"/>
      <c r="IA67" s="62"/>
      <c r="IB67" s="62"/>
      <c r="IC67" s="62"/>
      <c r="ID67" s="62"/>
      <c r="IE67" s="62"/>
      <c r="IF67" s="62"/>
      <c r="IG67" s="62"/>
      <c r="IH67" s="62"/>
      <c r="II67" s="62"/>
      <c r="IJ67" s="62"/>
      <c r="IK67" s="62"/>
      <c r="IL67" s="62"/>
      <c r="IM67" s="62"/>
      <c r="IN67" s="62"/>
      <c r="IO67" s="62"/>
      <c r="IP67" s="62"/>
      <c r="IQ67" s="62"/>
      <c r="IR67" s="62"/>
      <c r="IS67" s="62"/>
    </row>
    <row r="68" spans="1:253" x14ac:dyDescent="0.3">
      <c r="B68" s="58" t="s">
        <v>71</v>
      </c>
      <c r="C68" s="59"/>
      <c r="D68" s="59"/>
      <c r="E68" s="289">
        <v>725</v>
      </c>
      <c r="F68" s="289">
        <v>723</v>
      </c>
      <c r="G68" s="290">
        <v>724</v>
      </c>
      <c r="H68" s="290">
        <v>723</v>
      </c>
      <c r="I68" s="289">
        <v>724</v>
      </c>
      <c r="J68" s="291">
        <v>725</v>
      </c>
      <c r="K68" s="292">
        <v>723</v>
      </c>
      <c r="L68" s="292">
        <v>726</v>
      </c>
      <c r="M68" s="64">
        <v>724</v>
      </c>
      <c r="N68" s="74">
        <v>0</v>
      </c>
      <c r="O68" s="74">
        <v>0</v>
      </c>
      <c r="P68" s="74">
        <v>0</v>
      </c>
      <c r="Q68" s="73">
        <v>801</v>
      </c>
      <c r="R68" s="74">
        <v>760</v>
      </c>
      <c r="S68" s="74">
        <v>725</v>
      </c>
      <c r="T68" s="74">
        <v>724</v>
      </c>
      <c r="U68" s="74">
        <v>726</v>
      </c>
      <c r="V68" s="73">
        <v>724</v>
      </c>
      <c r="W68" s="73">
        <v>726</v>
      </c>
      <c r="X68" s="73">
        <v>724</v>
      </c>
      <c r="Y68" s="73">
        <v>723</v>
      </c>
      <c r="Z68" s="73">
        <v>723</v>
      </c>
      <c r="AA68" s="73">
        <v>723</v>
      </c>
      <c r="AB68" s="73">
        <v>723</v>
      </c>
      <c r="AC68" s="73">
        <v>723</v>
      </c>
      <c r="AD68" s="73">
        <v>723</v>
      </c>
      <c r="AE68" s="73">
        <v>730</v>
      </c>
      <c r="AF68" s="73">
        <v>0</v>
      </c>
      <c r="AG68" s="73">
        <v>0</v>
      </c>
      <c r="AH68" s="73">
        <v>0</v>
      </c>
      <c r="AI68" s="73">
        <v>850</v>
      </c>
      <c r="AJ68" s="63">
        <f>AJ57/AJ15</f>
        <v>729.53478277257079</v>
      </c>
      <c r="AK68" s="63">
        <f>AK57/AK15</f>
        <v>725.14050976084798</v>
      </c>
      <c r="AL68" s="75">
        <f>(AJ57+AJ44)/(AJ72+AJ73)</f>
        <v>732.3510540989945</v>
      </c>
    </row>
    <row r="69" spans="1:253" x14ac:dyDescent="0.3">
      <c r="B69" s="58" t="s">
        <v>72</v>
      </c>
      <c r="C69" s="59"/>
      <c r="D69" s="59"/>
      <c r="E69" s="73">
        <v>734</v>
      </c>
      <c r="F69" s="73">
        <v>730</v>
      </c>
      <c r="G69" s="73">
        <v>745</v>
      </c>
      <c r="H69" s="73">
        <v>735</v>
      </c>
      <c r="I69" s="73">
        <v>737</v>
      </c>
      <c r="J69" s="73">
        <v>738</v>
      </c>
      <c r="K69" s="73">
        <v>735</v>
      </c>
      <c r="L69" s="73">
        <v>734</v>
      </c>
      <c r="M69" s="73">
        <v>735</v>
      </c>
      <c r="N69" s="73">
        <v>735</v>
      </c>
      <c r="O69" s="73">
        <v>725</v>
      </c>
      <c r="P69" s="73">
        <v>726</v>
      </c>
      <c r="Q69" s="73">
        <v>725</v>
      </c>
      <c r="R69" s="74">
        <v>724</v>
      </c>
      <c r="S69" s="74">
        <v>739</v>
      </c>
      <c r="T69" s="74">
        <v>738</v>
      </c>
      <c r="U69" s="74">
        <v>742</v>
      </c>
      <c r="V69" s="73">
        <v>727</v>
      </c>
      <c r="W69" s="73">
        <v>0</v>
      </c>
      <c r="X69" s="73">
        <v>0</v>
      </c>
      <c r="Y69" s="73">
        <v>0</v>
      </c>
      <c r="Z69" s="73">
        <v>0</v>
      </c>
      <c r="AA69" s="73">
        <v>0</v>
      </c>
      <c r="AB69" s="73">
        <v>0</v>
      </c>
      <c r="AC69" s="73">
        <v>0</v>
      </c>
      <c r="AD69" s="73">
        <v>0</v>
      </c>
      <c r="AE69" s="73">
        <v>0</v>
      </c>
      <c r="AF69" s="73">
        <v>0</v>
      </c>
      <c r="AG69" s="73">
        <v>0</v>
      </c>
      <c r="AH69" s="73">
        <v>0</v>
      </c>
      <c r="AI69" s="73">
        <v>875</v>
      </c>
      <c r="AJ69" s="63">
        <f>AJ44/AJ21</f>
        <v>735.17152455788266</v>
      </c>
      <c r="AK69" s="76">
        <f>AK44/AK21</f>
        <v>737.25655917541224</v>
      </c>
      <c r="AL69" s="3"/>
    </row>
    <row r="70" spans="1:253" x14ac:dyDescent="0.3">
      <c r="AK70" s="63"/>
    </row>
    <row r="72" spans="1:253" x14ac:dyDescent="0.3">
      <c r="B72" s="81" t="s">
        <v>81</v>
      </c>
      <c r="C72" s="10"/>
      <c r="D72" s="10"/>
      <c r="E72" s="34">
        <v>7014</v>
      </c>
      <c r="F72" s="34">
        <v>7007</v>
      </c>
      <c r="G72" s="34">
        <v>6989</v>
      </c>
      <c r="H72" s="34">
        <v>7002</v>
      </c>
      <c r="I72" s="34">
        <v>6538</v>
      </c>
      <c r="J72" s="34">
        <v>7001</v>
      </c>
      <c r="K72" s="34">
        <v>7049</v>
      </c>
      <c r="L72" s="34">
        <v>6717</v>
      </c>
      <c r="M72" s="78">
        <v>2141</v>
      </c>
      <c r="N72" s="34">
        <v>0</v>
      </c>
      <c r="O72" s="34">
        <v>0</v>
      </c>
      <c r="P72" s="34">
        <v>0</v>
      </c>
      <c r="Q72" s="34">
        <v>3896</v>
      </c>
      <c r="R72" s="34">
        <v>6416</v>
      </c>
      <c r="S72" s="34">
        <v>6160</v>
      </c>
      <c r="T72" s="34">
        <v>7206</v>
      </c>
      <c r="U72" s="34">
        <v>7256</v>
      </c>
      <c r="V72" s="34">
        <v>7268</v>
      </c>
      <c r="W72" s="34">
        <v>7211</v>
      </c>
      <c r="X72" s="34">
        <v>7307</v>
      </c>
      <c r="Y72" s="34">
        <v>7287</v>
      </c>
      <c r="Z72" s="34">
        <v>7017</v>
      </c>
      <c r="AA72" s="34">
        <v>7096</v>
      </c>
      <c r="AB72" s="34">
        <v>7215</v>
      </c>
      <c r="AC72" s="34">
        <v>7118</v>
      </c>
      <c r="AD72" s="34">
        <v>7153</v>
      </c>
      <c r="AE72" s="34">
        <v>3501</v>
      </c>
      <c r="AF72" s="34">
        <v>0</v>
      </c>
      <c r="AG72" s="34">
        <v>0</v>
      </c>
      <c r="AH72" s="34">
        <v>0</v>
      </c>
      <c r="AI72" s="34">
        <v>2623</v>
      </c>
      <c r="AJ72" s="34">
        <f>SUM(E72:AI72)</f>
        <v>159188</v>
      </c>
      <c r="AK72" s="12">
        <f>AJ72/COUNTIF(E72:AI72,"&gt;0")</f>
        <v>6367.52</v>
      </c>
      <c r="AL72" s="282"/>
    </row>
    <row r="73" spans="1:253" x14ac:dyDescent="0.3">
      <c r="B73" s="81" t="s">
        <v>82</v>
      </c>
      <c r="C73" s="10"/>
      <c r="D73" s="10"/>
      <c r="E73" s="34">
        <v>8685</v>
      </c>
      <c r="F73" s="34">
        <v>9030</v>
      </c>
      <c r="G73" s="34">
        <v>6990</v>
      </c>
      <c r="H73" s="34">
        <v>9064</v>
      </c>
      <c r="I73" s="34">
        <v>9019</v>
      </c>
      <c r="J73" s="34">
        <v>9002</v>
      </c>
      <c r="K73" s="34">
        <v>8509</v>
      </c>
      <c r="L73" s="34">
        <v>8303</v>
      </c>
      <c r="M73" s="34">
        <v>8852</v>
      </c>
      <c r="N73" s="34">
        <v>8280</v>
      </c>
      <c r="O73" s="34">
        <v>9046</v>
      </c>
      <c r="P73" s="34">
        <v>9064</v>
      </c>
      <c r="Q73" s="34">
        <v>8620</v>
      </c>
      <c r="R73" s="34">
        <v>8428</v>
      </c>
      <c r="S73" s="34">
        <v>8561</v>
      </c>
      <c r="T73" s="34">
        <v>9109</v>
      </c>
      <c r="U73" s="34">
        <v>9213</v>
      </c>
      <c r="V73" s="34">
        <v>9225</v>
      </c>
      <c r="W73" s="34">
        <v>0</v>
      </c>
      <c r="X73" s="34">
        <v>0</v>
      </c>
      <c r="Y73" s="34">
        <v>0</v>
      </c>
      <c r="Z73" s="34">
        <v>0</v>
      </c>
      <c r="AA73" s="34">
        <v>0</v>
      </c>
      <c r="AB73" s="34">
        <v>0</v>
      </c>
      <c r="AC73" s="34">
        <v>0</v>
      </c>
      <c r="AD73" s="34">
        <v>0</v>
      </c>
      <c r="AE73" s="34">
        <v>0</v>
      </c>
      <c r="AF73" s="34">
        <v>0</v>
      </c>
      <c r="AG73" s="34">
        <v>0</v>
      </c>
      <c r="AH73" s="34">
        <v>0</v>
      </c>
      <c r="AI73" s="34">
        <v>1951</v>
      </c>
      <c r="AJ73" s="34">
        <f>SUM(E73:AI73)</f>
        <v>158951</v>
      </c>
      <c r="AK73" s="12">
        <f>AJ73/COUNTIF(E73:AI73,"&gt;0")</f>
        <v>8365.8421052631584</v>
      </c>
      <c r="AL73" s="282">
        <f>(8242+AK73)/2</f>
        <v>8303.9210526315801</v>
      </c>
    </row>
    <row r="74" spans="1:253" x14ac:dyDescent="0.3">
      <c r="R74"/>
      <c r="S74"/>
      <c r="T74"/>
      <c r="U74"/>
      <c r="AJ74" s="82"/>
      <c r="AK74" s="12"/>
    </row>
    <row r="75" spans="1:253" x14ac:dyDescent="0.3">
      <c r="B75" s="81" t="s">
        <v>83</v>
      </c>
      <c r="C75" s="10"/>
      <c r="D75" s="10" t="s">
        <v>7</v>
      </c>
      <c r="E75" s="42">
        <v>175</v>
      </c>
      <c r="F75" s="42">
        <v>105</v>
      </c>
      <c r="G75" s="42">
        <v>177</v>
      </c>
      <c r="H75" s="42">
        <v>285</v>
      </c>
      <c r="I75" s="42">
        <v>301</v>
      </c>
      <c r="J75" s="42">
        <v>289</v>
      </c>
      <c r="K75" s="42">
        <v>204</v>
      </c>
      <c r="L75" s="42">
        <v>155</v>
      </c>
      <c r="M75" s="42">
        <v>193</v>
      </c>
      <c r="N75" s="42">
        <v>199</v>
      </c>
      <c r="O75" s="42">
        <v>0</v>
      </c>
      <c r="P75" s="42">
        <v>0</v>
      </c>
      <c r="Q75" s="55">
        <v>0</v>
      </c>
      <c r="R75" s="55">
        <v>0</v>
      </c>
      <c r="S75" s="55">
        <v>101</v>
      </c>
      <c r="T75" s="55">
        <v>260</v>
      </c>
      <c r="U75" s="55">
        <v>293</v>
      </c>
      <c r="V75" s="55">
        <v>0</v>
      </c>
      <c r="W75" s="42">
        <v>0</v>
      </c>
      <c r="X75" s="23">
        <v>0</v>
      </c>
      <c r="Y75" s="23">
        <v>0</v>
      </c>
      <c r="Z75" s="23">
        <v>0</v>
      </c>
      <c r="AA75" s="55">
        <v>0</v>
      </c>
      <c r="AB75" s="45">
        <v>0</v>
      </c>
      <c r="AC75" s="45">
        <v>0</v>
      </c>
      <c r="AD75" s="45">
        <v>0</v>
      </c>
      <c r="AE75" s="45">
        <v>0</v>
      </c>
      <c r="AF75" s="45">
        <v>0</v>
      </c>
      <c r="AG75" s="45">
        <v>0</v>
      </c>
      <c r="AH75" s="22">
        <v>0</v>
      </c>
      <c r="AI75" s="22">
        <v>0</v>
      </c>
      <c r="AJ75" s="34">
        <f>SUM(E75:AI75)</f>
        <v>2737</v>
      </c>
      <c r="AK75" s="83">
        <f>AJ75/COUNTIF(E75:AI75,"&gt;0")</f>
        <v>210.53846153846155</v>
      </c>
    </row>
    <row r="76" spans="1:253" x14ac:dyDescent="0.3">
      <c r="B76" s="81" t="s">
        <v>84</v>
      </c>
      <c r="C76" s="10"/>
      <c r="D76" s="10" t="s">
        <v>85</v>
      </c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2"/>
      <c r="X76" s="55"/>
      <c r="Y76" s="55"/>
      <c r="Z76" s="55"/>
      <c r="AA76" s="22"/>
      <c r="AB76" s="22"/>
      <c r="AC76" s="22"/>
      <c r="AD76" s="22"/>
      <c r="AE76" s="22"/>
      <c r="AF76" s="22"/>
      <c r="AG76" s="22"/>
      <c r="AH76" s="22"/>
      <c r="AI76" s="22"/>
      <c r="AJ76" s="22"/>
    </row>
    <row r="77" spans="1:253" x14ac:dyDescent="0.3">
      <c r="B77" s="81" t="s">
        <v>86</v>
      </c>
      <c r="C77" s="10"/>
      <c r="D77" s="10" t="s">
        <v>87</v>
      </c>
      <c r="E77" s="23">
        <v>2871</v>
      </c>
      <c r="F77" s="23">
        <v>2927</v>
      </c>
      <c r="G77" s="23">
        <v>3163</v>
      </c>
      <c r="H77" s="23">
        <v>3072</v>
      </c>
      <c r="I77" s="23">
        <v>2679</v>
      </c>
      <c r="J77" s="23">
        <v>2780</v>
      </c>
      <c r="K77" s="23">
        <v>2805</v>
      </c>
      <c r="L77" s="23">
        <v>2649</v>
      </c>
      <c r="M77" s="23">
        <v>2647</v>
      </c>
      <c r="N77" s="23">
        <v>2519</v>
      </c>
      <c r="O77" s="23">
        <v>0</v>
      </c>
      <c r="P77" s="23">
        <v>0</v>
      </c>
      <c r="Q77" s="23">
        <v>0</v>
      </c>
      <c r="R77" s="23">
        <v>0</v>
      </c>
      <c r="S77" s="23">
        <v>2561</v>
      </c>
      <c r="T77" s="23">
        <v>2789</v>
      </c>
      <c r="U77" s="23">
        <v>2640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2">
        <v>0</v>
      </c>
      <c r="AC77" s="22">
        <v>0</v>
      </c>
      <c r="AD77" s="23">
        <v>0</v>
      </c>
      <c r="AE77" s="23">
        <v>0</v>
      </c>
      <c r="AF77" s="23">
        <v>0</v>
      </c>
      <c r="AG77" s="23">
        <v>0</v>
      </c>
      <c r="AH77" s="23">
        <v>0</v>
      </c>
      <c r="AI77" s="23">
        <v>0</v>
      </c>
      <c r="AJ77" s="38">
        <f>IFERROR(SUMPRODUCT(E77:AI77,E75:AI75)/AJ75,0)</f>
        <v>2779.4000730727075</v>
      </c>
    </row>
    <row r="78" spans="1:253" x14ac:dyDescent="0.3">
      <c r="E78" s="84"/>
      <c r="F78" s="84"/>
      <c r="G78" s="84"/>
      <c r="H78" s="84"/>
      <c r="I78" s="84"/>
      <c r="J78" s="84"/>
      <c r="K78" s="84"/>
      <c r="L78" s="84"/>
      <c r="M78" s="85"/>
      <c r="N78" s="84"/>
      <c r="O78" s="84"/>
      <c r="P78" s="84"/>
      <c r="Q78" s="84"/>
      <c r="R78" s="84"/>
      <c r="S78" s="84"/>
      <c r="T78" s="84"/>
      <c r="U78" s="86"/>
      <c r="V78" s="86"/>
      <c r="W78" s="86"/>
    </row>
    <row r="79" spans="1:253" x14ac:dyDescent="0.3">
      <c r="B79" s="81" t="s">
        <v>88</v>
      </c>
      <c r="C79" s="10"/>
      <c r="D79" s="10"/>
      <c r="E79" s="22">
        <v>1750</v>
      </c>
      <c r="F79" s="22">
        <v>3753</v>
      </c>
      <c r="G79" s="22">
        <v>0</v>
      </c>
      <c r="H79" s="22">
        <v>1744</v>
      </c>
      <c r="I79" s="22">
        <v>0</v>
      </c>
      <c r="J79" s="22">
        <v>0</v>
      </c>
      <c r="K79" s="22">
        <v>806</v>
      </c>
      <c r="L79" s="10">
        <v>1298</v>
      </c>
      <c r="M79" s="10">
        <v>875</v>
      </c>
      <c r="N79" s="22">
        <v>2615</v>
      </c>
      <c r="O79" s="23">
        <v>905</v>
      </c>
      <c r="P79" s="22">
        <v>3353</v>
      </c>
      <c r="Q79" s="22">
        <v>0</v>
      </c>
      <c r="R79" s="22">
        <v>0</v>
      </c>
      <c r="S79" s="22">
        <v>3441</v>
      </c>
      <c r="T79" s="22">
        <v>0</v>
      </c>
      <c r="U79" s="10">
        <v>915</v>
      </c>
      <c r="V79" s="22">
        <v>0</v>
      </c>
      <c r="W79" s="22">
        <v>775</v>
      </c>
      <c r="X79" s="22">
        <v>910</v>
      </c>
      <c r="Y79" s="22">
        <v>0</v>
      </c>
      <c r="Z79" s="22">
        <v>2135</v>
      </c>
      <c r="AA79" s="22">
        <v>0</v>
      </c>
      <c r="AB79" s="22">
        <v>2470</v>
      </c>
      <c r="AC79" s="22">
        <v>2830</v>
      </c>
      <c r="AD79" s="22">
        <v>0</v>
      </c>
      <c r="AE79" s="22">
        <v>1990</v>
      </c>
      <c r="AF79" s="22">
        <v>0</v>
      </c>
      <c r="AG79" s="22">
        <v>2940</v>
      </c>
      <c r="AH79" s="87">
        <v>735</v>
      </c>
      <c r="AI79" s="87">
        <v>0</v>
      </c>
      <c r="AJ79" s="88">
        <f t="shared" ref="AJ79:AJ86" si="87">SUM(E79:AI79)</f>
        <v>36240</v>
      </c>
      <c r="AK79" s="89">
        <v>36240</v>
      </c>
      <c r="AL79" s="24">
        <f>AJ79-AK79</f>
        <v>0</v>
      </c>
      <c r="AM79" t="e">
        <f>AL83/SUM(AL79:AL83)</f>
        <v>#DIV/0!</v>
      </c>
      <c r="AN79" s="90">
        <f>(AJ79+AJ84)/$AJ$87</f>
        <v>0.45141119452627576</v>
      </c>
      <c r="AO79" s="90"/>
    </row>
    <row r="80" spans="1:253" x14ac:dyDescent="0.3">
      <c r="B80" s="81" t="s">
        <v>89</v>
      </c>
      <c r="C80" s="10"/>
      <c r="D80" s="10"/>
      <c r="E80" s="22">
        <v>0</v>
      </c>
      <c r="F80" s="22">
        <v>1278</v>
      </c>
      <c r="G80" s="22">
        <v>0</v>
      </c>
      <c r="H80" s="22">
        <v>0</v>
      </c>
      <c r="I80" s="22">
        <v>655</v>
      </c>
      <c r="J80" s="22">
        <v>0</v>
      </c>
      <c r="K80" s="91">
        <v>2627</v>
      </c>
      <c r="L80" s="10">
        <v>1082</v>
      </c>
      <c r="M80" s="10">
        <v>954</v>
      </c>
      <c r="N80" s="22">
        <v>2554</v>
      </c>
      <c r="O80" s="22">
        <v>0</v>
      </c>
      <c r="P80" s="22">
        <v>0</v>
      </c>
      <c r="Q80" s="22">
        <v>877</v>
      </c>
      <c r="R80" s="22">
        <v>1500</v>
      </c>
      <c r="S80" s="22">
        <v>0</v>
      </c>
      <c r="T80" s="22">
        <v>2765</v>
      </c>
      <c r="U80" s="10">
        <v>0</v>
      </c>
      <c r="V80" s="22">
        <v>1220</v>
      </c>
      <c r="W80" s="22">
        <v>0</v>
      </c>
      <c r="X80" s="22">
        <v>4095</v>
      </c>
      <c r="Y80" s="22">
        <v>0</v>
      </c>
      <c r="Z80" s="22">
        <v>2877</v>
      </c>
      <c r="AA80" s="22">
        <v>725</v>
      </c>
      <c r="AB80" s="22">
        <v>2535</v>
      </c>
      <c r="AC80" s="22">
        <v>0</v>
      </c>
      <c r="AD80" s="22">
        <v>4665</v>
      </c>
      <c r="AE80" s="22">
        <v>3092</v>
      </c>
      <c r="AF80" s="22">
        <v>541</v>
      </c>
      <c r="AG80" s="22">
        <v>1110</v>
      </c>
      <c r="AH80" s="87">
        <v>0</v>
      </c>
      <c r="AI80" s="87">
        <v>4895</v>
      </c>
      <c r="AJ80" s="88">
        <f t="shared" si="87"/>
        <v>40047</v>
      </c>
      <c r="AK80" s="89">
        <v>40047</v>
      </c>
      <c r="AL80" s="24">
        <f t="shared" ref="AL80:AL85" si="88">AJ80-AK80</f>
        <v>0</v>
      </c>
      <c r="AM80" t="e">
        <f>AL80/SUM(AL79:AL83)</f>
        <v>#DIV/0!</v>
      </c>
      <c r="AN80" s="90">
        <f>(AJ80+AJ85)/$AJ$87</f>
        <v>0.27442744464506319</v>
      </c>
      <c r="AO80" s="90"/>
    </row>
    <row r="81" spans="2:41" x14ac:dyDescent="0.3">
      <c r="B81" s="81" t="s">
        <v>90</v>
      </c>
      <c r="C81" s="10"/>
      <c r="D81" s="10"/>
      <c r="E81" s="22">
        <v>0</v>
      </c>
      <c r="F81" s="22">
        <v>0</v>
      </c>
      <c r="G81" s="22">
        <v>2061</v>
      </c>
      <c r="H81" s="22">
        <v>845</v>
      </c>
      <c r="I81" s="22">
        <v>2166</v>
      </c>
      <c r="J81" s="22">
        <v>0</v>
      </c>
      <c r="K81" s="22">
        <v>948</v>
      </c>
      <c r="L81" s="10">
        <v>0</v>
      </c>
      <c r="M81" s="10">
        <v>559</v>
      </c>
      <c r="N81" s="22">
        <v>0</v>
      </c>
      <c r="O81" s="22">
        <v>0</v>
      </c>
      <c r="P81" s="22">
        <v>1229</v>
      </c>
      <c r="Q81" s="22">
        <v>0</v>
      </c>
      <c r="R81" s="22">
        <v>0</v>
      </c>
      <c r="S81" s="22">
        <v>0</v>
      </c>
      <c r="T81" s="22">
        <v>0</v>
      </c>
      <c r="U81" s="10">
        <v>0</v>
      </c>
      <c r="V81" s="22">
        <v>2110</v>
      </c>
      <c r="W81" s="22">
        <v>0</v>
      </c>
      <c r="X81" s="22">
        <v>0</v>
      </c>
      <c r="Y81" s="22">
        <v>0</v>
      </c>
      <c r="Z81" s="22">
        <v>0</v>
      </c>
      <c r="AA81" s="22">
        <v>1895</v>
      </c>
      <c r="AB81" s="22">
        <v>550</v>
      </c>
      <c r="AC81" s="22">
        <v>0</v>
      </c>
      <c r="AD81" s="22">
        <v>0</v>
      </c>
      <c r="AE81" s="22">
        <v>1156</v>
      </c>
      <c r="AF81" s="22">
        <v>1680</v>
      </c>
      <c r="AG81" s="22">
        <v>1825</v>
      </c>
      <c r="AH81" s="87">
        <v>0</v>
      </c>
      <c r="AI81" s="87">
        <v>0</v>
      </c>
      <c r="AJ81" s="88">
        <f t="shared" si="87"/>
        <v>17024</v>
      </c>
      <c r="AK81" s="89">
        <v>17024</v>
      </c>
      <c r="AL81" s="24">
        <f t="shared" si="88"/>
        <v>0</v>
      </c>
      <c r="AM81" t="e">
        <f>AL81/SUM(AL79:AL83)</f>
        <v>#DIV/0!</v>
      </c>
      <c r="AN81" s="90">
        <f>(AJ81)/$AJ$87</f>
        <v>4.6222560106433525E-2</v>
      </c>
      <c r="AO81" s="90"/>
    </row>
    <row r="82" spans="2:41" x14ac:dyDescent="0.3">
      <c r="B82" s="81" t="s">
        <v>91</v>
      </c>
      <c r="C82" s="10"/>
      <c r="D82" s="10"/>
      <c r="E82" s="22">
        <v>1690</v>
      </c>
      <c r="F82" s="22">
        <v>0</v>
      </c>
      <c r="G82" s="22">
        <v>2006</v>
      </c>
      <c r="H82" s="22">
        <v>0</v>
      </c>
      <c r="I82" s="22">
        <v>0</v>
      </c>
      <c r="J82" s="22">
        <v>920</v>
      </c>
      <c r="K82" s="22">
        <v>1167</v>
      </c>
      <c r="L82" s="10">
        <v>0</v>
      </c>
      <c r="M82" s="10">
        <v>2095</v>
      </c>
      <c r="N82" s="22">
        <v>0</v>
      </c>
      <c r="O82" s="22">
        <v>0</v>
      </c>
      <c r="P82" s="22">
        <v>0</v>
      </c>
      <c r="Q82" s="22">
        <v>2980</v>
      </c>
      <c r="R82" s="22">
        <v>0</v>
      </c>
      <c r="S82" s="22">
        <v>1105</v>
      </c>
      <c r="T82" s="22">
        <v>0</v>
      </c>
      <c r="U82" s="10">
        <v>0</v>
      </c>
      <c r="V82" s="22">
        <v>0</v>
      </c>
      <c r="W82" s="22">
        <v>3260</v>
      </c>
      <c r="X82" s="22">
        <v>0</v>
      </c>
      <c r="Y82" s="22">
        <v>1705</v>
      </c>
      <c r="Z82" s="22">
        <v>0</v>
      </c>
      <c r="AA82" s="22">
        <v>0</v>
      </c>
      <c r="AB82" s="22">
        <v>1515</v>
      </c>
      <c r="AC82" s="22">
        <v>1270</v>
      </c>
      <c r="AD82" s="22">
        <v>0</v>
      </c>
      <c r="AE82" s="22">
        <v>2425</v>
      </c>
      <c r="AF82" s="22">
        <v>0</v>
      </c>
      <c r="AG82" s="22">
        <v>0</v>
      </c>
      <c r="AH82" s="22">
        <v>3250</v>
      </c>
      <c r="AI82" s="22">
        <v>0</v>
      </c>
      <c r="AJ82" s="88">
        <f t="shared" si="87"/>
        <v>25388</v>
      </c>
      <c r="AK82" s="89">
        <v>25388</v>
      </c>
      <c r="AL82" s="24">
        <f>AJ82-AK82</f>
        <v>0</v>
      </c>
      <c r="AM82" t="e">
        <f>AL86/SUM(AL82:AL86)</f>
        <v>#DIV/0!</v>
      </c>
      <c r="AN82" s="90">
        <f>(AJ82)/$AJ$87</f>
        <v>6.8931999294063351E-2</v>
      </c>
      <c r="AO82" s="90"/>
    </row>
    <row r="83" spans="2:41" x14ac:dyDescent="0.3">
      <c r="B83" s="81" t="s">
        <v>92</v>
      </c>
      <c r="C83" s="10"/>
      <c r="D83" s="10"/>
      <c r="E83" s="22">
        <v>2306</v>
      </c>
      <c r="F83" s="22">
        <v>0</v>
      </c>
      <c r="G83" s="22">
        <v>0</v>
      </c>
      <c r="H83" s="22">
        <v>1788</v>
      </c>
      <c r="I83" s="22">
        <v>958</v>
      </c>
      <c r="J83" s="22">
        <v>0</v>
      </c>
      <c r="K83" s="22">
        <v>1344</v>
      </c>
      <c r="L83" s="10">
        <v>0</v>
      </c>
      <c r="M83" s="10">
        <v>0</v>
      </c>
      <c r="N83" s="22">
        <v>0</v>
      </c>
      <c r="O83" s="22">
        <v>2435</v>
      </c>
      <c r="P83" s="22">
        <v>1248</v>
      </c>
      <c r="Q83" s="22">
        <v>850</v>
      </c>
      <c r="R83" s="22">
        <v>930</v>
      </c>
      <c r="S83" s="22">
        <v>0</v>
      </c>
      <c r="T83" s="22">
        <v>610</v>
      </c>
      <c r="U83" s="10">
        <v>0</v>
      </c>
      <c r="V83" s="22">
        <v>0</v>
      </c>
      <c r="W83" s="22">
        <v>0</v>
      </c>
      <c r="X83" s="22">
        <v>1441</v>
      </c>
      <c r="Y83" s="22">
        <v>2266</v>
      </c>
      <c r="Z83" s="22">
        <v>0</v>
      </c>
      <c r="AA83" s="22">
        <v>855</v>
      </c>
      <c r="AB83" s="22">
        <v>0</v>
      </c>
      <c r="AC83" s="22">
        <v>3306</v>
      </c>
      <c r="AD83" s="22">
        <v>743</v>
      </c>
      <c r="AE83" s="22">
        <v>535</v>
      </c>
      <c r="AF83" s="3">
        <v>2071</v>
      </c>
      <c r="AG83" s="22">
        <v>0</v>
      </c>
      <c r="AH83" s="87">
        <v>0</v>
      </c>
      <c r="AI83" s="87">
        <v>0</v>
      </c>
      <c r="AJ83" s="88">
        <f t="shared" si="87"/>
        <v>23686</v>
      </c>
      <c r="AK83" s="89">
        <v>23686</v>
      </c>
      <c r="AL83" s="24">
        <f t="shared" si="88"/>
        <v>0</v>
      </c>
      <c r="AM83" t="e">
        <f>AL87/SUM(AL83:AL87)</f>
        <v>#DIV/0!</v>
      </c>
      <c r="AN83" s="90">
        <f>(AJ83+AJ88)/$AJ$87</f>
        <v>6.4313544480797166E-2</v>
      </c>
      <c r="AO83" s="90"/>
    </row>
    <row r="84" spans="2:41" x14ac:dyDescent="0.3">
      <c r="B84" s="81" t="s">
        <v>93</v>
      </c>
      <c r="C84" s="10"/>
      <c r="D84" s="10"/>
      <c r="E84" s="22">
        <v>6555</v>
      </c>
      <c r="F84" s="22">
        <v>0</v>
      </c>
      <c r="G84" s="22">
        <v>5948</v>
      </c>
      <c r="H84" s="22">
        <v>4641</v>
      </c>
      <c r="I84" s="22">
        <v>2456</v>
      </c>
      <c r="J84" s="22">
        <v>3320</v>
      </c>
      <c r="K84" s="22">
        <v>4885</v>
      </c>
      <c r="L84" s="22">
        <v>6433</v>
      </c>
      <c r="M84" s="10">
        <v>3645</v>
      </c>
      <c r="N84" s="22">
        <v>1343</v>
      </c>
      <c r="O84" s="22">
        <v>4473</v>
      </c>
      <c r="P84" s="22">
        <v>5618</v>
      </c>
      <c r="Q84" s="22">
        <v>3772</v>
      </c>
      <c r="R84" s="22">
        <v>5105</v>
      </c>
      <c r="S84" s="22">
        <v>0</v>
      </c>
      <c r="T84" s="22">
        <v>7050</v>
      </c>
      <c r="U84" s="10">
        <v>1580</v>
      </c>
      <c r="V84" s="22">
        <v>3663</v>
      </c>
      <c r="W84" s="22">
        <v>5645</v>
      </c>
      <c r="X84" s="22">
        <v>6605</v>
      </c>
      <c r="Y84" s="22">
        <v>0</v>
      </c>
      <c r="Z84" s="22">
        <v>5735</v>
      </c>
      <c r="AA84" s="22">
        <v>1530</v>
      </c>
      <c r="AB84" s="22">
        <v>3980</v>
      </c>
      <c r="AC84" s="22">
        <v>3795</v>
      </c>
      <c r="AD84" s="22">
        <v>3980</v>
      </c>
      <c r="AE84" s="22">
        <v>5910</v>
      </c>
      <c r="AF84" s="22">
        <v>6580</v>
      </c>
      <c r="AG84" s="22">
        <v>7080</v>
      </c>
      <c r="AH84" s="87">
        <v>4595</v>
      </c>
      <c r="AI84" s="87">
        <v>4095</v>
      </c>
      <c r="AJ84" s="88">
        <f t="shared" si="87"/>
        <v>130017</v>
      </c>
      <c r="AK84" s="89">
        <v>130017</v>
      </c>
      <c r="AL84" s="24">
        <f t="shared" si="88"/>
        <v>0</v>
      </c>
      <c r="AN84" s="90">
        <f>(AJ83+AJ86)/$AJ$87</f>
        <v>0.15900680142816415</v>
      </c>
    </row>
    <row r="85" spans="2:41" x14ac:dyDescent="0.3">
      <c r="B85" s="81" t="s">
        <v>94</v>
      </c>
      <c r="C85" s="10"/>
      <c r="D85" s="10"/>
      <c r="E85" s="22">
        <v>0</v>
      </c>
      <c r="F85" s="22">
        <v>3710</v>
      </c>
      <c r="G85" s="22">
        <v>1690</v>
      </c>
      <c r="H85" s="22">
        <v>2944</v>
      </c>
      <c r="I85" s="22">
        <v>2745</v>
      </c>
      <c r="J85" s="22">
        <v>1469</v>
      </c>
      <c r="K85" s="22">
        <v>2261</v>
      </c>
      <c r="L85" s="22">
        <v>1148</v>
      </c>
      <c r="M85" s="10">
        <v>0</v>
      </c>
      <c r="N85" s="22">
        <v>0</v>
      </c>
      <c r="O85" s="22">
        <v>2880</v>
      </c>
      <c r="P85" s="22">
        <v>1630</v>
      </c>
      <c r="Q85" s="22">
        <v>3136</v>
      </c>
      <c r="R85" s="22">
        <v>1255</v>
      </c>
      <c r="S85" s="22">
        <v>5840</v>
      </c>
      <c r="T85" s="22">
        <v>0</v>
      </c>
      <c r="U85" s="10">
        <v>0</v>
      </c>
      <c r="V85" s="22">
        <v>2075</v>
      </c>
      <c r="W85" s="22">
        <v>1525</v>
      </c>
      <c r="X85" s="22">
        <v>0</v>
      </c>
      <c r="Y85" s="22">
        <v>3882</v>
      </c>
      <c r="Z85" s="22">
        <v>1095</v>
      </c>
      <c r="AA85" s="22">
        <v>3297</v>
      </c>
      <c r="AB85" s="22">
        <v>2875</v>
      </c>
      <c r="AC85" s="22">
        <v>1760</v>
      </c>
      <c r="AD85" s="22">
        <v>2795</v>
      </c>
      <c r="AE85" s="22">
        <v>3069</v>
      </c>
      <c r="AF85" s="22">
        <v>5750</v>
      </c>
      <c r="AG85" s="22">
        <v>2195</v>
      </c>
      <c r="AH85" s="87">
        <v>0</v>
      </c>
      <c r="AI85" s="87">
        <v>0</v>
      </c>
      <c r="AJ85" s="88">
        <f t="shared" si="87"/>
        <v>61026</v>
      </c>
      <c r="AK85" s="89">
        <v>61026</v>
      </c>
      <c r="AL85" s="24">
        <f t="shared" si="88"/>
        <v>0</v>
      </c>
      <c r="AN85" s="90">
        <f>(AL83+AL86)/AJ87</f>
        <v>0</v>
      </c>
    </row>
    <row r="86" spans="2:41" x14ac:dyDescent="0.3">
      <c r="B86" s="81" t="s">
        <v>95</v>
      </c>
      <c r="C86" s="10"/>
      <c r="D86" s="10"/>
      <c r="E86" s="22">
        <v>2390</v>
      </c>
      <c r="F86" s="22">
        <v>2530</v>
      </c>
      <c r="G86" s="22">
        <v>0</v>
      </c>
      <c r="H86" s="22">
        <v>3216</v>
      </c>
      <c r="I86" s="22">
        <v>1234</v>
      </c>
      <c r="J86" s="22">
        <v>989</v>
      </c>
      <c r="K86" s="22">
        <v>0</v>
      </c>
      <c r="L86" s="22">
        <v>0</v>
      </c>
      <c r="M86" s="10">
        <v>1302</v>
      </c>
      <c r="N86" s="22">
        <v>3300</v>
      </c>
      <c r="O86" s="22">
        <v>0</v>
      </c>
      <c r="P86" s="22">
        <v>0</v>
      </c>
      <c r="Q86" s="22">
        <v>0</v>
      </c>
      <c r="R86" s="22">
        <v>3330</v>
      </c>
      <c r="S86" s="22">
        <v>0</v>
      </c>
      <c r="T86" s="22">
        <v>0</v>
      </c>
      <c r="U86" s="10">
        <v>2155</v>
      </c>
      <c r="V86" s="22">
        <v>0</v>
      </c>
      <c r="W86" s="22">
        <v>0</v>
      </c>
      <c r="X86" s="22">
        <v>0</v>
      </c>
      <c r="Y86" s="22">
        <v>2560</v>
      </c>
      <c r="Z86" s="22">
        <v>0</v>
      </c>
      <c r="AA86" s="22">
        <v>1040</v>
      </c>
      <c r="AB86" s="22">
        <v>0</v>
      </c>
      <c r="AC86" s="22">
        <v>1145</v>
      </c>
      <c r="AD86" s="22">
        <v>1970</v>
      </c>
      <c r="AE86" s="22">
        <v>2236</v>
      </c>
      <c r="AF86" s="22">
        <v>0</v>
      </c>
      <c r="AG86" s="22">
        <v>2195</v>
      </c>
      <c r="AH86" s="87">
        <v>1810</v>
      </c>
      <c r="AI86" s="87">
        <v>1475</v>
      </c>
      <c r="AJ86" s="88">
        <f t="shared" si="87"/>
        <v>34877</v>
      </c>
      <c r="AK86" s="89">
        <v>34877</v>
      </c>
      <c r="AL86" s="24">
        <f>AJ86-AK86</f>
        <v>0</v>
      </c>
      <c r="AN86" s="90"/>
      <c r="AO86" s="90"/>
    </row>
    <row r="87" spans="2:41" x14ac:dyDescent="0.3">
      <c r="B87" s="93" t="s">
        <v>96</v>
      </c>
      <c r="C87" s="94"/>
      <c r="D87" s="94"/>
      <c r="E87" s="95">
        <f>SUM(E79:E86)</f>
        <v>14691</v>
      </c>
      <c r="F87" s="95">
        <f t="shared" ref="F87:AH87" si="89">SUM(F79:F86)</f>
        <v>11271</v>
      </c>
      <c r="G87" s="95">
        <f t="shared" si="89"/>
        <v>11705</v>
      </c>
      <c r="H87" s="95">
        <f t="shared" si="89"/>
        <v>15178</v>
      </c>
      <c r="I87" s="95">
        <f t="shared" si="89"/>
        <v>10214</v>
      </c>
      <c r="J87" s="95">
        <f t="shared" si="89"/>
        <v>6698</v>
      </c>
      <c r="K87" s="95">
        <f>SUM(K79:K86)</f>
        <v>14038</v>
      </c>
      <c r="L87" s="95">
        <f t="shared" si="89"/>
        <v>9961</v>
      </c>
      <c r="M87" s="95">
        <f t="shared" si="89"/>
        <v>9430</v>
      </c>
      <c r="N87" s="95">
        <f t="shared" si="89"/>
        <v>9812</v>
      </c>
      <c r="O87" s="95">
        <f t="shared" si="89"/>
        <v>10693</v>
      </c>
      <c r="P87" s="95">
        <f>SUM(P79:P86)</f>
        <v>13078</v>
      </c>
      <c r="Q87" s="95">
        <f t="shared" si="89"/>
        <v>11615</v>
      </c>
      <c r="R87" s="95">
        <f t="shared" si="89"/>
        <v>12120</v>
      </c>
      <c r="S87" s="95">
        <f t="shared" si="89"/>
        <v>10386</v>
      </c>
      <c r="T87" s="95">
        <f t="shared" si="89"/>
        <v>10425</v>
      </c>
      <c r="U87" s="95">
        <f t="shared" si="89"/>
        <v>4650</v>
      </c>
      <c r="V87" s="95">
        <f t="shared" si="89"/>
        <v>9068</v>
      </c>
      <c r="W87" s="95">
        <f t="shared" si="89"/>
        <v>11205</v>
      </c>
      <c r="X87" s="95">
        <f t="shared" si="89"/>
        <v>13051</v>
      </c>
      <c r="Y87" s="95">
        <f t="shared" si="89"/>
        <v>10413</v>
      </c>
      <c r="Z87" s="95">
        <f t="shared" si="89"/>
        <v>11842</v>
      </c>
      <c r="AA87" s="95">
        <f t="shared" si="89"/>
        <v>9342</v>
      </c>
      <c r="AB87" s="95">
        <f t="shared" si="89"/>
        <v>13925</v>
      </c>
      <c r="AC87" s="95">
        <f t="shared" si="89"/>
        <v>14106</v>
      </c>
      <c r="AD87" s="95">
        <f t="shared" si="89"/>
        <v>14153</v>
      </c>
      <c r="AE87" s="95">
        <f t="shared" si="89"/>
        <v>20413</v>
      </c>
      <c r="AF87" s="95">
        <f t="shared" si="89"/>
        <v>16622</v>
      </c>
      <c r="AG87" s="95">
        <f t="shared" si="89"/>
        <v>17345</v>
      </c>
      <c r="AH87" s="95">
        <f t="shared" si="89"/>
        <v>10390</v>
      </c>
      <c r="AI87" s="95">
        <f t="shared" ref="AI87" si="90">SUM(AI79:AI86)</f>
        <v>10465</v>
      </c>
      <c r="AJ87" s="88">
        <f>SUM(E87:AI87)</f>
        <v>368305</v>
      </c>
      <c r="AK87" s="96"/>
      <c r="AL87" s="24"/>
    </row>
    <row r="88" spans="2:41" x14ac:dyDescent="0.3">
      <c r="E88" s="22" t="b">
        <f>IF(SUM(E3,E7,E39,E82)=E87, TRUE, FALSE)</f>
        <v>1</v>
      </c>
      <c r="F88" s="22" t="b">
        <f>IF(SUM(F3,F7,F39,F82)=F87, TRUE, FALSE)</f>
        <v>1</v>
      </c>
      <c r="G88" s="22" t="b">
        <f>IF(SUM(G3,G7,G39,G82)=G87, TRUE, FALSE)</f>
        <v>1</v>
      </c>
      <c r="H88" s="22" t="b">
        <f>IF(SUM(H3,H7,H39,H82)=H87, TRUE, FALSE)</f>
        <v>1</v>
      </c>
      <c r="I88" s="22" t="b">
        <f t="shared" ref="I88:R88" si="91">IF((I3+I7+I39+I82)=I87,TRUE,FALSE)</f>
        <v>1</v>
      </c>
      <c r="J88" s="22" t="b">
        <f t="shared" si="91"/>
        <v>1</v>
      </c>
      <c r="K88" s="22" t="b">
        <f t="shared" si="91"/>
        <v>1</v>
      </c>
      <c r="L88" s="22" t="b">
        <f t="shared" si="91"/>
        <v>1</v>
      </c>
      <c r="M88" s="10" t="b">
        <f t="shared" si="91"/>
        <v>1</v>
      </c>
      <c r="N88" s="22" t="b">
        <f t="shared" si="91"/>
        <v>1</v>
      </c>
      <c r="O88" s="22" t="b">
        <f t="shared" si="91"/>
        <v>1</v>
      </c>
      <c r="P88" s="22" t="b">
        <f t="shared" si="91"/>
        <v>1</v>
      </c>
      <c r="Q88" s="22" t="b">
        <f t="shared" si="91"/>
        <v>1</v>
      </c>
      <c r="R88" s="22" t="b">
        <f t="shared" si="91"/>
        <v>1</v>
      </c>
      <c r="S88" s="22" t="b">
        <v>1</v>
      </c>
      <c r="T88" s="22" t="b">
        <v>1</v>
      </c>
      <c r="U88" s="22" t="b">
        <v>1</v>
      </c>
      <c r="V88" s="22" t="b">
        <f t="shared" ref="V88:AH88" si="92">IF((V3+V7+V39+V82)=V87,TRUE,FALSE)</f>
        <v>1</v>
      </c>
      <c r="W88" s="22" t="b">
        <f t="shared" si="92"/>
        <v>1</v>
      </c>
      <c r="X88" s="22" t="b">
        <f t="shared" si="92"/>
        <v>1</v>
      </c>
      <c r="Y88" s="22" t="b">
        <f t="shared" si="92"/>
        <v>1</v>
      </c>
      <c r="Z88" s="22" t="b">
        <f t="shared" si="92"/>
        <v>1</v>
      </c>
      <c r="AA88" s="22" t="b">
        <f t="shared" si="92"/>
        <v>1</v>
      </c>
      <c r="AB88" s="22" t="b">
        <f t="shared" si="92"/>
        <v>1</v>
      </c>
      <c r="AC88" s="22" t="b">
        <f t="shared" si="92"/>
        <v>1</v>
      </c>
      <c r="AD88" s="22" t="b">
        <f t="shared" si="92"/>
        <v>1</v>
      </c>
      <c r="AE88" s="22" t="b">
        <f t="shared" si="92"/>
        <v>1</v>
      </c>
      <c r="AF88" s="22" t="b">
        <f t="shared" si="92"/>
        <v>1</v>
      </c>
      <c r="AG88" s="22" t="b">
        <f t="shared" si="92"/>
        <v>1</v>
      </c>
      <c r="AH88" s="22" t="b">
        <f t="shared" si="92"/>
        <v>1</v>
      </c>
      <c r="AI88" s="22" t="b">
        <f t="shared" ref="AI88" si="93">IF((AI3+AI7+AI39+AI82)=AI87,TRUE,FALSE)</f>
        <v>1</v>
      </c>
      <c r="AJ88" s="22" t="b">
        <f>IF((AJ3+AJ7+AJ39+AJ82)=AJ87,TRUE,FALSE)</f>
        <v>1</v>
      </c>
      <c r="AK88" s="24"/>
      <c r="AL88" s="24"/>
    </row>
    <row r="89" spans="2:41" ht="15.6" x14ac:dyDescent="0.3">
      <c r="B89" s="97" t="s">
        <v>97</v>
      </c>
      <c r="E89" s="22"/>
      <c r="F89" s="22"/>
      <c r="G89" s="22"/>
      <c r="H89" s="22"/>
      <c r="I89" s="22"/>
      <c r="J89" s="22"/>
      <c r="K89" s="22"/>
      <c r="L89" s="22"/>
      <c r="M89" s="10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87"/>
      <c r="AI89" s="87"/>
      <c r="AJ89" s="22"/>
      <c r="AK89" s="24"/>
      <c r="AL89" s="24"/>
    </row>
    <row r="90" spans="2:41" x14ac:dyDescent="0.3">
      <c r="B90" s="81" t="s">
        <v>88</v>
      </c>
      <c r="C90" s="10"/>
      <c r="D90" s="10"/>
      <c r="E90" s="22">
        <v>604</v>
      </c>
      <c r="F90" s="22">
        <v>1278</v>
      </c>
      <c r="G90" s="22">
        <v>0</v>
      </c>
      <c r="H90" s="22">
        <v>596</v>
      </c>
      <c r="I90" s="22">
        <v>0</v>
      </c>
      <c r="J90" s="22">
        <v>0</v>
      </c>
      <c r="K90" s="22">
        <v>274</v>
      </c>
      <c r="L90" s="22">
        <v>446</v>
      </c>
      <c r="M90" s="10">
        <v>299</v>
      </c>
      <c r="N90" s="22">
        <v>892</v>
      </c>
      <c r="O90" s="23">
        <v>308</v>
      </c>
      <c r="P90" s="22">
        <v>1142</v>
      </c>
      <c r="Q90" s="22">
        <v>0</v>
      </c>
      <c r="R90" s="22">
        <v>0</v>
      </c>
      <c r="S90" s="22">
        <v>1174</v>
      </c>
      <c r="T90" s="22">
        <v>0</v>
      </c>
      <c r="U90" s="10">
        <v>313</v>
      </c>
      <c r="V90" s="22">
        <v>0</v>
      </c>
      <c r="W90" s="22">
        <v>265</v>
      </c>
      <c r="X90" s="22">
        <v>310</v>
      </c>
      <c r="Y90" s="22">
        <v>0</v>
      </c>
      <c r="Z90" s="22">
        <v>727</v>
      </c>
      <c r="AA90" s="22">
        <v>0</v>
      </c>
      <c r="AB90" s="22">
        <v>843</v>
      </c>
      <c r="AC90" s="22">
        <v>963</v>
      </c>
      <c r="AD90" s="22">
        <v>0</v>
      </c>
      <c r="AE90" s="22">
        <v>677</v>
      </c>
      <c r="AF90" s="22">
        <v>0</v>
      </c>
      <c r="AG90" s="22">
        <v>975</v>
      </c>
      <c r="AH90" s="87">
        <v>250</v>
      </c>
      <c r="AI90" s="87">
        <v>1670</v>
      </c>
      <c r="AJ90" s="88">
        <f t="shared" ref="AJ90:AJ97" si="94">SUM(E90:AI90)</f>
        <v>14006</v>
      </c>
      <c r="AK90" s="89">
        <v>14006</v>
      </c>
      <c r="AL90" s="24">
        <f t="shared" ref="AL90:AL97" si="95">AJ90-AK90</f>
        <v>0</v>
      </c>
      <c r="AN90" s="90"/>
      <c r="AO90" s="54"/>
    </row>
    <row r="91" spans="2:41" x14ac:dyDescent="0.3">
      <c r="B91" s="81" t="s">
        <v>89</v>
      </c>
      <c r="C91" s="10"/>
      <c r="D91" s="10"/>
      <c r="E91" s="22">
        <v>0</v>
      </c>
      <c r="F91" s="22">
        <v>435</v>
      </c>
      <c r="G91" s="22">
        <v>0</v>
      </c>
      <c r="H91" s="22">
        <v>0</v>
      </c>
      <c r="I91" s="22">
        <v>223</v>
      </c>
      <c r="J91" s="22">
        <v>0</v>
      </c>
      <c r="K91" s="22">
        <v>894</v>
      </c>
      <c r="L91" s="22">
        <v>372</v>
      </c>
      <c r="M91" s="10">
        <v>326</v>
      </c>
      <c r="N91" s="22">
        <v>870</v>
      </c>
      <c r="O91" s="22">
        <v>0</v>
      </c>
      <c r="P91" s="22">
        <v>0</v>
      </c>
      <c r="Q91" s="22">
        <v>290</v>
      </c>
      <c r="R91" s="22">
        <v>512</v>
      </c>
      <c r="S91" s="22">
        <v>0</v>
      </c>
      <c r="T91" s="22">
        <v>945</v>
      </c>
      <c r="U91" s="10">
        <v>0</v>
      </c>
      <c r="V91" s="22">
        <v>416</v>
      </c>
      <c r="W91" s="22">
        <v>0</v>
      </c>
      <c r="X91" s="22">
        <v>1397</v>
      </c>
      <c r="Y91" s="22">
        <v>0</v>
      </c>
      <c r="Z91" s="22">
        <v>980</v>
      </c>
      <c r="AA91" s="22">
        <v>247</v>
      </c>
      <c r="AB91" s="22">
        <v>865</v>
      </c>
      <c r="AC91" s="22">
        <v>0</v>
      </c>
      <c r="AD91" s="22">
        <v>1588</v>
      </c>
      <c r="AE91" s="22">
        <v>1052</v>
      </c>
      <c r="AF91" s="22">
        <v>184</v>
      </c>
      <c r="AG91" s="22">
        <v>368</v>
      </c>
      <c r="AH91" s="87">
        <v>0</v>
      </c>
      <c r="AI91" s="87">
        <v>0</v>
      </c>
      <c r="AJ91" s="88">
        <f t="shared" si="94"/>
        <v>11964</v>
      </c>
      <c r="AK91" s="89">
        <v>11964</v>
      </c>
      <c r="AL91" s="24">
        <f t="shared" si="95"/>
        <v>0</v>
      </c>
      <c r="AN91" s="90"/>
      <c r="AO91" s="54"/>
    </row>
    <row r="92" spans="2:41" x14ac:dyDescent="0.3">
      <c r="B92" s="81" t="s">
        <v>90</v>
      </c>
      <c r="C92" s="10"/>
      <c r="D92" s="10"/>
      <c r="E92" s="22">
        <v>0</v>
      </c>
      <c r="F92" s="22">
        <v>0</v>
      </c>
      <c r="G92" s="22">
        <v>558</v>
      </c>
      <c r="H92" s="22">
        <v>237</v>
      </c>
      <c r="I92" s="22">
        <v>629</v>
      </c>
      <c r="J92" s="22">
        <v>0</v>
      </c>
      <c r="K92" s="22">
        <v>266</v>
      </c>
      <c r="L92" s="22">
        <v>0</v>
      </c>
      <c r="M92" s="10">
        <v>157</v>
      </c>
      <c r="N92" s="22">
        <v>0</v>
      </c>
      <c r="O92" s="22">
        <v>0</v>
      </c>
      <c r="P92" s="22">
        <v>344</v>
      </c>
      <c r="Q92" s="22">
        <v>0</v>
      </c>
      <c r="R92" s="22">
        <v>0</v>
      </c>
      <c r="S92" s="22">
        <v>0</v>
      </c>
      <c r="T92" s="22">
        <v>0</v>
      </c>
      <c r="U92" s="10">
        <v>0</v>
      </c>
      <c r="V92" s="22">
        <v>592</v>
      </c>
      <c r="W92" s="22">
        <v>0</v>
      </c>
      <c r="X92" s="22">
        <v>0</v>
      </c>
      <c r="Y92" s="22">
        <v>0</v>
      </c>
      <c r="Z92" s="22">
        <v>0</v>
      </c>
      <c r="AA92" s="22">
        <v>552</v>
      </c>
      <c r="AB92" s="22">
        <v>160</v>
      </c>
      <c r="AC92" s="22">
        <v>0</v>
      </c>
      <c r="AD92" s="22">
        <v>0</v>
      </c>
      <c r="AE92" s="22">
        <v>324</v>
      </c>
      <c r="AF92" s="22">
        <v>472</v>
      </c>
      <c r="AG92" s="22">
        <v>496</v>
      </c>
      <c r="AH92" s="87">
        <v>0</v>
      </c>
      <c r="AI92" s="87">
        <v>0</v>
      </c>
      <c r="AJ92" s="88">
        <f t="shared" si="94"/>
        <v>4787</v>
      </c>
      <c r="AK92" s="89">
        <v>4787</v>
      </c>
      <c r="AL92" s="24">
        <f t="shared" si="95"/>
        <v>0</v>
      </c>
      <c r="AN92" s="90"/>
      <c r="AO92" s="54"/>
    </row>
    <row r="93" spans="2:41" x14ac:dyDescent="0.3">
      <c r="B93" s="81" t="s">
        <v>91</v>
      </c>
      <c r="C93" s="10"/>
      <c r="D93" s="10"/>
      <c r="E93" s="22">
        <v>507</v>
      </c>
      <c r="F93" s="22">
        <v>0</v>
      </c>
      <c r="G93" s="22">
        <v>593</v>
      </c>
      <c r="H93" s="22">
        <v>0</v>
      </c>
      <c r="I93" s="22">
        <v>0</v>
      </c>
      <c r="J93" s="22">
        <v>278</v>
      </c>
      <c r="K93" s="22">
        <v>351</v>
      </c>
      <c r="L93" s="22">
        <v>0</v>
      </c>
      <c r="M93" s="10">
        <v>636</v>
      </c>
      <c r="N93" s="22">
        <v>0</v>
      </c>
      <c r="O93" s="22">
        <v>0</v>
      </c>
      <c r="P93" s="22">
        <v>0</v>
      </c>
      <c r="Q93" s="22">
        <v>895</v>
      </c>
      <c r="R93" s="22">
        <v>0</v>
      </c>
      <c r="S93" s="22">
        <v>333</v>
      </c>
      <c r="T93" s="22">
        <v>0</v>
      </c>
      <c r="U93" s="10">
        <v>0</v>
      </c>
      <c r="V93" s="22">
        <v>0</v>
      </c>
      <c r="W93" s="22">
        <v>962</v>
      </c>
      <c r="X93" s="22">
        <v>0</v>
      </c>
      <c r="Y93" s="22">
        <v>514</v>
      </c>
      <c r="Z93" s="22">
        <v>0</v>
      </c>
      <c r="AA93" s="22">
        <v>0</v>
      </c>
      <c r="AB93" s="22">
        <v>456</v>
      </c>
      <c r="AC93" s="22">
        <v>391</v>
      </c>
      <c r="AD93" s="22">
        <v>0</v>
      </c>
      <c r="AE93" s="22">
        <v>728</v>
      </c>
      <c r="AF93" s="22">
        <v>0</v>
      </c>
      <c r="AG93" s="22">
        <v>0</v>
      </c>
      <c r="AH93" s="22">
        <v>976</v>
      </c>
      <c r="AI93" s="22">
        <v>0</v>
      </c>
      <c r="AJ93" s="88">
        <f t="shared" si="94"/>
        <v>7620</v>
      </c>
      <c r="AK93" s="89">
        <v>7620</v>
      </c>
      <c r="AL93" s="24">
        <f t="shared" si="95"/>
        <v>0</v>
      </c>
      <c r="AN93" s="90"/>
      <c r="AO93" s="54"/>
    </row>
    <row r="94" spans="2:41" x14ac:dyDescent="0.3">
      <c r="B94" s="81" t="s">
        <v>93</v>
      </c>
      <c r="C94" s="10"/>
      <c r="D94" s="10"/>
      <c r="E94" s="22">
        <v>2229</v>
      </c>
      <c r="F94" s="22">
        <v>0</v>
      </c>
      <c r="G94" s="22">
        <v>1850</v>
      </c>
      <c r="H94" s="22">
        <v>1446</v>
      </c>
      <c r="I94" s="22">
        <v>838</v>
      </c>
      <c r="J94" s="22">
        <v>1147</v>
      </c>
      <c r="K94" s="22">
        <v>1645</v>
      </c>
      <c r="L94" s="22">
        <v>2199</v>
      </c>
      <c r="M94" s="10">
        <v>1241</v>
      </c>
      <c r="N94" s="22">
        <v>457</v>
      </c>
      <c r="O94" s="22">
        <v>1524</v>
      </c>
      <c r="P94" s="22">
        <v>1911</v>
      </c>
      <c r="Q94" s="22">
        <v>1246</v>
      </c>
      <c r="R94" s="22">
        <v>1747</v>
      </c>
      <c r="S94" s="22">
        <v>0</v>
      </c>
      <c r="T94" s="22">
        <v>2409</v>
      </c>
      <c r="U94" s="10">
        <v>540</v>
      </c>
      <c r="V94" s="22">
        <v>1252</v>
      </c>
      <c r="W94" s="22">
        <v>1923</v>
      </c>
      <c r="X94" s="22">
        <v>2256</v>
      </c>
      <c r="Y94" s="22">
        <v>0</v>
      </c>
      <c r="Z94" s="22">
        <v>1930</v>
      </c>
      <c r="AA94" s="22">
        <v>513</v>
      </c>
      <c r="AB94" s="22">
        <v>1375</v>
      </c>
      <c r="AC94" s="22">
        <v>1273</v>
      </c>
      <c r="AD94" s="22">
        <v>1354</v>
      </c>
      <c r="AE94" s="22">
        <v>1952</v>
      </c>
      <c r="AF94" s="22">
        <v>2117</v>
      </c>
      <c r="AG94" s="22">
        <v>2294</v>
      </c>
      <c r="AH94" s="87">
        <v>1554</v>
      </c>
      <c r="AI94" s="87">
        <v>1396</v>
      </c>
      <c r="AJ94" s="88">
        <f t="shared" si="94"/>
        <v>43618</v>
      </c>
      <c r="AK94" s="89">
        <v>43618</v>
      </c>
      <c r="AL94" s="24">
        <f t="shared" si="95"/>
        <v>0</v>
      </c>
      <c r="AN94" s="90"/>
      <c r="AO94" s="54"/>
    </row>
    <row r="95" spans="2:41" x14ac:dyDescent="0.3">
      <c r="B95" s="81" t="s">
        <v>94</v>
      </c>
      <c r="C95" s="10"/>
      <c r="D95" s="10"/>
      <c r="E95" s="22">
        <v>0</v>
      </c>
      <c r="F95" s="22">
        <v>1265</v>
      </c>
      <c r="G95" s="22">
        <v>525</v>
      </c>
      <c r="H95" s="22">
        <v>916</v>
      </c>
      <c r="I95" s="22">
        <v>936</v>
      </c>
      <c r="J95" s="22">
        <v>507</v>
      </c>
      <c r="K95" s="22">
        <v>761</v>
      </c>
      <c r="L95" s="22">
        <v>392</v>
      </c>
      <c r="M95" s="10">
        <v>0</v>
      </c>
      <c r="N95" s="22">
        <v>0</v>
      </c>
      <c r="O95" s="22">
        <v>981</v>
      </c>
      <c r="P95" s="22">
        <v>554</v>
      </c>
      <c r="Q95" s="22">
        <v>1035</v>
      </c>
      <c r="R95" s="22">
        <v>430</v>
      </c>
      <c r="S95" s="22">
        <v>1960</v>
      </c>
      <c r="T95" s="22">
        <v>0</v>
      </c>
      <c r="U95" s="10">
        <v>0</v>
      </c>
      <c r="V95" s="22">
        <v>709</v>
      </c>
      <c r="W95" s="22">
        <v>520</v>
      </c>
      <c r="X95" s="22">
        <v>0</v>
      </c>
      <c r="Y95" s="22">
        <v>1318</v>
      </c>
      <c r="Z95" s="22">
        <v>369</v>
      </c>
      <c r="AA95" s="22">
        <v>1106</v>
      </c>
      <c r="AB95" s="22">
        <v>994</v>
      </c>
      <c r="AC95" s="22">
        <v>591</v>
      </c>
      <c r="AD95" s="22">
        <v>951</v>
      </c>
      <c r="AE95" s="22">
        <v>1013</v>
      </c>
      <c r="AF95" s="22">
        <v>1850</v>
      </c>
      <c r="AG95" s="22">
        <v>711</v>
      </c>
      <c r="AH95" s="87">
        <v>0</v>
      </c>
      <c r="AI95" s="87">
        <v>0</v>
      </c>
      <c r="AJ95" s="88">
        <f t="shared" si="94"/>
        <v>20394</v>
      </c>
      <c r="AK95" s="89">
        <v>20394</v>
      </c>
      <c r="AL95" s="24">
        <f t="shared" si="95"/>
        <v>0</v>
      </c>
      <c r="AN95" s="90"/>
      <c r="AO95" s="54"/>
    </row>
    <row r="96" spans="2:41" s="19" customFormat="1" x14ac:dyDescent="0.3">
      <c r="B96" s="44" t="s">
        <v>98</v>
      </c>
      <c r="C96" s="15"/>
      <c r="D96" s="15"/>
      <c r="E96" s="88">
        <v>113</v>
      </c>
      <c r="F96" s="88">
        <v>0</v>
      </c>
      <c r="G96" s="88">
        <v>0</v>
      </c>
      <c r="H96" s="88">
        <v>88</v>
      </c>
      <c r="I96" s="88">
        <v>47</v>
      </c>
      <c r="J96" s="88">
        <v>0</v>
      </c>
      <c r="K96" s="88">
        <v>66</v>
      </c>
      <c r="L96" s="88">
        <v>0</v>
      </c>
      <c r="M96" s="15">
        <v>0</v>
      </c>
      <c r="N96" s="88">
        <v>0</v>
      </c>
      <c r="O96" s="88">
        <v>119</v>
      </c>
      <c r="P96" s="88">
        <v>61</v>
      </c>
      <c r="Q96" s="88">
        <v>42</v>
      </c>
      <c r="R96" s="88">
        <v>46</v>
      </c>
      <c r="S96" s="88">
        <v>0</v>
      </c>
      <c r="T96" s="88">
        <v>30</v>
      </c>
      <c r="U96" s="15">
        <v>0</v>
      </c>
      <c r="V96" s="88">
        <v>0</v>
      </c>
      <c r="W96" s="88">
        <v>0</v>
      </c>
      <c r="X96" s="88">
        <v>71</v>
      </c>
      <c r="Y96" s="88">
        <v>111</v>
      </c>
      <c r="Z96" s="88">
        <v>0</v>
      </c>
      <c r="AA96" s="88">
        <v>42</v>
      </c>
      <c r="AB96" s="88">
        <v>0</v>
      </c>
      <c r="AC96" s="88">
        <v>162</v>
      </c>
      <c r="AD96" s="88">
        <v>36</v>
      </c>
      <c r="AE96" s="88">
        <v>26</v>
      </c>
      <c r="AF96" s="88">
        <v>101</v>
      </c>
      <c r="AG96" s="88">
        <v>0</v>
      </c>
      <c r="AH96" s="98">
        <v>0</v>
      </c>
      <c r="AI96" s="98">
        <v>0</v>
      </c>
      <c r="AJ96" s="88">
        <f t="shared" si="94"/>
        <v>1161</v>
      </c>
      <c r="AK96" s="89"/>
      <c r="AL96" s="44">
        <f t="shared" si="95"/>
        <v>1161</v>
      </c>
      <c r="AN96" s="99"/>
      <c r="AO96" s="100"/>
    </row>
    <row r="97" spans="1:41" s="19" customFormat="1" x14ac:dyDescent="0.3">
      <c r="B97" s="44" t="s">
        <v>99</v>
      </c>
      <c r="C97" s="15"/>
      <c r="D97" s="15"/>
      <c r="E97" s="88">
        <v>117</v>
      </c>
      <c r="F97" s="88">
        <v>124</v>
      </c>
      <c r="G97" s="88">
        <v>0</v>
      </c>
      <c r="H97" s="88">
        <v>158</v>
      </c>
      <c r="I97" s="88">
        <v>60</v>
      </c>
      <c r="J97" s="88">
        <v>48</v>
      </c>
      <c r="K97" s="88">
        <v>0</v>
      </c>
      <c r="L97" s="88">
        <v>0</v>
      </c>
      <c r="M97" s="15">
        <v>64</v>
      </c>
      <c r="N97" s="88">
        <v>162</v>
      </c>
      <c r="O97" s="88">
        <v>0</v>
      </c>
      <c r="P97" s="88">
        <v>0</v>
      </c>
      <c r="Q97" s="88">
        <v>0</v>
      </c>
      <c r="R97" s="88">
        <v>163</v>
      </c>
      <c r="S97" s="88">
        <v>0</v>
      </c>
      <c r="T97" s="88">
        <v>0</v>
      </c>
      <c r="U97" s="15">
        <v>106</v>
      </c>
      <c r="V97" s="88">
        <v>0</v>
      </c>
      <c r="W97" s="88">
        <v>0</v>
      </c>
      <c r="X97" s="88">
        <v>0</v>
      </c>
      <c r="Y97" s="88">
        <v>125</v>
      </c>
      <c r="Z97" s="88">
        <v>0</v>
      </c>
      <c r="AA97" s="88">
        <v>51</v>
      </c>
      <c r="AB97" s="88">
        <v>0</v>
      </c>
      <c r="AC97" s="88">
        <v>56</v>
      </c>
      <c r="AD97" s="88">
        <v>97</v>
      </c>
      <c r="AE97" s="88">
        <v>110</v>
      </c>
      <c r="AF97" s="88">
        <v>0</v>
      </c>
      <c r="AG97" s="88">
        <v>108</v>
      </c>
      <c r="AH97" s="98">
        <v>89</v>
      </c>
      <c r="AI97" s="98">
        <v>72</v>
      </c>
      <c r="AJ97" s="88">
        <f t="shared" si="94"/>
        <v>1710</v>
      </c>
      <c r="AK97" s="89"/>
      <c r="AL97" s="44">
        <f t="shared" si="95"/>
        <v>1710</v>
      </c>
      <c r="AN97" s="99"/>
      <c r="AO97" s="100"/>
    </row>
    <row r="98" spans="1:41" x14ac:dyDescent="0.3">
      <c r="E98" s="3" t="b">
        <f t="shared" ref="E98:AH98" si="96">IF((SUM(E90:E95)=(E123+E124+E125+E126)), TRUE, FALSE)</f>
        <v>1</v>
      </c>
      <c r="F98" s="3" t="b">
        <f t="shared" si="96"/>
        <v>1</v>
      </c>
      <c r="G98" s="3" t="b">
        <f>IF((SUM(G90:G95)=(G123+G124+G125+G126)), TRUE, FALSE)</f>
        <v>1</v>
      </c>
      <c r="H98" s="3" t="b">
        <f t="shared" si="96"/>
        <v>1</v>
      </c>
      <c r="I98" s="3" t="b">
        <f>IF((SUM(I90:I95)=(I123+I124+I125+I126)), TRUE, FALSE)</f>
        <v>1</v>
      </c>
      <c r="J98" s="3" t="b">
        <f t="shared" si="96"/>
        <v>1</v>
      </c>
      <c r="K98" s="3" t="b">
        <f t="shared" si="96"/>
        <v>1</v>
      </c>
      <c r="L98" s="3" t="b">
        <f t="shared" si="96"/>
        <v>1</v>
      </c>
      <c r="M98" s="3" t="b">
        <f t="shared" si="96"/>
        <v>1</v>
      </c>
      <c r="N98" s="3" t="b">
        <f t="shared" si="96"/>
        <v>1</v>
      </c>
      <c r="O98" s="3" t="b">
        <f>IF((SUM(O90:O95)=(O123+O124+O125+O126)), TRUE, FALSE)</f>
        <v>1</v>
      </c>
      <c r="P98" s="3" t="b">
        <f>IF((SUM(P90:P95)=(P123+P124+P125+P126)), TRUE, FALSE)</f>
        <v>1</v>
      </c>
      <c r="Q98" s="3" t="b">
        <f>IF((SUM(Q90:Q95)=(Q123+Q124+Q125+Q126)), TRUE, FALSE)</f>
        <v>1</v>
      </c>
      <c r="R98" s="3" t="b">
        <f>IF((SUM(R90:R95)=(R123+R124+R125+R126)), TRUE, FALSE)</f>
        <v>1</v>
      </c>
      <c r="S98" s="3" t="b">
        <f>IF((SUM(S90:S95)=(S123+S124+S125+S126)), TRUE, FALSE)</f>
        <v>1</v>
      </c>
      <c r="T98" s="3" t="b">
        <f t="shared" si="96"/>
        <v>1</v>
      </c>
      <c r="U98" s="3" t="b">
        <f t="shared" si="96"/>
        <v>1</v>
      </c>
      <c r="V98" s="3" t="b">
        <f t="shared" si="96"/>
        <v>1</v>
      </c>
      <c r="W98" s="3" t="b">
        <f t="shared" si="96"/>
        <v>1</v>
      </c>
      <c r="X98" s="3" t="b">
        <f t="shared" si="96"/>
        <v>1</v>
      </c>
      <c r="Y98" s="3" t="b">
        <f t="shared" si="96"/>
        <v>1</v>
      </c>
      <c r="Z98" s="3" t="b">
        <f t="shared" si="96"/>
        <v>1</v>
      </c>
      <c r="AA98" s="3" t="b">
        <f t="shared" si="96"/>
        <v>1</v>
      </c>
      <c r="AB98" s="3" t="b">
        <f t="shared" si="96"/>
        <v>1</v>
      </c>
      <c r="AC98" s="3" t="b">
        <f t="shared" si="96"/>
        <v>1</v>
      </c>
      <c r="AD98" s="3" t="b">
        <f t="shared" si="96"/>
        <v>1</v>
      </c>
      <c r="AE98" s="3" t="b">
        <f t="shared" si="96"/>
        <v>1</v>
      </c>
      <c r="AF98" s="3" t="b">
        <f t="shared" si="96"/>
        <v>1</v>
      </c>
      <c r="AG98" s="3" t="b">
        <f t="shared" si="96"/>
        <v>1</v>
      </c>
      <c r="AH98" s="3" t="b">
        <f t="shared" si="96"/>
        <v>1</v>
      </c>
      <c r="AI98" s="3" t="b">
        <f t="shared" ref="AI98" si="97">IF((SUM(AI90:AI95)=(AI123+AI124+AI125+AI126)), TRUE, FALSE)</f>
        <v>1</v>
      </c>
      <c r="AJ98" s="3" t="b">
        <f>IF((SUM(AJ90:AJ95)=(AJ123+AJ124+AJ125+AJ126)), TRUE, FALSE)</f>
        <v>1</v>
      </c>
    </row>
    <row r="99" spans="1:41" x14ac:dyDescent="0.3">
      <c r="A99" s="101" t="s">
        <v>100</v>
      </c>
      <c r="B99" s="102"/>
      <c r="C99" s="103"/>
      <c r="D99" s="103"/>
      <c r="E99" s="104"/>
      <c r="F99" s="104"/>
      <c r="G99" s="262">
        <f>G97/G87</f>
        <v>0</v>
      </c>
      <c r="H99" s="104"/>
      <c r="I99" s="104"/>
      <c r="J99" s="104"/>
      <c r="K99" s="104"/>
      <c r="L99" s="104"/>
      <c r="M99" s="103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2"/>
      <c r="AL99" s="102"/>
    </row>
    <row r="100" spans="1:41" x14ac:dyDescent="0.3">
      <c r="A100" s="24"/>
      <c r="B100" s="105" t="s">
        <v>101</v>
      </c>
      <c r="C100" s="106"/>
      <c r="D100" s="106"/>
      <c r="E100" s="107"/>
      <c r="F100" s="107"/>
      <c r="G100" s="107"/>
      <c r="H100" s="107"/>
      <c r="I100" s="107"/>
      <c r="J100" s="107"/>
      <c r="K100" s="107"/>
      <c r="L100" s="107"/>
      <c r="M100" s="107"/>
      <c r="N100" s="106"/>
      <c r="O100" s="106"/>
      <c r="P100" s="106"/>
      <c r="Q100" s="106"/>
      <c r="R100" s="106"/>
      <c r="S100" s="106"/>
      <c r="T100" s="106"/>
      <c r="U100" s="106"/>
      <c r="V100" s="107"/>
      <c r="W100" s="107"/>
      <c r="X100" s="107"/>
      <c r="Y100" s="107"/>
      <c r="Z100" s="107"/>
      <c r="AA100" s="107"/>
      <c r="AB100" s="107"/>
      <c r="AC100" s="107"/>
      <c r="AD100" s="107"/>
      <c r="AE100" s="107"/>
      <c r="AF100" s="107"/>
      <c r="AG100" s="107"/>
      <c r="AH100" s="107"/>
      <c r="AI100" s="107"/>
      <c r="AJ100" s="108">
        <f>SUM(E100:AH100)</f>
        <v>0</v>
      </c>
      <c r="AK100" s="109"/>
      <c r="AL100" s="109"/>
    </row>
    <row r="101" spans="1:41" x14ac:dyDescent="0.3">
      <c r="A101" s="24"/>
      <c r="B101" s="81" t="s">
        <v>102</v>
      </c>
      <c r="C101" s="10"/>
      <c r="D101" s="10"/>
      <c r="E101" s="10">
        <v>29.09</v>
      </c>
      <c r="F101" s="110">
        <v>0</v>
      </c>
      <c r="G101" s="110">
        <v>39.43</v>
      </c>
      <c r="H101" s="22">
        <v>28.09</v>
      </c>
      <c r="I101" s="22">
        <v>0</v>
      </c>
      <c r="J101" s="22">
        <v>0</v>
      </c>
      <c r="K101" s="22">
        <v>73.819999999999993</v>
      </c>
      <c r="L101" s="22">
        <v>28.78</v>
      </c>
      <c r="M101" s="22">
        <v>0</v>
      </c>
      <c r="N101" s="22">
        <v>0</v>
      </c>
      <c r="O101" s="22">
        <v>0</v>
      </c>
      <c r="P101" s="22">
        <v>0</v>
      </c>
      <c r="Q101" s="22">
        <v>0</v>
      </c>
      <c r="R101" s="10">
        <v>91.74</v>
      </c>
      <c r="S101" s="10">
        <v>0</v>
      </c>
      <c r="T101" s="10">
        <v>0</v>
      </c>
      <c r="U101" s="10">
        <v>29.87</v>
      </c>
      <c r="V101" s="10">
        <v>0</v>
      </c>
      <c r="W101" s="110">
        <v>0</v>
      </c>
      <c r="X101" s="10">
        <v>0</v>
      </c>
      <c r="Y101" s="10">
        <v>66.75</v>
      </c>
      <c r="Z101" s="10">
        <v>0</v>
      </c>
      <c r="AA101" s="112">
        <v>34.5</v>
      </c>
      <c r="AB101" s="10">
        <v>0</v>
      </c>
      <c r="AC101" s="10">
        <v>0</v>
      </c>
      <c r="AD101" s="10">
        <v>29.39</v>
      </c>
      <c r="AE101" s="10">
        <v>0</v>
      </c>
      <c r="AF101" s="22">
        <v>0</v>
      </c>
      <c r="AG101" s="22">
        <v>0</v>
      </c>
      <c r="AH101" s="22">
        <v>0</v>
      </c>
      <c r="AI101" s="22">
        <v>0</v>
      </c>
      <c r="AJ101" s="38">
        <f>SUM(E101:AI101)</f>
        <v>451.46</v>
      </c>
      <c r="AK101" s="24" t="s">
        <v>103</v>
      </c>
      <c r="AL101" s="113">
        <f>AJ101/COUNTIF(E101:AI101,"&gt;-1")</f>
        <v>14.563225806451612</v>
      </c>
    </row>
    <row r="102" spans="1:41" x14ac:dyDescent="0.3">
      <c r="A102" s="24"/>
      <c r="B102" s="81" t="s">
        <v>104</v>
      </c>
      <c r="C102" s="10"/>
      <c r="D102" s="10"/>
      <c r="E102" s="22">
        <v>553</v>
      </c>
      <c r="F102" s="22">
        <v>0</v>
      </c>
      <c r="G102" s="22">
        <v>424</v>
      </c>
      <c r="H102" s="22">
        <v>2742</v>
      </c>
      <c r="I102" s="22">
        <v>0</v>
      </c>
      <c r="J102" s="22">
        <v>0</v>
      </c>
      <c r="K102" s="22">
        <v>583</v>
      </c>
      <c r="L102" s="22">
        <v>695</v>
      </c>
      <c r="M102" s="22">
        <v>0</v>
      </c>
      <c r="N102" s="22">
        <v>0</v>
      </c>
      <c r="O102" s="22">
        <v>0</v>
      </c>
      <c r="P102" s="22">
        <v>0</v>
      </c>
      <c r="Q102" s="22">
        <v>0</v>
      </c>
      <c r="R102" s="22">
        <v>1512</v>
      </c>
      <c r="S102" s="22">
        <v>0</v>
      </c>
      <c r="T102" s="22">
        <v>0</v>
      </c>
      <c r="U102" s="22">
        <v>2305</v>
      </c>
      <c r="V102" s="22">
        <v>0</v>
      </c>
      <c r="W102" s="114">
        <v>0</v>
      </c>
      <c r="X102" s="22">
        <v>0</v>
      </c>
      <c r="Y102" s="22">
        <v>761</v>
      </c>
      <c r="Z102" s="22">
        <v>0</v>
      </c>
      <c r="AA102" s="115">
        <v>3289</v>
      </c>
      <c r="AB102" s="22">
        <v>0</v>
      </c>
      <c r="AC102" s="22">
        <v>0</v>
      </c>
      <c r="AD102" s="22">
        <v>3275</v>
      </c>
      <c r="AE102" s="22">
        <v>0</v>
      </c>
      <c r="AF102" s="22">
        <v>0</v>
      </c>
      <c r="AG102" s="22">
        <v>0</v>
      </c>
      <c r="AH102" s="22">
        <v>0</v>
      </c>
      <c r="AI102" s="22">
        <v>0</v>
      </c>
      <c r="AJ102" s="38">
        <f>SUMPRODUCT(E102:AI102,E101:AI101)/AJ101</f>
        <v>1419.7221459265495</v>
      </c>
      <c r="AK102" s="24"/>
      <c r="AL102" s="24"/>
    </row>
    <row r="103" spans="1:41" x14ac:dyDescent="0.3">
      <c r="A103" s="116" t="s">
        <v>105</v>
      </c>
      <c r="R103"/>
      <c r="S103"/>
      <c r="T103"/>
      <c r="U103"/>
      <c r="AJ103" s="117"/>
      <c r="AN103" s="83"/>
      <c r="AO103" s="83"/>
    </row>
    <row r="104" spans="1:41" x14ac:dyDescent="0.3">
      <c r="A104" s="24"/>
      <c r="B104" s="81" t="s">
        <v>101</v>
      </c>
      <c r="C104" s="10"/>
      <c r="D104" s="10"/>
      <c r="E104" s="22"/>
      <c r="F104" s="22"/>
      <c r="G104" s="22"/>
      <c r="H104" s="22"/>
      <c r="I104" s="22"/>
      <c r="J104" s="22"/>
      <c r="K104" s="22"/>
      <c r="L104" s="22"/>
      <c r="M104" s="22"/>
      <c r="N104" s="10"/>
      <c r="O104" s="10"/>
      <c r="P104" s="10"/>
      <c r="Q104" s="10"/>
      <c r="R104" s="10"/>
      <c r="S104" s="10"/>
      <c r="T104" s="10"/>
      <c r="U104" s="10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38">
        <f>SUM(E104:AH104)</f>
        <v>0</v>
      </c>
      <c r="AK104" s="24"/>
      <c r="AL104" s="24"/>
    </row>
    <row r="105" spans="1:41" x14ac:dyDescent="0.3">
      <c r="A105" s="24"/>
      <c r="B105" s="81" t="s">
        <v>102</v>
      </c>
      <c r="C105" s="10"/>
      <c r="D105" s="10"/>
      <c r="E105" s="10">
        <v>29.14</v>
      </c>
      <c r="F105" s="110">
        <v>0</v>
      </c>
      <c r="G105" s="110">
        <v>32.479999999999997</v>
      </c>
      <c r="H105" s="110">
        <v>0</v>
      </c>
      <c r="I105" s="110">
        <v>0</v>
      </c>
      <c r="J105" s="22">
        <v>0</v>
      </c>
      <c r="K105" s="22">
        <v>79.290000000000006</v>
      </c>
      <c r="L105" s="22">
        <v>30.8</v>
      </c>
      <c r="M105" s="22">
        <v>0</v>
      </c>
      <c r="N105" s="22">
        <v>34.51</v>
      </c>
      <c r="O105" s="22">
        <v>0</v>
      </c>
      <c r="P105" s="22">
        <v>28.47</v>
      </c>
      <c r="Q105" s="111">
        <v>0</v>
      </c>
      <c r="R105" s="110">
        <v>47.08</v>
      </c>
      <c r="S105" s="110">
        <v>0</v>
      </c>
      <c r="T105" s="110">
        <v>74.790000000000006</v>
      </c>
      <c r="U105" s="110">
        <v>22.64</v>
      </c>
      <c r="V105" s="110">
        <v>0</v>
      </c>
      <c r="W105" s="110">
        <v>0</v>
      </c>
      <c r="X105" s="22">
        <v>0</v>
      </c>
      <c r="Y105" s="22">
        <v>0</v>
      </c>
      <c r="Z105" s="22">
        <v>0</v>
      </c>
      <c r="AA105" s="10">
        <v>0</v>
      </c>
      <c r="AB105" s="10">
        <v>0</v>
      </c>
      <c r="AC105" s="10">
        <v>0</v>
      </c>
      <c r="AD105" s="10">
        <v>0</v>
      </c>
      <c r="AE105" s="23">
        <v>0</v>
      </c>
      <c r="AF105" s="22">
        <v>0</v>
      </c>
      <c r="AG105" s="22">
        <v>0</v>
      </c>
      <c r="AH105" s="22">
        <v>0</v>
      </c>
      <c r="AI105" s="22">
        <v>33.93</v>
      </c>
      <c r="AJ105" s="23">
        <f>SUM(E105:AI105)</f>
        <v>413.13</v>
      </c>
      <c r="AK105" s="24" t="s">
        <v>103</v>
      </c>
      <c r="AL105" s="113">
        <f>AJ105/COUNTIF(E105:AH105,"&gt;-1")</f>
        <v>13.770999999999999</v>
      </c>
    </row>
    <row r="106" spans="1:41" x14ac:dyDescent="0.3">
      <c r="A106" s="24"/>
      <c r="B106" s="81" t="s">
        <v>106</v>
      </c>
      <c r="C106" s="10"/>
      <c r="D106" s="10"/>
      <c r="E106" s="22">
        <v>553</v>
      </c>
      <c r="F106" s="22">
        <v>0</v>
      </c>
      <c r="G106" s="22">
        <v>424</v>
      </c>
      <c r="H106" s="22">
        <v>0</v>
      </c>
      <c r="I106" s="22">
        <v>0</v>
      </c>
      <c r="J106" s="22">
        <v>0</v>
      </c>
      <c r="K106" s="22">
        <v>583</v>
      </c>
      <c r="L106" s="22">
        <v>695</v>
      </c>
      <c r="M106" s="22">
        <v>0</v>
      </c>
      <c r="N106" s="22">
        <v>2372</v>
      </c>
      <c r="O106" s="22">
        <v>0</v>
      </c>
      <c r="P106" s="22">
        <v>2541</v>
      </c>
      <c r="Q106" s="22">
        <v>0</v>
      </c>
      <c r="R106" s="22">
        <v>1512</v>
      </c>
      <c r="S106" s="22">
        <v>0</v>
      </c>
      <c r="T106" s="22">
        <v>1213</v>
      </c>
      <c r="U106" s="118">
        <v>2305</v>
      </c>
      <c r="V106" s="118">
        <v>0</v>
      </c>
      <c r="W106" s="114">
        <v>0</v>
      </c>
      <c r="X106" s="22">
        <v>0</v>
      </c>
      <c r="Y106" s="22">
        <v>0</v>
      </c>
      <c r="Z106" s="22">
        <v>0</v>
      </c>
      <c r="AA106" s="22">
        <v>0</v>
      </c>
      <c r="AB106" s="22">
        <v>0</v>
      </c>
      <c r="AC106" s="22">
        <v>0</v>
      </c>
      <c r="AD106" s="22">
        <v>0</v>
      </c>
      <c r="AE106" s="22">
        <v>0</v>
      </c>
      <c r="AF106" s="22">
        <v>0</v>
      </c>
      <c r="AG106" s="22">
        <v>0</v>
      </c>
      <c r="AH106" s="22">
        <v>0</v>
      </c>
      <c r="AI106" s="22">
        <v>3785</v>
      </c>
      <c r="AJ106" s="38">
        <f>IFERROR(SUMPRODUCT(E106:AI106,E105:AI105)/AJ105,0)</f>
        <v>1438.3692300244475</v>
      </c>
      <c r="AK106" s="24"/>
      <c r="AL106" s="24"/>
    </row>
    <row r="107" spans="1:41" x14ac:dyDescent="0.3">
      <c r="N107" s="119"/>
      <c r="O107"/>
      <c r="P107"/>
      <c r="Q107"/>
      <c r="R107"/>
      <c r="S107"/>
      <c r="T107"/>
      <c r="U107"/>
    </row>
    <row r="108" spans="1:41" x14ac:dyDescent="0.3">
      <c r="B108" s="120" t="s">
        <v>107</v>
      </c>
      <c r="N108" s="121"/>
      <c r="O108" s="86"/>
      <c r="P108"/>
      <c r="R108"/>
      <c r="S108"/>
      <c r="T108"/>
      <c r="U108"/>
    </row>
    <row r="109" spans="1:41" x14ac:dyDescent="0.3">
      <c r="B109" s="122" t="s">
        <v>108</v>
      </c>
      <c r="C109" s="2" t="s">
        <v>109</v>
      </c>
      <c r="E109" s="123">
        <v>0.06</v>
      </c>
      <c r="F109" s="123">
        <v>0.01</v>
      </c>
      <c r="G109" s="123">
        <v>0</v>
      </c>
      <c r="H109" s="123">
        <v>7.0000000000000007E-2</v>
      </c>
      <c r="I109" s="123">
        <v>0</v>
      </c>
      <c r="J109" s="123">
        <v>0.1</v>
      </c>
      <c r="K109" s="123">
        <v>0.22</v>
      </c>
      <c r="L109" s="123">
        <v>0.1</v>
      </c>
      <c r="M109" s="124">
        <v>7.0000000000000007E-2</v>
      </c>
      <c r="N109" s="123">
        <v>0.12</v>
      </c>
      <c r="O109" s="123">
        <v>0.11</v>
      </c>
      <c r="P109" s="123">
        <v>0.13</v>
      </c>
      <c r="Q109" s="123">
        <v>0.16</v>
      </c>
      <c r="R109" s="123">
        <v>0.15</v>
      </c>
      <c r="S109" s="123">
        <v>0.11</v>
      </c>
      <c r="T109" s="123">
        <v>0.15</v>
      </c>
      <c r="U109" s="123">
        <v>0.12</v>
      </c>
      <c r="V109" s="123">
        <v>0.02</v>
      </c>
      <c r="W109" s="123">
        <v>7.0000000000000007E-2</v>
      </c>
      <c r="X109" s="123">
        <v>0</v>
      </c>
      <c r="Y109" s="123">
        <v>0.04</v>
      </c>
      <c r="Z109" s="123">
        <v>0.08</v>
      </c>
      <c r="AA109" s="123">
        <v>0.05</v>
      </c>
      <c r="AB109" s="123">
        <v>0.04</v>
      </c>
      <c r="AC109" s="123">
        <v>0.12</v>
      </c>
      <c r="AD109" s="123">
        <v>0.03</v>
      </c>
      <c r="AE109" s="123">
        <v>0</v>
      </c>
      <c r="AF109" s="123">
        <v>0.13</v>
      </c>
      <c r="AG109" s="123">
        <v>0</v>
      </c>
      <c r="AH109" s="123">
        <v>0</v>
      </c>
      <c r="AI109" s="123">
        <v>0</v>
      </c>
      <c r="AJ109" s="123">
        <f>SUMPRODUCT(E109:AH109,$E$113:$AH$113)/SUM($E$113:$AH$113)</f>
        <v>8.4858651958697129E-2</v>
      </c>
    </row>
    <row r="110" spans="1:41" x14ac:dyDescent="0.3">
      <c r="B110" s="122" t="s">
        <v>110</v>
      </c>
      <c r="C110" s="2" t="s">
        <v>109</v>
      </c>
      <c r="E110" s="123">
        <v>0.11</v>
      </c>
      <c r="F110" s="123">
        <v>0.13</v>
      </c>
      <c r="G110" s="123">
        <v>0.14000000000000001</v>
      </c>
      <c r="H110" s="123">
        <v>0.19</v>
      </c>
      <c r="I110" s="123">
        <v>0.21</v>
      </c>
      <c r="J110" s="123">
        <v>0.26</v>
      </c>
      <c r="K110" s="123">
        <v>0.14000000000000001</v>
      </c>
      <c r="L110" s="123">
        <v>0.18</v>
      </c>
      <c r="M110" s="124">
        <v>0.25</v>
      </c>
      <c r="N110" s="123">
        <v>0.05</v>
      </c>
      <c r="O110" s="123">
        <v>0.03</v>
      </c>
      <c r="P110" s="123">
        <v>0.08</v>
      </c>
      <c r="Q110" s="123">
        <v>0.15</v>
      </c>
      <c r="R110" s="123">
        <v>0.18</v>
      </c>
      <c r="S110" s="123">
        <v>0.11</v>
      </c>
      <c r="T110" s="123">
        <v>0.06</v>
      </c>
      <c r="U110" s="123">
        <v>0.14000000000000001</v>
      </c>
      <c r="V110" s="123">
        <v>0.04</v>
      </c>
      <c r="W110" s="123">
        <v>0.08</v>
      </c>
      <c r="X110" s="123">
        <v>0.25</v>
      </c>
      <c r="Y110" s="123">
        <v>0.03</v>
      </c>
      <c r="Z110" s="123">
        <v>0.25</v>
      </c>
      <c r="AA110" s="123">
        <v>0</v>
      </c>
      <c r="AB110" s="123">
        <v>0</v>
      </c>
      <c r="AC110" s="123">
        <v>0.02</v>
      </c>
      <c r="AD110" s="123">
        <v>0.2</v>
      </c>
      <c r="AE110" s="123">
        <v>0</v>
      </c>
      <c r="AF110" s="123">
        <v>0</v>
      </c>
      <c r="AG110" s="123">
        <v>0</v>
      </c>
      <c r="AH110" s="123">
        <v>0</v>
      </c>
      <c r="AI110" s="123">
        <v>0</v>
      </c>
      <c r="AJ110" s="123">
        <f>SUMPRODUCT(E110:AH110,$E$113:$AH$113)/SUM($E$113:$AH$113)</f>
        <v>0.13296190033254512</v>
      </c>
    </row>
    <row r="111" spans="1:41" x14ac:dyDescent="0.3">
      <c r="B111" s="122" t="s">
        <v>111</v>
      </c>
      <c r="C111" s="2" t="s">
        <v>109</v>
      </c>
      <c r="E111" s="123">
        <v>0</v>
      </c>
      <c r="F111" s="123">
        <v>0.03</v>
      </c>
      <c r="G111" s="123">
        <v>7.0000000000000007E-2</v>
      </c>
      <c r="H111" s="123">
        <v>0.06</v>
      </c>
      <c r="I111" s="123">
        <v>0.04</v>
      </c>
      <c r="J111" s="123">
        <v>7.0000000000000007E-2</v>
      </c>
      <c r="K111" s="123">
        <v>0.28999999999999998</v>
      </c>
      <c r="L111" s="123">
        <v>0.13</v>
      </c>
      <c r="M111" s="124">
        <v>0.09</v>
      </c>
      <c r="N111" s="123">
        <v>0.14000000000000001</v>
      </c>
      <c r="O111" s="123">
        <v>0.11</v>
      </c>
      <c r="P111" s="123">
        <v>0.02</v>
      </c>
      <c r="Q111" s="123">
        <v>0</v>
      </c>
      <c r="R111" s="123">
        <v>0.02</v>
      </c>
      <c r="S111" s="123">
        <v>0.12</v>
      </c>
      <c r="T111" s="123">
        <v>0.16</v>
      </c>
      <c r="U111" s="123">
        <v>0.15</v>
      </c>
      <c r="V111" s="123">
        <v>0.09</v>
      </c>
      <c r="W111" s="123">
        <v>0</v>
      </c>
      <c r="X111" s="123">
        <v>0.03</v>
      </c>
      <c r="Y111" s="123">
        <v>0.12</v>
      </c>
      <c r="Z111" s="123">
        <v>0</v>
      </c>
      <c r="AA111" s="123">
        <v>0.22</v>
      </c>
      <c r="AB111" s="123">
        <v>0.19</v>
      </c>
      <c r="AC111" s="123">
        <v>0.15</v>
      </c>
      <c r="AD111" s="123">
        <v>0.05</v>
      </c>
      <c r="AE111" s="123">
        <v>0</v>
      </c>
      <c r="AF111" s="123">
        <v>0</v>
      </c>
      <c r="AG111" s="123">
        <v>0</v>
      </c>
      <c r="AH111" s="123">
        <v>0</v>
      </c>
      <c r="AI111" s="123">
        <v>0</v>
      </c>
      <c r="AJ111" s="123">
        <f>SUMPRODUCT(E111:AH111,$E$113:$AH$113)/SUM($E$113:$AH$113)</f>
        <v>8.8790566462073908E-2</v>
      </c>
    </row>
    <row r="112" spans="1:41" x14ac:dyDescent="0.3">
      <c r="B112" s="122" t="s">
        <v>112</v>
      </c>
      <c r="C112" s="2" t="s">
        <v>109</v>
      </c>
      <c r="E112" s="34">
        <v>21253</v>
      </c>
      <c r="F112" s="34">
        <v>23383</v>
      </c>
      <c r="G112" s="34">
        <v>18764</v>
      </c>
      <c r="H112" s="34">
        <v>19472</v>
      </c>
      <c r="I112" s="34">
        <v>16995</v>
      </c>
      <c r="J112" s="34">
        <v>18862</v>
      </c>
      <c r="K112" s="34">
        <v>8849</v>
      </c>
      <c r="L112" s="34">
        <v>14876</v>
      </c>
      <c r="M112" s="78">
        <v>13948</v>
      </c>
      <c r="N112" s="34">
        <v>11084</v>
      </c>
      <c r="O112" s="34">
        <v>4742</v>
      </c>
      <c r="P112" s="34">
        <v>9740</v>
      </c>
      <c r="Q112" s="34">
        <v>11000</v>
      </c>
      <c r="R112" s="34">
        <v>16556</v>
      </c>
      <c r="S112" s="34">
        <v>12392</v>
      </c>
      <c r="T112" s="34">
        <v>14574</v>
      </c>
      <c r="U112" s="34">
        <v>19163</v>
      </c>
      <c r="V112" s="34">
        <v>28788</v>
      </c>
      <c r="W112" s="34">
        <v>24264</v>
      </c>
      <c r="X112" s="34">
        <v>18640</v>
      </c>
      <c r="Y112" s="34">
        <v>17067</v>
      </c>
      <c r="Z112" s="34">
        <v>14048</v>
      </c>
      <c r="AA112" s="34">
        <v>12530</v>
      </c>
      <c r="AB112" s="34">
        <v>13972</v>
      </c>
      <c r="AC112" s="34">
        <v>14650</v>
      </c>
      <c r="AD112" s="34">
        <v>17466</v>
      </c>
      <c r="AE112" s="34">
        <v>10229</v>
      </c>
      <c r="AF112" s="34">
        <v>12693</v>
      </c>
      <c r="AG112" s="34">
        <v>7909</v>
      </c>
      <c r="AH112" s="34">
        <v>7587</v>
      </c>
      <c r="AI112" s="34">
        <v>9303</v>
      </c>
      <c r="AJ112" s="22"/>
    </row>
    <row r="113" spans="1:38" x14ac:dyDescent="0.3">
      <c r="B113" s="122" t="s">
        <v>113</v>
      </c>
      <c r="C113" s="2" t="s">
        <v>109</v>
      </c>
      <c r="E113" s="34">
        <v>24865</v>
      </c>
      <c r="F113" s="34">
        <v>24965</v>
      </c>
      <c r="G113" s="34">
        <v>15533</v>
      </c>
      <c r="H113" s="34">
        <v>23795</v>
      </c>
      <c r="I113" s="34">
        <v>18036</v>
      </c>
      <c r="J113" s="34">
        <v>26367</v>
      </c>
      <c r="K113" s="34">
        <v>20261</v>
      </c>
      <c r="L113" s="34">
        <v>24315</v>
      </c>
      <c r="M113" s="78">
        <v>19772</v>
      </c>
      <c r="N113" s="34">
        <v>15990</v>
      </c>
      <c r="O113" s="34">
        <v>6323</v>
      </c>
      <c r="P113" s="34">
        <v>11567</v>
      </c>
      <c r="Q113" s="34">
        <v>14000</v>
      </c>
      <c r="R113" s="34">
        <v>21694</v>
      </c>
      <c r="S113" s="34">
        <v>18747</v>
      </c>
      <c r="T113" s="34">
        <v>23202</v>
      </c>
      <c r="U113" s="34">
        <v>26421</v>
      </c>
      <c r="V113" s="34">
        <v>17935</v>
      </c>
      <c r="W113" s="34">
        <v>18327</v>
      </c>
      <c r="X113" s="34">
        <v>12062</v>
      </c>
      <c r="Y113" s="34">
        <v>17246</v>
      </c>
      <c r="Z113" s="34">
        <v>6448</v>
      </c>
      <c r="AA113" s="34">
        <v>8000</v>
      </c>
      <c r="AB113" s="34">
        <v>11013</v>
      </c>
      <c r="AC113" s="34">
        <v>12693</v>
      </c>
      <c r="AD113" s="34">
        <v>13819</v>
      </c>
      <c r="AE113" s="34" t="s">
        <v>276</v>
      </c>
      <c r="AF113" s="34">
        <v>4587</v>
      </c>
      <c r="AG113" s="34" t="s">
        <v>276</v>
      </c>
      <c r="AH113" s="34" t="s">
        <v>276</v>
      </c>
      <c r="AI113" s="34" t="s">
        <v>276</v>
      </c>
      <c r="AJ113" s="22"/>
    </row>
    <row r="114" spans="1:38" x14ac:dyDescent="0.3">
      <c r="B114" s="125"/>
      <c r="E114" s="82"/>
      <c r="F114" s="82"/>
      <c r="G114" s="82"/>
      <c r="H114" s="82"/>
      <c r="I114" s="82"/>
      <c r="J114" s="82"/>
      <c r="K114" s="82"/>
      <c r="L114" s="82"/>
      <c r="M114" s="126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  <c r="AA114" s="82"/>
      <c r="AB114" s="82"/>
      <c r="AC114" s="82"/>
      <c r="AD114" s="82"/>
      <c r="AE114" s="82"/>
      <c r="AF114" s="82"/>
      <c r="AG114" s="82"/>
      <c r="AH114" s="82"/>
      <c r="AI114" s="82"/>
    </row>
    <row r="115" spans="1:38" x14ac:dyDescent="0.3">
      <c r="B115" s="122" t="s">
        <v>114</v>
      </c>
      <c r="C115" s="10" t="s">
        <v>115</v>
      </c>
      <c r="E115" s="34"/>
      <c r="F115" s="34"/>
      <c r="G115" s="34"/>
      <c r="H115" s="34"/>
      <c r="I115" s="34"/>
      <c r="J115" s="34"/>
      <c r="K115" s="34"/>
      <c r="L115" s="34"/>
      <c r="M115" s="78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22"/>
    </row>
    <row r="116" spans="1:38" x14ac:dyDescent="0.3">
      <c r="B116" s="122" t="s">
        <v>116</v>
      </c>
      <c r="C116" s="10" t="s">
        <v>115</v>
      </c>
      <c r="E116" s="34"/>
      <c r="F116" s="34"/>
      <c r="G116" s="34"/>
      <c r="H116" s="34"/>
      <c r="I116" s="34"/>
      <c r="J116" s="34"/>
      <c r="K116" s="34"/>
      <c r="L116" s="34"/>
      <c r="M116" s="78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22"/>
    </row>
    <row r="118" spans="1:38" x14ac:dyDescent="0.3">
      <c r="A118" s="346" t="s">
        <v>117</v>
      </c>
      <c r="B118" s="127" t="s">
        <v>39</v>
      </c>
      <c r="C118" s="10" t="s">
        <v>36</v>
      </c>
      <c r="E118" s="22">
        <v>106</v>
      </c>
      <c r="F118" s="22">
        <v>154</v>
      </c>
      <c r="G118" s="22">
        <v>124</v>
      </c>
      <c r="H118" s="22">
        <v>79</v>
      </c>
      <c r="I118" s="22">
        <v>87</v>
      </c>
      <c r="J118" s="22">
        <f>33-5</f>
        <v>28</v>
      </c>
      <c r="K118" s="22">
        <v>170</v>
      </c>
      <c r="L118" s="22">
        <v>73</v>
      </c>
      <c r="M118" s="22">
        <f>161-24</f>
        <v>137</v>
      </c>
      <c r="N118" s="22">
        <v>158</v>
      </c>
      <c r="O118" s="22">
        <v>28</v>
      </c>
      <c r="P118" s="22">
        <v>140</v>
      </c>
      <c r="Q118" s="22">
        <v>118</v>
      </c>
      <c r="R118" s="22">
        <v>46</v>
      </c>
      <c r="S118" s="22">
        <v>131</v>
      </c>
      <c r="T118" s="22">
        <v>80</v>
      </c>
      <c r="U118" s="22">
        <f>44-U119</f>
        <v>26</v>
      </c>
      <c r="V118" s="22">
        <f>174-V119</f>
        <v>107</v>
      </c>
      <c r="W118" s="22">
        <f>197-W119</f>
        <v>116</v>
      </c>
      <c r="X118" s="22">
        <f>244-X119</f>
        <v>144</v>
      </c>
      <c r="Y118" s="22">
        <f>66-Y119</f>
        <v>49</v>
      </c>
      <c r="Z118" s="22">
        <f>269-Z119</f>
        <v>144</v>
      </c>
      <c r="AA118" s="22">
        <f>121-AA119</f>
        <v>75</v>
      </c>
      <c r="AB118" s="22">
        <f>360-AB119</f>
        <v>204</v>
      </c>
      <c r="AC118" s="22">
        <f>208-AC119</f>
        <v>118</v>
      </c>
      <c r="AD118" s="22">
        <f>251-AD119</f>
        <v>134</v>
      </c>
      <c r="AE118" s="22">
        <f>446-AE119</f>
        <v>265</v>
      </c>
      <c r="AF118" s="22">
        <f>103-AF119</f>
        <v>64</v>
      </c>
      <c r="AG118" s="22">
        <f>298-AG119</f>
        <v>170</v>
      </c>
      <c r="AH118" s="22">
        <f>181-AH119</f>
        <v>114</v>
      </c>
      <c r="AI118" s="22">
        <f>298-AI119</f>
        <v>176</v>
      </c>
      <c r="AJ118" s="22">
        <f>SUM(E118:AI118)</f>
        <v>3565</v>
      </c>
      <c r="AK118" s="96"/>
    </row>
    <row r="119" spans="1:38" x14ac:dyDescent="0.3">
      <c r="A119" s="346"/>
      <c r="B119" s="127" t="s">
        <v>40</v>
      </c>
      <c r="C119" s="10" t="s">
        <v>36</v>
      </c>
      <c r="E119" s="22">
        <v>52</v>
      </c>
      <c r="F119" s="22">
        <v>101</v>
      </c>
      <c r="G119" s="22">
        <v>81</v>
      </c>
      <c r="H119" s="22">
        <v>52</v>
      </c>
      <c r="I119" s="22">
        <v>56</v>
      </c>
      <c r="J119" s="22">
        <v>18</v>
      </c>
      <c r="K119" s="22">
        <v>111</v>
      </c>
      <c r="L119" s="22">
        <v>48</v>
      </c>
      <c r="M119" s="22">
        <v>90</v>
      </c>
      <c r="N119" s="22">
        <v>103</v>
      </c>
      <c r="O119" s="22">
        <v>18</v>
      </c>
      <c r="P119" s="22">
        <v>92</v>
      </c>
      <c r="Q119" s="22">
        <v>77</v>
      </c>
      <c r="R119" s="22">
        <v>30</v>
      </c>
      <c r="S119" s="22">
        <v>91</v>
      </c>
      <c r="T119" s="22">
        <v>55</v>
      </c>
      <c r="U119" s="22">
        <v>18</v>
      </c>
      <c r="V119" s="22">
        <v>67</v>
      </c>
      <c r="W119" s="22">
        <v>81</v>
      </c>
      <c r="X119" s="22">
        <v>100</v>
      </c>
      <c r="Y119" s="22">
        <v>17</v>
      </c>
      <c r="Z119" s="22">
        <v>125</v>
      </c>
      <c r="AA119" s="22">
        <v>46</v>
      </c>
      <c r="AB119" s="22">
        <v>156</v>
      </c>
      <c r="AC119" s="22">
        <v>90</v>
      </c>
      <c r="AD119" s="22">
        <v>117</v>
      </c>
      <c r="AE119" s="22">
        <v>181</v>
      </c>
      <c r="AF119" s="22">
        <v>39</v>
      </c>
      <c r="AG119" s="22">
        <v>128</v>
      </c>
      <c r="AH119" s="22">
        <v>67</v>
      </c>
      <c r="AI119" s="22">
        <v>122</v>
      </c>
      <c r="AJ119" s="22">
        <f>SUM(E119:AI119)</f>
        <v>2429</v>
      </c>
      <c r="AK119" s="96">
        <v>2429</v>
      </c>
    </row>
    <row r="120" spans="1:38" x14ac:dyDescent="0.3">
      <c r="A120" s="346" t="s">
        <v>118</v>
      </c>
      <c r="B120" s="127" t="s">
        <v>39</v>
      </c>
      <c r="C120" s="10" t="s">
        <v>36</v>
      </c>
      <c r="E120" s="22">
        <v>154</v>
      </c>
      <c r="F120" s="22">
        <v>87</v>
      </c>
      <c r="G120" s="22">
        <v>179</v>
      </c>
      <c r="H120" s="22">
        <v>177</v>
      </c>
      <c r="I120" s="22">
        <v>122</v>
      </c>
      <c r="J120" s="22">
        <v>112</v>
      </c>
      <c r="K120" s="22">
        <f>257-K28-38</f>
        <v>168</v>
      </c>
      <c r="L120" s="22">
        <v>177</v>
      </c>
      <c r="M120" s="22">
        <f>131-20-M28</f>
        <v>85</v>
      </c>
      <c r="N120" s="22">
        <v>23</v>
      </c>
      <c r="O120" s="22">
        <v>172</v>
      </c>
      <c r="P120" s="22">
        <v>178</v>
      </c>
      <c r="Q120" s="22">
        <f>337-Q121</f>
        <v>199</v>
      </c>
      <c r="R120" s="22">
        <f>310-R121</f>
        <v>183</v>
      </c>
      <c r="S120" s="22">
        <f>243-S121</f>
        <v>126</v>
      </c>
      <c r="T120" s="22">
        <f>293-T121</f>
        <v>152</v>
      </c>
      <c r="U120" s="22">
        <f>67-U121</f>
        <v>35</v>
      </c>
      <c r="V120" s="22">
        <f>240-V121</f>
        <v>125</v>
      </c>
      <c r="W120" s="22">
        <f>297-W121</f>
        <v>154</v>
      </c>
      <c r="X120" s="22">
        <f>274-X121</f>
        <v>142</v>
      </c>
      <c r="Y120" s="22">
        <f>162-Y121</f>
        <v>84</v>
      </c>
      <c r="Z120" s="22">
        <f>319-Z121</f>
        <v>148</v>
      </c>
      <c r="AA120" s="22">
        <f>226-AA121</f>
        <v>106</v>
      </c>
      <c r="AB120" s="22">
        <f>320-AB121</f>
        <v>149</v>
      </c>
      <c r="AC120" s="22">
        <f>259-AC121</f>
        <v>120</v>
      </c>
      <c r="AD120" s="22">
        <f>315-AD121</f>
        <v>146</v>
      </c>
      <c r="AE120" s="22">
        <f>417-AE121</f>
        <v>193</v>
      </c>
      <c r="AF120" s="22">
        <f>574-AF121</f>
        <v>266</v>
      </c>
      <c r="AG120" s="22">
        <f>432-AG121</f>
        <v>200</v>
      </c>
      <c r="AH120" s="22">
        <f>214-AH121</f>
        <v>99</v>
      </c>
      <c r="AI120" s="22">
        <f>191-AI121</f>
        <v>89</v>
      </c>
      <c r="AJ120" s="22">
        <f>SUM(E120:AI120)</f>
        <v>4350</v>
      </c>
    </row>
    <row r="121" spans="1:38" x14ac:dyDescent="0.3">
      <c r="A121" s="346"/>
      <c r="B121" s="127" t="s">
        <v>40</v>
      </c>
      <c r="C121" s="10" t="s">
        <v>36</v>
      </c>
      <c r="E121" s="22">
        <v>131</v>
      </c>
      <c r="F121" s="22">
        <v>74</v>
      </c>
      <c r="G121" s="22">
        <v>153</v>
      </c>
      <c r="H121" s="22">
        <v>152</v>
      </c>
      <c r="I121" s="22">
        <v>104</v>
      </c>
      <c r="J121" s="22">
        <v>96</v>
      </c>
      <c r="K121" s="22">
        <v>143</v>
      </c>
      <c r="L121" s="22">
        <v>152</v>
      </c>
      <c r="M121" s="22">
        <v>73</v>
      </c>
      <c r="N121" s="22">
        <v>27</v>
      </c>
      <c r="O121" s="22">
        <v>147</v>
      </c>
      <c r="P121" s="22">
        <v>145</v>
      </c>
      <c r="Q121" s="22">
        <v>138</v>
      </c>
      <c r="R121" s="22">
        <v>127</v>
      </c>
      <c r="S121" s="22">
        <v>117</v>
      </c>
      <c r="T121" s="22">
        <v>141</v>
      </c>
      <c r="U121" s="22">
        <v>32</v>
      </c>
      <c r="V121" s="22">
        <v>115</v>
      </c>
      <c r="W121" s="22">
        <v>143</v>
      </c>
      <c r="X121" s="22">
        <v>132</v>
      </c>
      <c r="Y121" s="22">
        <v>78</v>
      </c>
      <c r="Z121" s="22">
        <v>171</v>
      </c>
      <c r="AA121" s="22">
        <v>120</v>
      </c>
      <c r="AB121" s="22">
        <v>171</v>
      </c>
      <c r="AC121" s="22">
        <v>139</v>
      </c>
      <c r="AD121" s="22">
        <v>169</v>
      </c>
      <c r="AE121" s="22">
        <v>224</v>
      </c>
      <c r="AF121" s="22">
        <v>308</v>
      </c>
      <c r="AG121" s="22">
        <v>232</v>
      </c>
      <c r="AH121" s="22">
        <v>115</v>
      </c>
      <c r="AI121" s="22">
        <v>102</v>
      </c>
      <c r="AJ121" s="22">
        <f>SUM(E121:AI121)</f>
        <v>4171</v>
      </c>
      <c r="AK121" s="283">
        <v>4171</v>
      </c>
    </row>
    <row r="123" spans="1:38" x14ac:dyDescent="0.3">
      <c r="A123" s="347" t="s">
        <v>117</v>
      </c>
      <c r="B123" s="127" t="s">
        <v>119</v>
      </c>
      <c r="C123" s="10" t="s">
        <v>36</v>
      </c>
      <c r="E123" s="3">
        <v>0</v>
      </c>
      <c r="F123" s="3">
        <v>139</v>
      </c>
      <c r="G123" s="3">
        <v>323</v>
      </c>
      <c r="H123" s="3">
        <v>297</v>
      </c>
      <c r="I123" s="3">
        <v>356</v>
      </c>
      <c r="J123" s="3">
        <v>75</v>
      </c>
      <c r="K123" s="3">
        <v>469</v>
      </c>
      <c r="L123" s="3">
        <v>127</v>
      </c>
      <c r="M123" s="2">
        <v>472</v>
      </c>
      <c r="N123" s="3">
        <v>503</v>
      </c>
      <c r="O123" s="3">
        <v>152</v>
      </c>
      <c r="P123" s="3">
        <v>222</v>
      </c>
      <c r="Q123" s="3">
        <v>202</v>
      </c>
      <c r="R123" s="3">
        <v>0</v>
      </c>
      <c r="S123" s="3">
        <v>100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22">
        <f>SUM(E123:AI123)</f>
        <v>3437</v>
      </c>
      <c r="AK123" s="3">
        <v>3437</v>
      </c>
    </row>
    <row r="124" spans="1:38" x14ac:dyDescent="0.3">
      <c r="A124" s="347"/>
      <c r="B124" s="127" t="s">
        <v>120</v>
      </c>
      <c r="C124" s="10" t="s">
        <v>36</v>
      </c>
      <c r="E124" s="3">
        <f t="shared" ref="E124:AH124" si="98">E90+E91+E92+E93-E123</f>
        <v>1111</v>
      </c>
      <c r="F124" s="3">
        <f t="shared" si="98"/>
        <v>1574</v>
      </c>
      <c r="G124" s="3">
        <f t="shared" si="98"/>
        <v>828</v>
      </c>
      <c r="H124" s="3">
        <f t="shared" si="98"/>
        <v>536</v>
      </c>
      <c r="I124" s="3">
        <f t="shared" si="98"/>
        <v>496</v>
      </c>
      <c r="J124" s="3">
        <f t="shared" si="98"/>
        <v>203</v>
      </c>
      <c r="K124" s="3">
        <f t="shared" si="98"/>
        <v>1316</v>
      </c>
      <c r="L124" s="3">
        <f t="shared" si="98"/>
        <v>691</v>
      </c>
      <c r="M124" s="3">
        <f t="shared" si="98"/>
        <v>946</v>
      </c>
      <c r="N124" s="3">
        <f t="shared" si="98"/>
        <v>1259</v>
      </c>
      <c r="O124" s="3">
        <f t="shared" si="98"/>
        <v>156</v>
      </c>
      <c r="P124" s="3">
        <f t="shared" si="98"/>
        <v>1264</v>
      </c>
      <c r="Q124" s="3">
        <f t="shared" si="98"/>
        <v>983</v>
      </c>
      <c r="R124" s="3">
        <f t="shared" si="98"/>
        <v>512</v>
      </c>
      <c r="S124" s="3">
        <f t="shared" si="98"/>
        <v>1407</v>
      </c>
      <c r="T124" s="3">
        <f t="shared" si="98"/>
        <v>945</v>
      </c>
      <c r="U124" s="3">
        <f t="shared" si="98"/>
        <v>313</v>
      </c>
      <c r="V124" s="3">
        <f t="shared" si="98"/>
        <v>1008</v>
      </c>
      <c r="W124" s="3">
        <f t="shared" si="98"/>
        <v>1227</v>
      </c>
      <c r="X124" s="3">
        <f t="shared" si="98"/>
        <v>1707</v>
      </c>
      <c r="Y124" s="3">
        <f t="shared" si="98"/>
        <v>514</v>
      </c>
      <c r="Z124" s="3">
        <f t="shared" si="98"/>
        <v>1707</v>
      </c>
      <c r="AA124" s="3">
        <f t="shared" si="98"/>
        <v>799</v>
      </c>
      <c r="AB124" s="3">
        <f t="shared" si="98"/>
        <v>2324</v>
      </c>
      <c r="AC124" s="3">
        <f t="shared" si="98"/>
        <v>1354</v>
      </c>
      <c r="AD124" s="3">
        <f t="shared" si="98"/>
        <v>1588</v>
      </c>
      <c r="AE124" s="3">
        <f t="shared" si="98"/>
        <v>2781</v>
      </c>
      <c r="AF124" s="3">
        <f t="shared" si="98"/>
        <v>656</v>
      </c>
      <c r="AG124" s="3">
        <f t="shared" si="98"/>
        <v>1839</v>
      </c>
      <c r="AH124" s="3">
        <f t="shared" si="98"/>
        <v>1226</v>
      </c>
      <c r="AI124" s="3">
        <f t="shared" ref="AI124" si="99">AI90+AI91+AI92+AI93-AI123</f>
        <v>1670</v>
      </c>
      <c r="AJ124" s="22">
        <f>SUM(E124:AI124)</f>
        <v>34940</v>
      </c>
      <c r="AK124" s="3">
        <f>14006+11964+4787+7620</f>
        <v>38377</v>
      </c>
      <c r="AL124">
        <f>AK124-AK123</f>
        <v>34940</v>
      </c>
    </row>
    <row r="125" spans="1:38" x14ac:dyDescent="0.3">
      <c r="A125" s="347" t="s">
        <v>118</v>
      </c>
      <c r="B125" s="127" t="s">
        <v>119</v>
      </c>
      <c r="C125" s="10" t="s">
        <v>36</v>
      </c>
      <c r="E125" s="3">
        <v>850</v>
      </c>
      <c r="F125" s="3">
        <v>601</v>
      </c>
      <c r="G125" s="3">
        <v>385</v>
      </c>
      <c r="H125" s="3">
        <v>464</v>
      </c>
      <c r="I125" s="3">
        <v>342</v>
      </c>
      <c r="J125" s="3">
        <v>384</v>
      </c>
      <c r="K125" s="3">
        <v>350</v>
      </c>
      <c r="L125" s="3">
        <v>595</v>
      </c>
      <c r="M125" s="2">
        <v>371</v>
      </c>
      <c r="N125" s="3">
        <v>185</v>
      </c>
      <c r="O125" s="3">
        <v>370</v>
      </c>
      <c r="P125" s="3">
        <v>242</v>
      </c>
      <c r="Q125" s="3">
        <v>201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250</v>
      </c>
      <c r="AH125" s="3">
        <v>0</v>
      </c>
      <c r="AI125" s="3">
        <v>100</v>
      </c>
      <c r="AJ125" s="22">
        <f>SUM(E125:AI125)</f>
        <v>5690</v>
      </c>
      <c r="AK125" s="3">
        <v>5690</v>
      </c>
    </row>
    <row r="126" spans="1:38" x14ac:dyDescent="0.3">
      <c r="A126" s="347"/>
      <c r="B126" s="127" t="s">
        <v>120</v>
      </c>
      <c r="C126" s="10" t="s">
        <v>36</v>
      </c>
      <c r="E126" s="3">
        <f t="shared" ref="E126:AH126" si="100">E94+E95-E125</f>
        <v>1379</v>
      </c>
      <c r="F126" s="3">
        <f t="shared" si="100"/>
        <v>664</v>
      </c>
      <c r="G126" s="3">
        <f t="shared" si="100"/>
        <v>1990</v>
      </c>
      <c r="H126" s="3">
        <f t="shared" si="100"/>
        <v>1898</v>
      </c>
      <c r="I126" s="3">
        <f t="shared" si="100"/>
        <v>1432</v>
      </c>
      <c r="J126" s="3">
        <f t="shared" si="100"/>
        <v>1270</v>
      </c>
      <c r="K126" s="3">
        <f>K94+K95-K125</f>
        <v>2056</v>
      </c>
      <c r="L126" s="3">
        <f>L94+L95-L125</f>
        <v>1996</v>
      </c>
      <c r="M126" s="3">
        <f t="shared" si="100"/>
        <v>870</v>
      </c>
      <c r="N126" s="3">
        <f t="shared" si="100"/>
        <v>272</v>
      </c>
      <c r="O126" s="3">
        <f t="shared" si="100"/>
        <v>2135</v>
      </c>
      <c r="P126" s="3">
        <f t="shared" si="100"/>
        <v>2223</v>
      </c>
      <c r="Q126" s="3">
        <f t="shared" si="100"/>
        <v>2080</v>
      </c>
      <c r="R126" s="3">
        <f t="shared" si="100"/>
        <v>2177</v>
      </c>
      <c r="S126" s="3">
        <f t="shared" si="100"/>
        <v>1960</v>
      </c>
      <c r="T126" s="3">
        <f t="shared" si="100"/>
        <v>2409</v>
      </c>
      <c r="U126" s="3">
        <f t="shared" si="100"/>
        <v>540</v>
      </c>
      <c r="V126" s="3">
        <f t="shared" si="100"/>
        <v>1961</v>
      </c>
      <c r="W126" s="3">
        <f t="shared" si="100"/>
        <v>2443</v>
      </c>
      <c r="X126" s="3">
        <f t="shared" si="100"/>
        <v>2256</v>
      </c>
      <c r="Y126" s="3">
        <f t="shared" si="100"/>
        <v>1318</v>
      </c>
      <c r="Z126" s="3">
        <f t="shared" si="100"/>
        <v>2299</v>
      </c>
      <c r="AA126" s="3">
        <f t="shared" si="100"/>
        <v>1619</v>
      </c>
      <c r="AB126" s="3">
        <f t="shared" si="100"/>
        <v>2369</v>
      </c>
      <c r="AC126" s="3">
        <f t="shared" si="100"/>
        <v>1864</v>
      </c>
      <c r="AD126" s="3">
        <f t="shared" si="100"/>
        <v>2305</v>
      </c>
      <c r="AE126" s="3">
        <f t="shared" si="100"/>
        <v>2965</v>
      </c>
      <c r="AF126" s="3">
        <f t="shared" si="100"/>
        <v>3967</v>
      </c>
      <c r="AG126" s="3">
        <f t="shared" si="100"/>
        <v>2755</v>
      </c>
      <c r="AH126" s="3">
        <f t="shared" si="100"/>
        <v>1554</v>
      </c>
      <c r="AI126" s="3">
        <f>AI94+AI95-AI125</f>
        <v>1296</v>
      </c>
      <c r="AJ126" s="22">
        <f>SUM(E126:AI126)</f>
        <v>58322</v>
      </c>
      <c r="AK126" s="3">
        <f>43618+20394</f>
        <v>64012</v>
      </c>
      <c r="AL126">
        <f>AK126-AK125</f>
        <v>58322</v>
      </c>
    </row>
    <row r="127" spans="1:38" x14ac:dyDescent="0.3">
      <c r="A127" s="2"/>
      <c r="B127" s="128"/>
      <c r="C127" s="129"/>
      <c r="P127" s="130"/>
      <c r="Q127" s="130"/>
      <c r="R127" s="130"/>
      <c r="S127" s="130"/>
      <c r="T127" s="130"/>
      <c r="U127" s="130"/>
      <c r="V127" s="130"/>
    </row>
    <row r="128" spans="1:38" x14ac:dyDescent="0.3">
      <c r="B128" s="128" t="s">
        <v>121</v>
      </c>
      <c r="P128" s="130"/>
      <c r="Q128" s="130"/>
      <c r="R128" s="130"/>
      <c r="S128" s="130"/>
      <c r="T128" s="130"/>
      <c r="U128" s="130"/>
      <c r="V128" s="130"/>
    </row>
    <row r="129" spans="1:37" x14ac:dyDescent="0.3">
      <c r="A129" s="24"/>
      <c r="B129" s="345" t="s">
        <v>122</v>
      </c>
      <c r="C129" s="10" t="s">
        <v>117</v>
      </c>
      <c r="D129" s="10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>
        <f>SUM(E129:AH129)</f>
        <v>0</v>
      </c>
    </row>
    <row r="130" spans="1:37" x14ac:dyDescent="0.3">
      <c r="A130" s="24"/>
      <c r="B130" s="345"/>
      <c r="C130" s="10" t="s">
        <v>118</v>
      </c>
      <c r="D130" s="10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>
        <f>SUM(E130:AH130)</f>
        <v>0</v>
      </c>
    </row>
    <row r="131" spans="1:37" x14ac:dyDescent="0.3">
      <c r="A131" s="24"/>
      <c r="B131" s="345" t="s">
        <v>123</v>
      </c>
      <c r="C131" s="10" t="s">
        <v>117</v>
      </c>
      <c r="D131" s="10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>
        <f>SUM(E131:AH131)</f>
        <v>0</v>
      </c>
    </row>
    <row r="132" spans="1:37" x14ac:dyDescent="0.3">
      <c r="A132" s="24"/>
      <c r="B132" s="345"/>
      <c r="C132" s="10" t="s">
        <v>118</v>
      </c>
      <c r="D132" s="10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>
        <f>SUM(E132:AH132)</f>
        <v>0</v>
      </c>
    </row>
    <row r="133" spans="1:37" x14ac:dyDescent="0.3">
      <c r="B133" s="275"/>
      <c r="M133" s="3"/>
    </row>
    <row r="134" spans="1:37" x14ac:dyDescent="0.3">
      <c r="B134" s="44" t="s">
        <v>256</v>
      </c>
      <c r="E134" s="84">
        <f t="shared" ref="E134:AH134" si="101">E44+E57</f>
        <v>11459940</v>
      </c>
      <c r="F134" s="84">
        <f t="shared" si="101"/>
        <v>11657961</v>
      </c>
      <c r="G134" s="84">
        <f t="shared" si="101"/>
        <v>10267586</v>
      </c>
      <c r="H134" s="84">
        <f t="shared" si="101"/>
        <v>11724486</v>
      </c>
      <c r="I134" s="84">
        <f t="shared" si="101"/>
        <v>11380515</v>
      </c>
      <c r="J134" s="84">
        <f t="shared" si="101"/>
        <v>11719201</v>
      </c>
      <c r="K134" s="84">
        <f t="shared" si="101"/>
        <v>11350542</v>
      </c>
      <c r="L134" s="84">
        <f t="shared" si="101"/>
        <v>10970944</v>
      </c>
      <c r="M134" s="84">
        <f t="shared" si="101"/>
        <v>8056304</v>
      </c>
      <c r="N134" s="84">
        <f t="shared" si="101"/>
        <v>6085800</v>
      </c>
      <c r="O134" s="84">
        <f t="shared" si="101"/>
        <v>6558350</v>
      </c>
      <c r="P134" s="84">
        <f t="shared" si="101"/>
        <v>6580464</v>
      </c>
      <c r="Q134" s="84">
        <f t="shared" si="101"/>
        <v>9370196</v>
      </c>
      <c r="R134" s="84">
        <f t="shared" si="101"/>
        <v>10978032</v>
      </c>
      <c r="S134" s="84">
        <f t="shared" si="101"/>
        <v>10792579</v>
      </c>
      <c r="T134" s="84">
        <f t="shared" si="101"/>
        <v>11939586</v>
      </c>
      <c r="U134" s="84">
        <f t="shared" si="101"/>
        <v>12103902</v>
      </c>
      <c r="V134" s="84">
        <f t="shared" si="101"/>
        <v>11968607</v>
      </c>
      <c r="W134" s="84">
        <f t="shared" si="101"/>
        <v>5235186</v>
      </c>
      <c r="X134" s="84">
        <f t="shared" si="101"/>
        <v>5290268</v>
      </c>
      <c r="Y134" s="84">
        <f t="shared" si="101"/>
        <v>5268501</v>
      </c>
      <c r="Z134" s="84">
        <f t="shared" si="101"/>
        <v>5073291</v>
      </c>
      <c r="AA134" s="84">
        <f t="shared" si="101"/>
        <v>5130408</v>
      </c>
      <c r="AB134" s="84">
        <f t="shared" si="101"/>
        <v>5216445</v>
      </c>
      <c r="AC134" s="84">
        <f t="shared" si="101"/>
        <v>5146314</v>
      </c>
      <c r="AD134" s="84">
        <f t="shared" si="101"/>
        <v>5171619</v>
      </c>
      <c r="AE134" s="84">
        <f t="shared" si="101"/>
        <v>2555730</v>
      </c>
      <c r="AF134" s="84">
        <f t="shared" si="101"/>
        <v>0</v>
      </c>
      <c r="AG134" s="84">
        <f t="shared" si="101"/>
        <v>0</v>
      </c>
      <c r="AH134" s="84">
        <f t="shared" si="101"/>
        <v>0</v>
      </c>
      <c r="AI134" s="84">
        <f t="shared" ref="AI134" si="102">AI44+AI57</f>
        <v>3936675</v>
      </c>
      <c r="AJ134" s="84">
        <f>AJ44+AJ57</f>
        <v>232989432</v>
      </c>
      <c r="AK134" s="117">
        <f>AJ134/(AJ72+AJ73)</f>
        <v>732.3510540989945</v>
      </c>
    </row>
    <row r="135" spans="1:37" x14ac:dyDescent="0.3">
      <c r="B135" s="44" t="s">
        <v>250</v>
      </c>
      <c r="E135" s="276">
        <f>(E49+E62)/E134</f>
        <v>0</v>
      </c>
      <c r="F135" s="276">
        <f t="shared" ref="F135:AH135" si="103">(F49+F62)/F134</f>
        <v>0</v>
      </c>
      <c r="G135" s="276">
        <f t="shared" si="103"/>
        <v>0</v>
      </c>
      <c r="H135" s="276">
        <f t="shared" si="103"/>
        <v>0</v>
      </c>
      <c r="I135" s="276">
        <f t="shared" si="103"/>
        <v>0</v>
      </c>
      <c r="J135" s="276">
        <f t="shared" si="103"/>
        <v>0</v>
      </c>
      <c r="K135" s="276">
        <f t="shared" si="103"/>
        <v>0</v>
      </c>
      <c r="L135" s="276">
        <f t="shared" si="103"/>
        <v>0</v>
      </c>
      <c r="M135" s="276">
        <f t="shared" si="103"/>
        <v>0</v>
      </c>
      <c r="N135" s="276">
        <f t="shared" si="103"/>
        <v>0</v>
      </c>
      <c r="O135" s="276">
        <f t="shared" si="103"/>
        <v>0</v>
      </c>
      <c r="P135" s="276">
        <f t="shared" si="103"/>
        <v>0</v>
      </c>
      <c r="Q135" s="276">
        <f t="shared" si="103"/>
        <v>0</v>
      </c>
      <c r="R135" s="276">
        <f t="shared" si="103"/>
        <v>0</v>
      </c>
      <c r="S135" s="276">
        <f t="shared" si="103"/>
        <v>0.22034029123159535</v>
      </c>
      <c r="T135" s="276">
        <f t="shared" si="103"/>
        <v>0.20180599226807361</v>
      </c>
      <c r="U135" s="276">
        <f t="shared" si="103"/>
        <v>0.20243471898566265</v>
      </c>
      <c r="V135" s="276">
        <f t="shared" si="103"/>
        <v>0.2288018981657598</v>
      </c>
      <c r="W135" s="276">
        <f t="shared" si="103"/>
        <v>0</v>
      </c>
      <c r="X135" s="276">
        <f t="shared" si="103"/>
        <v>0</v>
      </c>
      <c r="Y135" s="276">
        <f t="shared" si="103"/>
        <v>0</v>
      </c>
      <c r="Z135" s="276">
        <f t="shared" si="103"/>
        <v>0</v>
      </c>
      <c r="AA135" s="276">
        <f t="shared" si="103"/>
        <v>0</v>
      </c>
      <c r="AB135" s="276">
        <f t="shared" si="103"/>
        <v>0</v>
      </c>
      <c r="AC135" s="276">
        <f t="shared" si="103"/>
        <v>0</v>
      </c>
      <c r="AD135" s="276">
        <f t="shared" si="103"/>
        <v>0</v>
      </c>
      <c r="AE135" s="276">
        <f t="shared" si="103"/>
        <v>0</v>
      </c>
      <c r="AF135" s="276" t="e">
        <f t="shared" si="103"/>
        <v>#DIV/0!</v>
      </c>
      <c r="AG135" s="276" t="e">
        <f t="shared" si="103"/>
        <v>#DIV/0!</v>
      </c>
      <c r="AH135" s="276" t="e">
        <f t="shared" si="103"/>
        <v>#DIV/0!</v>
      </c>
      <c r="AI135" s="276">
        <f t="shared" ref="AI135" si="104">(AI49+AI62)/AI134</f>
        <v>0.20461430013907675</v>
      </c>
      <c r="AJ135" s="276">
        <f>(AJ49+AJ62)/AJ134</f>
        <v>4.6275532359768147E-2</v>
      </c>
    </row>
    <row r="136" spans="1:37" x14ac:dyDescent="0.3">
      <c r="B136" s="44" t="s">
        <v>251</v>
      </c>
      <c r="E136" s="276">
        <f t="shared" ref="E136:AH136" si="105">(E53+E66)/E134</f>
        <v>0.75248561510793255</v>
      </c>
      <c r="F136" s="276">
        <f t="shared" si="105"/>
        <v>0.76165703419320063</v>
      </c>
      <c r="G136" s="276">
        <f t="shared" si="105"/>
        <v>0.76728210506344918</v>
      </c>
      <c r="H136" s="276">
        <f t="shared" si="105"/>
        <v>0.72367377128515487</v>
      </c>
      <c r="I136" s="276">
        <f t="shared" si="105"/>
        <v>0.7259870049817605</v>
      </c>
      <c r="J136" s="276">
        <f t="shared" si="105"/>
        <v>0.7349869671149083</v>
      </c>
      <c r="K136" s="276">
        <f t="shared" si="105"/>
        <v>0.74305262250912774</v>
      </c>
      <c r="L136" s="276">
        <f t="shared" si="105"/>
        <v>0.74983356035724913</v>
      </c>
      <c r="M136" s="276">
        <f t="shared" si="105"/>
        <v>0.63540489534655098</v>
      </c>
      <c r="N136" s="276">
        <f t="shared" si="105"/>
        <v>0.54366393900555388</v>
      </c>
      <c r="O136" s="276">
        <f t="shared" si="105"/>
        <v>0.58640389732173492</v>
      </c>
      <c r="P136" s="276">
        <f t="shared" si="105"/>
        <v>0.42433968182182896</v>
      </c>
      <c r="Q136" s="276">
        <f t="shared" si="105"/>
        <v>0.63164676598013536</v>
      </c>
      <c r="R136" s="276">
        <f t="shared" si="105"/>
        <v>0.67770179573169398</v>
      </c>
      <c r="S136" s="276">
        <f t="shared" si="105"/>
        <v>0.49843749116870029</v>
      </c>
      <c r="T136" s="276">
        <f t="shared" si="105"/>
        <v>0.51368062510710166</v>
      </c>
      <c r="U136" s="276">
        <f t="shared" si="105"/>
        <v>0.50619296157553162</v>
      </c>
      <c r="V136" s="276">
        <f t="shared" si="105"/>
        <v>0.5266863553962462</v>
      </c>
      <c r="W136" s="276">
        <f t="shared" si="105"/>
        <v>1.0003449734164174</v>
      </c>
      <c r="X136" s="276">
        <f t="shared" si="105"/>
        <v>0.99977921723436314</v>
      </c>
      <c r="Y136" s="276">
        <f t="shared" si="105"/>
        <v>0.98994002278826554</v>
      </c>
      <c r="Z136" s="276">
        <f t="shared" si="105"/>
        <v>0.9997676064708293</v>
      </c>
      <c r="AA136" s="276">
        <f t="shared" si="105"/>
        <v>0.978188869189351</v>
      </c>
      <c r="AB136" s="276">
        <f t="shared" si="105"/>
        <v>1.0001322739911951</v>
      </c>
      <c r="AC136" s="276">
        <f t="shared" si="105"/>
        <v>0.99973009808573665</v>
      </c>
      <c r="AD136" s="276">
        <f t="shared" si="105"/>
        <v>0.98104674764324284</v>
      </c>
      <c r="AE136" s="276">
        <f t="shared" si="105"/>
        <v>0.99996635012305679</v>
      </c>
      <c r="AF136" s="276" t="e">
        <f t="shared" si="105"/>
        <v>#DIV/0!</v>
      </c>
      <c r="AG136" s="276" t="e">
        <f t="shared" si="105"/>
        <v>#DIV/0!</v>
      </c>
      <c r="AH136" s="276" t="e">
        <f t="shared" si="105"/>
        <v>#DIV/0!</v>
      </c>
      <c r="AI136" s="276">
        <f t="shared" ref="AI136" si="106">(AI53+AI66)/AI134</f>
        <v>0.76229406796344634</v>
      </c>
      <c r="AJ136" s="276">
        <f>(AJ53+AJ66)/AJ134</f>
        <v>0.71502625492472982</v>
      </c>
    </row>
    <row r="137" spans="1:37" x14ac:dyDescent="0.3">
      <c r="B137" s="44" t="s">
        <v>270</v>
      </c>
      <c r="E137" s="276">
        <f>(E45+E58)/E134</f>
        <v>0.20080087679342126</v>
      </c>
      <c r="F137" s="276">
        <f>(F45+F58)/F134</f>
        <v>0.21238851287973942</v>
      </c>
      <c r="G137" s="276">
        <f t="shared" ref="G137:AH137" si="107">(G45+G58)/G134</f>
        <v>0.17503159944314078</v>
      </c>
      <c r="H137" s="276">
        <f t="shared" si="107"/>
        <v>0.19558622868414019</v>
      </c>
      <c r="I137" s="276">
        <f t="shared" si="107"/>
        <v>0.20303334251569458</v>
      </c>
      <c r="J137" s="276">
        <f t="shared" si="107"/>
        <v>0.19704278474274825</v>
      </c>
      <c r="K137" s="276">
        <f t="shared" si="107"/>
        <v>0.19854734690202458</v>
      </c>
      <c r="L137" s="276">
        <f t="shared" si="107"/>
        <v>0.2088897728399671</v>
      </c>
      <c r="M137" s="276">
        <f t="shared" si="107"/>
        <v>0.30155937511792008</v>
      </c>
      <c r="N137" s="276">
        <f t="shared" si="107"/>
        <v>0.36121824575240724</v>
      </c>
      <c r="O137" s="276">
        <f>(O45+O58)/O134</f>
        <v>0.4084890254408502</v>
      </c>
      <c r="P137" s="276">
        <f t="shared" si="107"/>
        <v>0.56501061323335255</v>
      </c>
      <c r="Q137" s="276">
        <f t="shared" si="107"/>
        <v>0.36880317124636453</v>
      </c>
      <c r="R137" s="276">
        <f t="shared" si="107"/>
        <v>0.30364349457170464</v>
      </c>
      <c r="S137" s="276">
        <f t="shared" si="107"/>
        <v>0.23583806984410308</v>
      </c>
      <c r="T137" s="276">
        <f t="shared" si="107"/>
        <v>0.21636026575795844</v>
      </c>
      <c r="U137" s="276">
        <f t="shared" si="107"/>
        <v>0.21723903580845252</v>
      </c>
      <c r="V137" s="276">
        <f t="shared" si="107"/>
        <v>0.24483918638150623</v>
      </c>
      <c r="W137" s="276">
        <f t="shared" si="107"/>
        <v>0</v>
      </c>
      <c r="X137" s="276">
        <f t="shared" si="107"/>
        <v>0</v>
      </c>
      <c r="Y137" s="276">
        <f t="shared" si="107"/>
        <v>0</v>
      </c>
      <c r="Z137" s="276">
        <f t="shared" si="107"/>
        <v>0</v>
      </c>
      <c r="AA137" s="276">
        <f t="shared" si="107"/>
        <v>0</v>
      </c>
      <c r="AB137" s="276">
        <f t="shared" si="107"/>
        <v>0</v>
      </c>
      <c r="AC137" s="276">
        <f t="shared" si="107"/>
        <v>0</v>
      </c>
      <c r="AD137" s="276">
        <f t="shared" si="107"/>
        <v>0</v>
      </c>
      <c r="AE137" s="276">
        <f t="shared" si="107"/>
        <v>0</v>
      </c>
      <c r="AF137" s="276" t="e">
        <f t="shared" si="107"/>
        <v>#DIV/0!</v>
      </c>
      <c r="AG137" s="276" t="e">
        <f t="shared" si="107"/>
        <v>#DIV/0!</v>
      </c>
      <c r="AH137" s="276" t="e">
        <f t="shared" si="107"/>
        <v>#DIV/0!</v>
      </c>
      <c r="AI137" s="276">
        <f t="shared" ref="AI137" si="108">(AI45+AI58)/AI134</f>
        <v>0</v>
      </c>
      <c r="AJ137" s="276">
        <f>(AJ58+AJ45)/AJ134</f>
        <v>0.1997299774523679</v>
      </c>
    </row>
    <row r="138" spans="1:37" x14ac:dyDescent="0.3">
      <c r="B138" s="44" t="s">
        <v>254</v>
      </c>
      <c r="E138" s="276">
        <f>((E101*E102)+(E105*E106))/E134</f>
        <v>2.8098916748255228E-3</v>
      </c>
      <c r="F138" s="276">
        <f t="shared" ref="F138:AH138" si="109">((F101*F102)+(F105*F106))/F134</f>
        <v>0</v>
      </c>
      <c r="G138" s="276">
        <f t="shared" si="109"/>
        <v>2.9695237030398377E-3</v>
      </c>
      <c r="H138" s="276">
        <f t="shared" si="109"/>
        <v>6.5693950250782845E-3</v>
      </c>
      <c r="I138" s="276">
        <f t="shared" si="109"/>
        <v>0</v>
      </c>
      <c r="J138" s="276">
        <f t="shared" si="109"/>
        <v>0</v>
      </c>
      <c r="K138" s="276">
        <f t="shared" si="109"/>
        <v>7.864217409177466E-3</v>
      </c>
      <c r="L138" s="276">
        <f t="shared" si="109"/>
        <v>3.7743424813762613E-3</v>
      </c>
      <c r="M138" s="276">
        <f t="shared" si="109"/>
        <v>0</v>
      </c>
      <c r="N138" s="276">
        <f t="shared" si="109"/>
        <v>1.3450609615827008E-2</v>
      </c>
      <c r="O138" s="276">
        <f t="shared" si="109"/>
        <v>0</v>
      </c>
      <c r="P138" s="276">
        <f t="shared" si="109"/>
        <v>1.0993490732568403E-2</v>
      </c>
      <c r="Q138" s="276">
        <f t="shared" si="109"/>
        <v>0</v>
      </c>
      <c r="R138" s="276">
        <f t="shared" si="109"/>
        <v>1.9119623626529782E-2</v>
      </c>
      <c r="S138" s="276">
        <f t="shared" si="109"/>
        <v>0</v>
      </c>
      <c r="T138" s="276">
        <f t="shared" si="109"/>
        <v>7.5982760206258415E-3</v>
      </c>
      <c r="U138" s="276">
        <f t="shared" si="109"/>
        <v>9.9997133155902956E-3</v>
      </c>
      <c r="V138" s="276">
        <f t="shared" si="109"/>
        <v>0</v>
      </c>
      <c r="W138" s="276">
        <f t="shared" si="109"/>
        <v>0</v>
      </c>
      <c r="X138" s="276">
        <f t="shared" si="109"/>
        <v>0</v>
      </c>
      <c r="Y138" s="276">
        <f t="shared" si="109"/>
        <v>9.6415944497305773E-3</v>
      </c>
      <c r="Z138" s="276">
        <f t="shared" si="109"/>
        <v>0</v>
      </c>
      <c r="AA138" s="276">
        <f t="shared" si="109"/>
        <v>2.2117246815457951E-2</v>
      </c>
      <c r="AB138" s="276">
        <f t="shared" si="109"/>
        <v>0</v>
      </c>
      <c r="AC138" s="276">
        <f t="shared" si="109"/>
        <v>0</v>
      </c>
      <c r="AD138" s="276">
        <f t="shared" si="109"/>
        <v>1.861162819612195E-2</v>
      </c>
      <c r="AE138" s="276">
        <f t="shared" si="109"/>
        <v>0</v>
      </c>
      <c r="AF138" s="276" t="e">
        <f t="shared" si="109"/>
        <v>#DIV/0!</v>
      </c>
      <c r="AG138" s="276" t="e">
        <f t="shared" si="109"/>
        <v>#DIV/0!</v>
      </c>
      <c r="AH138" s="276" t="e">
        <f t="shared" si="109"/>
        <v>#DIV/0!</v>
      </c>
      <c r="AI138" s="276">
        <f t="shared" ref="AI138" si="110">((AI101*AI102)+(AI105*AI106))/AI134</f>
        <v>3.2622720951056415E-2</v>
      </c>
      <c r="AJ138" s="276">
        <f>((AJ101*AJ102)+(AJ105*AJ106))/AJ134</f>
        <v>5.301447492262224E-3</v>
      </c>
    </row>
    <row r="139" spans="1:37" x14ac:dyDescent="0.3">
      <c r="B139" s="44" t="s">
        <v>255</v>
      </c>
      <c r="E139" s="276">
        <f>(E75*E77)/E134</f>
        <v>4.384185257514437E-2</v>
      </c>
      <c r="F139" s="276">
        <f t="shared" ref="F139:AH139" si="111">(F75*F77)/F134</f>
        <v>2.636267182571635E-2</v>
      </c>
      <c r="G139" s="276">
        <f t="shared" si="111"/>
        <v>5.452605899770404E-2</v>
      </c>
      <c r="H139" s="276">
        <f t="shared" si="111"/>
        <v>7.4674488928555161E-2</v>
      </c>
      <c r="I139" s="276">
        <f t="shared" si="111"/>
        <v>7.0856108005657031E-2</v>
      </c>
      <c r="J139" s="276">
        <f t="shared" si="111"/>
        <v>6.8555868271224299E-2</v>
      </c>
      <c r="K139" s="276">
        <f t="shared" si="111"/>
        <v>5.0413451621957789E-2</v>
      </c>
      <c r="L139" s="276">
        <f t="shared" si="111"/>
        <v>3.7425676404874549E-2</v>
      </c>
      <c r="M139" s="276">
        <f t="shared" si="111"/>
        <v>6.3412577281095645E-2</v>
      </c>
      <c r="N139" s="276">
        <f t="shared" si="111"/>
        <v>8.2368957244733643E-2</v>
      </c>
      <c r="O139" s="276">
        <f t="shared" si="111"/>
        <v>0</v>
      </c>
      <c r="P139" s="276">
        <f t="shared" si="111"/>
        <v>0</v>
      </c>
      <c r="Q139" s="276">
        <f t="shared" si="111"/>
        <v>0</v>
      </c>
      <c r="R139" s="276">
        <f t="shared" si="111"/>
        <v>0</v>
      </c>
      <c r="S139" s="276">
        <f t="shared" si="111"/>
        <v>2.3966560726588149E-2</v>
      </c>
      <c r="T139" s="276">
        <f t="shared" si="111"/>
        <v>6.0734099155531858E-2</v>
      </c>
      <c r="U139" s="276">
        <f t="shared" si="111"/>
        <v>6.3906664148470474E-2</v>
      </c>
      <c r="V139" s="276">
        <f t="shared" si="111"/>
        <v>0</v>
      </c>
      <c r="W139" s="276">
        <f t="shared" si="111"/>
        <v>0</v>
      </c>
      <c r="X139" s="276">
        <f t="shared" si="111"/>
        <v>0</v>
      </c>
      <c r="Y139" s="276">
        <f t="shared" si="111"/>
        <v>0</v>
      </c>
      <c r="Z139" s="276">
        <f t="shared" si="111"/>
        <v>0</v>
      </c>
      <c r="AA139" s="276">
        <f>(AA75*AA77)/AA134</f>
        <v>0</v>
      </c>
      <c r="AB139" s="276">
        <f t="shared" si="111"/>
        <v>0</v>
      </c>
      <c r="AC139" s="276">
        <f t="shared" si="111"/>
        <v>0</v>
      </c>
      <c r="AD139" s="276">
        <f t="shared" si="111"/>
        <v>0</v>
      </c>
      <c r="AE139" s="276">
        <f t="shared" si="111"/>
        <v>0</v>
      </c>
      <c r="AF139" s="276" t="e">
        <f t="shared" si="111"/>
        <v>#DIV/0!</v>
      </c>
      <c r="AG139" s="276" t="e">
        <f t="shared" si="111"/>
        <v>#DIV/0!</v>
      </c>
      <c r="AH139" s="276" t="e">
        <f t="shared" si="111"/>
        <v>#DIV/0!</v>
      </c>
      <c r="AI139" s="276">
        <f t="shared" ref="AI139" si="112">(AI75*AI77)/AI134</f>
        <v>0</v>
      </c>
      <c r="AJ139" s="276">
        <f>(AJ75*AJ77)/AJ134</f>
        <v>3.2650485194538788E-2</v>
      </c>
    </row>
  </sheetData>
  <mergeCells count="6">
    <mergeCell ref="B131:B132"/>
    <mergeCell ref="A118:A119"/>
    <mergeCell ref="A120:A121"/>
    <mergeCell ref="A123:A124"/>
    <mergeCell ref="A125:A126"/>
    <mergeCell ref="B129:B130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4C287-69EC-4AD8-9179-FED463B78A0E}">
  <dimension ref="A1:ZC139"/>
  <sheetViews>
    <sheetView zoomScale="85" workbookViewId="0">
      <pane xSplit="4" ySplit="2" topLeftCell="AB3" activePane="bottomRight" state="frozen"/>
      <selection activeCell="AL45" sqref="AL45"/>
      <selection pane="topRight" activeCell="AL45" sqref="AL45"/>
      <selection pane="bottomLeft" activeCell="AL45" sqref="AL45"/>
      <selection pane="bottomRight" activeCell="AB12" sqref="AB12"/>
    </sheetView>
  </sheetViews>
  <sheetFormatPr defaultColWidth="8.6640625" defaultRowHeight="14.4" x14ac:dyDescent="0.3"/>
  <cols>
    <col min="1" max="1" width="4" customWidth="1"/>
    <col min="2" max="2" width="35.6640625" customWidth="1"/>
    <col min="3" max="3" width="20" style="2" bestFit="1" customWidth="1"/>
    <col min="4" max="4" width="14.33203125" style="2" bestFit="1" customWidth="1"/>
    <col min="5" max="5" width="13.21875" style="3" bestFit="1" customWidth="1"/>
    <col min="6" max="12" width="11" style="3" bestFit="1" customWidth="1"/>
    <col min="13" max="13" width="11" style="2" bestFit="1" customWidth="1"/>
    <col min="14" max="26" width="11" style="3" bestFit="1" customWidth="1"/>
    <col min="27" max="29" width="10.6640625" style="3" customWidth="1"/>
    <col min="30" max="33" width="12.44140625" style="3" customWidth="1"/>
    <col min="34" max="34" width="13" style="3" customWidth="1"/>
    <col min="35" max="35" width="11.109375" style="3" customWidth="1"/>
    <col min="36" max="36" width="15" style="3" bestFit="1" customWidth="1"/>
    <col min="37" max="37" width="14.109375" bestFit="1" customWidth="1"/>
    <col min="38" max="38" width="16" customWidth="1"/>
  </cols>
  <sheetData>
    <row r="1" spans="1:253" ht="28.8" x14ac:dyDescent="0.55000000000000004">
      <c r="A1" s="1" t="s">
        <v>0</v>
      </c>
      <c r="N1"/>
      <c r="O1"/>
      <c r="P1"/>
      <c r="R1"/>
      <c r="S1"/>
      <c r="T1"/>
      <c r="U1"/>
    </row>
    <row r="2" spans="1:253" x14ac:dyDescent="0.3">
      <c r="A2" s="4" t="s">
        <v>1</v>
      </c>
      <c r="B2" s="5" t="s">
        <v>2</v>
      </c>
      <c r="C2" s="4" t="s">
        <v>3</v>
      </c>
      <c r="D2" s="4" t="s">
        <v>4</v>
      </c>
      <c r="E2" s="6">
        <v>45505</v>
      </c>
      <c r="F2" s="6">
        <v>45506</v>
      </c>
      <c r="G2" s="6">
        <v>45507</v>
      </c>
      <c r="H2" s="6">
        <v>45508</v>
      </c>
      <c r="I2" s="6">
        <v>45509</v>
      </c>
      <c r="J2" s="6">
        <v>45510</v>
      </c>
      <c r="K2" s="6">
        <v>45511</v>
      </c>
      <c r="L2" s="6">
        <v>45512</v>
      </c>
      <c r="M2" s="6">
        <v>45513</v>
      </c>
      <c r="N2" s="6">
        <v>45514</v>
      </c>
      <c r="O2" s="6">
        <v>45515</v>
      </c>
      <c r="P2" s="6">
        <v>45516</v>
      </c>
      <c r="Q2" s="6">
        <v>45517</v>
      </c>
      <c r="R2" s="6">
        <v>45518</v>
      </c>
      <c r="S2" s="6">
        <v>45519</v>
      </c>
      <c r="T2" s="6">
        <v>45520</v>
      </c>
      <c r="U2" s="6">
        <v>45521</v>
      </c>
      <c r="V2" s="6">
        <v>45522</v>
      </c>
      <c r="W2" s="6">
        <v>45523</v>
      </c>
      <c r="X2" s="6">
        <v>45524</v>
      </c>
      <c r="Y2" s="6">
        <v>45525</v>
      </c>
      <c r="Z2" s="6">
        <v>45526</v>
      </c>
      <c r="AA2" s="6">
        <v>45527</v>
      </c>
      <c r="AB2" s="6">
        <v>45528</v>
      </c>
      <c r="AC2" s="6">
        <v>45529</v>
      </c>
      <c r="AD2" s="6">
        <v>45530</v>
      </c>
      <c r="AE2" s="6">
        <v>45531</v>
      </c>
      <c r="AF2" s="6">
        <v>45532</v>
      </c>
      <c r="AG2" s="6">
        <v>45533</v>
      </c>
      <c r="AH2" s="6">
        <v>45534</v>
      </c>
      <c r="AI2" s="6">
        <v>45535</v>
      </c>
      <c r="AJ2" s="7">
        <v>45505</v>
      </c>
    </row>
    <row r="3" spans="1:253" x14ac:dyDescent="0.3">
      <c r="A3" s="8"/>
      <c r="B3" s="9" t="s">
        <v>5</v>
      </c>
      <c r="C3" s="10" t="s">
        <v>6</v>
      </c>
      <c r="D3" s="10" t="s">
        <v>7</v>
      </c>
      <c r="E3" s="10">
        <f>E79+E80+E84+E85</f>
        <v>4736</v>
      </c>
      <c r="F3" s="10">
        <f t="shared" ref="F3:AI3" si="0">F79+F80+F84+F85</f>
        <v>6906</v>
      </c>
      <c r="G3" s="10">
        <f t="shared" si="0"/>
        <v>5293</v>
      </c>
      <c r="H3" s="10">
        <f t="shared" si="0"/>
        <v>5751</v>
      </c>
      <c r="I3" s="10">
        <f t="shared" si="0"/>
        <v>8101</v>
      </c>
      <c r="J3" s="10">
        <f t="shared" si="0"/>
        <v>8560</v>
      </c>
      <c r="K3" s="10">
        <f t="shared" si="0"/>
        <v>7276</v>
      </c>
      <c r="L3" s="10">
        <f t="shared" si="0"/>
        <v>11565</v>
      </c>
      <c r="M3" s="10">
        <f t="shared" si="0"/>
        <v>9190</v>
      </c>
      <c r="N3" s="10">
        <f t="shared" si="0"/>
        <v>5152</v>
      </c>
      <c r="O3" s="10">
        <f t="shared" si="0"/>
        <v>9385</v>
      </c>
      <c r="P3" s="10">
        <f t="shared" si="0"/>
        <v>7465</v>
      </c>
      <c r="Q3" s="10">
        <f t="shared" si="0"/>
        <v>7355</v>
      </c>
      <c r="R3" s="10">
        <f t="shared" si="0"/>
        <v>11775</v>
      </c>
      <c r="S3" s="10">
        <f t="shared" si="0"/>
        <v>5610</v>
      </c>
      <c r="T3" s="10">
        <f t="shared" si="0"/>
        <v>9367</v>
      </c>
      <c r="U3" s="10">
        <f t="shared" si="0"/>
        <v>5320</v>
      </c>
      <c r="V3" s="10">
        <f t="shared" si="0"/>
        <v>3724</v>
      </c>
      <c r="W3" s="10">
        <f t="shared" si="0"/>
        <v>9206</v>
      </c>
      <c r="X3" s="10">
        <f t="shared" si="0"/>
        <v>6805</v>
      </c>
      <c r="Y3" s="10">
        <f t="shared" si="0"/>
        <v>7578</v>
      </c>
      <c r="Z3" s="10">
        <f t="shared" si="0"/>
        <v>6920</v>
      </c>
      <c r="AA3" s="10">
        <f t="shared" si="0"/>
        <v>1360</v>
      </c>
      <c r="AB3" s="10">
        <f t="shared" si="0"/>
        <v>9221</v>
      </c>
      <c r="AC3" s="10">
        <f t="shared" si="0"/>
        <v>6104</v>
      </c>
      <c r="AD3" s="10">
        <f t="shared" si="0"/>
        <v>9703</v>
      </c>
      <c r="AE3" s="10">
        <f t="shared" si="0"/>
        <v>12604</v>
      </c>
      <c r="AF3" s="10">
        <f t="shared" si="0"/>
        <v>10797</v>
      </c>
      <c r="AG3" s="10">
        <f t="shared" si="0"/>
        <v>9030</v>
      </c>
      <c r="AH3" s="10">
        <f t="shared" si="0"/>
        <v>15305</v>
      </c>
      <c r="AI3" s="10">
        <f t="shared" si="0"/>
        <v>6817</v>
      </c>
      <c r="AJ3" s="11">
        <f>SUM(E3:AI3)</f>
        <v>243981</v>
      </c>
      <c r="AK3" s="12">
        <f>AJ3+'Jul-24'!AK3</f>
        <v>1619466</v>
      </c>
      <c r="AO3" s="344" t="s">
        <v>291</v>
      </c>
    </row>
    <row r="4" spans="1:253" x14ac:dyDescent="0.3">
      <c r="A4" s="8"/>
      <c r="B4" s="9" t="s">
        <v>349</v>
      </c>
      <c r="C4" s="10" t="s">
        <v>6</v>
      </c>
      <c r="D4" s="10" t="s">
        <v>7</v>
      </c>
      <c r="E4" s="10">
        <f>E90+E91+E94+E95</f>
        <v>1613</v>
      </c>
      <c r="F4" s="10">
        <f t="shared" ref="F4:AI4" si="1">F90+F91+F94+F95</f>
        <v>2179</v>
      </c>
      <c r="G4" s="10">
        <f t="shared" si="1"/>
        <v>1702</v>
      </c>
      <c r="H4" s="10">
        <f t="shared" si="1"/>
        <v>1843</v>
      </c>
      <c r="I4" s="10">
        <f t="shared" si="1"/>
        <v>2543</v>
      </c>
      <c r="J4" s="10">
        <f t="shared" si="1"/>
        <v>2707</v>
      </c>
      <c r="K4" s="10">
        <f t="shared" si="1"/>
        <v>2270</v>
      </c>
      <c r="L4" s="10">
        <f t="shared" si="1"/>
        <v>3387</v>
      </c>
      <c r="M4" s="10">
        <f t="shared" si="1"/>
        <v>2777</v>
      </c>
      <c r="N4" s="10">
        <f t="shared" si="1"/>
        <v>1618</v>
      </c>
      <c r="O4" s="10">
        <f>O90+O91+O94+O95</f>
        <v>3098</v>
      </c>
      <c r="P4" s="10">
        <f>P90+P91+P94+P95</f>
        <v>2343</v>
      </c>
      <c r="Q4" s="10">
        <f>Q90+Q91+Q94+Q95</f>
        <v>2362</v>
      </c>
      <c r="R4" s="10">
        <f>R90+R91+R94+R95</f>
        <v>3784</v>
      </c>
      <c r="S4" s="10">
        <f t="shared" si="1"/>
        <v>1749</v>
      </c>
      <c r="T4" s="10">
        <f t="shared" si="1"/>
        <v>2923</v>
      </c>
      <c r="U4" s="10">
        <f t="shared" si="1"/>
        <v>1678</v>
      </c>
      <c r="V4" s="10">
        <f t="shared" si="1"/>
        <v>1198</v>
      </c>
      <c r="W4" s="10">
        <f t="shared" si="1"/>
        <v>2853</v>
      </c>
      <c r="X4" s="10">
        <f t="shared" si="1"/>
        <v>2080</v>
      </c>
      <c r="Y4" s="10">
        <f t="shared" si="1"/>
        <v>2331</v>
      </c>
      <c r="Z4" s="10">
        <f t="shared" si="1"/>
        <v>2120</v>
      </c>
      <c r="AA4" s="10">
        <f t="shared" si="1"/>
        <v>438</v>
      </c>
      <c r="AB4" s="10">
        <f t="shared" si="1"/>
        <v>2947</v>
      </c>
      <c r="AC4" s="10">
        <f t="shared" si="1"/>
        <v>2110</v>
      </c>
      <c r="AD4" s="10">
        <f t="shared" si="1"/>
        <v>3295</v>
      </c>
      <c r="AE4" s="10">
        <f t="shared" si="1"/>
        <v>4057</v>
      </c>
      <c r="AF4" s="10">
        <f t="shared" si="1"/>
        <v>3566</v>
      </c>
      <c r="AG4" s="10">
        <f t="shared" si="1"/>
        <v>2958</v>
      </c>
      <c r="AH4" s="10">
        <f t="shared" si="1"/>
        <v>4802</v>
      </c>
      <c r="AI4" s="10">
        <f t="shared" si="1"/>
        <v>2253</v>
      </c>
      <c r="AJ4" s="11">
        <f>SUM(E4:AI4)</f>
        <v>77584</v>
      </c>
      <c r="AK4" s="12">
        <f>AJ4+'Jul-24'!AK4</f>
        <v>527562</v>
      </c>
      <c r="AO4" s="344" t="s">
        <v>292</v>
      </c>
    </row>
    <row r="5" spans="1:253" s="19" customFormat="1" x14ac:dyDescent="0.3">
      <c r="A5" s="13">
        <v>1</v>
      </c>
      <c r="B5" s="14" t="s">
        <v>9</v>
      </c>
      <c r="C5" s="15" t="s">
        <v>6</v>
      </c>
      <c r="D5" s="15" t="s">
        <v>10</v>
      </c>
      <c r="E5" s="16">
        <f t="shared" ref="E5:AI5" si="2">E4/E3</f>
        <v>0.34058277027027029</v>
      </c>
      <c r="F5" s="16">
        <f t="shared" si="2"/>
        <v>0.31552273385461915</v>
      </c>
      <c r="G5" s="16">
        <f t="shared" si="2"/>
        <v>0.32155677309654263</v>
      </c>
      <c r="H5" s="16">
        <f t="shared" si="2"/>
        <v>0.32046600591201529</v>
      </c>
      <c r="I5" s="16">
        <f t="shared" si="2"/>
        <v>0.31391186273299593</v>
      </c>
      <c r="J5" s="16">
        <f t="shared" si="2"/>
        <v>0.31623831775700934</v>
      </c>
      <c r="K5" s="16">
        <f t="shared" si="2"/>
        <v>0.3119846069268829</v>
      </c>
      <c r="L5" s="16">
        <f t="shared" si="2"/>
        <v>0.29286640726329444</v>
      </c>
      <c r="M5" s="17">
        <f t="shared" si="2"/>
        <v>0.30217627856365614</v>
      </c>
      <c r="N5" s="16">
        <f t="shared" si="2"/>
        <v>0.31405279503105588</v>
      </c>
      <c r="O5" s="16">
        <f t="shared" si="2"/>
        <v>0.33010122535961639</v>
      </c>
      <c r="P5" s="16">
        <f t="shared" si="2"/>
        <v>0.31386470194239785</v>
      </c>
      <c r="Q5" s="16">
        <f t="shared" si="2"/>
        <v>0.32114208021753909</v>
      </c>
      <c r="R5" s="16">
        <f t="shared" si="2"/>
        <v>0.3213588110403397</v>
      </c>
      <c r="S5" s="16">
        <f t="shared" si="2"/>
        <v>0.31176470588235294</v>
      </c>
      <c r="T5" s="16">
        <f t="shared" si="2"/>
        <v>0.31205295185224724</v>
      </c>
      <c r="U5" s="16">
        <f t="shared" si="2"/>
        <v>0.31541353383458648</v>
      </c>
      <c r="V5" s="16">
        <f t="shared" si="2"/>
        <v>0.3216970998925886</v>
      </c>
      <c r="W5" s="16">
        <f t="shared" si="2"/>
        <v>0.30990658266348031</v>
      </c>
      <c r="X5" s="16">
        <f t="shared" si="2"/>
        <v>0.3056576047024247</v>
      </c>
      <c r="Y5" s="16">
        <f t="shared" si="2"/>
        <v>0.30760095011876487</v>
      </c>
      <c r="Z5" s="16">
        <f t="shared" si="2"/>
        <v>0.30635838150289019</v>
      </c>
      <c r="AA5" s="16">
        <f t="shared" si="2"/>
        <v>0.32205882352941179</v>
      </c>
      <c r="AB5" s="16">
        <f t="shared" si="2"/>
        <v>0.31959657303980044</v>
      </c>
      <c r="AC5" s="16">
        <f t="shared" si="2"/>
        <v>0.34567496723460028</v>
      </c>
      <c r="AD5" s="16">
        <f t="shared" si="2"/>
        <v>0.3395856951458312</v>
      </c>
      <c r="AE5" s="16">
        <f t="shared" si="2"/>
        <v>0.32188194224055855</v>
      </c>
      <c r="AF5" s="16">
        <f t="shared" si="2"/>
        <v>0.33027692877651199</v>
      </c>
      <c r="AG5" s="16">
        <f t="shared" si="2"/>
        <v>0.32757475083056481</v>
      </c>
      <c r="AH5" s="16">
        <f t="shared" si="2"/>
        <v>0.31375367526951975</v>
      </c>
      <c r="AI5" s="16">
        <f t="shared" si="2"/>
        <v>0.330497286196274</v>
      </c>
      <c r="AJ5" s="18">
        <f>AJ4/AJ3</f>
        <v>0.31799197478492175</v>
      </c>
      <c r="AK5" s="18">
        <f>AK4/AK3</f>
        <v>0.32576293667171774</v>
      </c>
      <c r="AL5"/>
      <c r="AM5"/>
      <c r="AN5"/>
      <c r="AO5" s="344" t="s">
        <v>293</v>
      </c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</row>
    <row r="6" spans="1:253" x14ac:dyDescent="0.3">
      <c r="A6" s="8"/>
      <c r="B6" s="9" t="s">
        <v>350</v>
      </c>
      <c r="C6" s="10" t="s">
        <v>6</v>
      </c>
      <c r="D6" s="10" t="s">
        <v>7</v>
      </c>
      <c r="E6" s="10">
        <f>E92</f>
        <v>0</v>
      </c>
      <c r="F6" s="10">
        <f t="shared" ref="F6:AI6" si="3">F92</f>
        <v>0</v>
      </c>
      <c r="G6" s="10">
        <f t="shared" si="3"/>
        <v>0</v>
      </c>
      <c r="H6" s="10">
        <f t="shared" si="3"/>
        <v>0</v>
      </c>
      <c r="I6" s="10">
        <f t="shared" si="3"/>
        <v>637</v>
      </c>
      <c r="J6" s="10">
        <f>J92</f>
        <v>0</v>
      </c>
      <c r="K6" s="10">
        <f t="shared" si="3"/>
        <v>0</v>
      </c>
      <c r="L6" s="10">
        <f t="shared" si="3"/>
        <v>0</v>
      </c>
      <c r="M6" s="10">
        <f t="shared" si="3"/>
        <v>0</v>
      </c>
      <c r="N6" s="10">
        <f t="shared" si="3"/>
        <v>0</v>
      </c>
      <c r="O6" s="10">
        <f>O92</f>
        <v>0</v>
      </c>
      <c r="P6" s="10">
        <f>P92</f>
        <v>398</v>
      </c>
      <c r="Q6" s="10">
        <f>Q92</f>
        <v>0</v>
      </c>
      <c r="R6" s="10">
        <f>R92</f>
        <v>0</v>
      </c>
      <c r="S6" s="10">
        <f t="shared" si="3"/>
        <v>0</v>
      </c>
      <c r="T6" s="10">
        <f t="shared" si="3"/>
        <v>0</v>
      </c>
      <c r="U6" s="10">
        <f t="shared" si="3"/>
        <v>0</v>
      </c>
      <c r="V6" s="10">
        <f t="shared" si="3"/>
        <v>419</v>
      </c>
      <c r="W6" s="10">
        <f t="shared" si="3"/>
        <v>339</v>
      </c>
      <c r="X6" s="10">
        <f t="shared" si="3"/>
        <v>267</v>
      </c>
      <c r="Y6" s="10">
        <f t="shared" si="3"/>
        <v>0</v>
      </c>
      <c r="Z6" s="10">
        <f t="shared" si="3"/>
        <v>0</v>
      </c>
      <c r="AA6" s="10">
        <f t="shared" si="3"/>
        <v>211</v>
      </c>
      <c r="AB6" s="10">
        <f t="shared" si="3"/>
        <v>0</v>
      </c>
      <c r="AC6" s="10">
        <f t="shared" si="3"/>
        <v>0</v>
      </c>
      <c r="AD6" s="10">
        <f t="shared" si="3"/>
        <v>0</v>
      </c>
      <c r="AE6" s="10">
        <f t="shared" si="3"/>
        <v>497</v>
      </c>
      <c r="AF6" s="10">
        <f t="shared" si="3"/>
        <v>0</v>
      </c>
      <c r="AG6" s="10">
        <f t="shared" si="3"/>
        <v>0</v>
      </c>
      <c r="AH6" s="10">
        <f t="shared" si="3"/>
        <v>0</v>
      </c>
      <c r="AI6" s="10">
        <f t="shared" si="3"/>
        <v>0</v>
      </c>
      <c r="AJ6" s="11">
        <f>SUM(E6:AI6)</f>
        <v>2768</v>
      </c>
      <c r="AK6" s="12">
        <f>AJ6+'Jul-24'!AK6</f>
        <v>22785</v>
      </c>
      <c r="AO6" s="344" t="s">
        <v>294</v>
      </c>
    </row>
    <row r="7" spans="1:253" x14ac:dyDescent="0.3">
      <c r="A7" s="8"/>
      <c r="B7" s="9" t="s">
        <v>11</v>
      </c>
      <c r="C7" s="10" t="s">
        <v>6</v>
      </c>
      <c r="D7" s="10" t="s">
        <v>7</v>
      </c>
      <c r="E7" s="10">
        <f>E81</f>
        <v>0</v>
      </c>
      <c r="F7" s="10">
        <f t="shared" ref="F7:AI7" si="4">F81</f>
        <v>0</v>
      </c>
      <c r="G7" s="10">
        <f t="shared" si="4"/>
        <v>0</v>
      </c>
      <c r="H7" s="10">
        <f t="shared" si="4"/>
        <v>0</v>
      </c>
      <c r="I7" s="10">
        <f t="shared" si="4"/>
        <v>2315</v>
      </c>
      <c r="J7" s="10">
        <f t="shared" si="4"/>
        <v>0</v>
      </c>
      <c r="K7" s="10">
        <f t="shared" si="4"/>
        <v>0</v>
      </c>
      <c r="L7" s="10">
        <f t="shared" si="4"/>
        <v>0</v>
      </c>
      <c r="M7" s="10">
        <f t="shared" si="4"/>
        <v>0</v>
      </c>
      <c r="N7" s="10">
        <f t="shared" si="4"/>
        <v>0</v>
      </c>
      <c r="O7" s="10">
        <f t="shared" si="4"/>
        <v>0</v>
      </c>
      <c r="P7" s="10">
        <f t="shared" si="4"/>
        <v>1475</v>
      </c>
      <c r="Q7" s="10">
        <f t="shared" si="4"/>
        <v>0</v>
      </c>
      <c r="R7" s="10">
        <f t="shared" si="4"/>
        <v>0</v>
      </c>
      <c r="S7" s="10">
        <f t="shared" si="4"/>
        <v>0</v>
      </c>
      <c r="T7" s="10">
        <f t="shared" si="4"/>
        <v>0</v>
      </c>
      <c r="U7" s="10">
        <f t="shared" si="4"/>
        <v>0</v>
      </c>
      <c r="V7" s="10">
        <f t="shared" si="4"/>
        <v>1496</v>
      </c>
      <c r="W7" s="10">
        <f t="shared" si="4"/>
        <v>1253</v>
      </c>
      <c r="X7" s="10">
        <f t="shared" si="4"/>
        <v>1004</v>
      </c>
      <c r="Y7" s="10">
        <f t="shared" si="4"/>
        <v>0</v>
      </c>
      <c r="Z7" s="10">
        <f t="shared" si="4"/>
        <v>0</v>
      </c>
      <c r="AA7" s="10">
        <f t="shared" si="4"/>
        <v>745</v>
      </c>
      <c r="AB7" s="10">
        <f t="shared" si="4"/>
        <v>0</v>
      </c>
      <c r="AC7" s="10">
        <f t="shared" si="4"/>
        <v>0</v>
      </c>
      <c r="AD7" s="10">
        <f t="shared" si="4"/>
        <v>0</v>
      </c>
      <c r="AE7" s="10">
        <f t="shared" si="4"/>
        <v>1788</v>
      </c>
      <c r="AF7" s="10">
        <f t="shared" si="4"/>
        <v>0</v>
      </c>
      <c r="AG7" s="10">
        <f t="shared" si="4"/>
        <v>0</v>
      </c>
      <c r="AH7" s="10">
        <f t="shared" si="4"/>
        <v>0</v>
      </c>
      <c r="AI7" s="10">
        <f t="shared" si="4"/>
        <v>0</v>
      </c>
      <c r="AJ7" s="11">
        <f>SUM(E7:AI7)</f>
        <v>10076</v>
      </c>
      <c r="AK7" s="12">
        <f>AJ7+'Jul-24'!AK7</f>
        <v>82333</v>
      </c>
      <c r="AO7" s="344" t="s">
        <v>295</v>
      </c>
    </row>
    <row r="8" spans="1:253" s="19" customFormat="1" x14ac:dyDescent="0.3">
      <c r="A8" s="13">
        <v>2</v>
      </c>
      <c r="B8" s="14" t="s">
        <v>12</v>
      </c>
      <c r="C8" s="15" t="s">
        <v>6</v>
      </c>
      <c r="D8" s="15" t="s">
        <v>10</v>
      </c>
      <c r="E8" s="21" t="str">
        <f t="shared" ref="E8:AI8" si="5">IFERROR(E6/E7,"-")</f>
        <v>-</v>
      </c>
      <c r="F8" s="21" t="str">
        <f t="shared" si="5"/>
        <v>-</v>
      </c>
      <c r="G8" s="21" t="str">
        <f t="shared" si="5"/>
        <v>-</v>
      </c>
      <c r="H8" s="21" t="str">
        <f t="shared" si="5"/>
        <v>-</v>
      </c>
      <c r="I8" s="21">
        <f t="shared" si="5"/>
        <v>0.27516198704103673</v>
      </c>
      <c r="J8" s="21" t="str">
        <f t="shared" si="5"/>
        <v>-</v>
      </c>
      <c r="K8" s="21" t="str">
        <f t="shared" si="5"/>
        <v>-</v>
      </c>
      <c r="L8" s="21" t="str">
        <f t="shared" si="5"/>
        <v>-</v>
      </c>
      <c r="M8" s="21" t="str">
        <f t="shared" si="5"/>
        <v>-</v>
      </c>
      <c r="N8" s="21" t="str">
        <f t="shared" si="5"/>
        <v>-</v>
      </c>
      <c r="O8" s="21" t="str">
        <f t="shared" si="5"/>
        <v>-</v>
      </c>
      <c r="P8" s="21">
        <f t="shared" si="5"/>
        <v>0.26983050847457629</v>
      </c>
      <c r="Q8" s="21" t="str">
        <f t="shared" si="5"/>
        <v>-</v>
      </c>
      <c r="R8" s="21" t="str">
        <f t="shared" si="5"/>
        <v>-</v>
      </c>
      <c r="S8" s="21" t="str">
        <f t="shared" si="5"/>
        <v>-</v>
      </c>
      <c r="T8" s="21" t="str">
        <f t="shared" si="5"/>
        <v>-</v>
      </c>
      <c r="U8" s="21" t="str">
        <f t="shared" si="5"/>
        <v>-</v>
      </c>
      <c r="V8" s="21">
        <f t="shared" si="5"/>
        <v>0.28008021390374332</v>
      </c>
      <c r="W8" s="21">
        <f t="shared" si="5"/>
        <v>0.27055067837190744</v>
      </c>
      <c r="X8" s="21">
        <f t="shared" si="5"/>
        <v>0.26593625498007967</v>
      </c>
      <c r="Y8" s="21" t="str">
        <f t="shared" si="5"/>
        <v>-</v>
      </c>
      <c r="Z8" s="21" t="str">
        <f t="shared" si="5"/>
        <v>-</v>
      </c>
      <c r="AA8" s="21">
        <f t="shared" si="5"/>
        <v>0.28322147651006713</v>
      </c>
      <c r="AB8" s="21" t="str">
        <f t="shared" si="5"/>
        <v>-</v>
      </c>
      <c r="AC8" s="21" t="str">
        <f t="shared" si="5"/>
        <v>-</v>
      </c>
      <c r="AD8" s="21" t="str">
        <f t="shared" si="5"/>
        <v>-</v>
      </c>
      <c r="AE8" s="21">
        <f t="shared" si="5"/>
        <v>0.27796420581655479</v>
      </c>
      <c r="AF8" s="21" t="str">
        <f t="shared" si="5"/>
        <v>-</v>
      </c>
      <c r="AG8" s="21" t="str">
        <f t="shared" si="5"/>
        <v>-</v>
      </c>
      <c r="AH8" s="21" t="str">
        <f t="shared" si="5"/>
        <v>-</v>
      </c>
      <c r="AI8" s="21" t="str">
        <f t="shared" si="5"/>
        <v>-</v>
      </c>
      <c r="AJ8" s="18">
        <f>AJ6/AJ7</f>
        <v>0.27471218737594283</v>
      </c>
      <c r="AK8" s="18">
        <f>AK6/AK7</f>
        <v>0.27674201110125951</v>
      </c>
      <c r="AL8"/>
      <c r="AM8"/>
      <c r="AN8"/>
      <c r="AO8" s="344" t="s">
        <v>292</v>
      </c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</row>
    <row r="9" spans="1:253" x14ac:dyDescent="0.3">
      <c r="A9" s="8"/>
      <c r="B9" s="9" t="s">
        <v>351</v>
      </c>
      <c r="C9" s="10" t="s">
        <v>6</v>
      </c>
      <c r="D9" s="10" t="s">
        <v>7</v>
      </c>
      <c r="E9" s="10">
        <f>E93</f>
        <v>0</v>
      </c>
      <c r="F9" s="10">
        <f t="shared" ref="F9:AI9" si="6">F93</f>
        <v>804</v>
      </c>
      <c r="G9" s="10">
        <f t="shared" si="6"/>
        <v>0</v>
      </c>
      <c r="H9" s="10">
        <f t="shared" si="6"/>
        <v>0</v>
      </c>
      <c r="I9" s="10">
        <f t="shared" si="6"/>
        <v>0</v>
      </c>
      <c r="J9" s="10">
        <f t="shared" si="6"/>
        <v>736</v>
      </c>
      <c r="K9" s="10">
        <f t="shared" si="6"/>
        <v>0</v>
      </c>
      <c r="L9" s="10">
        <f t="shared" si="6"/>
        <v>0</v>
      </c>
      <c r="M9" s="10">
        <f t="shared" si="6"/>
        <v>351</v>
      </c>
      <c r="N9" s="10">
        <f t="shared" si="6"/>
        <v>0</v>
      </c>
      <c r="O9" s="10">
        <f t="shared" si="6"/>
        <v>0</v>
      </c>
      <c r="P9" s="10">
        <f t="shared" si="6"/>
        <v>0</v>
      </c>
      <c r="Q9" s="10">
        <f t="shared" si="6"/>
        <v>0</v>
      </c>
      <c r="R9" s="10">
        <f t="shared" si="6"/>
        <v>0</v>
      </c>
      <c r="S9" s="10">
        <f t="shared" si="6"/>
        <v>790</v>
      </c>
      <c r="T9" s="10">
        <f t="shared" si="6"/>
        <v>0</v>
      </c>
      <c r="U9" s="10">
        <f t="shared" si="6"/>
        <v>324</v>
      </c>
      <c r="V9" s="10">
        <f t="shared" si="6"/>
        <v>679</v>
      </c>
      <c r="W9" s="10">
        <f t="shared" si="6"/>
        <v>0</v>
      </c>
      <c r="X9" s="10">
        <f t="shared" si="6"/>
        <v>0</v>
      </c>
      <c r="Y9" s="10">
        <f t="shared" si="6"/>
        <v>0</v>
      </c>
      <c r="Z9" s="10">
        <f t="shared" si="6"/>
        <v>0</v>
      </c>
      <c r="AA9" s="10">
        <f t="shared" si="6"/>
        <v>0</v>
      </c>
      <c r="AB9" s="10">
        <f t="shared" si="6"/>
        <v>0</v>
      </c>
      <c r="AC9" s="10">
        <f t="shared" si="6"/>
        <v>901</v>
      </c>
      <c r="AD9" s="10">
        <f t="shared" si="6"/>
        <v>320</v>
      </c>
      <c r="AE9" s="10">
        <f t="shared" si="6"/>
        <v>0</v>
      </c>
      <c r="AF9" s="10">
        <f t="shared" si="6"/>
        <v>165</v>
      </c>
      <c r="AG9" s="10">
        <f t="shared" si="6"/>
        <v>0</v>
      </c>
      <c r="AH9" s="10">
        <f t="shared" si="6"/>
        <v>0</v>
      </c>
      <c r="AI9" s="10">
        <f t="shared" si="6"/>
        <v>512</v>
      </c>
      <c r="AJ9" s="69">
        <f>SUM(E9:AI9)</f>
        <v>5582</v>
      </c>
      <c r="AK9" s="12">
        <f>AJ9+'Jul-24'!AK9</f>
        <v>37090</v>
      </c>
      <c r="AO9" s="344" t="s">
        <v>296</v>
      </c>
    </row>
    <row r="10" spans="1:253" x14ac:dyDescent="0.3">
      <c r="A10" s="8"/>
      <c r="B10" s="9" t="s">
        <v>207</v>
      </c>
      <c r="C10" s="10" t="s">
        <v>6</v>
      </c>
      <c r="D10" s="10" t="s">
        <v>7</v>
      </c>
      <c r="E10" s="10">
        <f>E82</f>
        <v>0</v>
      </c>
      <c r="F10" s="10">
        <f t="shared" ref="F10:AI10" si="7">F82</f>
        <v>2666</v>
      </c>
      <c r="G10" s="10">
        <f t="shared" si="7"/>
        <v>0</v>
      </c>
      <c r="H10" s="10">
        <f t="shared" si="7"/>
        <v>0</v>
      </c>
      <c r="I10" s="10">
        <f t="shared" si="7"/>
        <v>0</v>
      </c>
      <c r="J10" s="10">
        <f t="shared" si="7"/>
        <v>2525</v>
      </c>
      <c r="K10" s="10">
        <f t="shared" si="7"/>
        <v>0</v>
      </c>
      <c r="L10" s="10">
        <f t="shared" si="7"/>
        <v>0</v>
      </c>
      <c r="M10" s="10">
        <f t="shared" si="7"/>
        <v>1250</v>
      </c>
      <c r="N10" s="10">
        <f t="shared" si="7"/>
        <v>0</v>
      </c>
      <c r="O10" s="10">
        <f t="shared" si="7"/>
        <v>0</v>
      </c>
      <c r="P10" s="10">
        <f t="shared" si="7"/>
        <v>0</v>
      </c>
      <c r="Q10" s="10">
        <f t="shared" si="7"/>
        <v>0</v>
      </c>
      <c r="R10" s="10">
        <f t="shared" si="7"/>
        <v>0</v>
      </c>
      <c r="S10" s="10">
        <f t="shared" si="7"/>
        <v>2633</v>
      </c>
      <c r="T10" s="10">
        <f t="shared" si="7"/>
        <v>0</v>
      </c>
      <c r="U10" s="10">
        <f t="shared" si="7"/>
        <v>1076</v>
      </c>
      <c r="V10" s="10">
        <f t="shared" si="7"/>
        <v>2263</v>
      </c>
      <c r="W10" s="10">
        <f t="shared" si="7"/>
        <v>0</v>
      </c>
      <c r="X10" s="10">
        <f t="shared" si="7"/>
        <v>0</v>
      </c>
      <c r="Y10" s="10">
        <f t="shared" si="7"/>
        <v>0</v>
      </c>
      <c r="Z10" s="10">
        <f t="shared" si="7"/>
        <v>0</v>
      </c>
      <c r="AA10" s="10">
        <f t="shared" si="7"/>
        <v>0</v>
      </c>
      <c r="AB10" s="10">
        <f t="shared" si="7"/>
        <v>0</v>
      </c>
      <c r="AC10" s="10">
        <f t="shared" si="7"/>
        <v>2942</v>
      </c>
      <c r="AD10" s="10">
        <f t="shared" si="7"/>
        <v>1043</v>
      </c>
      <c r="AE10" s="10">
        <f t="shared" si="7"/>
        <v>0</v>
      </c>
      <c r="AF10" s="10">
        <f t="shared" si="7"/>
        <v>540</v>
      </c>
      <c r="AG10" s="10">
        <f t="shared" si="7"/>
        <v>0</v>
      </c>
      <c r="AH10" s="10">
        <f t="shared" si="7"/>
        <v>0</v>
      </c>
      <c r="AI10" s="10">
        <f t="shared" si="7"/>
        <v>1666</v>
      </c>
      <c r="AJ10" s="69">
        <f>SUM(E10:AI10)</f>
        <v>18604</v>
      </c>
      <c r="AK10" s="12">
        <f>AJ10+'Jul-24'!AK10</f>
        <v>123496</v>
      </c>
      <c r="AO10" s="344" t="s">
        <v>297</v>
      </c>
    </row>
    <row r="11" spans="1:253" x14ac:dyDescent="0.3">
      <c r="A11" s="13">
        <v>3</v>
      </c>
      <c r="B11" s="14" t="s">
        <v>206</v>
      </c>
      <c r="C11" s="15" t="s">
        <v>6</v>
      </c>
      <c r="D11" s="15" t="s">
        <v>10</v>
      </c>
      <c r="E11" s="21" t="str">
        <f>IFERROR(E9/E10,"-")</f>
        <v>-</v>
      </c>
      <c r="F11" s="21">
        <f t="shared" ref="F11:AI11" si="8">IFERROR(F9/F10,"-")</f>
        <v>0.3015753938484621</v>
      </c>
      <c r="G11" s="21" t="str">
        <f t="shared" si="8"/>
        <v>-</v>
      </c>
      <c r="H11" s="21" t="str">
        <f t="shared" si="8"/>
        <v>-</v>
      </c>
      <c r="I11" s="21" t="str">
        <f t="shared" si="8"/>
        <v>-</v>
      </c>
      <c r="J11" s="21">
        <f t="shared" si="8"/>
        <v>0.29148514851485147</v>
      </c>
      <c r="K11" s="21" t="str">
        <f t="shared" si="8"/>
        <v>-</v>
      </c>
      <c r="L11" s="21" t="str">
        <f t="shared" si="8"/>
        <v>-</v>
      </c>
      <c r="M11" s="21">
        <f t="shared" si="8"/>
        <v>0.28079999999999999</v>
      </c>
      <c r="N11" s="21" t="str">
        <f t="shared" si="8"/>
        <v>-</v>
      </c>
      <c r="O11" s="21" t="str">
        <f t="shared" si="8"/>
        <v>-</v>
      </c>
      <c r="P11" s="21" t="str">
        <f t="shared" si="8"/>
        <v>-</v>
      </c>
      <c r="Q11" s="21" t="str">
        <f t="shared" si="8"/>
        <v>-</v>
      </c>
      <c r="R11" s="21" t="str">
        <f t="shared" si="8"/>
        <v>-</v>
      </c>
      <c r="S11" s="21">
        <f t="shared" si="8"/>
        <v>0.3000379794910748</v>
      </c>
      <c r="T11" s="21" t="str">
        <f t="shared" si="8"/>
        <v>-</v>
      </c>
      <c r="U11" s="21">
        <f t="shared" si="8"/>
        <v>0.30111524163568776</v>
      </c>
      <c r="V11" s="21">
        <f t="shared" si="8"/>
        <v>0.30004418912947417</v>
      </c>
      <c r="W11" s="21" t="str">
        <f t="shared" si="8"/>
        <v>-</v>
      </c>
      <c r="X11" s="21" t="str">
        <f t="shared" si="8"/>
        <v>-</v>
      </c>
      <c r="Y11" s="21" t="str">
        <f t="shared" si="8"/>
        <v>-</v>
      </c>
      <c r="Z11" s="21" t="str">
        <f t="shared" si="8"/>
        <v>-</v>
      </c>
      <c r="AA11" s="21" t="str">
        <f t="shared" si="8"/>
        <v>-</v>
      </c>
      <c r="AB11" s="21" t="str">
        <f t="shared" si="8"/>
        <v>-</v>
      </c>
      <c r="AC11" s="21">
        <f t="shared" si="8"/>
        <v>0.30625424881033309</v>
      </c>
      <c r="AD11" s="21">
        <f t="shared" si="8"/>
        <v>0.30680728667305851</v>
      </c>
      <c r="AE11" s="21" t="str">
        <f t="shared" si="8"/>
        <v>-</v>
      </c>
      <c r="AF11" s="21">
        <f t="shared" si="8"/>
        <v>0.30555555555555558</v>
      </c>
      <c r="AG11" s="21" t="str">
        <f t="shared" si="8"/>
        <v>-</v>
      </c>
      <c r="AH11" s="21" t="str">
        <f t="shared" si="8"/>
        <v>-</v>
      </c>
      <c r="AI11" s="21">
        <f t="shared" si="8"/>
        <v>0.30732292917166865</v>
      </c>
      <c r="AJ11" s="223">
        <f>AJ9/AJ10</f>
        <v>0.3000430015050527</v>
      </c>
      <c r="AK11" s="223">
        <f>AK9/AK10</f>
        <v>0.30033361404417958</v>
      </c>
      <c r="AO11" s="344" t="s">
        <v>298</v>
      </c>
    </row>
    <row r="12" spans="1:253" x14ac:dyDescent="0.3">
      <c r="A12" s="8"/>
      <c r="B12" s="9" t="s">
        <v>13</v>
      </c>
      <c r="C12" s="10" t="s">
        <v>14</v>
      </c>
      <c r="D12" s="10" t="s">
        <v>15</v>
      </c>
      <c r="E12" s="22">
        <v>0</v>
      </c>
      <c r="F12" s="22">
        <v>0</v>
      </c>
      <c r="G12" s="22">
        <v>0</v>
      </c>
      <c r="H12" s="22">
        <v>0</v>
      </c>
      <c r="I12" s="22">
        <v>934.32</v>
      </c>
      <c r="J12" s="22">
        <v>1032.6500000000001</v>
      </c>
      <c r="K12" s="22">
        <v>990.89</v>
      </c>
      <c r="L12" s="22">
        <v>991.31</v>
      </c>
      <c r="M12" s="22">
        <v>943.02</v>
      </c>
      <c r="N12" s="22">
        <v>976.2</v>
      </c>
      <c r="O12" s="22">
        <v>1033.8499999999999</v>
      </c>
      <c r="P12" s="22">
        <v>1053.8800000000001</v>
      </c>
      <c r="Q12" s="22">
        <v>1119.2</v>
      </c>
      <c r="R12" s="22">
        <v>918.02</v>
      </c>
      <c r="S12" s="22">
        <v>831.08</v>
      </c>
      <c r="T12" s="22">
        <v>479.3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/>
      <c r="AO12" s="344" t="s">
        <v>299</v>
      </c>
    </row>
    <row r="13" spans="1:253" x14ac:dyDescent="0.3">
      <c r="A13" s="8"/>
      <c r="B13" s="24" t="s">
        <v>16</v>
      </c>
      <c r="C13" s="10" t="s">
        <v>14</v>
      </c>
      <c r="D13" s="10" t="s">
        <v>17</v>
      </c>
      <c r="E13" s="26">
        <v>0</v>
      </c>
      <c r="F13" s="26">
        <v>9.64</v>
      </c>
      <c r="G13" s="26">
        <v>12.11</v>
      </c>
      <c r="H13" s="26">
        <v>9.3800000000000008</v>
      </c>
      <c r="I13" s="26">
        <v>6.26</v>
      </c>
      <c r="J13" s="26">
        <v>5.42</v>
      </c>
      <c r="K13" s="25">
        <v>5.6</v>
      </c>
      <c r="L13" s="25">
        <v>5.65</v>
      </c>
      <c r="M13" s="25">
        <v>5.76</v>
      </c>
      <c r="N13" s="26">
        <v>5.52</v>
      </c>
      <c r="O13" s="26">
        <v>5.4</v>
      </c>
      <c r="P13" s="26">
        <v>5.3</v>
      </c>
      <c r="Q13" s="26">
        <v>5.51</v>
      </c>
      <c r="R13" s="26">
        <v>5.92</v>
      </c>
      <c r="S13" s="26">
        <v>6.18</v>
      </c>
      <c r="T13" s="22">
        <v>6.63</v>
      </c>
      <c r="U13" s="22">
        <v>7.55</v>
      </c>
      <c r="V13" s="22">
        <v>7.73</v>
      </c>
      <c r="W13" s="22">
        <v>7.37</v>
      </c>
      <c r="X13" s="22">
        <v>6.96</v>
      </c>
      <c r="Y13" s="22">
        <v>7.24</v>
      </c>
      <c r="Z13" s="22">
        <v>14.39</v>
      </c>
      <c r="AA13" s="22">
        <v>11.22</v>
      </c>
      <c r="AB13" s="22">
        <v>6.76</v>
      </c>
      <c r="AC13" s="22">
        <v>7.12</v>
      </c>
      <c r="AD13" s="22">
        <v>8.8699999999999992</v>
      </c>
      <c r="AE13" s="26">
        <v>6.87</v>
      </c>
      <c r="AF13" s="26">
        <v>6.68</v>
      </c>
      <c r="AG13" s="26">
        <v>7.17</v>
      </c>
      <c r="AH13" s="26">
        <v>7.08</v>
      </c>
      <c r="AI13" s="26">
        <v>7.16</v>
      </c>
      <c r="AJ13" s="27"/>
      <c r="AO13" s="344" t="s">
        <v>300</v>
      </c>
    </row>
    <row r="14" spans="1:253" x14ac:dyDescent="0.3">
      <c r="A14" s="8"/>
      <c r="B14" s="24" t="s">
        <v>18</v>
      </c>
      <c r="C14" s="10" t="s">
        <v>14</v>
      </c>
      <c r="D14" s="10" t="s">
        <v>19</v>
      </c>
      <c r="E14" s="23" t="e">
        <f>E12/E13*1000</f>
        <v>#DIV/0!</v>
      </c>
      <c r="F14" s="23">
        <f>F12/F13*1000</f>
        <v>0</v>
      </c>
      <c r="G14" s="23">
        <f>G12/G13*1000</f>
        <v>0</v>
      </c>
      <c r="H14" s="23">
        <f>H12/H13*1000</f>
        <v>0</v>
      </c>
      <c r="I14" s="23">
        <f t="shared" ref="I14:AI14" si="9">I12/I13*1000</f>
        <v>149252.39616613419</v>
      </c>
      <c r="J14" s="23">
        <f t="shared" si="9"/>
        <v>190525.83025830259</v>
      </c>
      <c r="K14" s="23">
        <f t="shared" si="9"/>
        <v>176944.64285714287</v>
      </c>
      <c r="L14" s="23">
        <f t="shared" si="9"/>
        <v>175453.09734513273</v>
      </c>
      <c r="M14" s="23">
        <f t="shared" si="9"/>
        <v>163718.75</v>
      </c>
      <c r="N14" s="23">
        <f t="shared" si="9"/>
        <v>176847.82608695654</v>
      </c>
      <c r="O14" s="23">
        <f t="shared" si="9"/>
        <v>191453.70370370368</v>
      </c>
      <c r="P14" s="23">
        <f t="shared" si="9"/>
        <v>198845.28301886795</v>
      </c>
      <c r="Q14" s="23">
        <f t="shared" si="9"/>
        <v>203121.59709618875</v>
      </c>
      <c r="R14" s="23">
        <f>R12/R13*1000</f>
        <v>155070.94594594595</v>
      </c>
      <c r="S14" s="23">
        <f>S12/S13*1000</f>
        <v>134478.96440129451</v>
      </c>
      <c r="T14" s="23">
        <f t="shared" si="9"/>
        <v>72292.609351432882</v>
      </c>
      <c r="U14" s="23">
        <f t="shared" si="9"/>
        <v>0</v>
      </c>
      <c r="V14" s="23">
        <f t="shared" si="9"/>
        <v>0</v>
      </c>
      <c r="W14" s="23">
        <f>W12/W13*1000</f>
        <v>0</v>
      </c>
      <c r="X14" s="23">
        <f t="shared" si="9"/>
        <v>0</v>
      </c>
      <c r="Y14" s="23">
        <f t="shared" si="9"/>
        <v>0</v>
      </c>
      <c r="Z14" s="23">
        <f t="shared" si="9"/>
        <v>0</v>
      </c>
      <c r="AA14" s="23">
        <f t="shared" si="9"/>
        <v>0</v>
      </c>
      <c r="AB14" s="23">
        <f t="shared" si="9"/>
        <v>0</v>
      </c>
      <c r="AC14" s="23">
        <f t="shared" si="9"/>
        <v>0</v>
      </c>
      <c r="AD14" s="23">
        <f t="shared" si="9"/>
        <v>0</v>
      </c>
      <c r="AE14" s="23">
        <f t="shared" si="9"/>
        <v>0</v>
      </c>
      <c r="AF14" s="23">
        <f t="shared" si="9"/>
        <v>0</v>
      </c>
      <c r="AG14" s="23">
        <f t="shared" si="9"/>
        <v>0</v>
      </c>
      <c r="AH14" s="23">
        <f t="shared" si="9"/>
        <v>0</v>
      </c>
      <c r="AI14" s="23">
        <f t="shared" si="9"/>
        <v>0</v>
      </c>
      <c r="AJ14" s="28">
        <f>SUMIF(E15:AI15,"&gt;5950",E14:AI14)</f>
        <v>1988005.6462311025</v>
      </c>
      <c r="AO14" s="344" t="s">
        <v>301</v>
      </c>
    </row>
    <row r="15" spans="1:253" x14ac:dyDescent="0.3">
      <c r="A15" s="8"/>
      <c r="B15" s="9" t="s">
        <v>20</v>
      </c>
      <c r="C15" s="10" t="s">
        <v>14</v>
      </c>
      <c r="D15" s="10" t="s">
        <v>15</v>
      </c>
      <c r="E15" s="29">
        <f>E72</f>
        <v>0</v>
      </c>
      <c r="F15" s="29">
        <f t="shared" ref="F15:AI15" si="10">F72</f>
        <v>0</v>
      </c>
      <c r="G15" s="29">
        <f t="shared" si="10"/>
        <v>3166</v>
      </c>
      <c r="H15" s="29">
        <f t="shared" si="10"/>
        <v>6809</v>
      </c>
      <c r="I15" s="29">
        <f t="shared" si="10"/>
        <v>7106</v>
      </c>
      <c r="J15" s="29">
        <f t="shared" si="10"/>
        <v>7135</v>
      </c>
      <c r="K15" s="29">
        <f t="shared" si="10"/>
        <v>7201</v>
      </c>
      <c r="L15" s="29">
        <f t="shared" si="10"/>
        <v>7055</v>
      </c>
      <c r="M15" s="29">
        <f t="shared" si="10"/>
        <v>7062</v>
      </c>
      <c r="N15" s="29">
        <f t="shared" si="10"/>
        <v>7016</v>
      </c>
      <c r="O15" s="29">
        <f t="shared" si="10"/>
        <v>7010</v>
      </c>
      <c r="P15" s="29">
        <f t="shared" si="10"/>
        <v>6750</v>
      </c>
      <c r="Q15" s="29">
        <f t="shared" si="10"/>
        <v>7016</v>
      </c>
      <c r="R15" s="29">
        <f t="shared" si="10"/>
        <v>6810</v>
      </c>
      <c r="S15" s="29">
        <f t="shared" si="10"/>
        <v>6895</v>
      </c>
      <c r="T15" s="29">
        <f t="shared" si="10"/>
        <v>6910</v>
      </c>
      <c r="U15" s="29">
        <f t="shared" si="10"/>
        <v>0</v>
      </c>
      <c r="V15" s="29">
        <f t="shared" si="10"/>
        <v>0</v>
      </c>
      <c r="W15" s="29">
        <f t="shared" si="10"/>
        <v>0</v>
      </c>
      <c r="X15" s="29">
        <f t="shared" si="10"/>
        <v>0</v>
      </c>
      <c r="Y15" s="29">
        <f t="shared" si="10"/>
        <v>0</v>
      </c>
      <c r="Z15" s="29">
        <f t="shared" si="10"/>
        <v>0</v>
      </c>
      <c r="AA15" s="29">
        <f t="shared" si="10"/>
        <v>0</v>
      </c>
      <c r="AB15" s="29">
        <f t="shared" si="10"/>
        <v>0</v>
      </c>
      <c r="AC15" s="29">
        <f t="shared" si="10"/>
        <v>0</v>
      </c>
      <c r="AD15" s="29">
        <f t="shared" si="10"/>
        <v>0</v>
      </c>
      <c r="AE15" s="29">
        <f t="shared" si="10"/>
        <v>0</v>
      </c>
      <c r="AF15" s="29">
        <f t="shared" si="10"/>
        <v>0</v>
      </c>
      <c r="AG15" s="29">
        <f t="shared" si="10"/>
        <v>0</v>
      </c>
      <c r="AH15" s="29">
        <f t="shared" si="10"/>
        <v>0</v>
      </c>
      <c r="AI15" s="29">
        <f t="shared" si="10"/>
        <v>0</v>
      </c>
      <c r="AJ15" s="30">
        <f>SUM(E15:AI15)</f>
        <v>93941</v>
      </c>
      <c r="AK15" s="12">
        <f>AJ15+'Jul-24'!AK15</f>
        <v>896945</v>
      </c>
      <c r="AO15" s="344" t="s">
        <v>302</v>
      </c>
    </row>
    <row r="16" spans="1:253" s="19" customFormat="1" x14ac:dyDescent="0.3">
      <c r="A16" s="13">
        <v>4</v>
      </c>
      <c r="B16" s="14" t="s">
        <v>21</v>
      </c>
      <c r="C16" s="15" t="s">
        <v>14</v>
      </c>
      <c r="D16" s="15" t="s">
        <v>22</v>
      </c>
      <c r="E16" s="32" t="e">
        <f>E14/E15</f>
        <v>#DIV/0!</v>
      </c>
      <c r="F16" s="32" t="e">
        <f>F14/F15</f>
        <v>#DIV/0!</v>
      </c>
      <c r="G16" s="32">
        <f t="shared" ref="G16:AI16" si="11">G14/G15</f>
        <v>0</v>
      </c>
      <c r="H16" s="32">
        <f t="shared" si="11"/>
        <v>0</v>
      </c>
      <c r="I16" s="32">
        <f t="shared" si="11"/>
        <v>21.003714630753475</v>
      </c>
      <c r="J16" s="32">
        <f t="shared" si="11"/>
        <v>26.702989524639467</v>
      </c>
      <c r="K16" s="32">
        <f t="shared" si="11"/>
        <v>24.5722320312655</v>
      </c>
      <c r="L16" s="32">
        <f t="shared" si="11"/>
        <v>24.869326342329231</v>
      </c>
      <c r="M16" s="32">
        <f t="shared" si="11"/>
        <v>23.183057207589918</v>
      </c>
      <c r="N16" s="32">
        <f t="shared" si="11"/>
        <v>25.206360616726986</v>
      </c>
      <c r="O16" s="32">
        <f t="shared" si="11"/>
        <v>27.311512653880698</v>
      </c>
      <c r="P16" s="32">
        <f t="shared" si="11"/>
        <v>29.458560447239698</v>
      </c>
      <c r="Q16" s="32">
        <f t="shared" si="11"/>
        <v>28.951196849513789</v>
      </c>
      <c r="R16" s="32">
        <f t="shared" si="11"/>
        <v>22.771064015557407</v>
      </c>
      <c r="S16" s="32">
        <f t="shared" si="11"/>
        <v>19.503838201783104</v>
      </c>
      <c r="T16" s="32">
        <f t="shared" si="11"/>
        <v>10.462027402522848</v>
      </c>
      <c r="U16" s="32" t="e">
        <f t="shared" si="11"/>
        <v>#DIV/0!</v>
      </c>
      <c r="V16" s="32" t="e">
        <f t="shared" si="11"/>
        <v>#DIV/0!</v>
      </c>
      <c r="W16" s="32" t="e">
        <f>W14/W15</f>
        <v>#DIV/0!</v>
      </c>
      <c r="X16" s="32" t="e">
        <f t="shared" si="11"/>
        <v>#DIV/0!</v>
      </c>
      <c r="Y16" s="32" t="e">
        <f t="shared" si="11"/>
        <v>#DIV/0!</v>
      </c>
      <c r="Z16" s="32" t="e">
        <f t="shared" si="11"/>
        <v>#DIV/0!</v>
      </c>
      <c r="AA16" s="32" t="e">
        <f t="shared" si="11"/>
        <v>#DIV/0!</v>
      </c>
      <c r="AB16" s="32" t="e">
        <f t="shared" si="11"/>
        <v>#DIV/0!</v>
      </c>
      <c r="AC16" s="32" t="e">
        <f t="shared" si="11"/>
        <v>#DIV/0!</v>
      </c>
      <c r="AD16" s="32" t="e">
        <f t="shared" si="11"/>
        <v>#DIV/0!</v>
      </c>
      <c r="AE16" s="32" t="e">
        <f t="shared" si="11"/>
        <v>#DIV/0!</v>
      </c>
      <c r="AF16" s="32" t="e">
        <f t="shared" si="11"/>
        <v>#DIV/0!</v>
      </c>
      <c r="AG16" s="32" t="e">
        <f t="shared" si="11"/>
        <v>#DIV/0!</v>
      </c>
      <c r="AH16" s="32" t="e">
        <f t="shared" si="11"/>
        <v>#DIV/0!</v>
      </c>
      <c r="AI16" s="32" t="e">
        <f t="shared" si="11"/>
        <v>#DIV/0!</v>
      </c>
      <c r="AJ16" s="33">
        <f>AJ14/AJ15</f>
        <v>21.16227894349754</v>
      </c>
      <c r="AK16"/>
      <c r="AL16"/>
      <c r="AM16"/>
      <c r="AN16"/>
      <c r="AO16" s="344" t="s">
        <v>303</v>
      </c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</row>
    <row r="17" spans="1:253" x14ac:dyDescent="0.3">
      <c r="A17" s="8"/>
      <c r="B17" s="9" t="s">
        <v>23</v>
      </c>
      <c r="C17" s="10" t="s">
        <v>14</v>
      </c>
      <c r="D17" s="10" t="s">
        <v>15</v>
      </c>
      <c r="E17" s="22">
        <v>0</v>
      </c>
      <c r="F17" s="22">
        <v>506.33</v>
      </c>
      <c r="G17" s="22">
        <v>346.2</v>
      </c>
      <c r="H17" s="22">
        <v>173.53</v>
      </c>
      <c r="I17" s="22">
        <v>172.48</v>
      </c>
      <c r="J17" s="22">
        <v>415.38</v>
      </c>
      <c r="K17" s="22">
        <v>842.38</v>
      </c>
      <c r="L17" s="22">
        <v>754.49</v>
      </c>
      <c r="M17" s="22">
        <v>752.2</v>
      </c>
      <c r="N17" s="22">
        <v>767.2</v>
      </c>
      <c r="O17" s="22">
        <v>913.76</v>
      </c>
      <c r="P17" s="22">
        <v>947.5</v>
      </c>
      <c r="Q17" s="22">
        <v>897.2</v>
      </c>
      <c r="R17" s="22">
        <v>500.63</v>
      </c>
      <c r="S17" s="22">
        <v>329.72</v>
      </c>
      <c r="T17" s="22">
        <v>651.45000000000005</v>
      </c>
      <c r="U17" s="22">
        <v>871.77</v>
      </c>
      <c r="V17" s="22">
        <v>782.21</v>
      </c>
      <c r="W17" s="22">
        <v>822.3</v>
      </c>
      <c r="X17" s="22">
        <v>893.43</v>
      </c>
      <c r="Y17" s="22">
        <v>735.1</v>
      </c>
      <c r="Z17" s="22">
        <v>159.80000000000001</v>
      </c>
      <c r="AA17" s="22">
        <v>208.2</v>
      </c>
      <c r="AB17" s="22">
        <v>821.56</v>
      </c>
      <c r="AC17" s="22">
        <v>854.11</v>
      </c>
      <c r="AD17" s="22">
        <v>496.2</v>
      </c>
      <c r="AE17" s="22">
        <v>843.19</v>
      </c>
      <c r="AF17" s="22">
        <v>982.2</v>
      </c>
      <c r="AG17" s="22">
        <v>812.06</v>
      </c>
      <c r="AH17" s="22">
        <v>929.2</v>
      </c>
      <c r="AI17" s="22">
        <v>870.23</v>
      </c>
      <c r="AJ17" s="11"/>
      <c r="AO17" s="344" t="s">
        <v>304</v>
      </c>
    </row>
    <row r="18" spans="1:253" x14ac:dyDescent="0.3">
      <c r="A18" s="8"/>
      <c r="B18" s="9" t="s">
        <v>24</v>
      </c>
      <c r="C18" s="10" t="s">
        <v>14</v>
      </c>
      <c r="D18" s="10" t="s">
        <v>15</v>
      </c>
      <c r="E18" s="22">
        <v>0</v>
      </c>
      <c r="F18" s="22">
        <v>70.2</v>
      </c>
      <c r="G18" s="22">
        <v>44</v>
      </c>
      <c r="H18" s="22">
        <v>31.29</v>
      </c>
      <c r="I18" s="22">
        <v>31.64</v>
      </c>
      <c r="J18" s="22">
        <v>56.82</v>
      </c>
      <c r="K18" s="22">
        <v>105.84</v>
      </c>
      <c r="L18" s="22">
        <v>107.7</v>
      </c>
      <c r="M18" s="22">
        <v>97.94</v>
      </c>
      <c r="N18" s="22">
        <v>93.7</v>
      </c>
      <c r="O18" s="22">
        <v>113.16</v>
      </c>
      <c r="P18" s="22">
        <v>108.7</v>
      </c>
      <c r="Q18" s="23">
        <v>113.72</v>
      </c>
      <c r="R18" s="22">
        <v>71.59</v>
      </c>
      <c r="S18" s="22">
        <v>52.07</v>
      </c>
      <c r="T18" s="22">
        <v>103.19</v>
      </c>
      <c r="U18" s="22">
        <v>118.8</v>
      </c>
      <c r="V18" s="22">
        <v>108.09</v>
      </c>
      <c r="W18" s="22">
        <v>106.44</v>
      </c>
      <c r="X18" s="22">
        <v>108.2</v>
      </c>
      <c r="Y18" s="22">
        <v>91.43</v>
      </c>
      <c r="Z18" s="22">
        <v>17.190000000000001</v>
      </c>
      <c r="AA18" s="22">
        <v>36.04</v>
      </c>
      <c r="AB18" s="22">
        <v>89.4</v>
      </c>
      <c r="AC18" s="22">
        <v>98.39</v>
      </c>
      <c r="AD18" s="22">
        <v>78.8</v>
      </c>
      <c r="AE18" s="22">
        <v>101.46</v>
      </c>
      <c r="AF18" s="22">
        <v>116.82</v>
      </c>
      <c r="AG18" s="22">
        <v>99.48</v>
      </c>
      <c r="AH18" s="22">
        <v>111.09</v>
      </c>
      <c r="AI18" s="22">
        <v>102.24</v>
      </c>
      <c r="AJ18" s="11"/>
      <c r="AO18" s="344" t="s">
        <v>299</v>
      </c>
    </row>
    <row r="19" spans="1:253" x14ac:dyDescent="0.3">
      <c r="A19" s="8"/>
      <c r="B19" s="9" t="s">
        <v>16</v>
      </c>
      <c r="C19" s="10" t="s">
        <v>14</v>
      </c>
      <c r="D19" s="10" t="s">
        <v>17</v>
      </c>
      <c r="E19" s="26">
        <f t="shared" ref="E19:AI19" si="12">E13</f>
        <v>0</v>
      </c>
      <c r="F19" s="26">
        <f t="shared" si="12"/>
        <v>9.64</v>
      </c>
      <c r="G19" s="26">
        <f t="shared" si="12"/>
        <v>12.11</v>
      </c>
      <c r="H19" s="26">
        <f t="shared" si="12"/>
        <v>9.3800000000000008</v>
      </c>
      <c r="I19" s="26">
        <f t="shared" si="12"/>
        <v>6.26</v>
      </c>
      <c r="J19" s="26">
        <f t="shared" si="12"/>
        <v>5.42</v>
      </c>
      <c r="K19" s="26">
        <f t="shared" si="12"/>
        <v>5.6</v>
      </c>
      <c r="L19" s="26">
        <f t="shared" si="12"/>
        <v>5.65</v>
      </c>
      <c r="M19" s="26">
        <f t="shared" si="12"/>
        <v>5.76</v>
      </c>
      <c r="N19" s="26">
        <f t="shared" si="12"/>
        <v>5.52</v>
      </c>
      <c r="O19" s="26">
        <f t="shared" si="12"/>
        <v>5.4</v>
      </c>
      <c r="P19" s="26">
        <f t="shared" si="12"/>
        <v>5.3</v>
      </c>
      <c r="Q19" s="26">
        <f t="shared" si="12"/>
        <v>5.51</v>
      </c>
      <c r="R19" s="26">
        <f>R13</f>
        <v>5.92</v>
      </c>
      <c r="S19" s="26">
        <f>S13</f>
        <v>6.18</v>
      </c>
      <c r="T19" s="26">
        <f t="shared" si="12"/>
        <v>6.63</v>
      </c>
      <c r="U19" s="26">
        <f t="shared" si="12"/>
        <v>7.55</v>
      </c>
      <c r="V19" s="26">
        <f t="shared" si="12"/>
        <v>7.73</v>
      </c>
      <c r="W19" s="26">
        <f t="shared" si="12"/>
        <v>7.37</v>
      </c>
      <c r="X19" s="26">
        <f t="shared" si="12"/>
        <v>6.96</v>
      </c>
      <c r="Y19" s="26">
        <f t="shared" si="12"/>
        <v>7.24</v>
      </c>
      <c r="Z19" s="26">
        <f t="shared" si="12"/>
        <v>14.39</v>
      </c>
      <c r="AA19" s="26">
        <f t="shared" si="12"/>
        <v>11.22</v>
      </c>
      <c r="AB19" s="26">
        <f t="shared" si="12"/>
        <v>6.76</v>
      </c>
      <c r="AC19" s="26">
        <f t="shared" si="12"/>
        <v>7.12</v>
      </c>
      <c r="AD19" s="26">
        <f t="shared" si="12"/>
        <v>8.8699999999999992</v>
      </c>
      <c r="AE19" s="26">
        <f t="shared" si="12"/>
        <v>6.87</v>
      </c>
      <c r="AF19" s="26">
        <f t="shared" si="12"/>
        <v>6.68</v>
      </c>
      <c r="AG19" s="26">
        <f t="shared" si="12"/>
        <v>7.17</v>
      </c>
      <c r="AH19" s="26">
        <f t="shared" si="12"/>
        <v>7.08</v>
      </c>
      <c r="AI19" s="26">
        <f t="shared" si="12"/>
        <v>7.16</v>
      </c>
      <c r="AJ19" s="11"/>
      <c r="AO19" s="344" t="s">
        <v>305</v>
      </c>
    </row>
    <row r="20" spans="1:253" x14ac:dyDescent="0.3">
      <c r="A20" s="8"/>
      <c r="B20" s="24" t="s">
        <v>25</v>
      </c>
      <c r="C20" s="10" t="s">
        <v>14</v>
      </c>
      <c r="D20" s="10" t="s">
        <v>19</v>
      </c>
      <c r="E20" s="23" t="e">
        <f t="shared" ref="E20:AI20" si="13">(E17+E18)/E19*1000</f>
        <v>#DIV/0!</v>
      </c>
      <c r="F20" s="23">
        <f t="shared" si="13"/>
        <v>59806.016597510366</v>
      </c>
      <c r="G20" s="23">
        <f t="shared" si="13"/>
        <v>32221.304706853844</v>
      </c>
      <c r="H20" s="23">
        <f t="shared" si="13"/>
        <v>21835.820895522385</v>
      </c>
      <c r="I20" s="23">
        <f t="shared" si="13"/>
        <v>32607.028753993611</v>
      </c>
      <c r="J20" s="23">
        <f t="shared" si="13"/>
        <v>87121.771217712187</v>
      </c>
      <c r="K20" s="23">
        <f t="shared" si="13"/>
        <v>169325.00000000003</v>
      </c>
      <c r="L20" s="23">
        <f t="shared" si="13"/>
        <v>152600</v>
      </c>
      <c r="M20" s="23">
        <f t="shared" si="13"/>
        <v>147593.75000000003</v>
      </c>
      <c r="N20" s="23">
        <f t="shared" si="13"/>
        <v>155960.14492753625</v>
      </c>
      <c r="O20" s="23">
        <f t="shared" si="13"/>
        <v>190170.37037037036</v>
      </c>
      <c r="P20" s="23">
        <f t="shared" si="13"/>
        <v>199283.01886792455</v>
      </c>
      <c r="Q20" s="23">
        <f t="shared" si="13"/>
        <v>183470.054446461</v>
      </c>
      <c r="R20" s="23">
        <f t="shared" si="13"/>
        <v>96658.783783783787</v>
      </c>
      <c r="S20" s="23">
        <f t="shared" si="13"/>
        <v>61778.317152103569</v>
      </c>
      <c r="T20" s="23">
        <f t="shared" si="13"/>
        <v>113822.02111613879</v>
      </c>
      <c r="U20" s="23">
        <f t="shared" si="13"/>
        <v>131201.32450331125</v>
      </c>
      <c r="V20" s="23">
        <f t="shared" si="13"/>
        <v>115174.64424320828</v>
      </c>
      <c r="W20" s="23">
        <f t="shared" si="13"/>
        <v>126016.28222523745</v>
      </c>
      <c r="X20" s="23">
        <f t="shared" si="13"/>
        <v>143912.35632183906</v>
      </c>
      <c r="Y20" s="23">
        <f t="shared" si="13"/>
        <v>114161.60220994474</v>
      </c>
      <c r="Z20" s="23">
        <f t="shared" si="13"/>
        <v>12299.513551077136</v>
      </c>
      <c r="AA20" s="23">
        <f t="shared" si="13"/>
        <v>21768.270944741529</v>
      </c>
      <c r="AB20" s="23">
        <f t="shared" si="13"/>
        <v>134757.39644970416</v>
      </c>
      <c r="AC20" s="23">
        <f t="shared" si="13"/>
        <v>133778.08988764044</v>
      </c>
      <c r="AD20" s="23">
        <f t="shared" si="13"/>
        <v>64825.253664036085</v>
      </c>
      <c r="AE20" s="23">
        <f t="shared" si="13"/>
        <v>137503.63901018925</v>
      </c>
      <c r="AF20" s="23">
        <f t="shared" si="13"/>
        <v>164523.9520958084</v>
      </c>
      <c r="AG20" s="23">
        <f t="shared" si="13"/>
        <v>127132.49651324964</v>
      </c>
      <c r="AH20" s="23">
        <f t="shared" si="13"/>
        <v>146933.61581920902</v>
      </c>
      <c r="AI20" s="23">
        <f t="shared" si="13"/>
        <v>135819.83240223464</v>
      </c>
      <c r="AJ20" s="28">
        <f>SUMIF(E21:AI21,"&gt;7905",E20:AI20)</f>
        <v>3293329.7338251532</v>
      </c>
      <c r="AO20" s="344" t="s">
        <v>301</v>
      </c>
    </row>
    <row r="21" spans="1:253" x14ac:dyDescent="0.3">
      <c r="A21" s="8"/>
      <c r="B21" s="9" t="s">
        <v>20</v>
      </c>
      <c r="C21" s="10" t="s">
        <v>14</v>
      </c>
      <c r="D21" s="10" t="s">
        <v>15</v>
      </c>
      <c r="E21" s="34">
        <f>E73</f>
        <v>6288</v>
      </c>
      <c r="F21" s="34">
        <f t="shared" ref="F21:AI21" si="14">F73</f>
        <v>8280</v>
      </c>
      <c r="G21" s="34">
        <f t="shared" si="14"/>
        <v>6807</v>
      </c>
      <c r="H21" s="34">
        <f t="shared" si="14"/>
        <v>6734</v>
      </c>
      <c r="I21" s="34">
        <f t="shared" si="14"/>
        <v>7878</v>
      </c>
      <c r="J21" s="34">
        <f t="shared" si="14"/>
        <v>8658</v>
      </c>
      <c r="K21" s="34">
        <f t="shared" si="14"/>
        <v>9001</v>
      </c>
      <c r="L21" s="34">
        <f t="shared" si="14"/>
        <v>8804</v>
      </c>
      <c r="M21" s="34">
        <f t="shared" si="14"/>
        <v>8658</v>
      </c>
      <c r="N21" s="34">
        <f t="shared" si="14"/>
        <v>8517</v>
      </c>
      <c r="O21" s="34">
        <f t="shared" si="14"/>
        <v>8698</v>
      </c>
      <c r="P21" s="34">
        <f t="shared" si="14"/>
        <v>8760</v>
      </c>
      <c r="Q21" s="34">
        <f t="shared" si="14"/>
        <v>8765</v>
      </c>
      <c r="R21" s="34">
        <f t="shared" si="14"/>
        <v>8561</v>
      </c>
      <c r="S21" s="34">
        <f t="shared" si="14"/>
        <v>8898</v>
      </c>
      <c r="T21" s="34">
        <f t="shared" si="14"/>
        <v>8989</v>
      </c>
      <c r="U21" s="34">
        <f t="shared" si="14"/>
        <v>8813</v>
      </c>
      <c r="V21" s="34">
        <f t="shared" si="14"/>
        <v>8886</v>
      </c>
      <c r="W21" s="34">
        <f t="shared" si="14"/>
        <v>8864</v>
      </c>
      <c r="X21" s="34">
        <f t="shared" si="14"/>
        <v>8829</v>
      </c>
      <c r="Y21" s="34">
        <f t="shared" si="14"/>
        <v>8113</v>
      </c>
      <c r="Z21" s="34">
        <f t="shared" si="14"/>
        <v>4879</v>
      </c>
      <c r="AA21" s="34">
        <f t="shared" si="14"/>
        <v>7051</v>
      </c>
      <c r="AB21" s="34">
        <f t="shared" si="14"/>
        <v>8571</v>
      </c>
      <c r="AC21" s="34">
        <f t="shared" si="14"/>
        <v>8888</v>
      </c>
      <c r="AD21" s="34">
        <f t="shared" si="14"/>
        <v>8160</v>
      </c>
      <c r="AE21" s="34">
        <f t="shared" si="14"/>
        <v>8596</v>
      </c>
      <c r="AF21" s="34">
        <f t="shared" si="14"/>
        <v>8690</v>
      </c>
      <c r="AG21" s="34">
        <f t="shared" si="14"/>
        <v>8450</v>
      </c>
      <c r="AH21" s="34">
        <f t="shared" si="14"/>
        <v>8195</v>
      </c>
      <c r="AI21" s="34">
        <f t="shared" si="14"/>
        <v>8229</v>
      </c>
      <c r="AJ21" s="30">
        <f>SUM(E21:AI21)</f>
        <v>255510</v>
      </c>
      <c r="AK21" s="12">
        <f>AJ21+'Jul-24'!AK21</f>
        <v>1173011</v>
      </c>
      <c r="AO21" s="344" t="s">
        <v>306</v>
      </c>
    </row>
    <row r="22" spans="1:253" s="19" customFormat="1" x14ac:dyDescent="0.3">
      <c r="A22" s="13">
        <v>5</v>
      </c>
      <c r="B22" s="14" t="s">
        <v>26</v>
      </c>
      <c r="C22" s="15" t="s">
        <v>14</v>
      </c>
      <c r="D22" s="15" t="s">
        <v>22</v>
      </c>
      <c r="E22" s="32" t="e">
        <f>E20/E21</f>
        <v>#DIV/0!</v>
      </c>
      <c r="F22" s="32">
        <f>F20/F21</f>
        <v>7.2229488644336195</v>
      </c>
      <c r="G22" s="32">
        <f>G20/G21</f>
        <v>4.7335543861985965</v>
      </c>
      <c r="H22" s="32">
        <f t="shared" ref="H22:AI22" si="15">H20/H21</f>
        <v>3.2426226456077196</v>
      </c>
      <c r="I22" s="32">
        <f t="shared" si="15"/>
        <v>4.1389983186079728</v>
      </c>
      <c r="J22" s="32">
        <f t="shared" si="15"/>
        <v>10.062574638220395</v>
      </c>
      <c r="K22" s="32">
        <f t="shared" si="15"/>
        <v>18.811798689034553</v>
      </c>
      <c r="L22" s="32">
        <f t="shared" si="15"/>
        <v>17.333030440708768</v>
      </c>
      <c r="M22" s="35">
        <f t="shared" si="15"/>
        <v>17.047095172095176</v>
      </c>
      <c r="N22" s="32">
        <f t="shared" si="15"/>
        <v>18.311629086243542</v>
      </c>
      <c r="O22" s="32">
        <f t="shared" si="15"/>
        <v>21.863689396455548</v>
      </c>
      <c r="P22" s="32">
        <f t="shared" si="15"/>
        <v>22.749203067114674</v>
      </c>
      <c r="Q22" s="32">
        <f t="shared" si="15"/>
        <v>20.932122583737705</v>
      </c>
      <c r="R22" s="32">
        <f t="shared" si="15"/>
        <v>11.290594998689848</v>
      </c>
      <c r="S22" s="32">
        <f t="shared" si="15"/>
        <v>6.9429441618457597</v>
      </c>
      <c r="T22" s="32">
        <f t="shared" si="15"/>
        <v>12.662367462024562</v>
      </c>
      <c r="U22" s="32">
        <f t="shared" si="15"/>
        <v>14.887248894055514</v>
      </c>
      <c r="V22" s="32">
        <f t="shared" si="15"/>
        <v>12.961359919334715</v>
      </c>
      <c r="W22" s="32">
        <f t="shared" si="15"/>
        <v>14.21663833768473</v>
      </c>
      <c r="X22" s="32">
        <f t="shared" si="15"/>
        <v>16.299961073942583</v>
      </c>
      <c r="Y22" s="32">
        <f t="shared" si="15"/>
        <v>14.071441169720787</v>
      </c>
      <c r="Z22" s="32">
        <f t="shared" si="15"/>
        <v>2.5209087007741617</v>
      </c>
      <c r="AA22" s="32">
        <f>AA20/AA21</f>
        <v>3.0872600971126833</v>
      </c>
      <c r="AB22" s="32">
        <f t="shared" si="15"/>
        <v>15.722482376584315</v>
      </c>
      <c r="AC22" s="32">
        <f t="shared" si="15"/>
        <v>15.051540266386189</v>
      </c>
      <c r="AD22" s="32">
        <f t="shared" si="15"/>
        <v>7.9442712823573638</v>
      </c>
      <c r="AE22" s="32">
        <f t="shared" si="15"/>
        <v>15.996235343204891</v>
      </c>
      <c r="AF22" s="32">
        <f t="shared" si="15"/>
        <v>18.932560655444004</v>
      </c>
      <c r="AG22" s="32">
        <f t="shared" si="15"/>
        <v>15.045265859556171</v>
      </c>
      <c r="AH22" s="32">
        <f t="shared" si="15"/>
        <v>17.929666359879075</v>
      </c>
      <c r="AI22" s="32">
        <f t="shared" si="15"/>
        <v>16.505022773391012</v>
      </c>
      <c r="AJ22" s="36">
        <f>AJ20/AJ21</f>
        <v>12.889240083852505</v>
      </c>
      <c r="AK22"/>
      <c r="AL22"/>
      <c r="AM22"/>
      <c r="AN22"/>
      <c r="AO22" s="344" t="s">
        <v>307</v>
      </c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</row>
    <row r="23" spans="1:253" s="19" customFormat="1" x14ac:dyDescent="0.3">
      <c r="A23" s="13"/>
      <c r="B23" s="14" t="s">
        <v>27</v>
      </c>
      <c r="C23" s="15" t="s">
        <v>14</v>
      </c>
      <c r="D23" s="15" t="s">
        <v>19</v>
      </c>
      <c r="E23" s="32">
        <v>0</v>
      </c>
      <c r="F23" s="32">
        <v>56390</v>
      </c>
      <c r="G23" s="32">
        <v>32880</v>
      </c>
      <c r="H23" s="32">
        <v>22140</v>
      </c>
      <c r="I23" s="32">
        <v>179500</v>
      </c>
      <c r="J23" s="32">
        <v>276900</v>
      </c>
      <c r="K23" s="32">
        <v>345970</v>
      </c>
      <c r="L23" s="32">
        <v>327560</v>
      </c>
      <c r="M23" s="35">
        <v>310510</v>
      </c>
      <c r="N23" s="32">
        <v>332510</v>
      </c>
      <c r="O23" s="32">
        <v>380590</v>
      </c>
      <c r="P23" s="32">
        <v>397040</v>
      </c>
      <c r="Q23" s="32">
        <v>385790</v>
      </c>
      <c r="R23" s="32">
        <v>249740</v>
      </c>
      <c r="S23" s="32">
        <v>194360</v>
      </c>
      <c r="T23" s="32">
        <v>182630</v>
      </c>
      <c r="U23" s="32">
        <v>126510</v>
      </c>
      <c r="V23" s="32">
        <v>110640</v>
      </c>
      <c r="W23" s="32">
        <v>121280</v>
      </c>
      <c r="X23" s="32">
        <v>138750</v>
      </c>
      <c r="Y23" s="32">
        <v>110480</v>
      </c>
      <c r="Z23" s="32">
        <v>14080</v>
      </c>
      <c r="AA23" s="32">
        <v>20330</v>
      </c>
      <c r="AB23" s="32">
        <v>130330</v>
      </c>
      <c r="AC23" s="32">
        <v>129310</v>
      </c>
      <c r="AD23" s="32">
        <v>62020</v>
      </c>
      <c r="AE23" s="32">
        <v>137580</v>
      </c>
      <c r="AF23" s="32">
        <v>159030</v>
      </c>
      <c r="AG23" s="32">
        <v>122080</v>
      </c>
      <c r="AH23" s="32">
        <v>141420</v>
      </c>
      <c r="AI23" s="32">
        <v>130670</v>
      </c>
      <c r="AJ23" s="28">
        <f>SUM(E23:AI23)</f>
        <v>5329020</v>
      </c>
      <c r="AK23" s="12">
        <f>AJ23+'Jul-24'!AK23</f>
        <v>49513380</v>
      </c>
      <c r="AL23"/>
      <c r="AM23"/>
      <c r="AN23"/>
      <c r="AO23" s="344" t="s">
        <v>308</v>
      </c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</row>
    <row r="24" spans="1:253" s="19" customFormat="1" x14ac:dyDescent="0.3">
      <c r="A24" s="13">
        <v>6</v>
      </c>
      <c r="B24" s="14" t="s">
        <v>28</v>
      </c>
      <c r="C24" s="15" t="s">
        <v>14</v>
      </c>
      <c r="D24" s="15" t="s">
        <v>22</v>
      </c>
      <c r="E24" s="32">
        <f t="shared" ref="E24:AI24" si="16">E23/(E72+E73)</f>
        <v>0</v>
      </c>
      <c r="F24" s="32">
        <f t="shared" si="16"/>
        <v>6.8103864734299515</v>
      </c>
      <c r="G24" s="32">
        <f t="shared" si="16"/>
        <v>3.2969016344129147</v>
      </c>
      <c r="H24" s="32">
        <f t="shared" si="16"/>
        <v>1.6347928819316251</v>
      </c>
      <c r="I24" s="32">
        <f t="shared" si="16"/>
        <v>11.979444741057128</v>
      </c>
      <c r="J24" s="32">
        <f t="shared" si="16"/>
        <v>17.533084277844615</v>
      </c>
      <c r="K24" s="32">
        <f t="shared" si="16"/>
        <v>21.353536600419702</v>
      </c>
      <c r="L24" s="32">
        <f t="shared" si="16"/>
        <v>20.654517939340437</v>
      </c>
      <c r="M24" s="35">
        <f t="shared" si="16"/>
        <v>19.752544529262085</v>
      </c>
      <c r="N24" s="32">
        <f t="shared" si="16"/>
        <v>21.406682546835768</v>
      </c>
      <c r="O24" s="32">
        <f t="shared" si="16"/>
        <v>24.229055258467024</v>
      </c>
      <c r="P24" s="32">
        <f t="shared" si="16"/>
        <v>25.598968407479045</v>
      </c>
      <c r="Q24" s="32">
        <f t="shared" si="16"/>
        <v>24.446486280970788</v>
      </c>
      <c r="R24" s="32">
        <f t="shared" si="16"/>
        <v>16.247479018931756</v>
      </c>
      <c r="S24" s="32">
        <f t="shared" si="16"/>
        <v>12.306718166276198</v>
      </c>
      <c r="T24" s="32">
        <f t="shared" si="16"/>
        <v>11.486885967670922</v>
      </c>
      <c r="U24" s="32">
        <f t="shared" si="16"/>
        <v>14.354930216725291</v>
      </c>
      <c r="V24" s="32">
        <f t="shared" si="16"/>
        <v>12.451046590141797</v>
      </c>
      <c r="W24" s="32">
        <f t="shared" si="16"/>
        <v>13.68231046931408</v>
      </c>
      <c r="X24" s="32">
        <f t="shared" si="16"/>
        <v>15.715256540944614</v>
      </c>
      <c r="Y24" s="32">
        <f t="shared" si="16"/>
        <v>13.617650684087268</v>
      </c>
      <c r="Z24" s="32">
        <f t="shared" si="16"/>
        <v>2.885837261733962</v>
      </c>
      <c r="AA24" s="32">
        <f t="shared" si="16"/>
        <v>2.8832789675223371</v>
      </c>
      <c r="AB24" s="32">
        <f t="shared" si="16"/>
        <v>15.205926963014818</v>
      </c>
      <c r="AC24" s="32">
        <f t="shared" si="16"/>
        <v>14.548829882988299</v>
      </c>
      <c r="AD24" s="32">
        <f t="shared" si="16"/>
        <v>7.6004901960784315</v>
      </c>
      <c r="AE24" s="32">
        <f t="shared" si="16"/>
        <v>16.005118659841788</v>
      </c>
      <c r="AF24" s="32">
        <f t="shared" si="16"/>
        <v>18.300345224395858</v>
      </c>
      <c r="AG24" s="32">
        <f t="shared" si="16"/>
        <v>14.447337278106509</v>
      </c>
      <c r="AH24" s="32">
        <f t="shared" si="16"/>
        <v>17.256863941427699</v>
      </c>
      <c r="AI24" s="32">
        <f t="shared" si="16"/>
        <v>15.879207680155547</v>
      </c>
      <c r="AJ24" s="33">
        <f>AJ23/(AJ15+AJ21)</f>
        <v>15.249691659202577</v>
      </c>
      <c r="AK24" s="33">
        <f>AK23/(AK15+AK21)</f>
        <v>23.920015691154788</v>
      </c>
      <c r="AL24"/>
      <c r="AM24"/>
      <c r="AN24"/>
      <c r="AO24" s="344" t="s">
        <v>309</v>
      </c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</row>
    <row r="25" spans="1:253" x14ac:dyDescent="0.3">
      <c r="A25" s="8"/>
      <c r="B25" s="9" t="s">
        <v>29</v>
      </c>
      <c r="C25" s="10" t="s">
        <v>30</v>
      </c>
      <c r="D25" s="10" t="s">
        <v>31</v>
      </c>
      <c r="E25" s="38"/>
      <c r="F25" s="38"/>
      <c r="G25" s="38"/>
      <c r="H25" s="38"/>
      <c r="I25" s="38"/>
      <c r="J25" s="38"/>
      <c r="K25" s="38"/>
      <c r="L25" s="38"/>
      <c r="M25" s="39"/>
      <c r="N25" s="40"/>
      <c r="O25" s="40"/>
      <c r="P25" s="40"/>
      <c r="Q25" s="39"/>
      <c r="R25" s="40"/>
      <c r="S25" s="40"/>
      <c r="T25" s="40"/>
      <c r="U25" s="40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8"/>
      <c r="AO25" s="344" t="s">
        <v>310</v>
      </c>
    </row>
    <row r="26" spans="1:253" x14ac:dyDescent="0.3">
      <c r="A26" s="8"/>
      <c r="B26" s="9" t="s">
        <v>32</v>
      </c>
      <c r="C26" s="10" t="s">
        <v>30</v>
      </c>
      <c r="D26" s="10" t="s">
        <v>31</v>
      </c>
      <c r="E26" s="38"/>
      <c r="F26" s="38"/>
      <c r="G26" s="38"/>
      <c r="H26" s="38"/>
      <c r="I26" s="38"/>
      <c r="J26" s="38"/>
      <c r="K26" s="38"/>
      <c r="L26" s="38"/>
      <c r="M26" s="39"/>
      <c r="N26" s="40"/>
      <c r="O26" s="40"/>
      <c r="P26" s="40"/>
      <c r="Q26" s="39"/>
      <c r="R26" s="40"/>
      <c r="S26" s="40"/>
      <c r="T26" s="40"/>
      <c r="U26" s="40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8"/>
      <c r="AO26" s="344" t="s">
        <v>311</v>
      </c>
    </row>
    <row r="27" spans="1:253" s="19" customFormat="1" x14ac:dyDescent="0.3">
      <c r="A27" s="13">
        <v>7</v>
      </c>
      <c r="B27" s="14" t="s">
        <v>33</v>
      </c>
      <c r="C27" s="15" t="s">
        <v>30</v>
      </c>
      <c r="D27" s="15" t="s">
        <v>34</v>
      </c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28" t="e">
        <f>(AVERAGE(E27:AI27)*31)/1000</f>
        <v>#DIV/0!</v>
      </c>
      <c r="AK27" s="12"/>
      <c r="AL27"/>
      <c r="AM27"/>
      <c r="AN27"/>
      <c r="AO27" s="344" t="s">
        <v>312</v>
      </c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</row>
    <row r="28" spans="1:253" x14ac:dyDescent="0.3">
      <c r="A28" s="24"/>
      <c r="B28" s="9" t="s">
        <v>35</v>
      </c>
      <c r="C28" s="10" t="s">
        <v>36</v>
      </c>
      <c r="D28" s="10" t="s">
        <v>7</v>
      </c>
      <c r="E28" s="10">
        <v>28</v>
      </c>
      <c r="F28" s="10">
        <v>50</v>
      </c>
      <c r="G28" s="10">
        <v>33</v>
      </c>
      <c r="H28" s="10">
        <v>25</v>
      </c>
      <c r="I28" s="10">
        <v>58</v>
      </c>
      <c r="J28" s="10">
        <v>48</v>
      </c>
      <c r="K28" s="10">
        <v>21</v>
      </c>
      <c r="L28" s="10">
        <v>51</v>
      </c>
      <c r="M28" s="10">
        <v>39</v>
      </c>
      <c r="N28" s="10">
        <v>28</v>
      </c>
      <c r="O28" s="10">
        <v>48</v>
      </c>
      <c r="P28" s="10">
        <v>37</v>
      </c>
      <c r="Q28" s="10">
        <v>29</v>
      </c>
      <c r="R28" s="10">
        <v>47</v>
      </c>
      <c r="S28" s="10">
        <v>26</v>
      </c>
      <c r="T28" s="10">
        <v>46</v>
      </c>
      <c r="U28" s="10">
        <v>36</v>
      </c>
      <c r="V28" s="10">
        <v>22</v>
      </c>
      <c r="W28" s="10">
        <v>38</v>
      </c>
      <c r="X28" s="10">
        <v>34</v>
      </c>
      <c r="Y28" s="10">
        <v>28</v>
      </c>
      <c r="Z28" s="10">
        <v>0</v>
      </c>
      <c r="AA28" s="10">
        <v>0</v>
      </c>
      <c r="AB28" s="10">
        <v>45</v>
      </c>
      <c r="AC28" s="10">
        <v>42</v>
      </c>
      <c r="AD28" s="10">
        <v>41</v>
      </c>
      <c r="AE28" s="10">
        <v>67</v>
      </c>
      <c r="AF28" s="10">
        <v>58</v>
      </c>
      <c r="AG28" s="10">
        <v>45</v>
      </c>
      <c r="AH28" s="10">
        <v>72</v>
      </c>
      <c r="AI28" s="10">
        <v>46</v>
      </c>
      <c r="AJ28" s="28">
        <f t="shared" ref="AJ28:AJ33" si="17">SUM(E28:AI28)</f>
        <v>1188</v>
      </c>
      <c r="AK28" s="12">
        <f>AJ28+'Jul-24'!AK28</f>
        <v>7326</v>
      </c>
      <c r="AL28" s="54">
        <f>AJ28/AJ87</f>
        <v>3.5708810878562992E-3</v>
      </c>
      <c r="AM28" t="s">
        <v>283</v>
      </c>
      <c r="AO28" s="344" t="s">
        <v>313</v>
      </c>
    </row>
    <row r="29" spans="1:253" x14ac:dyDescent="0.3">
      <c r="A29" s="24"/>
      <c r="B29" s="9" t="s">
        <v>268</v>
      </c>
      <c r="C29" s="10" t="s">
        <v>36</v>
      </c>
      <c r="D29" s="10" t="s">
        <v>7</v>
      </c>
      <c r="E29" s="10">
        <f>43</f>
        <v>43</v>
      </c>
      <c r="F29" s="10">
        <f>0+50</f>
        <v>50</v>
      </c>
      <c r="G29" s="10">
        <f>5+44</f>
        <v>49</v>
      </c>
      <c r="H29" s="10">
        <f>23+38</f>
        <v>61</v>
      </c>
      <c r="I29" s="10">
        <f>17+58</f>
        <v>75</v>
      </c>
      <c r="J29" s="10">
        <f>32+50</f>
        <v>82</v>
      </c>
      <c r="K29" s="10">
        <f>31+28</f>
        <v>59</v>
      </c>
      <c r="L29" s="10">
        <f>32+51</f>
        <v>83</v>
      </c>
      <c r="M29" s="10">
        <f>32+39</f>
        <v>71</v>
      </c>
      <c r="N29" s="10">
        <f>25+41</f>
        <v>66</v>
      </c>
      <c r="O29" s="10">
        <f>25+48</f>
        <v>73</v>
      </c>
      <c r="P29" s="10">
        <f>25+41</f>
        <v>66</v>
      </c>
      <c r="Q29" s="10">
        <f>29+39</f>
        <v>68</v>
      </c>
      <c r="R29" s="10">
        <f>33+47</f>
        <v>80</v>
      </c>
      <c r="S29" s="10">
        <f>32+37</f>
        <v>69</v>
      </c>
      <c r="T29" s="10">
        <f>27+46</f>
        <v>73</v>
      </c>
      <c r="U29" s="10">
        <f>24+36</f>
        <v>60</v>
      </c>
      <c r="V29" s="10">
        <f>29+30</f>
        <v>59</v>
      </c>
      <c r="W29" s="10">
        <f>33+38</f>
        <v>71</v>
      </c>
      <c r="X29" s="10">
        <v>53</v>
      </c>
      <c r="Y29" s="10">
        <f>31+39</f>
        <v>70</v>
      </c>
      <c r="Z29" s="10">
        <f>0</f>
        <v>0</v>
      </c>
      <c r="AA29" s="10">
        <f>0</f>
        <v>0</v>
      </c>
      <c r="AB29" s="10">
        <f>24+45</f>
        <v>69</v>
      </c>
      <c r="AC29" s="10">
        <f>46</f>
        <v>46</v>
      </c>
      <c r="AD29" s="10">
        <f>36+63</f>
        <v>99</v>
      </c>
      <c r="AE29" s="10">
        <f>31+67</f>
        <v>98</v>
      </c>
      <c r="AF29" s="10">
        <f>20+77</f>
        <v>97</v>
      </c>
      <c r="AG29" s="10">
        <f>22+52</f>
        <v>74</v>
      </c>
      <c r="AH29" s="10">
        <f>32+84</f>
        <v>116</v>
      </c>
      <c r="AI29" s="10">
        <f>14+79</f>
        <v>93</v>
      </c>
      <c r="AJ29" s="28">
        <f t="shared" si="17"/>
        <v>2073</v>
      </c>
      <c r="AK29" s="12">
        <f>AJ29+'Jul-24'!AK29</f>
        <v>6563</v>
      </c>
      <c r="AL29" s="54">
        <f>AJ29/AJ87</f>
        <v>6.2310071507795523E-3</v>
      </c>
      <c r="AM29" t="s">
        <v>282</v>
      </c>
      <c r="AO29" s="344" t="s">
        <v>314</v>
      </c>
    </row>
    <row r="30" spans="1:253" x14ac:dyDescent="0.3">
      <c r="A30" s="24"/>
      <c r="B30" s="9" t="s">
        <v>37</v>
      </c>
      <c r="C30" s="10" t="s">
        <v>36</v>
      </c>
      <c r="D30" s="10" t="s">
        <v>7</v>
      </c>
      <c r="E30" s="10">
        <v>99</v>
      </c>
      <c r="F30" s="10">
        <v>42</v>
      </c>
      <c r="G30" s="10">
        <v>0</v>
      </c>
      <c r="H30" s="10">
        <v>26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74</v>
      </c>
      <c r="O30" s="10">
        <v>35</v>
      </c>
      <c r="P30" s="10">
        <v>10</v>
      </c>
      <c r="Q30" s="10">
        <v>31</v>
      </c>
      <c r="R30" s="10">
        <v>0</v>
      </c>
      <c r="S30" s="10">
        <v>0</v>
      </c>
      <c r="T30" s="22">
        <v>35</v>
      </c>
      <c r="U30" s="10">
        <v>66</v>
      </c>
      <c r="V30" s="10">
        <v>0</v>
      </c>
      <c r="W30" s="10">
        <v>0</v>
      </c>
      <c r="X30" s="10">
        <v>45</v>
      </c>
      <c r="Y30" s="10">
        <v>28</v>
      </c>
      <c r="Z30" s="10">
        <v>97</v>
      </c>
      <c r="AA30" s="10">
        <f>31</f>
        <v>31</v>
      </c>
      <c r="AB30" s="10">
        <v>23</v>
      </c>
      <c r="AC30" s="10">
        <v>100</v>
      </c>
      <c r="AD30" s="10">
        <v>0</v>
      </c>
      <c r="AE30" s="10">
        <v>0</v>
      </c>
      <c r="AF30" s="10">
        <v>40</v>
      </c>
      <c r="AG30" s="10">
        <v>22</v>
      </c>
      <c r="AH30" s="10">
        <v>0</v>
      </c>
      <c r="AI30" s="10">
        <v>115</v>
      </c>
      <c r="AJ30" s="28">
        <f>SUM(E30:AI30)</f>
        <v>919</v>
      </c>
      <c r="AK30" s="12">
        <f>AJ30+'Jul-24'!AK30</f>
        <v>4753</v>
      </c>
      <c r="AL30" s="54">
        <f>(AJ30+AJ31)/(AJ83+AJ86)</f>
        <v>3.1917374646010327E-2</v>
      </c>
      <c r="AM30" t="s">
        <v>280</v>
      </c>
      <c r="AO30" s="344" t="s">
        <v>315</v>
      </c>
    </row>
    <row r="31" spans="1:253" x14ac:dyDescent="0.3">
      <c r="A31" s="24"/>
      <c r="B31" s="9" t="s">
        <v>38</v>
      </c>
      <c r="C31" s="10" t="s">
        <v>36</v>
      </c>
      <c r="D31" s="10" t="s">
        <v>7</v>
      </c>
      <c r="E31" s="10">
        <v>60</v>
      </c>
      <c r="F31" s="10">
        <v>0</v>
      </c>
      <c r="G31" s="10">
        <v>45</v>
      </c>
      <c r="H31" s="10">
        <v>53</v>
      </c>
      <c r="I31" s="10">
        <v>0</v>
      </c>
      <c r="J31" s="10">
        <v>9</v>
      </c>
      <c r="K31" s="10">
        <v>28</v>
      </c>
      <c r="L31" s="10">
        <v>0</v>
      </c>
      <c r="M31" s="10">
        <v>0</v>
      </c>
      <c r="N31" s="10">
        <v>50</v>
      </c>
      <c r="O31" s="10">
        <v>0</v>
      </c>
      <c r="P31" s="10">
        <v>16</v>
      </c>
      <c r="Q31" s="10">
        <v>38</v>
      </c>
      <c r="R31" s="10">
        <v>0</v>
      </c>
      <c r="S31" s="10">
        <v>43</v>
      </c>
      <c r="T31" s="22">
        <v>0</v>
      </c>
      <c r="U31" s="10">
        <v>0</v>
      </c>
      <c r="V31" s="10">
        <v>33</v>
      </c>
      <c r="W31" s="10">
        <v>0</v>
      </c>
      <c r="X31" s="10">
        <v>0</v>
      </c>
      <c r="Y31" s="10">
        <v>42</v>
      </c>
      <c r="Z31" s="10">
        <v>167</v>
      </c>
      <c r="AA31" s="10">
        <v>22</v>
      </c>
      <c r="AB31" s="10">
        <v>0</v>
      </c>
      <c r="AC31" s="10">
        <v>18</v>
      </c>
      <c r="AD31" s="10">
        <v>88</v>
      </c>
      <c r="AE31" s="10">
        <v>0</v>
      </c>
      <c r="AF31" s="10">
        <v>76</v>
      </c>
      <c r="AG31" s="10">
        <v>26</v>
      </c>
      <c r="AH31" s="10">
        <v>49</v>
      </c>
      <c r="AI31" s="10">
        <v>134</v>
      </c>
      <c r="AJ31" s="28">
        <f t="shared" si="17"/>
        <v>997</v>
      </c>
      <c r="AK31" s="12">
        <f>AJ31+'Jul-24'!AK31</f>
        <v>6358</v>
      </c>
      <c r="AO31" s="344" t="s">
        <v>316</v>
      </c>
    </row>
    <row r="32" spans="1:253" x14ac:dyDescent="0.3">
      <c r="A32" s="24"/>
      <c r="B32" s="9" t="s">
        <v>39</v>
      </c>
      <c r="C32" s="10" t="s">
        <v>36</v>
      </c>
      <c r="D32" s="10" t="s">
        <v>7</v>
      </c>
      <c r="E32" s="42">
        <f t="shared" ref="E32:AI32" si="18">E118+E120</f>
        <v>114</v>
      </c>
      <c r="F32" s="42">
        <f t="shared" si="18"/>
        <v>245</v>
      </c>
      <c r="G32" s="42">
        <f t="shared" si="18"/>
        <v>119</v>
      </c>
      <c r="H32" s="42">
        <f t="shared" si="18"/>
        <v>140</v>
      </c>
      <c r="I32" s="42">
        <f t="shared" si="18"/>
        <v>242</v>
      </c>
      <c r="J32" s="42">
        <f t="shared" si="18"/>
        <v>271</v>
      </c>
      <c r="K32" s="42">
        <f t="shared" si="18"/>
        <v>189</v>
      </c>
      <c r="L32" s="42">
        <f t="shared" si="18"/>
        <v>283</v>
      </c>
      <c r="M32" s="42">
        <f t="shared" si="18"/>
        <v>245</v>
      </c>
      <c r="N32" s="42">
        <f t="shared" si="18"/>
        <v>113</v>
      </c>
      <c r="O32" s="42">
        <f t="shared" si="18"/>
        <v>207</v>
      </c>
      <c r="P32" s="42">
        <f t="shared" si="18"/>
        <v>206</v>
      </c>
      <c r="Q32" s="42">
        <f t="shared" si="18"/>
        <v>171</v>
      </c>
      <c r="R32" s="42">
        <f t="shared" si="18"/>
        <v>273</v>
      </c>
      <c r="S32" s="42">
        <f t="shared" si="18"/>
        <v>205</v>
      </c>
      <c r="T32" s="42">
        <f t="shared" si="18"/>
        <v>208</v>
      </c>
      <c r="U32" s="42">
        <f t="shared" si="18"/>
        <v>139</v>
      </c>
      <c r="V32" s="42">
        <f t="shared" si="18"/>
        <v>182</v>
      </c>
      <c r="W32" s="42">
        <f t="shared" si="18"/>
        <v>246</v>
      </c>
      <c r="X32" s="42">
        <f t="shared" si="18"/>
        <v>178</v>
      </c>
      <c r="Y32" s="42">
        <f t="shared" si="18"/>
        <v>164</v>
      </c>
      <c r="Z32" s="42">
        <f t="shared" si="18"/>
        <v>0</v>
      </c>
      <c r="AA32" s="42">
        <f t="shared" si="18"/>
        <v>71</v>
      </c>
      <c r="AB32" s="42">
        <f t="shared" si="18"/>
        <v>206</v>
      </c>
      <c r="AC32" s="42">
        <f t="shared" si="18"/>
        <v>124</v>
      </c>
      <c r="AD32" s="42">
        <f t="shared" si="18"/>
        <v>248</v>
      </c>
      <c r="AE32" s="42">
        <f t="shared" si="18"/>
        <v>324</v>
      </c>
      <c r="AF32" s="42">
        <f t="shared" si="18"/>
        <v>236</v>
      </c>
      <c r="AG32" s="42">
        <f t="shared" si="18"/>
        <v>200</v>
      </c>
      <c r="AH32" s="42">
        <f t="shared" si="18"/>
        <v>345</v>
      </c>
      <c r="AI32" s="42">
        <f t="shared" si="18"/>
        <v>140</v>
      </c>
      <c r="AJ32" s="28">
        <f t="shared" si="17"/>
        <v>6034</v>
      </c>
      <c r="AK32" s="12">
        <f>AJ32+'Jul-24'!AK32</f>
        <v>47158</v>
      </c>
      <c r="AL32" s="54">
        <f>AJ32/(AJ79+AJ80+AJ81++AJ82+AJ84+AJ85)</f>
        <v>2.2130044267423651E-2</v>
      </c>
      <c r="AM32" t="s">
        <v>281</v>
      </c>
      <c r="AO32" s="344" t="s">
        <v>317</v>
      </c>
    </row>
    <row r="33" spans="1:253" x14ac:dyDescent="0.3">
      <c r="A33" s="24"/>
      <c r="B33" s="9" t="s">
        <v>40</v>
      </c>
      <c r="C33" s="10" t="s">
        <v>36</v>
      </c>
      <c r="D33" s="10" t="s">
        <v>7</v>
      </c>
      <c r="E33" s="10">
        <f t="shared" ref="E33:AI33" si="19">E119+E121</f>
        <v>119</v>
      </c>
      <c r="F33" s="10">
        <f t="shared" si="19"/>
        <v>240</v>
      </c>
      <c r="G33" s="10">
        <f t="shared" si="19"/>
        <v>133</v>
      </c>
      <c r="H33" s="10">
        <f t="shared" si="19"/>
        <v>144</v>
      </c>
      <c r="I33" s="10">
        <f t="shared" si="19"/>
        <v>238</v>
      </c>
      <c r="J33" s="10">
        <f t="shared" si="19"/>
        <v>252</v>
      </c>
      <c r="K33" s="10">
        <f t="shared" si="19"/>
        <v>182</v>
      </c>
      <c r="L33" s="10">
        <f t="shared" si="19"/>
        <v>290</v>
      </c>
      <c r="M33" s="10">
        <f t="shared" si="19"/>
        <v>248</v>
      </c>
      <c r="N33" s="10">
        <f t="shared" si="19"/>
        <v>129</v>
      </c>
      <c r="O33" s="10">
        <f t="shared" si="19"/>
        <v>234</v>
      </c>
      <c r="P33" s="10">
        <f t="shared" si="19"/>
        <v>209</v>
      </c>
      <c r="Q33" s="10">
        <f t="shared" si="19"/>
        <v>184</v>
      </c>
      <c r="R33" s="10">
        <f t="shared" si="19"/>
        <v>295</v>
      </c>
      <c r="S33" s="10">
        <f t="shared" si="19"/>
        <v>179</v>
      </c>
      <c r="T33" s="10">
        <f t="shared" si="19"/>
        <v>235</v>
      </c>
      <c r="U33" s="10">
        <f t="shared" si="19"/>
        <v>149</v>
      </c>
      <c r="V33" s="10">
        <f t="shared" si="19"/>
        <v>150</v>
      </c>
      <c r="W33" s="10">
        <f t="shared" si="19"/>
        <v>249</v>
      </c>
      <c r="X33" s="10">
        <f t="shared" si="19"/>
        <v>186</v>
      </c>
      <c r="Y33" s="10">
        <f t="shared" si="19"/>
        <v>204</v>
      </c>
      <c r="Z33" s="10">
        <f t="shared" si="19"/>
        <v>0</v>
      </c>
      <c r="AA33" s="10">
        <f t="shared" si="19"/>
        <v>21</v>
      </c>
      <c r="AB33" s="10">
        <f t="shared" si="19"/>
        <v>92</v>
      </c>
      <c r="AC33" s="10">
        <f t="shared" si="19"/>
        <v>153</v>
      </c>
      <c r="AD33" s="10">
        <f t="shared" si="19"/>
        <v>243</v>
      </c>
      <c r="AE33" s="10">
        <f t="shared" si="19"/>
        <v>342</v>
      </c>
      <c r="AF33" s="10">
        <f t="shared" si="19"/>
        <v>270</v>
      </c>
      <c r="AG33" s="10">
        <f t="shared" si="19"/>
        <v>226</v>
      </c>
      <c r="AH33" s="10">
        <f t="shared" si="19"/>
        <v>383</v>
      </c>
      <c r="AI33" s="10">
        <f t="shared" si="19"/>
        <v>170</v>
      </c>
      <c r="AJ33" s="28">
        <f t="shared" si="17"/>
        <v>6149</v>
      </c>
      <c r="AK33" s="12">
        <f>AJ33+'Jul-24'!AK33</f>
        <v>34884</v>
      </c>
      <c r="AO33" s="344" t="s">
        <v>318</v>
      </c>
    </row>
    <row r="34" spans="1:253" x14ac:dyDescent="0.3">
      <c r="A34" s="24"/>
      <c r="B34" s="9" t="s">
        <v>41</v>
      </c>
      <c r="C34" s="10" t="s">
        <v>36</v>
      </c>
      <c r="D34" s="10" t="s">
        <v>7</v>
      </c>
      <c r="E34" s="43">
        <f t="shared" ref="E34:AI34" si="20">SUM(E28:E33)</f>
        <v>463</v>
      </c>
      <c r="F34" s="43">
        <f t="shared" si="20"/>
        <v>627</v>
      </c>
      <c r="G34" s="43">
        <f t="shared" si="20"/>
        <v>379</v>
      </c>
      <c r="H34" s="43">
        <f t="shared" si="20"/>
        <v>449</v>
      </c>
      <c r="I34" s="43">
        <f t="shared" si="20"/>
        <v>613</v>
      </c>
      <c r="J34" s="43">
        <f t="shared" si="20"/>
        <v>662</v>
      </c>
      <c r="K34" s="43">
        <f t="shared" si="20"/>
        <v>479</v>
      </c>
      <c r="L34" s="43">
        <f t="shared" si="20"/>
        <v>707</v>
      </c>
      <c r="M34" s="43">
        <f t="shared" si="20"/>
        <v>603</v>
      </c>
      <c r="N34" s="43">
        <f t="shared" si="20"/>
        <v>460</v>
      </c>
      <c r="O34" s="43">
        <f t="shared" si="20"/>
        <v>597</v>
      </c>
      <c r="P34" s="43">
        <f t="shared" si="20"/>
        <v>544</v>
      </c>
      <c r="Q34" s="43">
        <f t="shared" si="20"/>
        <v>521</v>
      </c>
      <c r="R34" s="43">
        <f t="shared" si="20"/>
        <v>695</v>
      </c>
      <c r="S34" s="43">
        <f t="shared" si="20"/>
        <v>522</v>
      </c>
      <c r="T34" s="43">
        <f t="shared" si="20"/>
        <v>597</v>
      </c>
      <c r="U34" s="43">
        <f t="shared" si="20"/>
        <v>450</v>
      </c>
      <c r="V34" s="43">
        <f t="shared" si="20"/>
        <v>446</v>
      </c>
      <c r="W34" s="43">
        <f t="shared" si="20"/>
        <v>604</v>
      </c>
      <c r="X34" s="43">
        <f t="shared" si="20"/>
        <v>496</v>
      </c>
      <c r="Y34" s="43">
        <f t="shared" si="20"/>
        <v>536</v>
      </c>
      <c r="Z34" s="43">
        <f t="shared" si="20"/>
        <v>264</v>
      </c>
      <c r="AA34" s="43">
        <f t="shared" si="20"/>
        <v>145</v>
      </c>
      <c r="AB34" s="43">
        <f t="shared" si="20"/>
        <v>435</v>
      </c>
      <c r="AC34" s="43">
        <f t="shared" si="20"/>
        <v>483</v>
      </c>
      <c r="AD34" s="43">
        <f t="shared" si="20"/>
        <v>719</v>
      </c>
      <c r="AE34" s="43">
        <f t="shared" si="20"/>
        <v>831</v>
      </c>
      <c r="AF34" s="43">
        <f t="shared" si="20"/>
        <v>777</v>
      </c>
      <c r="AG34" s="43">
        <f t="shared" si="20"/>
        <v>593</v>
      </c>
      <c r="AH34" s="43">
        <f t="shared" si="20"/>
        <v>965</v>
      </c>
      <c r="AI34" s="43">
        <f t="shared" si="20"/>
        <v>698</v>
      </c>
      <c r="AJ34" s="28">
        <f>SUM(E34:AI34)</f>
        <v>17360</v>
      </c>
      <c r="AK34" s="12">
        <f>AJ34+'Jul-24'!AK34</f>
        <v>107042</v>
      </c>
      <c r="AO34" s="344" t="s">
        <v>319</v>
      </c>
    </row>
    <row r="35" spans="1:253" s="19" customFormat="1" x14ac:dyDescent="0.3">
      <c r="A35" s="44">
        <v>8</v>
      </c>
      <c r="B35" s="44" t="s">
        <v>42</v>
      </c>
      <c r="C35" s="15" t="s">
        <v>36</v>
      </c>
      <c r="D35" s="15" t="s">
        <v>43</v>
      </c>
      <c r="E35" s="16">
        <f t="shared" ref="E35:AK35" si="21">(E28+E33+E29)/E34</f>
        <v>0.41036717062634992</v>
      </c>
      <c r="F35" s="16">
        <f t="shared" si="21"/>
        <v>0.54226475279106856</v>
      </c>
      <c r="G35" s="16">
        <f t="shared" si="21"/>
        <v>0.56728232189973615</v>
      </c>
      <c r="H35" s="16">
        <f t="shared" si="21"/>
        <v>0.51224944320712695</v>
      </c>
      <c r="I35" s="16">
        <f t="shared" si="21"/>
        <v>0.6052202283849919</v>
      </c>
      <c r="J35" s="16">
        <f t="shared" si="21"/>
        <v>0.57703927492447127</v>
      </c>
      <c r="K35" s="16">
        <f t="shared" si="21"/>
        <v>0.54697286012526092</v>
      </c>
      <c r="L35" s="16">
        <f t="shared" si="21"/>
        <v>0.59971711456859966</v>
      </c>
      <c r="M35" s="16">
        <f t="shared" si="21"/>
        <v>0.59369817578772799</v>
      </c>
      <c r="N35" s="16">
        <f t="shared" si="21"/>
        <v>0.48478260869565215</v>
      </c>
      <c r="O35" s="16">
        <f t="shared" si="21"/>
        <v>0.59463986599664986</v>
      </c>
      <c r="P35" s="16">
        <f t="shared" si="21"/>
        <v>0.57352941176470584</v>
      </c>
      <c r="Q35" s="16">
        <f t="shared" si="21"/>
        <v>0.53934740882917465</v>
      </c>
      <c r="R35" s="16">
        <f t="shared" si="21"/>
        <v>0.60719424460431659</v>
      </c>
      <c r="S35" s="16">
        <f t="shared" si="21"/>
        <v>0.52490421455938696</v>
      </c>
      <c r="T35" s="16">
        <f t="shared" si="21"/>
        <v>0.59296482412060303</v>
      </c>
      <c r="U35" s="16">
        <f t="shared" si="21"/>
        <v>0.5444444444444444</v>
      </c>
      <c r="V35" s="16">
        <f t="shared" si="21"/>
        <v>0.51793721973094176</v>
      </c>
      <c r="W35" s="16">
        <f t="shared" si="21"/>
        <v>0.5927152317880795</v>
      </c>
      <c r="X35" s="16">
        <f t="shared" si="21"/>
        <v>0.55040322580645162</v>
      </c>
      <c r="Y35" s="16">
        <f t="shared" si="21"/>
        <v>0.56343283582089554</v>
      </c>
      <c r="Z35" s="16">
        <f t="shared" si="21"/>
        <v>0</v>
      </c>
      <c r="AA35" s="16">
        <f t="shared" si="21"/>
        <v>0.14482758620689656</v>
      </c>
      <c r="AB35" s="16">
        <f t="shared" si="21"/>
        <v>0.47356321839080462</v>
      </c>
      <c r="AC35" s="16">
        <f t="shared" si="21"/>
        <v>0.49896480331262938</v>
      </c>
      <c r="AD35" s="16">
        <f t="shared" si="21"/>
        <v>0.53268428372739918</v>
      </c>
      <c r="AE35" s="16">
        <f t="shared" si="21"/>
        <v>0.61010830324909748</v>
      </c>
      <c r="AF35" s="16">
        <f t="shared" si="21"/>
        <v>0.54697554697554696</v>
      </c>
      <c r="AG35" s="16">
        <f t="shared" si="21"/>
        <v>0.58178752107925802</v>
      </c>
      <c r="AH35" s="16">
        <f t="shared" si="21"/>
        <v>0.59170984455958553</v>
      </c>
      <c r="AI35" s="16">
        <f t="shared" si="21"/>
        <v>0.44269340974212035</v>
      </c>
      <c r="AJ35" s="16">
        <f t="shared" si="21"/>
        <v>0.54205069124423966</v>
      </c>
      <c r="AK35" s="21">
        <f t="shared" si="21"/>
        <v>0.45564357915584536</v>
      </c>
      <c r="AL35"/>
      <c r="AM35"/>
      <c r="AN35"/>
      <c r="AO35" s="344" t="s">
        <v>320</v>
      </c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</row>
    <row r="36" spans="1:253" x14ac:dyDescent="0.3">
      <c r="A36" s="24"/>
      <c r="B36" s="24" t="s">
        <v>44</v>
      </c>
      <c r="C36" s="10" t="s">
        <v>36</v>
      </c>
      <c r="D36" s="10" t="s">
        <v>7</v>
      </c>
      <c r="E36" s="45">
        <f t="shared" ref="E36:AI36" si="22">E123+E125</f>
        <v>0</v>
      </c>
      <c r="F36" s="45">
        <f t="shared" si="22"/>
        <v>0</v>
      </c>
      <c r="G36" s="45">
        <f t="shared" si="22"/>
        <v>0</v>
      </c>
      <c r="H36" s="45">
        <f t="shared" si="22"/>
        <v>0</v>
      </c>
      <c r="I36" s="45">
        <f t="shared" si="22"/>
        <v>150</v>
      </c>
      <c r="J36" s="45">
        <f t="shared" si="22"/>
        <v>100</v>
      </c>
      <c r="K36" s="45">
        <f t="shared" si="22"/>
        <v>100</v>
      </c>
      <c r="L36" s="45">
        <f t="shared" si="22"/>
        <v>100</v>
      </c>
      <c r="M36" s="45">
        <f t="shared" si="22"/>
        <v>100</v>
      </c>
      <c r="N36" s="45">
        <f t="shared" si="22"/>
        <v>105</v>
      </c>
      <c r="O36" s="45">
        <f t="shared" si="22"/>
        <v>100</v>
      </c>
      <c r="P36" s="45">
        <f t="shared" si="22"/>
        <v>100</v>
      </c>
      <c r="Q36" s="45">
        <f t="shared" si="22"/>
        <v>100</v>
      </c>
      <c r="R36" s="45">
        <f t="shared" si="22"/>
        <v>150</v>
      </c>
      <c r="S36" s="45">
        <f t="shared" si="22"/>
        <v>0</v>
      </c>
      <c r="T36" s="45">
        <f t="shared" si="22"/>
        <v>150</v>
      </c>
      <c r="U36" s="45">
        <f t="shared" si="22"/>
        <v>170</v>
      </c>
      <c r="V36" s="45">
        <f t="shared" si="22"/>
        <v>0</v>
      </c>
      <c r="W36" s="45">
        <f t="shared" si="22"/>
        <v>150</v>
      </c>
      <c r="X36" s="45">
        <f t="shared" si="22"/>
        <v>0</v>
      </c>
      <c r="Y36" s="45">
        <f t="shared" si="22"/>
        <v>0</v>
      </c>
      <c r="Z36" s="45">
        <f>Z123+Z125</f>
        <v>0</v>
      </c>
      <c r="AA36" s="45">
        <f t="shared" si="22"/>
        <v>0</v>
      </c>
      <c r="AB36" s="45">
        <f t="shared" si="22"/>
        <v>0</v>
      </c>
      <c r="AC36" s="45">
        <f t="shared" si="22"/>
        <v>0</v>
      </c>
      <c r="AD36" s="45">
        <f t="shared" si="22"/>
        <v>0</v>
      </c>
      <c r="AE36" s="45">
        <f t="shared" si="22"/>
        <v>0</v>
      </c>
      <c r="AF36" s="45">
        <f t="shared" si="22"/>
        <v>0</v>
      </c>
      <c r="AG36" s="45">
        <f t="shared" si="22"/>
        <v>0</v>
      </c>
      <c r="AH36" s="45">
        <f t="shared" si="22"/>
        <v>0</v>
      </c>
      <c r="AI36" s="45">
        <f t="shared" si="22"/>
        <v>0</v>
      </c>
      <c r="AJ36" s="11">
        <f>SUM(E36:AI36)</f>
        <v>1575</v>
      </c>
      <c r="AK36" s="12">
        <f>AJ36+'Jul-24'!AK36</f>
        <v>96515</v>
      </c>
      <c r="AO36" s="344" t="s">
        <v>321</v>
      </c>
    </row>
    <row r="37" spans="1:253" x14ac:dyDescent="0.3">
      <c r="A37" s="24"/>
      <c r="B37" s="24" t="s">
        <v>45</v>
      </c>
      <c r="C37" s="10" t="s">
        <v>36</v>
      </c>
      <c r="D37" s="10" t="s">
        <v>7</v>
      </c>
      <c r="E37" s="45">
        <f t="shared" ref="E37:AH37" si="23">SUM(E123:E126)</f>
        <v>1613</v>
      </c>
      <c r="F37" s="45">
        <f t="shared" si="23"/>
        <v>2983</v>
      </c>
      <c r="G37" s="45">
        <f t="shared" si="23"/>
        <v>1702</v>
      </c>
      <c r="H37" s="45">
        <f t="shared" si="23"/>
        <v>1843</v>
      </c>
      <c r="I37" s="45">
        <f t="shared" si="23"/>
        <v>3180</v>
      </c>
      <c r="J37" s="45">
        <f t="shared" si="23"/>
        <v>3443</v>
      </c>
      <c r="K37" s="45">
        <f t="shared" si="23"/>
        <v>2270</v>
      </c>
      <c r="L37" s="45">
        <f t="shared" si="23"/>
        <v>3387</v>
      </c>
      <c r="M37" s="45">
        <f t="shared" si="23"/>
        <v>3128</v>
      </c>
      <c r="N37" s="45">
        <f t="shared" si="23"/>
        <v>1618</v>
      </c>
      <c r="O37" s="45">
        <f t="shared" si="23"/>
        <v>3098</v>
      </c>
      <c r="P37" s="45">
        <f t="shared" si="23"/>
        <v>2741</v>
      </c>
      <c r="Q37" s="45">
        <f t="shared" si="23"/>
        <v>2362</v>
      </c>
      <c r="R37" s="45">
        <f t="shared" si="23"/>
        <v>3784</v>
      </c>
      <c r="S37" s="45">
        <f t="shared" si="23"/>
        <v>2539</v>
      </c>
      <c r="T37" s="45">
        <f t="shared" si="23"/>
        <v>2923</v>
      </c>
      <c r="U37" s="45">
        <f t="shared" si="23"/>
        <v>2002</v>
      </c>
      <c r="V37" s="45">
        <f t="shared" si="23"/>
        <v>2296</v>
      </c>
      <c r="W37" s="45">
        <f t="shared" si="23"/>
        <v>3192</v>
      </c>
      <c r="X37" s="45">
        <f t="shared" si="23"/>
        <v>2347</v>
      </c>
      <c r="Y37" s="45">
        <f t="shared" si="23"/>
        <v>2331</v>
      </c>
      <c r="Z37" s="45">
        <f t="shared" si="23"/>
        <v>2120</v>
      </c>
      <c r="AA37" s="45">
        <f t="shared" si="23"/>
        <v>649</v>
      </c>
      <c r="AB37" s="45">
        <f t="shared" si="23"/>
        <v>2947</v>
      </c>
      <c r="AC37" s="45">
        <f t="shared" si="23"/>
        <v>3011</v>
      </c>
      <c r="AD37" s="45">
        <f t="shared" si="23"/>
        <v>3615</v>
      </c>
      <c r="AE37" s="45">
        <f t="shared" si="23"/>
        <v>4554</v>
      </c>
      <c r="AF37" s="45">
        <f t="shared" si="23"/>
        <v>3731</v>
      </c>
      <c r="AG37" s="45">
        <f t="shared" si="23"/>
        <v>2958</v>
      </c>
      <c r="AH37" s="45">
        <f t="shared" si="23"/>
        <v>4802</v>
      </c>
      <c r="AI37" s="45">
        <f t="shared" ref="AI37" si="24">SUM(AI123:AI126)</f>
        <v>2765</v>
      </c>
      <c r="AJ37" s="11">
        <f>SUM(E37:AI37)</f>
        <v>85934</v>
      </c>
      <c r="AK37" s="12">
        <f>AJ37+'Jul-24'!AK37</f>
        <v>587437</v>
      </c>
      <c r="AO37" s="344" t="s">
        <v>322</v>
      </c>
    </row>
    <row r="38" spans="1:253" x14ac:dyDescent="0.3">
      <c r="A38" s="44">
        <v>9</v>
      </c>
      <c r="B38" s="44" t="s">
        <v>46</v>
      </c>
      <c r="C38" s="15" t="s">
        <v>36</v>
      </c>
      <c r="D38" s="15" t="s">
        <v>43</v>
      </c>
      <c r="E38" s="48">
        <f t="shared" ref="E38:AJ38" si="25">E36/E37</f>
        <v>0</v>
      </c>
      <c r="F38" s="48">
        <f t="shared" si="25"/>
        <v>0</v>
      </c>
      <c r="G38" s="48">
        <f t="shared" si="25"/>
        <v>0</v>
      </c>
      <c r="H38" s="48">
        <f t="shared" si="25"/>
        <v>0</v>
      </c>
      <c r="I38" s="48">
        <f t="shared" si="25"/>
        <v>4.716981132075472E-2</v>
      </c>
      <c r="J38" s="48">
        <f t="shared" si="25"/>
        <v>2.9044437990124891E-2</v>
      </c>
      <c r="K38" s="48">
        <f t="shared" si="25"/>
        <v>4.405286343612335E-2</v>
      </c>
      <c r="L38" s="48">
        <f t="shared" si="25"/>
        <v>2.9524653085326247E-2</v>
      </c>
      <c r="M38" s="49">
        <f t="shared" si="25"/>
        <v>3.1969309462915603E-2</v>
      </c>
      <c r="N38" s="48">
        <f t="shared" si="25"/>
        <v>6.4894932014833123E-2</v>
      </c>
      <c r="O38" s="48">
        <f t="shared" si="25"/>
        <v>3.2278889606197549E-2</v>
      </c>
      <c r="P38" s="48">
        <f t="shared" si="25"/>
        <v>3.6483035388544326E-2</v>
      </c>
      <c r="Q38" s="48">
        <f>Q36/Q37</f>
        <v>4.2337002540220152E-2</v>
      </c>
      <c r="R38" s="48">
        <f t="shared" si="25"/>
        <v>3.9640591966173359E-2</v>
      </c>
      <c r="S38" s="48">
        <f t="shared" si="25"/>
        <v>0</v>
      </c>
      <c r="T38" s="48">
        <f t="shared" si="25"/>
        <v>5.1317139924734863E-2</v>
      </c>
      <c r="U38" s="48">
        <f t="shared" si="25"/>
        <v>8.4915084915084912E-2</v>
      </c>
      <c r="V38" s="48">
        <f t="shared" si="25"/>
        <v>0</v>
      </c>
      <c r="W38" s="48">
        <f t="shared" si="25"/>
        <v>4.6992481203007516E-2</v>
      </c>
      <c r="X38" s="48">
        <f t="shared" si="25"/>
        <v>0</v>
      </c>
      <c r="Y38" s="48">
        <f t="shared" si="25"/>
        <v>0</v>
      </c>
      <c r="Z38" s="48">
        <f>Z36/Z37</f>
        <v>0</v>
      </c>
      <c r="AA38" s="48">
        <f t="shared" si="25"/>
        <v>0</v>
      </c>
      <c r="AB38" s="48">
        <f t="shared" si="25"/>
        <v>0</v>
      </c>
      <c r="AC38" s="48">
        <f t="shared" si="25"/>
        <v>0</v>
      </c>
      <c r="AD38" s="48">
        <f t="shared" si="25"/>
        <v>0</v>
      </c>
      <c r="AE38" s="48">
        <f t="shared" si="25"/>
        <v>0</v>
      </c>
      <c r="AF38" s="48">
        <f t="shared" si="25"/>
        <v>0</v>
      </c>
      <c r="AG38" s="48">
        <f t="shared" si="25"/>
        <v>0</v>
      </c>
      <c r="AH38" s="48">
        <f t="shared" si="25"/>
        <v>0</v>
      </c>
      <c r="AI38" s="48">
        <f t="shared" si="25"/>
        <v>0</v>
      </c>
      <c r="AJ38" s="48">
        <f t="shared" si="25"/>
        <v>1.8328019177508321E-2</v>
      </c>
      <c r="AK38" s="48">
        <f>AK36/AK37</f>
        <v>0.16429846945289453</v>
      </c>
      <c r="AO38" s="344" t="s">
        <v>323</v>
      </c>
    </row>
    <row r="39" spans="1:253" x14ac:dyDescent="0.3">
      <c r="A39" s="24"/>
      <c r="B39" s="24" t="s">
        <v>47</v>
      </c>
      <c r="C39" s="10" t="s">
        <v>6</v>
      </c>
      <c r="D39" s="10" t="s">
        <v>7</v>
      </c>
      <c r="E39" s="45">
        <f t="shared" ref="E39:AI39" si="26">E83+E86</f>
        <v>5615</v>
      </c>
      <c r="F39" s="45">
        <f t="shared" si="26"/>
        <v>1350</v>
      </c>
      <c r="G39" s="45">
        <f t="shared" si="26"/>
        <v>1803</v>
      </c>
      <c r="H39" s="45">
        <f t="shared" si="26"/>
        <v>3153</v>
      </c>
      <c r="I39" s="45">
        <f t="shared" si="26"/>
        <v>0</v>
      </c>
      <c r="J39" s="45">
        <f t="shared" si="26"/>
        <v>350</v>
      </c>
      <c r="K39" s="45">
        <f t="shared" si="26"/>
        <v>1135</v>
      </c>
      <c r="L39" s="45">
        <f t="shared" si="26"/>
        <v>0</v>
      </c>
      <c r="M39" s="45">
        <f t="shared" si="26"/>
        <v>0</v>
      </c>
      <c r="N39" s="45">
        <f t="shared" si="26"/>
        <v>5142</v>
      </c>
      <c r="O39" s="45">
        <f t="shared" si="26"/>
        <v>1455</v>
      </c>
      <c r="P39" s="45">
        <f t="shared" si="26"/>
        <v>1070</v>
      </c>
      <c r="Q39" s="45">
        <f t="shared" si="26"/>
        <v>2903</v>
      </c>
      <c r="R39" s="45">
        <f t="shared" si="26"/>
        <v>0</v>
      </c>
      <c r="S39" s="45">
        <f>S83+S86</f>
        <v>1810</v>
      </c>
      <c r="T39" s="45">
        <f t="shared" si="26"/>
        <v>1470</v>
      </c>
      <c r="U39" s="45">
        <f t="shared" si="26"/>
        <v>2768</v>
      </c>
      <c r="V39" s="45">
        <f t="shared" si="26"/>
        <v>1380</v>
      </c>
      <c r="W39" s="45">
        <f t="shared" si="26"/>
        <v>0</v>
      </c>
      <c r="X39" s="45">
        <f t="shared" si="26"/>
        <v>1506</v>
      </c>
      <c r="Y39" s="45">
        <f t="shared" si="26"/>
        <v>2950</v>
      </c>
      <c r="Z39" s="45">
        <f t="shared" si="26"/>
        <v>950</v>
      </c>
      <c r="AA39" s="45">
        <f t="shared" si="26"/>
        <v>1775</v>
      </c>
      <c r="AB39" s="45">
        <f t="shared" si="26"/>
        <v>981</v>
      </c>
      <c r="AC39" s="45">
        <f t="shared" si="26"/>
        <v>735</v>
      </c>
      <c r="AD39" s="45">
        <f t="shared" si="26"/>
        <v>3660</v>
      </c>
      <c r="AE39" s="45">
        <f t="shared" si="26"/>
        <v>0</v>
      </c>
      <c r="AF39" s="45">
        <f t="shared" si="26"/>
        <v>4085</v>
      </c>
      <c r="AG39" s="45">
        <f t="shared" si="26"/>
        <v>2010</v>
      </c>
      <c r="AH39" s="45">
        <f t="shared" si="26"/>
        <v>2040</v>
      </c>
      <c r="AI39" s="45">
        <f t="shared" si="26"/>
        <v>7934</v>
      </c>
      <c r="AJ39" s="11">
        <f>SUM(E39:AI39)</f>
        <v>60030</v>
      </c>
      <c r="AK39" s="12">
        <f>AJ39+'Jul-24'!AK39</f>
        <v>395367</v>
      </c>
      <c r="AO39" s="344" t="s">
        <v>324</v>
      </c>
    </row>
    <row r="40" spans="1:253" x14ac:dyDescent="0.3">
      <c r="A40" s="24"/>
      <c r="B40" s="24" t="s">
        <v>396</v>
      </c>
      <c r="C40" s="10" t="s">
        <v>6</v>
      </c>
      <c r="D40" s="10" t="s">
        <v>7</v>
      </c>
      <c r="E40" s="45">
        <f>E96+E97</f>
        <v>118</v>
      </c>
      <c r="F40" s="45">
        <f t="shared" ref="F40:AI40" si="27">F96+F97</f>
        <v>0</v>
      </c>
      <c r="G40" s="45">
        <f t="shared" si="27"/>
        <v>88</v>
      </c>
      <c r="H40" s="45">
        <f t="shared" si="27"/>
        <v>155</v>
      </c>
      <c r="I40" s="45">
        <f t="shared" si="27"/>
        <v>0</v>
      </c>
      <c r="J40" s="45">
        <f t="shared" si="27"/>
        <v>17</v>
      </c>
      <c r="K40" s="45">
        <f t="shared" si="27"/>
        <v>56</v>
      </c>
      <c r="L40" s="45">
        <f t="shared" si="27"/>
        <v>0</v>
      </c>
      <c r="M40" s="45">
        <f t="shared" si="27"/>
        <v>0</v>
      </c>
      <c r="N40" s="45">
        <f t="shared" si="27"/>
        <v>252</v>
      </c>
      <c r="O40" s="45">
        <f>O96+O97</f>
        <v>71</v>
      </c>
      <c r="P40" s="45">
        <f>P96+P97</f>
        <v>53</v>
      </c>
      <c r="Q40" s="45">
        <f>Q96+Q97</f>
        <v>142</v>
      </c>
      <c r="R40" s="45">
        <f>R96+R97</f>
        <v>0</v>
      </c>
      <c r="S40" s="45">
        <f t="shared" si="27"/>
        <v>89</v>
      </c>
      <c r="T40" s="45">
        <f t="shared" si="27"/>
        <v>72</v>
      </c>
      <c r="U40" s="45">
        <f t="shared" si="27"/>
        <v>136</v>
      </c>
      <c r="V40" s="45">
        <f t="shared" si="27"/>
        <v>68</v>
      </c>
      <c r="W40" s="45">
        <f t="shared" si="27"/>
        <v>0</v>
      </c>
      <c r="X40" s="45">
        <f t="shared" si="27"/>
        <v>74</v>
      </c>
      <c r="Y40" s="45">
        <f t="shared" si="27"/>
        <v>145</v>
      </c>
      <c r="Z40" s="45">
        <f t="shared" si="27"/>
        <v>0</v>
      </c>
      <c r="AA40" s="45">
        <f t="shared" si="27"/>
        <v>0</v>
      </c>
      <c r="AB40" s="45">
        <f t="shared" si="27"/>
        <v>10</v>
      </c>
      <c r="AC40" s="45">
        <f t="shared" si="27"/>
        <v>36</v>
      </c>
      <c r="AD40" s="45">
        <f t="shared" si="27"/>
        <v>179</v>
      </c>
      <c r="AE40" s="45">
        <f t="shared" si="27"/>
        <v>0</v>
      </c>
      <c r="AF40" s="45">
        <f t="shared" si="27"/>
        <v>201</v>
      </c>
      <c r="AG40" s="45">
        <f t="shared" si="27"/>
        <v>98</v>
      </c>
      <c r="AH40" s="45">
        <f t="shared" si="27"/>
        <v>100</v>
      </c>
      <c r="AI40" s="45">
        <f t="shared" si="27"/>
        <v>389</v>
      </c>
      <c r="AJ40" s="11">
        <f>SUM(E40:AI40)</f>
        <v>2549</v>
      </c>
      <c r="AK40" s="12">
        <f>AJ40+'Jul-24'!AK40</f>
        <v>18191.91</v>
      </c>
      <c r="AO40" s="344" t="s">
        <v>325</v>
      </c>
    </row>
    <row r="41" spans="1:253" x14ac:dyDescent="0.3">
      <c r="A41" s="44">
        <v>10</v>
      </c>
      <c r="B41" s="44" t="s">
        <v>49</v>
      </c>
      <c r="C41" s="15" t="s">
        <v>36</v>
      </c>
      <c r="D41" s="15" t="s">
        <v>43</v>
      </c>
      <c r="E41" s="48">
        <f t="shared" ref="E41:AI41" si="28">IFERROR(E40/E39,"-")</f>
        <v>2.1015138023152271E-2</v>
      </c>
      <c r="F41" s="48">
        <f t="shared" si="28"/>
        <v>0</v>
      </c>
      <c r="G41" s="48">
        <f t="shared" si="28"/>
        <v>4.8807542983915694E-2</v>
      </c>
      <c r="H41" s="48">
        <f t="shared" si="28"/>
        <v>4.9159530605772279E-2</v>
      </c>
      <c r="I41" s="48" t="str">
        <f t="shared" si="28"/>
        <v>-</v>
      </c>
      <c r="J41" s="48">
        <f t="shared" si="28"/>
        <v>4.8571428571428571E-2</v>
      </c>
      <c r="K41" s="48">
        <f t="shared" si="28"/>
        <v>4.933920704845815E-2</v>
      </c>
      <c r="L41" s="48" t="str">
        <f t="shared" si="28"/>
        <v>-</v>
      </c>
      <c r="M41" s="48" t="str">
        <f t="shared" si="28"/>
        <v>-</v>
      </c>
      <c r="N41" s="48">
        <f t="shared" si="28"/>
        <v>4.9008168028004666E-2</v>
      </c>
      <c r="O41" s="48">
        <f t="shared" si="28"/>
        <v>4.8797250859106529E-2</v>
      </c>
      <c r="P41" s="48">
        <f t="shared" si="28"/>
        <v>4.9532710280373829E-2</v>
      </c>
      <c r="Q41" s="48">
        <f t="shared" si="28"/>
        <v>4.891491560454702E-2</v>
      </c>
      <c r="R41" s="48" t="str">
        <f t="shared" si="28"/>
        <v>-</v>
      </c>
      <c r="S41" s="48">
        <f t="shared" si="28"/>
        <v>4.9171270718232046E-2</v>
      </c>
      <c r="T41" s="48">
        <f t="shared" si="28"/>
        <v>4.8979591836734691E-2</v>
      </c>
      <c r="U41" s="48">
        <f t="shared" si="28"/>
        <v>4.9132947976878616E-2</v>
      </c>
      <c r="V41" s="48">
        <f t="shared" si="28"/>
        <v>4.9275362318840582E-2</v>
      </c>
      <c r="W41" s="48" t="str">
        <f t="shared" si="28"/>
        <v>-</v>
      </c>
      <c r="X41" s="48">
        <f t="shared" si="28"/>
        <v>4.9136786188579015E-2</v>
      </c>
      <c r="Y41" s="48">
        <f t="shared" si="28"/>
        <v>4.9152542372881358E-2</v>
      </c>
      <c r="Z41" s="48">
        <f t="shared" si="28"/>
        <v>0</v>
      </c>
      <c r="AA41" s="48">
        <f t="shared" si="28"/>
        <v>0</v>
      </c>
      <c r="AB41" s="48">
        <f t="shared" si="28"/>
        <v>1.0193679918450561E-2</v>
      </c>
      <c r="AC41" s="48">
        <f t="shared" si="28"/>
        <v>4.8979591836734691E-2</v>
      </c>
      <c r="AD41" s="48">
        <f>IFERROR(AD40/AD39,"-")</f>
        <v>4.8907103825136612E-2</v>
      </c>
      <c r="AE41" s="48" t="str">
        <f t="shared" si="28"/>
        <v>-</v>
      </c>
      <c r="AF41" s="48">
        <f t="shared" si="28"/>
        <v>4.9204406364749084E-2</v>
      </c>
      <c r="AG41" s="48">
        <f t="shared" si="28"/>
        <v>4.8756218905472638E-2</v>
      </c>
      <c r="AH41" s="48">
        <f t="shared" si="28"/>
        <v>4.9019607843137254E-2</v>
      </c>
      <c r="AI41" s="48">
        <f t="shared" si="28"/>
        <v>4.9029493319889088E-2</v>
      </c>
      <c r="AJ41" s="16">
        <f>AJ40/AJ39</f>
        <v>4.2462102282192236E-2</v>
      </c>
      <c r="AK41" s="16">
        <f>AK40/AK39</f>
        <v>4.6012717298105306E-2</v>
      </c>
      <c r="AO41" s="344" t="s">
        <v>326</v>
      </c>
    </row>
    <row r="42" spans="1:253" x14ac:dyDescent="0.3">
      <c r="A42" s="24"/>
      <c r="B42" s="24" t="s">
        <v>352</v>
      </c>
      <c r="C42" s="10" t="s">
        <v>51</v>
      </c>
      <c r="D42" s="10" t="s">
        <v>7</v>
      </c>
      <c r="E42" s="52">
        <v>296</v>
      </c>
      <c r="F42" s="52">
        <v>395</v>
      </c>
      <c r="G42" s="52">
        <v>284.14</v>
      </c>
      <c r="H42" s="52">
        <v>283</v>
      </c>
      <c r="I42" s="52">
        <v>314</v>
      </c>
      <c r="J42" s="52">
        <v>323</v>
      </c>
      <c r="K42" s="52">
        <v>320</v>
      </c>
      <c r="L42" s="52">
        <v>350</v>
      </c>
      <c r="M42" s="52">
        <v>333</v>
      </c>
      <c r="N42" s="52">
        <v>342</v>
      </c>
      <c r="O42" s="52">
        <v>182</v>
      </c>
      <c r="P42" s="52">
        <v>112</v>
      </c>
      <c r="Q42" s="52">
        <v>329</v>
      </c>
      <c r="R42" s="52">
        <v>325</v>
      </c>
      <c r="S42" s="42">
        <v>170</v>
      </c>
      <c r="T42" s="10">
        <v>217</v>
      </c>
      <c r="U42" s="10">
        <v>354</v>
      </c>
      <c r="V42" s="10">
        <v>459</v>
      </c>
      <c r="W42" s="10">
        <v>452</v>
      </c>
      <c r="X42" s="53">
        <v>443</v>
      </c>
      <c r="Y42" s="53">
        <v>315</v>
      </c>
      <c r="Z42" s="53">
        <v>185</v>
      </c>
      <c r="AA42" s="53">
        <v>286</v>
      </c>
      <c r="AB42" s="53">
        <v>333</v>
      </c>
      <c r="AC42" s="53">
        <v>329</v>
      </c>
      <c r="AD42" s="53">
        <v>361</v>
      </c>
      <c r="AE42" s="53">
        <v>385</v>
      </c>
      <c r="AF42" s="53">
        <v>381</v>
      </c>
      <c r="AG42" s="53">
        <v>384</v>
      </c>
      <c r="AH42" s="53">
        <v>377</v>
      </c>
      <c r="AI42" s="53">
        <v>376</v>
      </c>
      <c r="AJ42" s="11">
        <f t="shared" ref="AJ42:AJ45" si="29">SUM(E42:AI42)</f>
        <v>9995.14</v>
      </c>
      <c r="AK42" s="12">
        <f>AJ42+'Jul-24'!AK42</f>
        <v>37222.14</v>
      </c>
      <c r="AL42" s="54">
        <f>AJ45/AJ44</f>
        <v>0.41919525006053021</v>
      </c>
      <c r="AO42" s="344" t="s">
        <v>327</v>
      </c>
    </row>
    <row r="43" spans="1:253" x14ac:dyDescent="0.3">
      <c r="A43" s="24"/>
      <c r="B43" s="24" t="s">
        <v>353</v>
      </c>
      <c r="C43" s="10" t="s">
        <v>51</v>
      </c>
      <c r="D43" s="10"/>
      <c r="E43" s="60">
        <v>7966</v>
      </c>
      <c r="F43" s="60">
        <v>7961</v>
      </c>
      <c r="G43" s="60">
        <v>7971</v>
      </c>
      <c r="H43" s="60">
        <v>7966</v>
      </c>
      <c r="I43" s="60">
        <v>7956</v>
      </c>
      <c r="J43" s="60">
        <v>7961</v>
      </c>
      <c r="K43" s="60">
        <v>7956</v>
      </c>
      <c r="L43" s="60">
        <v>7961</v>
      </c>
      <c r="M43" s="60">
        <v>7956</v>
      </c>
      <c r="N43" s="60">
        <v>7966</v>
      </c>
      <c r="O43" s="60">
        <v>7956</v>
      </c>
      <c r="P43" s="60">
        <v>7951</v>
      </c>
      <c r="Q43" s="60">
        <v>7946</v>
      </c>
      <c r="R43" s="60">
        <v>7956</v>
      </c>
      <c r="S43" s="23">
        <v>7966</v>
      </c>
      <c r="T43" s="23">
        <v>7961</v>
      </c>
      <c r="U43" s="23">
        <v>7971</v>
      </c>
      <c r="V43" s="23">
        <v>7966</v>
      </c>
      <c r="W43" s="23">
        <v>7976</v>
      </c>
      <c r="X43" s="23">
        <v>7971</v>
      </c>
      <c r="Y43" s="23">
        <v>7966</v>
      </c>
      <c r="Z43" s="23">
        <v>7961</v>
      </c>
      <c r="AA43" s="23">
        <v>7956</v>
      </c>
      <c r="AB43" s="23">
        <v>7961</v>
      </c>
      <c r="AC43" s="23">
        <v>7956</v>
      </c>
      <c r="AD43" s="23">
        <v>7966</v>
      </c>
      <c r="AE43" s="23">
        <v>7971</v>
      </c>
      <c r="AF43" s="23">
        <v>7966</v>
      </c>
      <c r="AG43" s="23">
        <v>7961</v>
      </c>
      <c r="AH43" s="23">
        <v>7966</v>
      </c>
      <c r="AI43" s="23">
        <v>7981</v>
      </c>
      <c r="AJ43" s="11">
        <f t="shared" si="29"/>
        <v>246851</v>
      </c>
      <c r="AK43" s="12">
        <f>AJ43+'Jul-24'!AK43</f>
        <v>865314.53079999995</v>
      </c>
      <c r="AO43" s="344" t="s">
        <v>328</v>
      </c>
    </row>
    <row r="44" spans="1:253" x14ac:dyDescent="0.3">
      <c r="A44" s="24"/>
      <c r="B44" s="24" t="s">
        <v>354</v>
      </c>
      <c r="C44" s="10" t="s">
        <v>51</v>
      </c>
      <c r="D44" s="10"/>
      <c r="E44" s="23">
        <f>E69*E73</f>
        <v>5357376</v>
      </c>
      <c r="F44" s="23">
        <f t="shared" ref="F44:AI44" si="30">F69*F73</f>
        <v>6135480</v>
      </c>
      <c r="G44" s="23">
        <f t="shared" si="30"/>
        <v>5118864</v>
      </c>
      <c r="H44" s="23">
        <f t="shared" si="30"/>
        <v>5084170</v>
      </c>
      <c r="I44" s="23">
        <f t="shared" si="30"/>
        <v>5955768</v>
      </c>
      <c r="J44" s="23">
        <f t="shared" si="30"/>
        <v>6415578</v>
      </c>
      <c r="K44" s="23">
        <f t="shared" si="30"/>
        <v>6660740</v>
      </c>
      <c r="L44" s="23">
        <f t="shared" si="30"/>
        <v>6479744</v>
      </c>
      <c r="M44" s="23">
        <f t="shared" si="30"/>
        <v>6354972</v>
      </c>
      <c r="N44" s="23">
        <f t="shared" si="30"/>
        <v>6251478</v>
      </c>
      <c r="O44" s="23">
        <f t="shared" si="30"/>
        <v>6401728</v>
      </c>
      <c r="P44" s="23">
        <f t="shared" si="30"/>
        <v>6429840</v>
      </c>
      <c r="Q44" s="23">
        <f t="shared" si="30"/>
        <v>6468570</v>
      </c>
      <c r="R44" s="23">
        <f t="shared" si="30"/>
        <v>6326579</v>
      </c>
      <c r="S44" s="23">
        <f t="shared" si="30"/>
        <v>6566724</v>
      </c>
      <c r="T44" s="23">
        <f t="shared" si="30"/>
        <v>6642871</v>
      </c>
      <c r="U44" s="23">
        <f t="shared" si="30"/>
        <v>6512807</v>
      </c>
      <c r="V44" s="23">
        <f t="shared" si="30"/>
        <v>6566754</v>
      </c>
      <c r="W44" s="23">
        <f t="shared" si="30"/>
        <v>6541632</v>
      </c>
      <c r="X44" s="23">
        <f t="shared" si="30"/>
        <v>6498144</v>
      </c>
      <c r="Y44" s="23">
        <f t="shared" si="30"/>
        <v>6084750</v>
      </c>
      <c r="Z44" s="23">
        <f t="shared" si="30"/>
        <v>3708040</v>
      </c>
      <c r="AA44" s="23">
        <f t="shared" si="30"/>
        <v>5210689</v>
      </c>
      <c r="AB44" s="23">
        <f t="shared" si="30"/>
        <v>6333969</v>
      </c>
      <c r="AC44" s="23">
        <f t="shared" si="30"/>
        <v>6683776</v>
      </c>
      <c r="AD44" s="23">
        <f t="shared" si="30"/>
        <v>6005760</v>
      </c>
      <c r="AE44" s="23">
        <f t="shared" si="30"/>
        <v>6326656</v>
      </c>
      <c r="AF44" s="23">
        <f t="shared" si="30"/>
        <v>6404530</v>
      </c>
      <c r="AG44" s="23">
        <f t="shared" si="30"/>
        <v>6219200</v>
      </c>
      <c r="AH44" s="23">
        <f t="shared" si="30"/>
        <v>6056105</v>
      </c>
      <c r="AI44" s="23">
        <f t="shared" si="30"/>
        <v>6081231</v>
      </c>
      <c r="AJ44" s="28">
        <f>SUM(E44:AI44)</f>
        <v>189884525</v>
      </c>
      <c r="AK44" s="12">
        <f>AJ44+'Jul-24'!AK44</f>
        <v>866318155.29999995</v>
      </c>
      <c r="AO44" s="344" t="s">
        <v>329</v>
      </c>
    </row>
    <row r="45" spans="1:253" x14ac:dyDescent="0.3">
      <c r="A45" s="24"/>
      <c r="B45" s="24" t="s">
        <v>355</v>
      </c>
      <c r="C45" s="10" t="s">
        <v>51</v>
      </c>
      <c r="D45" s="10"/>
      <c r="E45" s="55">
        <f>E42*E43</f>
        <v>2357936</v>
      </c>
      <c r="F45" s="55">
        <f>F42*F43</f>
        <v>3144595</v>
      </c>
      <c r="G45" s="55">
        <f t="shared" ref="G45:AI45" si="31">G42*G43</f>
        <v>2264879.94</v>
      </c>
      <c r="H45" s="55">
        <f t="shared" si="31"/>
        <v>2254378</v>
      </c>
      <c r="I45" s="55">
        <f t="shared" si="31"/>
        <v>2498184</v>
      </c>
      <c r="J45" s="55">
        <f t="shared" si="31"/>
        <v>2571403</v>
      </c>
      <c r="K45" s="55">
        <f t="shared" si="31"/>
        <v>2545920</v>
      </c>
      <c r="L45" s="55">
        <f t="shared" si="31"/>
        <v>2786350</v>
      </c>
      <c r="M45" s="42">
        <f>M42*M43</f>
        <v>2649348</v>
      </c>
      <c r="N45" s="55">
        <f t="shared" si="31"/>
        <v>2724372</v>
      </c>
      <c r="O45" s="55">
        <f t="shared" si="31"/>
        <v>1447992</v>
      </c>
      <c r="P45" s="55">
        <f t="shared" si="31"/>
        <v>890512</v>
      </c>
      <c r="Q45" s="55">
        <f t="shared" si="31"/>
        <v>2614234</v>
      </c>
      <c r="R45" s="55">
        <f t="shared" si="31"/>
        <v>2585700</v>
      </c>
      <c r="S45" s="55">
        <f t="shared" si="31"/>
        <v>1354220</v>
      </c>
      <c r="T45" s="55">
        <f t="shared" si="31"/>
        <v>1727537</v>
      </c>
      <c r="U45" s="55">
        <f t="shared" si="31"/>
        <v>2821734</v>
      </c>
      <c r="V45" s="55">
        <f t="shared" si="31"/>
        <v>3656394</v>
      </c>
      <c r="W45" s="55">
        <f t="shared" si="31"/>
        <v>3605152</v>
      </c>
      <c r="X45" s="55">
        <f t="shared" si="31"/>
        <v>3531153</v>
      </c>
      <c r="Y45" s="55">
        <f t="shared" si="31"/>
        <v>2509290</v>
      </c>
      <c r="Z45" s="55">
        <f t="shared" si="31"/>
        <v>1472785</v>
      </c>
      <c r="AA45" s="55">
        <f t="shared" si="31"/>
        <v>2275416</v>
      </c>
      <c r="AB45" s="55">
        <f t="shared" si="31"/>
        <v>2651013</v>
      </c>
      <c r="AC45" s="55">
        <f t="shared" si="31"/>
        <v>2617524</v>
      </c>
      <c r="AD45" s="55">
        <f t="shared" si="31"/>
        <v>2875726</v>
      </c>
      <c r="AE45" s="55">
        <f t="shared" si="31"/>
        <v>3068835</v>
      </c>
      <c r="AF45" s="55">
        <f t="shared" si="31"/>
        <v>3035046</v>
      </c>
      <c r="AG45" s="55">
        <f t="shared" si="31"/>
        <v>3057024</v>
      </c>
      <c r="AH45" s="55">
        <f t="shared" si="31"/>
        <v>3003182</v>
      </c>
      <c r="AI45" s="55">
        <f t="shared" si="31"/>
        <v>3000856</v>
      </c>
      <c r="AJ45" s="11">
        <f t="shared" si="29"/>
        <v>79598690.939999998</v>
      </c>
      <c r="AK45" s="12">
        <f>AJ45+'Jul-24'!AK45</f>
        <v>298326097.43000001</v>
      </c>
      <c r="AL45" s="293">
        <f>AVERAGE('Jul-24'!AJ46,'Aug-24'!AJ46)</f>
        <v>0.40870967251691681</v>
      </c>
      <c r="AO45" s="344" t="s">
        <v>330</v>
      </c>
    </row>
    <row r="46" spans="1:253" x14ac:dyDescent="0.3">
      <c r="A46" s="44"/>
      <c r="B46" s="44" t="s">
        <v>221</v>
      </c>
      <c r="C46" s="15"/>
      <c r="D46" s="15"/>
      <c r="E46" s="56">
        <f>E45/E44</f>
        <v>0.4401288989236522</v>
      </c>
      <c r="F46" s="56">
        <f t="shared" ref="F46:AI46" si="32">F45/F44</f>
        <v>0.51252632230893103</v>
      </c>
      <c r="G46" s="56">
        <f>G45/G44</f>
        <v>0.44245753354650563</v>
      </c>
      <c r="H46" s="56">
        <f t="shared" si="32"/>
        <v>0.44341121559664604</v>
      </c>
      <c r="I46" s="56">
        <f t="shared" si="32"/>
        <v>0.41945623133741944</v>
      </c>
      <c r="J46" s="56">
        <f t="shared" si="32"/>
        <v>0.40080613157536232</v>
      </c>
      <c r="K46" s="56">
        <f t="shared" si="32"/>
        <v>0.38222780051465755</v>
      </c>
      <c r="L46" s="56">
        <f t="shared" si="32"/>
        <v>0.43000927197123839</v>
      </c>
      <c r="M46" s="56">
        <f t="shared" si="32"/>
        <v>0.41689373297002724</v>
      </c>
      <c r="N46" s="56">
        <f t="shared" si="32"/>
        <v>0.43579646285246465</v>
      </c>
      <c r="O46" s="56">
        <f t="shared" si="32"/>
        <v>0.22618767932658182</v>
      </c>
      <c r="P46" s="56">
        <f t="shared" si="32"/>
        <v>0.13849675886180682</v>
      </c>
      <c r="Q46" s="56">
        <f t="shared" si="32"/>
        <v>0.40414403801767623</v>
      </c>
      <c r="R46" s="56">
        <f t="shared" si="32"/>
        <v>0.40870429342619446</v>
      </c>
      <c r="S46" s="56">
        <f t="shared" si="32"/>
        <v>0.20622459539947163</v>
      </c>
      <c r="T46" s="56">
        <f t="shared" si="32"/>
        <v>0.26005879084510297</v>
      </c>
      <c r="U46" s="56">
        <f t="shared" si="32"/>
        <v>0.43325926900643608</v>
      </c>
      <c r="V46" s="56">
        <f t="shared" si="32"/>
        <v>0.55680386382678571</v>
      </c>
      <c r="W46" s="56">
        <f t="shared" si="32"/>
        <v>0.55110895874301702</v>
      </c>
      <c r="X46" s="56">
        <f t="shared" si="32"/>
        <v>0.54340947199692713</v>
      </c>
      <c r="Y46" s="56">
        <f t="shared" si="32"/>
        <v>0.41238999137187232</v>
      </c>
      <c r="Z46" s="56">
        <f t="shared" si="32"/>
        <v>0.39718692354990776</v>
      </c>
      <c r="AA46" s="56">
        <f t="shared" si="32"/>
        <v>0.43668236580613429</v>
      </c>
      <c r="AB46" s="56">
        <f t="shared" si="32"/>
        <v>0.41853899190223381</v>
      </c>
      <c r="AC46" s="56">
        <f t="shared" si="32"/>
        <v>0.3916235373537354</v>
      </c>
      <c r="AD46" s="56">
        <f t="shared" si="32"/>
        <v>0.47882799179454388</v>
      </c>
      <c r="AE46" s="56">
        <f t="shared" si="32"/>
        <v>0.4850643056932446</v>
      </c>
      <c r="AF46" s="56">
        <f t="shared" si="32"/>
        <v>0.47389051187206555</v>
      </c>
      <c r="AG46" s="56">
        <f t="shared" si="32"/>
        <v>0.49154617957293545</v>
      </c>
      <c r="AH46" s="56">
        <f t="shared" si="32"/>
        <v>0.49589331756962601</v>
      </c>
      <c r="AI46" s="56">
        <f t="shared" si="32"/>
        <v>0.49346193229627355</v>
      </c>
      <c r="AJ46" s="16">
        <f>AJ45/AJ44</f>
        <v>0.41919525006053021</v>
      </c>
      <c r="AK46" s="16">
        <f>AK45/AK44</f>
        <v>0.34436089744268578</v>
      </c>
      <c r="AO46" s="344" t="s">
        <v>331</v>
      </c>
    </row>
    <row r="47" spans="1:253" s="51" customFormat="1" x14ac:dyDescent="0.3">
      <c r="B47" s="58" t="s">
        <v>356</v>
      </c>
      <c r="C47" s="59" t="s">
        <v>51</v>
      </c>
      <c r="D47" s="59" t="s">
        <v>7</v>
      </c>
      <c r="E47" s="53">
        <v>197</v>
      </c>
      <c r="F47" s="53">
        <v>362</v>
      </c>
      <c r="G47" s="53">
        <v>457.86</v>
      </c>
      <c r="H47" s="53">
        <v>0</v>
      </c>
      <c r="I47" s="53">
        <v>0</v>
      </c>
      <c r="J47" s="53">
        <v>0</v>
      </c>
      <c r="K47" s="53">
        <v>0</v>
      </c>
      <c r="L47" s="53">
        <v>0</v>
      </c>
      <c r="M47" s="53">
        <v>0</v>
      </c>
      <c r="N47" s="53">
        <v>0</v>
      </c>
      <c r="O47" s="53">
        <v>0</v>
      </c>
      <c r="P47" s="53">
        <v>0</v>
      </c>
      <c r="Q47" s="53">
        <v>0</v>
      </c>
      <c r="R47" s="53">
        <v>0</v>
      </c>
      <c r="S47" s="53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53">
        <v>0</v>
      </c>
      <c r="AA47" s="22">
        <v>0</v>
      </c>
      <c r="AB47" s="22">
        <v>0</v>
      </c>
      <c r="AC47" s="22">
        <v>0</v>
      </c>
      <c r="AD47" s="22">
        <v>0</v>
      </c>
      <c r="AE47" s="22">
        <v>0</v>
      </c>
      <c r="AF47" s="22">
        <v>678</v>
      </c>
      <c r="AG47" s="22">
        <v>626</v>
      </c>
      <c r="AH47" s="22">
        <v>642</v>
      </c>
      <c r="AI47" s="22">
        <v>698</v>
      </c>
      <c r="AJ47" s="11">
        <f t="shared" ref="AJ47:AJ48" si="33">SUM(E47:AI47)</f>
        <v>3660.86</v>
      </c>
      <c r="AK47" s="12">
        <f>AJ47+'Jul-24'!AK47</f>
        <v>39875.712</v>
      </c>
      <c r="AL47" s="62">
        <f>AJ49/AJ44</f>
        <v>8.1878763316810571E-2</v>
      </c>
      <c r="AM47" s="62"/>
      <c r="AN47" s="62"/>
      <c r="AO47" s="344" t="s">
        <v>332</v>
      </c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62"/>
      <c r="BL47" s="62"/>
      <c r="BM47" s="62"/>
      <c r="BN47" s="62"/>
      <c r="BO47" s="62"/>
      <c r="BP47" s="62"/>
      <c r="BQ47" s="62"/>
      <c r="BR47" s="62"/>
      <c r="BS47" s="62"/>
      <c r="BT47" s="62"/>
      <c r="BU47" s="62"/>
      <c r="BV47" s="62"/>
      <c r="BW47" s="62"/>
      <c r="BX47" s="62"/>
      <c r="BY47" s="62"/>
      <c r="BZ47" s="62"/>
      <c r="CA47" s="62"/>
      <c r="CB47" s="62"/>
      <c r="CC47" s="62"/>
      <c r="CD47" s="62"/>
      <c r="CE47" s="62"/>
      <c r="CF47" s="62"/>
      <c r="CG47" s="62"/>
      <c r="CH47" s="62"/>
      <c r="CI47" s="62"/>
      <c r="CJ47" s="62"/>
      <c r="CK47" s="62"/>
      <c r="CL47" s="62"/>
      <c r="CM47" s="62"/>
      <c r="CN47" s="62"/>
      <c r="CO47" s="62"/>
      <c r="CP47" s="62"/>
      <c r="CQ47" s="62"/>
      <c r="CR47" s="62"/>
      <c r="CS47" s="62"/>
      <c r="CT47" s="62"/>
      <c r="CU47" s="62"/>
      <c r="CV47" s="62"/>
      <c r="CW47" s="62"/>
      <c r="CX47" s="62"/>
      <c r="CY47" s="62"/>
      <c r="CZ47" s="62"/>
      <c r="DA47" s="62"/>
      <c r="DB47" s="62"/>
      <c r="DC47" s="62"/>
      <c r="DD47" s="62"/>
      <c r="DE47" s="62"/>
      <c r="DF47" s="62"/>
      <c r="DG47" s="62"/>
      <c r="DH47" s="62"/>
      <c r="DI47" s="62"/>
      <c r="DJ47" s="62"/>
      <c r="DK47" s="62"/>
      <c r="DL47" s="62"/>
      <c r="DM47" s="62"/>
      <c r="DN47" s="62"/>
      <c r="DO47" s="62"/>
      <c r="DP47" s="62"/>
      <c r="DQ47" s="62"/>
      <c r="DR47" s="62"/>
      <c r="DS47" s="62"/>
      <c r="DT47" s="62"/>
      <c r="DU47" s="62"/>
      <c r="DV47" s="62"/>
      <c r="DW47" s="62"/>
      <c r="DX47" s="62"/>
      <c r="DY47" s="62"/>
      <c r="DZ47" s="62"/>
      <c r="EA47" s="62"/>
      <c r="EB47" s="62"/>
      <c r="EC47" s="62"/>
      <c r="ED47" s="62"/>
      <c r="EE47" s="62"/>
      <c r="EF47" s="62"/>
      <c r="EG47" s="62"/>
      <c r="EH47" s="62"/>
      <c r="EI47" s="62"/>
      <c r="EJ47" s="62"/>
      <c r="EK47" s="62"/>
      <c r="EL47" s="62"/>
      <c r="EM47" s="62"/>
      <c r="EN47" s="62"/>
      <c r="EO47" s="62"/>
      <c r="EP47" s="62"/>
      <c r="EQ47" s="62"/>
      <c r="ER47" s="62"/>
      <c r="ES47" s="62"/>
      <c r="ET47" s="62"/>
      <c r="EU47" s="62"/>
      <c r="EV47" s="62"/>
      <c r="EW47" s="62"/>
      <c r="EX47" s="62"/>
      <c r="EY47" s="62"/>
      <c r="EZ47" s="62"/>
      <c r="FA47" s="62"/>
      <c r="FB47" s="62"/>
      <c r="FC47" s="62"/>
      <c r="FD47" s="62"/>
      <c r="FE47" s="62"/>
      <c r="FF47" s="62"/>
      <c r="FG47" s="62"/>
      <c r="FH47" s="62"/>
      <c r="FI47" s="62"/>
      <c r="FJ47" s="62"/>
      <c r="FK47" s="62"/>
      <c r="FL47" s="62"/>
      <c r="FM47" s="62"/>
      <c r="FN47" s="62"/>
      <c r="FO47" s="62"/>
      <c r="FP47" s="62"/>
      <c r="FQ47" s="62"/>
      <c r="FR47" s="62"/>
      <c r="FS47" s="62"/>
      <c r="FT47" s="62"/>
      <c r="FU47" s="62"/>
      <c r="FV47" s="62"/>
      <c r="FW47" s="62"/>
      <c r="FX47" s="62"/>
      <c r="FY47" s="62"/>
      <c r="FZ47" s="62"/>
      <c r="GA47" s="62"/>
      <c r="GB47" s="62"/>
      <c r="GC47" s="62"/>
      <c r="GD47" s="62"/>
      <c r="GE47" s="62"/>
      <c r="GF47" s="62"/>
      <c r="GG47" s="62"/>
      <c r="GH47" s="62"/>
      <c r="GI47" s="62"/>
      <c r="GJ47" s="62"/>
      <c r="GK47" s="62"/>
      <c r="GL47" s="62"/>
      <c r="GM47" s="62"/>
      <c r="GN47" s="62"/>
      <c r="GO47" s="62"/>
      <c r="GP47" s="62"/>
      <c r="GQ47" s="62"/>
      <c r="GR47" s="62"/>
      <c r="GS47" s="62"/>
      <c r="GT47" s="62"/>
      <c r="GU47" s="62"/>
      <c r="GV47" s="62"/>
      <c r="GW47" s="62"/>
      <c r="GX47" s="62"/>
      <c r="GY47" s="62"/>
      <c r="GZ47" s="62"/>
      <c r="HA47" s="62"/>
      <c r="HB47" s="62"/>
      <c r="HC47" s="62"/>
      <c r="HD47" s="62"/>
      <c r="HE47" s="62"/>
      <c r="HF47" s="62"/>
      <c r="HG47" s="62"/>
      <c r="HH47" s="62"/>
      <c r="HI47" s="62"/>
      <c r="HJ47" s="62"/>
      <c r="HK47" s="62"/>
      <c r="HL47" s="62"/>
      <c r="HM47" s="62"/>
      <c r="HN47" s="62"/>
      <c r="HO47" s="62"/>
      <c r="HP47" s="62"/>
      <c r="HQ47" s="62"/>
      <c r="HR47" s="62"/>
      <c r="HS47" s="62"/>
      <c r="HT47" s="62"/>
      <c r="HU47" s="62"/>
      <c r="HV47" s="62"/>
      <c r="HW47" s="62"/>
      <c r="HX47" s="62"/>
      <c r="HY47" s="62"/>
      <c r="HZ47" s="62"/>
      <c r="IA47" s="62"/>
      <c r="IB47" s="62"/>
      <c r="IC47" s="62"/>
      <c r="ID47" s="62"/>
      <c r="IE47" s="62"/>
      <c r="IF47" s="62"/>
      <c r="IG47" s="62"/>
      <c r="IH47" s="62"/>
      <c r="II47" s="62"/>
      <c r="IJ47" s="62"/>
      <c r="IK47" s="62"/>
      <c r="IL47" s="62"/>
      <c r="IM47" s="62"/>
      <c r="IN47" s="62"/>
      <c r="IO47" s="62"/>
      <c r="IP47" s="62"/>
      <c r="IQ47" s="62"/>
      <c r="IR47" s="62"/>
      <c r="IS47" s="62"/>
    </row>
    <row r="48" spans="1:253" s="51" customFormat="1" x14ac:dyDescent="0.3">
      <c r="B48" s="58" t="s">
        <v>357</v>
      </c>
      <c r="C48" s="59" t="s">
        <v>51</v>
      </c>
      <c r="D48" s="59" t="s">
        <v>55</v>
      </c>
      <c r="E48" s="60">
        <v>4475</v>
      </c>
      <c r="F48" s="60">
        <v>4458</v>
      </c>
      <c r="G48" s="60">
        <v>4478</v>
      </c>
      <c r="H48" s="60">
        <v>0</v>
      </c>
      <c r="I48" s="60">
        <v>0</v>
      </c>
      <c r="J48" s="60">
        <v>0</v>
      </c>
      <c r="K48" s="60">
        <v>0</v>
      </c>
      <c r="L48" s="60">
        <v>0</v>
      </c>
      <c r="M48" s="60">
        <v>0</v>
      </c>
      <c r="N48" s="60">
        <v>0</v>
      </c>
      <c r="O48" s="60">
        <v>0</v>
      </c>
      <c r="P48" s="60">
        <v>0</v>
      </c>
      <c r="Q48" s="60">
        <v>0</v>
      </c>
      <c r="R48" s="60">
        <v>0</v>
      </c>
      <c r="S48" s="60">
        <v>0</v>
      </c>
      <c r="T48" s="60">
        <v>0</v>
      </c>
      <c r="U48" s="60">
        <v>0</v>
      </c>
      <c r="V48" s="60">
        <v>0</v>
      </c>
      <c r="W48" s="60">
        <v>0</v>
      </c>
      <c r="X48" s="60">
        <v>0</v>
      </c>
      <c r="Y48" s="23">
        <v>0</v>
      </c>
      <c r="Z48" s="23">
        <v>0</v>
      </c>
      <c r="AA48" s="23">
        <v>0</v>
      </c>
      <c r="AB48" s="23">
        <v>0</v>
      </c>
      <c r="AC48" s="22">
        <v>0</v>
      </c>
      <c r="AD48" s="22">
        <v>0</v>
      </c>
      <c r="AE48" s="22">
        <v>0</v>
      </c>
      <c r="AF48" s="22">
        <v>4324</v>
      </c>
      <c r="AG48" s="22">
        <v>4318</v>
      </c>
      <c r="AH48" s="22">
        <v>4110</v>
      </c>
      <c r="AI48" s="22">
        <v>3909</v>
      </c>
      <c r="AJ48" s="11">
        <f t="shared" si="33"/>
        <v>30072</v>
      </c>
      <c r="AK48" s="12">
        <f>AJ48+'Jul-24'!AK48</f>
        <v>446640.52800000005</v>
      </c>
      <c r="AL48" s="62"/>
      <c r="AM48" s="62"/>
      <c r="AN48" s="62"/>
      <c r="AO48" s="344" t="s">
        <v>333</v>
      </c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2"/>
      <c r="BH48" s="62"/>
      <c r="BI48" s="62"/>
      <c r="BJ48" s="62"/>
      <c r="BK48" s="62"/>
      <c r="BL48" s="62"/>
      <c r="BM48" s="62"/>
      <c r="BN48" s="62"/>
      <c r="BO48" s="62"/>
      <c r="BP48" s="62"/>
      <c r="BQ48" s="62"/>
      <c r="BR48" s="62"/>
      <c r="BS48" s="62"/>
      <c r="BT48" s="62"/>
      <c r="BU48" s="62"/>
      <c r="BV48" s="62"/>
      <c r="BW48" s="62"/>
      <c r="BX48" s="62"/>
      <c r="BY48" s="62"/>
      <c r="BZ48" s="62"/>
      <c r="CA48" s="62"/>
      <c r="CB48" s="62"/>
      <c r="CC48" s="62"/>
      <c r="CD48" s="62"/>
      <c r="CE48" s="62"/>
      <c r="CF48" s="62"/>
      <c r="CG48" s="62"/>
      <c r="CH48" s="62"/>
      <c r="CI48" s="62"/>
      <c r="CJ48" s="62"/>
      <c r="CK48" s="62"/>
      <c r="CL48" s="62"/>
      <c r="CM48" s="62"/>
      <c r="CN48" s="62"/>
      <c r="CO48" s="62"/>
      <c r="CP48" s="62"/>
      <c r="CQ48" s="62"/>
      <c r="CR48" s="62"/>
      <c r="CS48" s="62"/>
      <c r="CT48" s="62"/>
      <c r="CU48" s="62"/>
      <c r="CV48" s="62"/>
      <c r="CW48" s="62"/>
      <c r="CX48" s="62"/>
      <c r="CY48" s="62"/>
      <c r="CZ48" s="62"/>
      <c r="DA48" s="62"/>
      <c r="DB48" s="62"/>
      <c r="DC48" s="62"/>
      <c r="DD48" s="62"/>
      <c r="DE48" s="62"/>
      <c r="DF48" s="62"/>
      <c r="DG48" s="62"/>
      <c r="DH48" s="62"/>
      <c r="DI48" s="62"/>
      <c r="DJ48" s="62"/>
      <c r="DK48" s="62"/>
      <c r="DL48" s="62"/>
      <c r="DM48" s="62"/>
      <c r="DN48" s="62"/>
      <c r="DO48" s="62"/>
      <c r="DP48" s="62"/>
      <c r="DQ48" s="62"/>
      <c r="DR48" s="62"/>
      <c r="DS48" s="62"/>
      <c r="DT48" s="62"/>
      <c r="DU48" s="62"/>
      <c r="DV48" s="62"/>
      <c r="DW48" s="62"/>
      <c r="DX48" s="62"/>
      <c r="DY48" s="62"/>
      <c r="DZ48" s="62"/>
      <c r="EA48" s="62"/>
      <c r="EB48" s="62"/>
      <c r="EC48" s="62"/>
      <c r="ED48" s="62"/>
      <c r="EE48" s="62"/>
      <c r="EF48" s="62"/>
      <c r="EG48" s="62"/>
      <c r="EH48" s="62"/>
      <c r="EI48" s="62"/>
      <c r="EJ48" s="62"/>
      <c r="EK48" s="62"/>
      <c r="EL48" s="62"/>
      <c r="EM48" s="62"/>
      <c r="EN48" s="62"/>
      <c r="EO48" s="62"/>
      <c r="EP48" s="62"/>
      <c r="EQ48" s="62"/>
      <c r="ER48" s="62"/>
      <c r="ES48" s="62"/>
      <c r="ET48" s="62"/>
      <c r="EU48" s="62"/>
      <c r="EV48" s="62"/>
      <c r="EW48" s="62"/>
      <c r="EX48" s="62"/>
      <c r="EY48" s="62"/>
      <c r="EZ48" s="62"/>
      <c r="FA48" s="62"/>
      <c r="FB48" s="62"/>
      <c r="FC48" s="62"/>
      <c r="FD48" s="62"/>
      <c r="FE48" s="62"/>
      <c r="FF48" s="62"/>
      <c r="FG48" s="62"/>
      <c r="FH48" s="62"/>
      <c r="FI48" s="62"/>
      <c r="FJ48" s="62"/>
      <c r="FK48" s="62"/>
      <c r="FL48" s="62"/>
      <c r="FM48" s="62"/>
      <c r="FN48" s="62"/>
      <c r="FO48" s="62"/>
      <c r="FP48" s="62"/>
      <c r="FQ48" s="62"/>
      <c r="FR48" s="62"/>
      <c r="FS48" s="62"/>
      <c r="FT48" s="62"/>
      <c r="FU48" s="62"/>
      <c r="FV48" s="62"/>
      <c r="FW48" s="62"/>
      <c r="FX48" s="62"/>
      <c r="FY48" s="62"/>
      <c r="FZ48" s="62"/>
      <c r="GA48" s="62"/>
      <c r="GB48" s="62"/>
      <c r="GC48" s="62"/>
      <c r="GD48" s="62"/>
      <c r="GE48" s="62"/>
      <c r="GF48" s="62"/>
      <c r="GG48" s="62"/>
      <c r="GH48" s="62"/>
      <c r="GI48" s="62"/>
      <c r="GJ48" s="62"/>
      <c r="GK48" s="62"/>
      <c r="GL48" s="62"/>
      <c r="GM48" s="62"/>
      <c r="GN48" s="62"/>
      <c r="GO48" s="62"/>
      <c r="GP48" s="62"/>
      <c r="GQ48" s="62"/>
      <c r="GR48" s="62"/>
      <c r="GS48" s="62"/>
      <c r="GT48" s="62"/>
      <c r="GU48" s="62"/>
      <c r="GV48" s="62"/>
      <c r="GW48" s="62"/>
      <c r="GX48" s="62"/>
      <c r="GY48" s="62"/>
      <c r="GZ48" s="62"/>
      <c r="HA48" s="62"/>
      <c r="HB48" s="62"/>
      <c r="HC48" s="62"/>
      <c r="HD48" s="62"/>
      <c r="HE48" s="62"/>
      <c r="HF48" s="62"/>
      <c r="HG48" s="62"/>
      <c r="HH48" s="62"/>
      <c r="HI48" s="62"/>
      <c r="HJ48" s="62"/>
      <c r="HK48" s="62"/>
      <c r="HL48" s="62"/>
      <c r="HM48" s="62"/>
      <c r="HN48" s="62"/>
      <c r="HO48" s="62"/>
      <c r="HP48" s="62"/>
      <c r="HQ48" s="62"/>
      <c r="HR48" s="62"/>
      <c r="HS48" s="62"/>
      <c r="HT48" s="62"/>
      <c r="HU48" s="62"/>
      <c r="HV48" s="62"/>
      <c r="HW48" s="62"/>
      <c r="HX48" s="62"/>
      <c r="HY48" s="62"/>
      <c r="HZ48" s="62"/>
      <c r="IA48" s="62"/>
      <c r="IB48" s="62"/>
      <c r="IC48" s="62"/>
      <c r="ID48" s="62"/>
      <c r="IE48" s="62"/>
      <c r="IF48" s="62"/>
      <c r="IG48" s="62"/>
      <c r="IH48" s="62"/>
      <c r="II48" s="62"/>
      <c r="IJ48" s="62"/>
      <c r="IK48" s="62"/>
      <c r="IL48" s="62"/>
      <c r="IM48" s="62"/>
      <c r="IN48" s="62"/>
      <c r="IO48" s="62"/>
      <c r="IP48" s="62"/>
      <c r="IQ48" s="62"/>
      <c r="IR48" s="62"/>
      <c r="IS48" s="62"/>
    </row>
    <row r="49" spans="1:679" s="51" customFormat="1" x14ac:dyDescent="0.3">
      <c r="B49" s="58" t="s">
        <v>358</v>
      </c>
      <c r="C49" s="59" t="s">
        <v>51</v>
      </c>
      <c r="D49" s="59" t="s">
        <v>55</v>
      </c>
      <c r="E49" s="63">
        <f>E47*E48</f>
        <v>881575</v>
      </c>
      <c r="F49" s="63">
        <f>F47*F48</f>
        <v>1613796</v>
      </c>
      <c r="G49" s="63">
        <f>G47*G48</f>
        <v>2050297.08</v>
      </c>
      <c r="H49" s="63">
        <f t="shared" ref="H49:AI49" si="34">H47*H48</f>
        <v>0</v>
      </c>
      <c r="I49" s="63">
        <f t="shared" si="34"/>
        <v>0</v>
      </c>
      <c r="J49" s="63">
        <f t="shared" si="34"/>
        <v>0</v>
      </c>
      <c r="K49" s="63">
        <f t="shared" si="34"/>
        <v>0</v>
      </c>
      <c r="L49" s="63">
        <f t="shared" si="34"/>
        <v>0</v>
      </c>
      <c r="M49" s="63">
        <f>M47*M48</f>
        <v>0</v>
      </c>
      <c r="N49" s="63">
        <f t="shared" si="34"/>
        <v>0</v>
      </c>
      <c r="O49" s="63">
        <f t="shared" si="34"/>
        <v>0</v>
      </c>
      <c r="P49" s="63">
        <f t="shared" si="34"/>
        <v>0</v>
      </c>
      <c r="Q49" s="63">
        <f t="shared" si="34"/>
        <v>0</v>
      </c>
      <c r="R49" s="63">
        <f t="shared" si="34"/>
        <v>0</v>
      </c>
      <c r="S49" s="63">
        <f t="shared" si="34"/>
        <v>0</v>
      </c>
      <c r="T49" s="63">
        <f t="shared" si="34"/>
        <v>0</v>
      </c>
      <c r="U49" s="63">
        <f t="shared" si="34"/>
        <v>0</v>
      </c>
      <c r="V49" s="23">
        <f t="shared" si="34"/>
        <v>0</v>
      </c>
      <c r="W49" s="23">
        <f t="shared" si="34"/>
        <v>0</v>
      </c>
      <c r="X49" s="23">
        <f t="shared" si="34"/>
        <v>0</v>
      </c>
      <c r="Y49" s="23">
        <f t="shared" si="34"/>
        <v>0</v>
      </c>
      <c r="Z49" s="23">
        <f t="shared" si="34"/>
        <v>0</v>
      </c>
      <c r="AA49" s="23">
        <f t="shared" si="34"/>
        <v>0</v>
      </c>
      <c r="AB49" s="23">
        <f t="shared" si="34"/>
        <v>0</v>
      </c>
      <c r="AC49" s="63">
        <f t="shared" si="34"/>
        <v>0</v>
      </c>
      <c r="AD49" s="63">
        <f t="shared" si="34"/>
        <v>0</v>
      </c>
      <c r="AE49" s="63">
        <f t="shared" si="34"/>
        <v>0</v>
      </c>
      <c r="AF49" s="63">
        <f t="shared" si="34"/>
        <v>2931672</v>
      </c>
      <c r="AG49" s="63">
        <f t="shared" si="34"/>
        <v>2703068</v>
      </c>
      <c r="AH49" s="63">
        <f t="shared" si="34"/>
        <v>2638620</v>
      </c>
      <c r="AI49" s="63">
        <f t="shared" si="34"/>
        <v>2728482</v>
      </c>
      <c r="AJ49" s="332">
        <f>SUM(E49:AI49)</f>
        <v>15547510.08</v>
      </c>
      <c r="AK49" s="12">
        <f>AJ49+'Jul-24'!AK49</f>
        <v>195139388.72400001</v>
      </c>
      <c r="AL49" s="62"/>
      <c r="AM49" s="62"/>
      <c r="AN49" s="62"/>
      <c r="AO49" s="344" t="s">
        <v>334</v>
      </c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2"/>
      <c r="BH49" s="62"/>
      <c r="BI49" s="62"/>
      <c r="BJ49" s="62"/>
      <c r="BK49" s="62"/>
      <c r="BL49" s="62"/>
      <c r="BM49" s="62"/>
      <c r="BN49" s="62"/>
      <c r="BO49" s="62"/>
      <c r="BP49" s="62"/>
      <c r="BQ49" s="62"/>
      <c r="BR49" s="62"/>
      <c r="BS49" s="62"/>
      <c r="BT49" s="62"/>
      <c r="BU49" s="62"/>
      <c r="BV49" s="62"/>
      <c r="BW49" s="62"/>
      <c r="BX49" s="62"/>
      <c r="BY49" s="62"/>
      <c r="BZ49" s="62"/>
      <c r="CA49" s="62"/>
      <c r="CB49" s="62"/>
      <c r="CC49" s="62"/>
      <c r="CD49" s="62"/>
      <c r="CE49" s="62"/>
      <c r="CF49" s="62"/>
      <c r="CG49" s="62"/>
      <c r="CH49" s="62"/>
      <c r="CI49" s="62"/>
      <c r="CJ49" s="62"/>
      <c r="CK49" s="62"/>
      <c r="CL49" s="62"/>
      <c r="CM49" s="62"/>
      <c r="CN49" s="62"/>
      <c r="CO49" s="62"/>
      <c r="CP49" s="62"/>
      <c r="CQ49" s="62"/>
      <c r="CR49" s="62"/>
      <c r="CS49" s="62"/>
      <c r="CT49" s="62"/>
      <c r="CU49" s="62"/>
      <c r="CV49" s="62"/>
      <c r="CW49" s="62"/>
      <c r="CX49" s="62"/>
      <c r="CY49" s="62"/>
      <c r="CZ49" s="62"/>
      <c r="DA49" s="62"/>
      <c r="DB49" s="62"/>
      <c r="DC49" s="62"/>
      <c r="DD49" s="62"/>
      <c r="DE49" s="62"/>
      <c r="DF49" s="62"/>
      <c r="DG49" s="62"/>
      <c r="DH49" s="62"/>
      <c r="DI49" s="62"/>
      <c r="DJ49" s="62"/>
      <c r="DK49" s="62"/>
      <c r="DL49" s="62"/>
      <c r="DM49" s="62"/>
      <c r="DN49" s="62"/>
      <c r="DO49" s="62"/>
      <c r="DP49" s="62"/>
      <c r="DQ49" s="62"/>
      <c r="DR49" s="62"/>
      <c r="DS49" s="62"/>
      <c r="DT49" s="62"/>
      <c r="DU49" s="62"/>
      <c r="DV49" s="62"/>
      <c r="DW49" s="62"/>
      <c r="DX49" s="62"/>
      <c r="DY49" s="62"/>
      <c r="DZ49" s="62"/>
      <c r="EA49" s="62"/>
      <c r="EB49" s="62"/>
      <c r="EC49" s="62"/>
      <c r="ED49" s="62"/>
      <c r="EE49" s="62"/>
      <c r="EF49" s="62"/>
      <c r="EG49" s="62"/>
      <c r="EH49" s="62"/>
      <c r="EI49" s="62"/>
      <c r="EJ49" s="62"/>
      <c r="EK49" s="62"/>
      <c r="EL49" s="62"/>
      <c r="EM49" s="62"/>
      <c r="EN49" s="62"/>
      <c r="EO49" s="62"/>
      <c r="EP49" s="62"/>
      <c r="EQ49" s="62"/>
      <c r="ER49" s="62"/>
      <c r="ES49" s="62"/>
      <c r="ET49" s="62"/>
      <c r="EU49" s="62"/>
      <c r="EV49" s="62"/>
      <c r="EW49" s="62"/>
      <c r="EX49" s="62"/>
      <c r="EY49" s="62"/>
      <c r="EZ49" s="62"/>
      <c r="FA49" s="62"/>
      <c r="FB49" s="62"/>
      <c r="FC49" s="62"/>
      <c r="FD49" s="62"/>
      <c r="FE49" s="62"/>
      <c r="FF49" s="62"/>
      <c r="FG49" s="62"/>
      <c r="FH49" s="62"/>
      <c r="FI49" s="62"/>
      <c r="FJ49" s="62"/>
      <c r="FK49" s="62"/>
      <c r="FL49" s="62"/>
      <c r="FM49" s="62"/>
      <c r="FN49" s="62"/>
      <c r="FO49" s="62"/>
      <c r="FP49" s="62"/>
      <c r="FQ49" s="62"/>
      <c r="FR49" s="62"/>
      <c r="FS49" s="62"/>
      <c r="FT49" s="62"/>
      <c r="FU49" s="62"/>
      <c r="FV49" s="62"/>
      <c r="FW49" s="62"/>
      <c r="FX49" s="62"/>
      <c r="FY49" s="62"/>
      <c r="FZ49" s="62"/>
      <c r="GA49" s="62"/>
      <c r="GB49" s="62"/>
      <c r="GC49" s="62"/>
      <c r="GD49" s="62"/>
      <c r="GE49" s="62"/>
      <c r="GF49" s="62"/>
      <c r="GG49" s="62"/>
      <c r="GH49" s="62"/>
      <c r="GI49" s="62"/>
      <c r="GJ49" s="62"/>
      <c r="GK49" s="62"/>
      <c r="GL49" s="62"/>
      <c r="GM49" s="62"/>
      <c r="GN49" s="62"/>
      <c r="GO49" s="62"/>
      <c r="GP49" s="62"/>
      <c r="GQ49" s="62"/>
      <c r="GR49" s="62"/>
      <c r="GS49" s="62"/>
      <c r="GT49" s="62"/>
      <c r="GU49" s="62"/>
      <c r="GV49" s="62"/>
      <c r="GW49" s="62"/>
      <c r="GX49" s="62"/>
      <c r="GY49" s="62"/>
      <c r="GZ49" s="62"/>
      <c r="HA49" s="62"/>
      <c r="HB49" s="62"/>
      <c r="HC49" s="62"/>
      <c r="HD49" s="62"/>
      <c r="HE49" s="62"/>
      <c r="HF49" s="62"/>
      <c r="HG49" s="62"/>
      <c r="HH49" s="62"/>
      <c r="HI49" s="62"/>
      <c r="HJ49" s="62"/>
      <c r="HK49" s="62"/>
      <c r="HL49" s="62"/>
      <c r="HM49" s="62"/>
      <c r="HN49" s="62"/>
      <c r="HO49" s="62"/>
      <c r="HP49" s="62"/>
      <c r="HQ49" s="62"/>
      <c r="HR49" s="62"/>
      <c r="HS49" s="62"/>
      <c r="HT49" s="62"/>
      <c r="HU49" s="62"/>
      <c r="HV49" s="62"/>
      <c r="HW49" s="62"/>
      <c r="HX49" s="62"/>
      <c r="HY49" s="62"/>
      <c r="HZ49" s="62"/>
      <c r="IA49" s="62"/>
      <c r="IB49" s="62"/>
      <c r="IC49" s="62"/>
      <c r="ID49" s="62"/>
      <c r="IE49" s="62"/>
      <c r="IF49" s="62"/>
      <c r="IG49" s="62"/>
      <c r="IH49" s="62"/>
      <c r="II49" s="62"/>
      <c r="IJ49" s="62"/>
      <c r="IK49" s="62"/>
      <c r="IL49" s="62"/>
      <c r="IM49" s="62"/>
      <c r="IN49" s="62"/>
      <c r="IO49" s="62"/>
      <c r="IP49" s="62"/>
      <c r="IQ49" s="62"/>
      <c r="IR49" s="62"/>
      <c r="IS49" s="62"/>
    </row>
    <row r="50" spans="1:679" x14ac:dyDescent="0.3">
      <c r="A50" s="19">
        <v>11</v>
      </c>
      <c r="B50" s="44" t="s">
        <v>220</v>
      </c>
      <c r="C50" s="15"/>
      <c r="D50" s="15"/>
      <c r="E50" s="21">
        <f>E49/E44</f>
        <v>0.1645535052981161</v>
      </c>
      <c r="F50" s="21">
        <f>F49/F44</f>
        <v>0.26302685364470263</v>
      </c>
      <c r="G50" s="21">
        <f t="shared" ref="G50:AG50" si="35">G49/G44</f>
        <v>0.40053751769923951</v>
      </c>
      <c r="H50" s="21">
        <f t="shared" si="35"/>
        <v>0</v>
      </c>
      <c r="I50" s="21">
        <f t="shared" si="35"/>
        <v>0</v>
      </c>
      <c r="J50" s="21">
        <f t="shared" si="35"/>
        <v>0</v>
      </c>
      <c r="K50" s="21">
        <f t="shared" si="35"/>
        <v>0</v>
      </c>
      <c r="L50" s="21">
        <f t="shared" si="35"/>
        <v>0</v>
      </c>
      <c r="M50" s="21">
        <f t="shared" si="35"/>
        <v>0</v>
      </c>
      <c r="N50" s="21">
        <f t="shared" si="35"/>
        <v>0</v>
      </c>
      <c r="O50" s="21">
        <f t="shared" si="35"/>
        <v>0</v>
      </c>
      <c r="P50" s="21">
        <f t="shared" si="35"/>
        <v>0</v>
      </c>
      <c r="Q50" s="21">
        <f t="shared" si="35"/>
        <v>0</v>
      </c>
      <c r="R50" s="21">
        <f t="shared" si="35"/>
        <v>0</v>
      </c>
      <c r="S50" s="21">
        <f t="shared" si="35"/>
        <v>0</v>
      </c>
      <c r="T50" s="21">
        <f t="shared" si="35"/>
        <v>0</v>
      </c>
      <c r="U50" s="21">
        <f t="shared" si="35"/>
        <v>0</v>
      </c>
      <c r="V50" s="21">
        <f t="shared" si="35"/>
        <v>0</v>
      </c>
      <c r="W50" s="21">
        <f t="shared" si="35"/>
        <v>0</v>
      </c>
      <c r="X50" s="21">
        <f t="shared" si="35"/>
        <v>0</v>
      </c>
      <c r="Y50" s="21">
        <f t="shared" si="35"/>
        <v>0</v>
      </c>
      <c r="Z50" s="21">
        <f t="shared" si="35"/>
        <v>0</v>
      </c>
      <c r="AA50" s="21">
        <f t="shared" si="35"/>
        <v>0</v>
      </c>
      <c r="AB50" s="21">
        <f t="shared" si="35"/>
        <v>0</v>
      </c>
      <c r="AC50" s="21">
        <f t="shared" si="35"/>
        <v>0</v>
      </c>
      <c r="AD50" s="21">
        <f t="shared" si="35"/>
        <v>0</v>
      </c>
      <c r="AE50" s="21">
        <f t="shared" si="35"/>
        <v>0</v>
      </c>
      <c r="AF50" s="21">
        <f t="shared" si="35"/>
        <v>0.45774974900578186</v>
      </c>
      <c r="AG50" s="21">
        <f t="shared" si="35"/>
        <v>0.43463275019295083</v>
      </c>
      <c r="AH50" s="216">
        <f>AH49/AH44</f>
        <v>0.43569588043800428</v>
      </c>
      <c r="AI50" s="216">
        <f>AI49/AI44</f>
        <v>0.44867264539038232</v>
      </c>
      <c r="AJ50" s="16">
        <f>AJ49/AJ44</f>
        <v>8.1878763316810571E-2</v>
      </c>
      <c r="AK50" s="16">
        <f>AK49/AK44</f>
        <v>0.22525141315597225</v>
      </c>
      <c r="AO50" s="344" t="s">
        <v>335</v>
      </c>
    </row>
    <row r="51" spans="1:679" s="51" customFormat="1" x14ac:dyDescent="0.3">
      <c r="B51" s="24" t="s">
        <v>359</v>
      </c>
      <c r="C51" s="59" t="s">
        <v>51</v>
      </c>
      <c r="D51" s="59" t="s">
        <v>55</v>
      </c>
      <c r="E51" s="52">
        <v>493</v>
      </c>
      <c r="F51" s="52">
        <v>340</v>
      </c>
      <c r="G51" s="52">
        <v>0</v>
      </c>
      <c r="H51" s="52">
        <v>503</v>
      </c>
      <c r="I51" s="52">
        <v>609</v>
      </c>
      <c r="J51" s="52">
        <v>687</v>
      </c>
      <c r="K51" s="52">
        <v>784</v>
      </c>
      <c r="L51" s="52">
        <v>744</v>
      </c>
      <c r="M51" s="52">
        <v>647</v>
      </c>
      <c r="N51" s="52">
        <v>645</v>
      </c>
      <c r="O51" s="52">
        <v>954</v>
      </c>
      <c r="P51" s="52">
        <v>1004</v>
      </c>
      <c r="Q51" s="52">
        <v>699</v>
      </c>
      <c r="R51" s="52">
        <v>690</v>
      </c>
      <c r="S51" s="53">
        <v>892</v>
      </c>
      <c r="T51" s="53">
        <v>868</v>
      </c>
      <c r="U51" s="53">
        <v>555</v>
      </c>
      <c r="V51" s="53">
        <v>459</v>
      </c>
      <c r="W51" s="53">
        <v>452</v>
      </c>
      <c r="X51" s="53">
        <v>443</v>
      </c>
      <c r="Y51" s="53">
        <v>735</v>
      </c>
      <c r="Z51" s="53">
        <v>432</v>
      </c>
      <c r="AA51" s="53">
        <v>667</v>
      </c>
      <c r="AB51" s="53">
        <v>776</v>
      </c>
      <c r="AC51" s="53">
        <v>768</v>
      </c>
      <c r="AD51" s="53">
        <v>670</v>
      </c>
      <c r="AE51" s="53">
        <v>656</v>
      </c>
      <c r="AF51" s="53">
        <v>0</v>
      </c>
      <c r="AG51" s="53">
        <v>0</v>
      </c>
      <c r="AH51" s="53">
        <v>0</v>
      </c>
      <c r="AI51" s="53">
        <v>0</v>
      </c>
      <c r="AJ51" s="11">
        <f t="shared" ref="AJ51:AJ53" si="36">SUM(E51:AI51)</f>
        <v>17172</v>
      </c>
      <c r="AK51" s="12">
        <f>AJ51+'Jul-24'!AK51</f>
        <v>60466.148000000001</v>
      </c>
      <c r="AL51" s="62">
        <f>AJ53/AJ44</f>
        <v>0.40679144864490668</v>
      </c>
      <c r="AM51" s="62"/>
      <c r="AN51" s="62"/>
      <c r="AO51" s="344" t="s">
        <v>336</v>
      </c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62"/>
      <c r="BJ51" s="62"/>
      <c r="BK51" s="62"/>
      <c r="BL51" s="62"/>
      <c r="BM51" s="62"/>
      <c r="BN51" s="62"/>
      <c r="BO51" s="62"/>
      <c r="BP51" s="62"/>
      <c r="BQ51" s="62"/>
      <c r="BR51" s="62"/>
      <c r="BS51" s="62"/>
      <c r="BT51" s="62"/>
      <c r="BU51" s="62"/>
      <c r="BV51" s="62"/>
      <c r="BW51" s="62"/>
      <c r="BX51" s="62"/>
      <c r="BY51" s="62"/>
      <c r="BZ51" s="62"/>
      <c r="CA51" s="62"/>
      <c r="CB51" s="62"/>
      <c r="CC51" s="62"/>
      <c r="CD51" s="62"/>
      <c r="CE51" s="62"/>
      <c r="CF51" s="62"/>
      <c r="CG51" s="62"/>
      <c r="CH51" s="62"/>
      <c r="CI51" s="62"/>
      <c r="CJ51" s="62"/>
      <c r="CK51" s="62"/>
      <c r="CL51" s="62"/>
      <c r="CM51" s="62"/>
      <c r="CN51" s="62"/>
      <c r="CO51" s="62"/>
      <c r="CP51" s="62"/>
      <c r="CQ51" s="62"/>
      <c r="CR51" s="62"/>
      <c r="CS51" s="62"/>
      <c r="CT51" s="62"/>
      <c r="CU51" s="62"/>
      <c r="CV51" s="62"/>
      <c r="CW51" s="62"/>
      <c r="CX51" s="62"/>
      <c r="CY51" s="62"/>
      <c r="CZ51" s="62"/>
      <c r="DA51" s="62"/>
      <c r="DB51" s="62"/>
      <c r="DC51" s="62"/>
      <c r="DD51" s="62"/>
      <c r="DE51" s="62"/>
      <c r="DF51" s="62"/>
      <c r="DG51" s="62"/>
      <c r="DH51" s="62"/>
      <c r="DI51" s="62"/>
      <c r="DJ51" s="62"/>
      <c r="DK51" s="62"/>
      <c r="DL51" s="62"/>
      <c r="DM51" s="62"/>
      <c r="DN51" s="62"/>
      <c r="DO51" s="62"/>
      <c r="DP51" s="62"/>
      <c r="DQ51" s="62"/>
      <c r="DR51" s="62"/>
      <c r="DS51" s="62"/>
      <c r="DT51" s="62"/>
      <c r="DU51" s="62"/>
      <c r="DV51" s="62"/>
      <c r="DW51" s="62"/>
      <c r="DX51" s="62"/>
      <c r="DY51" s="62"/>
      <c r="DZ51" s="62"/>
      <c r="EA51" s="62"/>
      <c r="EB51" s="62"/>
      <c r="EC51" s="62"/>
      <c r="ED51" s="62"/>
      <c r="EE51" s="62"/>
      <c r="EF51" s="62"/>
      <c r="EG51" s="62"/>
      <c r="EH51" s="62"/>
      <c r="EI51" s="62"/>
      <c r="EJ51" s="62"/>
      <c r="EK51" s="62"/>
      <c r="EL51" s="62"/>
      <c r="EM51" s="62"/>
      <c r="EN51" s="62"/>
      <c r="EO51" s="62"/>
      <c r="EP51" s="62"/>
      <c r="EQ51" s="62"/>
      <c r="ER51" s="62"/>
      <c r="ES51" s="62"/>
      <c r="ET51" s="62"/>
      <c r="EU51" s="62"/>
      <c r="EV51" s="62"/>
      <c r="EW51" s="62"/>
      <c r="EX51" s="62"/>
      <c r="EY51" s="62"/>
      <c r="EZ51" s="62"/>
      <c r="FA51" s="62"/>
      <c r="FB51" s="62"/>
      <c r="FC51" s="62"/>
      <c r="FD51" s="62"/>
      <c r="FE51" s="62"/>
      <c r="FF51" s="62"/>
      <c r="FG51" s="62"/>
      <c r="FH51" s="62"/>
      <c r="FI51" s="62"/>
      <c r="FJ51" s="62"/>
      <c r="FK51" s="62"/>
      <c r="FL51" s="62"/>
      <c r="FM51" s="62"/>
      <c r="FN51" s="62"/>
      <c r="FO51" s="62"/>
      <c r="FP51" s="62"/>
      <c r="FQ51" s="62"/>
      <c r="FR51" s="62"/>
      <c r="FS51" s="62"/>
      <c r="FT51" s="62"/>
      <c r="FU51" s="62"/>
      <c r="FV51" s="62"/>
      <c r="FW51" s="62"/>
      <c r="FX51" s="62"/>
      <c r="FY51" s="62"/>
      <c r="FZ51" s="62"/>
      <c r="GA51" s="62"/>
      <c r="GB51" s="62"/>
      <c r="GC51" s="62"/>
      <c r="GD51" s="62"/>
      <c r="GE51" s="62"/>
      <c r="GF51" s="62"/>
      <c r="GG51" s="62"/>
      <c r="GH51" s="62"/>
      <c r="GI51" s="62"/>
      <c r="GJ51" s="62"/>
      <c r="GK51" s="62"/>
      <c r="GL51" s="62"/>
      <c r="GM51" s="62"/>
      <c r="GN51" s="62"/>
      <c r="GO51" s="62"/>
      <c r="GP51" s="62"/>
      <c r="GQ51" s="62"/>
      <c r="GR51" s="62"/>
      <c r="GS51" s="62"/>
      <c r="GT51" s="62"/>
      <c r="GU51" s="62"/>
      <c r="GV51" s="62"/>
      <c r="GW51" s="62"/>
      <c r="GX51" s="62"/>
      <c r="GY51" s="62"/>
      <c r="GZ51" s="62"/>
      <c r="HA51" s="62"/>
      <c r="HB51" s="62"/>
      <c r="HC51" s="62"/>
      <c r="HD51" s="62"/>
      <c r="HE51" s="62"/>
      <c r="HF51" s="62"/>
      <c r="HG51" s="62"/>
      <c r="HH51" s="62"/>
      <c r="HI51" s="62"/>
      <c r="HJ51" s="62"/>
      <c r="HK51" s="62"/>
      <c r="HL51" s="62"/>
      <c r="HM51" s="62"/>
      <c r="HN51" s="62"/>
      <c r="HO51" s="62"/>
      <c r="HP51" s="62"/>
      <c r="HQ51" s="62"/>
      <c r="HR51" s="62"/>
      <c r="HS51" s="62"/>
      <c r="HT51" s="62"/>
      <c r="HU51" s="62"/>
      <c r="HV51" s="62"/>
      <c r="HW51" s="62"/>
      <c r="HX51" s="62"/>
      <c r="HY51" s="62"/>
      <c r="HZ51" s="62"/>
      <c r="IA51" s="62"/>
      <c r="IB51" s="62"/>
      <c r="IC51" s="62"/>
      <c r="ID51" s="62"/>
      <c r="IE51" s="62"/>
      <c r="IF51" s="62"/>
      <c r="IG51" s="62"/>
      <c r="IH51" s="62"/>
      <c r="II51" s="62"/>
      <c r="IJ51" s="62"/>
      <c r="IK51" s="62"/>
      <c r="IL51" s="62"/>
      <c r="IM51" s="62"/>
      <c r="IN51" s="62"/>
      <c r="IO51" s="62"/>
      <c r="IP51" s="62"/>
      <c r="IQ51" s="62"/>
      <c r="IR51" s="62"/>
      <c r="IS51" s="62"/>
    </row>
    <row r="52" spans="1:679" s="51" customFormat="1" x14ac:dyDescent="0.3">
      <c r="B52" s="24" t="s">
        <v>360</v>
      </c>
      <c r="C52" s="59" t="s">
        <v>51</v>
      </c>
      <c r="D52" s="59" t="s">
        <v>55</v>
      </c>
      <c r="E52" s="60">
        <v>4295</v>
      </c>
      <c r="F52" s="60">
        <v>4047</v>
      </c>
      <c r="G52" s="60">
        <v>0</v>
      </c>
      <c r="H52" s="60">
        <v>4182</v>
      </c>
      <c r="I52" s="60">
        <v>4368</v>
      </c>
      <c r="J52" s="60">
        <v>4115</v>
      </c>
      <c r="K52" s="60">
        <v>4052</v>
      </c>
      <c r="L52" s="60">
        <v>4007</v>
      </c>
      <c r="M52" s="60">
        <v>4672</v>
      </c>
      <c r="N52" s="60">
        <v>4634</v>
      </c>
      <c r="O52" s="60">
        <v>4558</v>
      </c>
      <c r="P52" s="60">
        <v>4548</v>
      </c>
      <c r="Q52" s="60">
        <v>4588</v>
      </c>
      <c r="R52" s="60">
        <v>4615</v>
      </c>
      <c r="S52" s="23">
        <v>5193</v>
      </c>
      <c r="T52" s="23">
        <v>5178</v>
      </c>
      <c r="U52" s="23">
        <v>5212</v>
      </c>
      <c r="V52" s="23">
        <v>5175</v>
      </c>
      <c r="W52" s="23">
        <v>5178</v>
      </c>
      <c r="X52" s="23">
        <v>5173</v>
      </c>
      <c r="Y52" s="23">
        <v>4103</v>
      </c>
      <c r="Z52" s="23">
        <v>4573</v>
      </c>
      <c r="AA52" s="23">
        <v>4166</v>
      </c>
      <c r="AB52" s="23">
        <v>4231</v>
      </c>
      <c r="AC52" s="23">
        <v>4201</v>
      </c>
      <c r="AD52" s="23">
        <v>4090</v>
      </c>
      <c r="AE52" s="23">
        <v>4020</v>
      </c>
      <c r="AF52" s="23">
        <v>0</v>
      </c>
      <c r="AG52" s="23">
        <v>0</v>
      </c>
      <c r="AH52" s="23">
        <v>0</v>
      </c>
      <c r="AI52" s="23">
        <v>0</v>
      </c>
      <c r="AJ52" s="11">
        <f t="shared" si="36"/>
        <v>117174</v>
      </c>
      <c r="AK52" s="12">
        <f>AJ52+'Jul-24'!AK52</f>
        <v>606232.52800000005</v>
      </c>
      <c r="AL52" s="62"/>
      <c r="AM52" s="62"/>
      <c r="AN52" s="62"/>
      <c r="AO52" s="344" t="s">
        <v>337</v>
      </c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2"/>
      <c r="BJ52" s="62"/>
      <c r="BK52" s="62"/>
      <c r="BL52" s="62"/>
      <c r="BM52" s="62"/>
      <c r="BN52" s="62"/>
      <c r="BO52" s="62"/>
      <c r="BP52" s="62"/>
      <c r="BQ52" s="62"/>
      <c r="BR52" s="62"/>
      <c r="BS52" s="62"/>
      <c r="BT52" s="62"/>
      <c r="BU52" s="62"/>
      <c r="BV52" s="62"/>
      <c r="BW52" s="62"/>
      <c r="BX52" s="62"/>
      <c r="BY52" s="62"/>
      <c r="BZ52" s="62"/>
      <c r="CA52" s="62"/>
      <c r="CB52" s="62"/>
      <c r="CC52" s="62"/>
      <c r="CD52" s="62"/>
      <c r="CE52" s="62"/>
      <c r="CF52" s="62"/>
      <c r="CG52" s="62"/>
      <c r="CH52" s="62"/>
      <c r="CI52" s="62"/>
      <c r="CJ52" s="62"/>
      <c r="CK52" s="62"/>
      <c r="CL52" s="62"/>
      <c r="CM52" s="62"/>
      <c r="CN52" s="62"/>
      <c r="CO52" s="62"/>
      <c r="CP52" s="62"/>
      <c r="CQ52" s="62"/>
      <c r="CR52" s="62"/>
      <c r="CS52" s="62"/>
      <c r="CT52" s="62"/>
      <c r="CU52" s="62"/>
      <c r="CV52" s="62"/>
      <c r="CW52" s="62"/>
      <c r="CX52" s="62"/>
      <c r="CY52" s="62"/>
      <c r="CZ52" s="62"/>
      <c r="DA52" s="62"/>
      <c r="DB52" s="62"/>
      <c r="DC52" s="62"/>
      <c r="DD52" s="62"/>
      <c r="DE52" s="62"/>
      <c r="DF52" s="62"/>
      <c r="DG52" s="62"/>
      <c r="DH52" s="62"/>
      <c r="DI52" s="62"/>
      <c r="DJ52" s="62"/>
      <c r="DK52" s="62"/>
      <c r="DL52" s="62"/>
      <c r="DM52" s="62"/>
      <c r="DN52" s="62"/>
      <c r="DO52" s="62"/>
      <c r="DP52" s="62"/>
      <c r="DQ52" s="62"/>
      <c r="DR52" s="62"/>
      <c r="DS52" s="62"/>
      <c r="DT52" s="62"/>
      <c r="DU52" s="62"/>
      <c r="DV52" s="62"/>
      <c r="DW52" s="62"/>
      <c r="DX52" s="62"/>
      <c r="DY52" s="62"/>
      <c r="DZ52" s="62"/>
      <c r="EA52" s="62"/>
      <c r="EB52" s="62"/>
      <c r="EC52" s="62"/>
      <c r="ED52" s="62"/>
      <c r="EE52" s="62"/>
      <c r="EF52" s="62"/>
      <c r="EG52" s="62"/>
      <c r="EH52" s="62"/>
      <c r="EI52" s="62"/>
      <c r="EJ52" s="62"/>
      <c r="EK52" s="62"/>
      <c r="EL52" s="62"/>
      <c r="EM52" s="62"/>
      <c r="EN52" s="62"/>
      <c r="EO52" s="62"/>
      <c r="EP52" s="62"/>
      <c r="EQ52" s="62"/>
      <c r="ER52" s="62"/>
      <c r="ES52" s="62"/>
      <c r="ET52" s="62"/>
      <c r="EU52" s="62"/>
      <c r="EV52" s="62"/>
      <c r="EW52" s="62"/>
      <c r="EX52" s="62"/>
      <c r="EY52" s="62"/>
      <c r="EZ52" s="62"/>
      <c r="FA52" s="62"/>
      <c r="FB52" s="62"/>
      <c r="FC52" s="62"/>
      <c r="FD52" s="62"/>
      <c r="FE52" s="62"/>
      <c r="FF52" s="62"/>
      <c r="FG52" s="62"/>
      <c r="FH52" s="62"/>
      <c r="FI52" s="62"/>
      <c r="FJ52" s="62"/>
      <c r="FK52" s="62"/>
      <c r="FL52" s="62"/>
      <c r="FM52" s="62"/>
      <c r="FN52" s="62"/>
      <c r="FO52" s="62"/>
      <c r="FP52" s="62"/>
      <c r="FQ52" s="62"/>
      <c r="FR52" s="62"/>
      <c r="FS52" s="62"/>
      <c r="FT52" s="62"/>
      <c r="FU52" s="62"/>
      <c r="FV52" s="62"/>
      <c r="FW52" s="62"/>
      <c r="FX52" s="62"/>
      <c r="FY52" s="62"/>
      <c r="FZ52" s="62"/>
      <c r="GA52" s="62"/>
      <c r="GB52" s="62"/>
      <c r="GC52" s="62"/>
      <c r="GD52" s="62"/>
      <c r="GE52" s="62"/>
      <c r="GF52" s="62"/>
      <c r="GG52" s="62"/>
      <c r="GH52" s="62"/>
      <c r="GI52" s="62"/>
      <c r="GJ52" s="62"/>
      <c r="GK52" s="62"/>
      <c r="GL52" s="62"/>
      <c r="GM52" s="62"/>
      <c r="GN52" s="62"/>
      <c r="GO52" s="62"/>
      <c r="GP52" s="62"/>
      <c r="GQ52" s="62"/>
      <c r="GR52" s="62"/>
      <c r="GS52" s="62"/>
      <c r="GT52" s="62"/>
      <c r="GU52" s="62"/>
      <c r="GV52" s="62"/>
      <c r="GW52" s="62"/>
      <c r="GX52" s="62"/>
      <c r="GY52" s="62"/>
      <c r="GZ52" s="62"/>
      <c r="HA52" s="62"/>
      <c r="HB52" s="62"/>
      <c r="HC52" s="62"/>
      <c r="HD52" s="62"/>
      <c r="HE52" s="62"/>
      <c r="HF52" s="62"/>
      <c r="HG52" s="62"/>
      <c r="HH52" s="62"/>
      <c r="HI52" s="62"/>
      <c r="HJ52" s="62"/>
      <c r="HK52" s="62"/>
      <c r="HL52" s="62"/>
      <c r="HM52" s="62"/>
      <c r="HN52" s="62"/>
      <c r="HO52" s="62"/>
      <c r="HP52" s="62"/>
      <c r="HQ52" s="62"/>
      <c r="HR52" s="62"/>
      <c r="HS52" s="62"/>
      <c r="HT52" s="62"/>
      <c r="HU52" s="62"/>
      <c r="HV52" s="62"/>
      <c r="HW52" s="62"/>
      <c r="HX52" s="62"/>
      <c r="HY52" s="62"/>
      <c r="HZ52" s="62"/>
      <c r="IA52" s="62"/>
      <c r="IB52" s="62"/>
      <c r="IC52" s="62"/>
      <c r="ID52" s="62"/>
      <c r="IE52" s="62"/>
      <c r="IF52" s="62"/>
      <c r="IG52" s="62"/>
      <c r="IH52" s="62"/>
      <c r="II52" s="62"/>
      <c r="IJ52" s="62"/>
      <c r="IK52" s="62"/>
      <c r="IL52" s="62"/>
      <c r="IM52" s="62"/>
      <c r="IN52" s="62"/>
      <c r="IO52" s="62"/>
      <c r="IP52" s="62"/>
      <c r="IQ52" s="62"/>
      <c r="IR52" s="62"/>
      <c r="IS52" s="62"/>
    </row>
    <row r="53" spans="1:679" s="51" customFormat="1" x14ac:dyDescent="0.3">
      <c r="B53" s="24" t="s">
        <v>361</v>
      </c>
      <c r="C53" s="59" t="s">
        <v>51</v>
      </c>
      <c r="D53" s="59" t="s">
        <v>55</v>
      </c>
      <c r="E53" s="63">
        <f>E51*E52</f>
        <v>2117435</v>
      </c>
      <c r="F53" s="63">
        <f>F51*F52</f>
        <v>1375980</v>
      </c>
      <c r="G53" s="63">
        <f t="shared" ref="G53:AI53" si="37">G51*G52</f>
        <v>0</v>
      </c>
      <c r="H53" s="63">
        <f t="shared" si="37"/>
        <v>2103546</v>
      </c>
      <c r="I53" s="63">
        <f t="shared" si="37"/>
        <v>2660112</v>
      </c>
      <c r="J53" s="63">
        <f t="shared" si="37"/>
        <v>2827005</v>
      </c>
      <c r="K53" s="63">
        <f t="shared" si="37"/>
        <v>3176768</v>
      </c>
      <c r="L53" s="63">
        <f t="shared" si="37"/>
        <v>2981208</v>
      </c>
      <c r="M53" s="64">
        <f t="shared" si="37"/>
        <v>3022784</v>
      </c>
      <c r="N53" s="63">
        <f t="shared" si="37"/>
        <v>2988930</v>
      </c>
      <c r="O53" s="63">
        <f t="shared" si="37"/>
        <v>4348332</v>
      </c>
      <c r="P53" s="63">
        <f t="shared" si="37"/>
        <v>4566192</v>
      </c>
      <c r="Q53" s="63">
        <f t="shared" si="37"/>
        <v>3207012</v>
      </c>
      <c r="R53" s="63">
        <f>R51*R52</f>
        <v>3184350</v>
      </c>
      <c r="S53" s="63">
        <f>S51*S52</f>
        <v>4632156</v>
      </c>
      <c r="T53" s="63">
        <f>T51*T52</f>
        <v>4494504</v>
      </c>
      <c r="U53" s="63">
        <f>U51*U52</f>
        <v>2892660</v>
      </c>
      <c r="V53" s="63">
        <f t="shared" si="37"/>
        <v>2375325</v>
      </c>
      <c r="W53" s="63">
        <f t="shared" si="37"/>
        <v>2340456</v>
      </c>
      <c r="X53" s="63">
        <f t="shared" si="37"/>
        <v>2291639</v>
      </c>
      <c r="Y53" s="63">
        <f t="shared" si="37"/>
        <v>3015705</v>
      </c>
      <c r="Z53" s="63">
        <f t="shared" si="37"/>
        <v>1975536</v>
      </c>
      <c r="AA53" s="63">
        <f t="shared" si="37"/>
        <v>2778722</v>
      </c>
      <c r="AB53" s="63">
        <f t="shared" si="37"/>
        <v>3283256</v>
      </c>
      <c r="AC53" s="63">
        <f t="shared" si="37"/>
        <v>3226368</v>
      </c>
      <c r="AD53" s="63">
        <f t="shared" si="37"/>
        <v>2740300</v>
      </c>
      <c r="AE53" s="63">
        <f t="shared" si="37"/>
        <v>2637120</v>
      </c>
      <c r="AF53" s="63">
        <f t="shared" si="37"/>
        <v>0</v>
      </c>
      <c r="AG53" s="63">
        <f t="shared" si="37"/>
        <v>0</v>
      </c>
      <c r="AH53" s="63">
        <f t="shared" si="37"/>
        <v>0</v>
      </c>
      <c r="AI53" s="63">
        <f t="shared" si="37"/>
        <v>0</v>
      </c>
      <c r="AJ53" s="11">
        <f t="shared" si="36"/>
        <v>77243401</v>
      </c>
      <c r="AK53" s="12">
        <f>AJ53+'Jul-24'!AK53</f>
        <v>276722081.24000001</v>
      </c>
      <c r="AL53" s="62"/>
      <c r="AM53" s="62"/>
      <c r="AN53" s="62"/>
      <c r="AO53" s="344" t="s">
        <v>338</v>
      </c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2"/>
      <c r="BH53" s="62"/>
      <c r="BI53" s="62"/>
      <c r="BJ53" s="62"/>
      <c r="BK53" s="62"/>
      <c r="BL53" s="62"/>
      <c r="BM53" s="62"/>
      <c r="BN53" s="62"/>
      <c r="BO53" s="62"/>
      <c r="BP53" s="62"/>
      <c r="BQ53" s="62"/>
      <c r="BR53" s="62"/>
      <c r="BS53" s="62"/>
      <c r="BT53" s="62"/>
      <c r="BU53" s="62"/>
      <c r="BV53" s="62"/>
      <c r="BW53" s="62"/>
      <c r="BX53" s="62"/>
      <c r="BY53" s="62"/>
      <c r="BZ53" s="62"/>
      <c r="CA53" s="62"/>
      <c r="CB53" s="62"/>
      <c r="CC53" s="62"/>
      <c r="CD53" s="62"/>
      <c r="CE53" s="62"/>
      <c r="CF53" s="62"/>
      <c r="CG53" s="62"/>
      <c r="CH53" s="62"/>
      <c r="CI53" s="62"/>
      <c r="CJ53" s="62"/>
      <c r="CK53" s="62"/>
      <c r="CL53" s="62"/>
      <c r="CM53" s="62"/>
      <c r="CN53" s="62"/>
      <c r="CO53" s="62"/>
      <c r="CP53" s="62"/>
      <c r="CQ53" s="62"/>
      <c r="CR53" s="62"/>
      <c r="CS53" s="62"/>
      <c r="CT53" s="62"/>
      <c r="CU53" s="62"/>
      <c r="CV53" s="62"/>
      <c r="CW53" s="62"/>
      <c r="CX53" s="62"/>
      <c r="CY53" s="62"/>
      <c r="CZ53" s="62"/>
      <c r="DA53" s="62"/>
      <c r="DB53" s="62"/>
      <c r="DC53" s="62"/>
      <c r="DD53" s="62"/>
      <c r="DE53" s="62"/>
      <c r="DF53" s="62"/>
      <c r="DG53" s="62"/>
      <c r="DH53" s="62"/>
      <c r="DI53" s="62"/>
      <c r="DJ53" s="62"/>
      <c r="DK53" s="62"/>
      <c r="DL53" s="62"/>
      <c r="DM53" s="62"/>
      <c r="DN53" s="62"/>
      <c r="DO53" s="62"/>
      <c r="DP53" s="62"/>
      <c r="DQ53" s="62"/>
      <c r="DR53" s="62"/>
      <c r="DS53" s="62"/>
      <c r="DT53" s="62"/>
      <c r="DU53" s="62"/>
      <c r="DV53" s="62"/>
      <c r="DW53" s="62"/>
      <c r="DX53" s="62"/>
      <c r="DY53" s="62"/>
      <c r="DZ53" s="62"/>
      <c r="EA53" s="62"/>
      <c r="EB53" s="62"/>
      <c r="EC53" s="62"/>
      <c r="ED53" s="62"/>
      <c r="EE53" s="62"/>
      <c r="EF53" s="62"/>
      <c r="EG53" s="62"/>
      <c r="EH53" s="62"/>
      <c r="EI53" s="62"/>
      <c r="EJ53" s="62"/>
      <c r="EK53" s="62"/>
      <c r="EL53" s="62"/>
      <c r="EM53" s="62"/>
      <c r="EN53" s="62"/>
      <c r="EO53" s="62"/>
      <c r="EP53" s="62"/>
      <c r="EQ53" s="62"/>
      <c r="ER53" s="62"/>
      <c r="ES53" s="62"/>
      <c r="ET53" s="62"/>
      <c r="EU53" s="62"/>
      <c r="EV53" s="62"/>
      <c r="EW53" s="62"/>
      <c r="EX53" s="62"/>
      <c r="EY53" s="62"/>
      <c r="EZ53" s="62"/>
      <c r="FA53" s="62"/>
      <c r="FB53" s="62"/>
      <c r="FC53" s="62"/>
      <c r="FD53" s="62"/>
      <c r="FE53" s="62"/>
      <c r="FF53" s="62"/>
      <c r="FG53" s="62"/>
      <c r="FH53" s="62"/>
      <c r="FI53" s="62"/>
      <c r="FJ53" s="62"/>
      <c r="FK53" s="62"/>
      <c r="FL53" s="62"/>
      <c r="FM53" s="62"/>
      <c r="FN53" s="62"/>
      <c r="FO53" s="62"/>
      <c r="FP53" s="62"/>
      <c r="FQ53" s="62"/>
      <c r="FR53" s="62"/>
      <c r="FS53" s="62"/>
      <c r="FT53" s="62"/>
      <c r="FU53" s="62"/>
      <c r="FV53" s="62"/>
      <c r="FW53" s="62"/>
      <c r="FX53" s="62"/>
      <c r="FY53" s="62"/>
      <c r="FZ53" s="62"/>
      <c r="GA53" s="62"/>
      <c r="GB53" s="62"/>
      <c r="GC53" s="62"/>
      <c r="GD53" s="62"/>
      <c r="GE53" s="62"/>
      <c r="GF53" s="62"/>
      <c r="GG53" s="62"/>
      <c r="GH53" s="62"/>
      <c r="GI53" s="62"/>
      <c r="GJ53" s="62"/>
      <c r="GK53" s="62"/>
      <c r="GL53" s="62"/>
      <c r="GM53" s="62"/>
      <c r="GN53" s="62"/>
      <c r="GO53" s="62"/>
      <c r="GP53" s="62"/>
      <c r="GQ53" s="62"/>
      <c r="GR53" s="62"/>
      <c r="GS53" s="62"/>
      <c r="GT53" s="62"/>
      <c r="GU53" s="62"/>
      <c r="GV53" s="62"/>
      <c r="GW53" s="62"/>
      <c r="GX53" s="62"/>
      <c r="GY53" s="62"/>
      <c r="GZ53" s="62"/>
      <c r="HA53" s="62"/>
      <c r="HB53" s="62"/>
      <c r="HC53" s="62"/>
      <c r="HD53" s="62"/>
      <c r="HE53" s="62"/>
      <c r="HF53" s="62"/>
      <c r="HG53" s="62"/>
      <c r="HH53" s="62"/>
      <c r="HI53" s="62"/>
      <c r="HJ53" s="62"/>
      <c r="HK53" s="62"/>
      <c r="HL53" s="62"/>
      <c r="HM53" s="62"/>
      <c r="HN53" s="62"/>
      <c r="HO53" s="62"/>
      <c r="HP53" s="62"/>
      <c r="HQ53" s="62"/>
      <c r="HR53" s="62"/>
      <c r="HS53" s="62"/>
      <c r="HT53" s="62"/>
      <c r="HU53" s="62"/>
      <c r="HV53" s="62"/>
      <c r="HW53" s="62"/>
      <c r="HX53" s="62"/>
      <c r="HY53" s="62"/>
      <c r="HZ53" s="62"/>
      <c r="IA53" s="62"/>
      <c r="IB53" s="62"/>
      <c r="IC53" s="62"/>
      <c r="ID53" s="62"/>
      <c r="IE53" s="62"/>
      <c r="IF53" s="62"/>
      <c r="IG53" s="62"/>
      <c r="IH53" s="62"/>
      <c r="II53" s="62"/>
      <c r="IJ53" s="62"/>
      <c r="IK53" s="62"/>
      <c r="IL53" s="62"/>
      <c r="IM53" s="62"/>
      <c r="IN53" s="62"/>
      <c r="IO53" s="62"/>
      <c r="IP53" s="62"/>
      <c r="IQ53" s="62"/>
      <c r="IR53" s="62"/>
      <c r="IS53" s="62"/>
    </row>
    <row r="54" spans="1:679" x14ac:dyDescent="0.3">
      <c r="A54" s="19">
        <v>14</v>
      </c>
      <c r="B54" s="44" t="s">
        <v>62</v>
      </c>
      <c r="C54" s="15"/>
      <c r="D54" s="15"/>
      <c r="E54" s="21">
        <f>E53/E44</f>
        <v>0.39523733260461841</v>
      </c>
      <c r="F54" s="21">
        <f>F53/F44</f>
        <v>0.22426607209215904</v>
      </c>
      <c r="G54" s="21">
        <f>G53/G44</f>
        <v>0</v>
      </c>
      <c r="H54" s="21">
        <f>H53/H44</f>
        <v>0.4137442296382694</v>
      </c>
      <c r="I54" s="21">
        <f t="shared" ref="I54:AI54" si="38">I53/I44</f>
        <v>0.44664466446644663</v>
      </c>
      <c r="J54" s="21">
        <f t="shared" si="38"/>
        <v>0.44064696898704997</v>
      </c>
      <c r="K54" s="21">
        <f t="shared" si="38"/>
        <v>0.47693919894786463</v>
      </c>
      <c r="L54" s="21">
        <f t="shared" si="38"/>
        <v>0.46008113900796083</v>
      </c>
      <c r="M54" s="21">
        <f t="shared" si="38"/>
        <v>0.47565654105163641</v>
      </c>
      <c r="N54" s="21">
        <f t="shared" si="38"/>
        <v>0.47811573519094203</v>
      </c>
      <c r="O54" s="21">
        <f t="shared" si="38"/>
        <v>0.67924347926059969</v>
      </c>
      <c r="P54" s="21">
        <f t="shared" si="38"/>
        <v>0.71015639580456125</v>
      </c>
      <c r="Q54" s="21">
        <f t="shared" si="38"/>
        <v>0.49578376673669761</v>
      </c>
      <c r="R54" s="21">
        <f t="shared" si="38"/>
        <v>0.50332889228127875</v>
      </c>
      <c r="S54" s="21">
        <f t="shared" si="38"/>
        <v>0.70539830819751215</v>
      </c>
      <c r="T54" s="21">
        <f t="shared" si="38"/>
        <v>0.67659058861748178</v>
      </c>
      <c r="U54" s="21">
        <f t="shared" si="38"/>
        <v>0.44414950419995558</v>
      </c>
      <c r="V54" s="21">
        <f t="shared" si="38"/>
        <v>0.36171980859949987</v>
      </c>
      <c r="W54" s="21">
        <f t="shared" si="38"/>
        <v>0.35777860937454142</v>
      </c>
      <c r="X54" s="21">
        <f t="shared" si="38"/>
        <v>0.35266054430311178</v>
      </c>
      <c r="Y54" s="21">
        <f t="shared" si="38"/>
        <v>0.49561691113028472</v>
      </c>
      <c r="Z54" s="21">
        <f t="shared" si="38"/>
        <v>0.53277095176966804</v>
      </c>
      <c r="AA54" s="21">
        <f t="shared" si="38"/>
        <v>0.53327343082651835</v>
      </c>
      <c r="AB54" s="21">
        <f t="shared" si="38"/>
        <v>0.51835681545015455</v>
      </c>
      <c r="AC54" s="21">
        <f t="shared" si="38"/>
        <v>0.48271635674205721</v>
      </c>
      <c r="AD54" s="21">
        <f t="shared" si="38"/>
        <v>0.45627863917306055</v>
      </c>
      <c r="AE54" s="21">
        <f t="shared" si="38"/>
        <v>0.41682683553523375</v>
      </c>
      <c r="AF54" s="21">
        <f t="shared" si="38"/>
        <v>0</v>
      </c>
      <c r="AG54" s="21">
        <f t="shared" si="38"/>
        <v>0</v>
      </c>
      <c r="AH54" s="21">
        <f t="shared" si="38"/>
        <v>0</v>
      </c>
      <c r="AI54" s="21">
        <f t="shared" si="38"/>
        <v>0</v>
      </c>
      <c r="AJ54" s="16">
        <f>AJ53/AJ44</f>
        <v>0.40679144864490668</v>
      </c>
      <c r="AK54" s="16">
        <f>AK53/AK44</f>
        <v>0.31942315827858075</v>
      </c>
      <c r="AL54" s="62"/>
      <c r="AM54" s="62"/>
      <c r="AN54" s="62"/>
      <c r="AO54" s="344" t="s">
        <v>339</v>
      </c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2"/>
      <c r="BH54" s="62"/>
      <c r="BI54" s="62"/>
      <c r="BJ54" s="62"/>
      <c r="BK54" s="62"/>
      <c r="BL54" s="62"/>
      <c r="BM54" s="62"/>
      <c r="BN54" s="62"/>
      <c r="BO54" s="62"/>
      <c r="BP54" s="62"/>
      <c r="BQ54" s="62"/>
      <c r="BR54" s="62"/>
      <c r="BS54" s="62"/>
      <c r="BT54" s="62"/>
      <c r="BU54" s="62"/>
      <c r="BV54" s="62"/>
      <c r="BW54" s="62"/>
      <c r="BX54" s="62"/>
      <c r="BY54" s="62"/>
      <c r="BZ54" s="62"/>
      <c r="CA54" s="62"/>
      <c r="CB54" s="62"/>
      <c r="CC54" s="62"/>
      <c r="CD54" s="62"/>
      <c r="CE54" s="62"/>
      <c r="CF54" s="62"/>
      <c r="CG54" s="62"/>
      <c r="CH54" s="62"/>
      <c r="CI54" s="62"/>
      <c r="CJ54" s="62"/>
      <c r="CK54" s="62"/>
      <c r="CL54" s="62"/>
      <c r="CM54" s="62"/>
      <c r="CN54" s="62"/>
      <c r="CO54" s="62"/>
      <c r="CP54" s="62"/>
      <c r="CQ54" s="62"/>
      <c r="CR54" s="62"/>
      <c r="CS54" s="62"/>
      <c r="CT54" s="62"/>
      <c r="CU54" s="62"/>
      <c r="CV54" s="62"/>
      <c r="CW54" s="62"/>
      <c r="CX54" s="62"/>
      <c r="CY54" s="62"/>
      <c r="CZ54" s="62"/>
      <c r="DA54" s="62"/>
      <c r="DB54" s="62"/>
      <c r="DC54" s="62"/>
      <c r="DD54" s="62"/>
      <c r="DE54" s="62"/>
      <c r="DF54" s="62"/>
      <c r="DG54" s="62"/>
      <c r="DH54" s="62"/>
      <c r="DI54" s="62"/>
      <c r="DJ54" s="62"/>
      <c r="DK54" s="62"/>
      <c r="DL54" s="62"/>
      <c r="DM54" s="62"/>
      <c r="DN54" s="62"/>
      <c r="DO54" s="62"/>
      <c r="DP54" s="62"/>
      <c r="DQ54" s="62"/>
      <c r="DR54" s="62"/>
      <c r="DS54" s="62"/>
      <c r="DT54" s="62"/>
      <c r="DU54" s="62"/>
      <c r="DV54" s="62"/>
      <c r="DW54" s="62"/>
      <c r="DX54" s="62"/>
      <c r="DY54" s="62"/>
      <c r="DZ54" s="62"/>
      <c r="EA54" s="62"/>
      <c r="EB54" s="62"/>
      <c r="EC54" s="62"/>
      <c r="ED54" s="62"/>
      <c r="EE54" s="62"/>
      <c r="EF54" s="62"/>
      <c r="EG54" s="62"/>
      <c r="EH54" s="62"/>
      <c r="EI54" s="62"/>
      <c r="EJ54" s="62"/>
      <c r="EK54" s="62"/>
      <c r="EL54" s="62"/>
      <c r="EM54" s="62"/>
      <c r="EN54" s="62"/>
      <c r="EO54" s="62"/>
      <c r="EP54" s="62"/>
      <c r="EQ54" s="62"/>
      <c r="ER54" s="62"/>
      <c r="ES54" s="62"/>
      <c r="ET54" s="62"/>
      <c r="EU54" s="62"/>
      <c r="EV54" s="62"/>
      <c r="EW54" s="62"/>
      <c r="EX54" s="62"/>
      <c r="EY54" s="62"/>
      <c r="EZ54" s="62"/>
      <c r="FA54" s="62"/>
      <c r="FB54" s="62"/>
      <c r="FC54" s="62"/>
      <c r="FD54" s="62"/>
      <c r="FE54" s="62"/>
      <c r="FF54" s="62"/>
      <c r="FG54" s="62"/>
      <c r="FH54" s="62"/>
      <c r="FI54" s="62"/>
      <c r="FJ54" s="62"/>
      <c r="FK54" s="62"/>
      <c r="FL54" s="62"/>
      <c r="FM54" s="62"/>
      <c r="FN54" s="62"/>
      <c r="FO54" s="62"/>
      <c r="FP54" s="62"/>
      <c r="FQ54" s="62"/>
      <c r="FR54" s="62"/>
      <c r="FS54" s="62"/>
      <c r="FT54" s="62"/>
      <c r="FU54" s="62"/>
      <c r="FV54" s="62"/>
      <c r="FW54" s="62"/>
      <c r="FX54" s="62"/>
      <c r="FY54" s="62"/>
      <c r="FZ54" s="62"/>
      <c r="GA54" s="62"/>
      <c r="GB54" s="62"/>
      <c r="GC54" s="62"/>
      <c r="GD54" s="62"/>
      <c r="GE54" s="62"/>
      <c r="GF54" s="62"/>
      <c r="GG54" s="62"/>
      <c r="GH54" s="62"/>
      <c r="GI54" s="62"/>
      <c r="GJ54" s="62"/>
      <c r="GK54" s="62"/>
      <c r="GL54" s="62"/>
      <c r="GM54" s="62"/>
      <c r="GN54" s="62"/>
      <c r="GO54" s="62"/>
      <c r="GP54" s="62"/>
      <c r="GQ54" s="62"/>
      <c r="GR54" s="62"/>
      <c r="GS54" s="62"/>
      <c r="GT54" s="62"/>
      <c r="GU54" s="62"/>
      <c r="GV54" s="62"/>
      <c r="GW54" s="62"/>
      <c r="GX54" s="62"/>
      <c r="GY54" s="62"/>
      <c r="GZ54" s="62"/>
      <c r="HA54" s="62"/>
      <c r="HB54" s="62"/>
      <c r="HC54" s="62"/>
      <c r="HD54" s="62"/>
      <c r="HE54" s="62"/>
      <c r="HF54" s="62"/>
      <c r="HG54" s="62"/>
      <c r="HH54" s="62"/>
      <c r="HI54" s="62"/>
      <c r="HJ54" s="62"/>
      <c r="HK54" s="62"/>
      <c r="HL54" s="62"/>
      <c r="HM54" s="62"/>
      <c r="HN54" s="62"/>
      <c r="HO54" s="62"/>
      <c r="HP54" s="62"/>
      <c r="HQ54" s="62"/>
      <c r="HR54" s="62"/>
      <c r="HS54" s="62"/>
      <c r="HT54" s="62"/>
      <c r="HU54" s="62"/>
      <c r="HV54" s="62"/>
      <c r="HW54" s="62"/>
      <c r="HX54" s="62"/>
      <c r="HY54" s="62"/>
      <c r="HZ54" s="62"/>
      <c r="IA54" s="62"/>
      <c r="IB54" s="62"/>
      <c r="IC54" s="62"/>
      <c r="ID54" s="62"/>
      <c r="IE54" s="62"/>
      <c r="IF54" s="62"/>
      <c r="IG54" s="62"/>
      <c r="IH54" s="62"/>
      <c r="II54" s="62"/>
      <c r="IJ54" s="62"/>
      <c r="IK54" s="62"/>
      <c r="IL54" s="62"/>
      <c r="IM54" s="62"/>
      <c r="IN54" s="62"/>
      <c r="IO54" s="62"/>
      <c r="IP54" s="62"/>
      <c r="IQ54" s="62"/>
      <c r="IR54" s="62"/>
      <c r="IS54" s="62"/>
    </row>
    <row r="55" spans="1:679" x14ac:dyDescent="0.3">
      <c r="A55" s="24"/>
      <c r="B55" s="24" t="s">
        <v>362</v>
      </c>
      <c r="C55" s="10" t="s">
        <v>51</v>
      </c>
      <c r="D55" s="10" t="s">
        <v>7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184</v>
      </c>
      <c r="P55" s="55">
        <v>230</v>
      </c>
      <c r="Q55" s="55">
        <v>0</v>
      </c>
      <c r="R55" s="55">
        <v>0</v>
      </c>
      <c r="S55" s="55">
        <v>393</v>
      </c>
      <c r="T55" s="10">
        <v>397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22">
        <v>0</v>
      </c>
      <c r="AB55" s="22">
        <v>0</v>
      </c>
      <c r="AC55" s="22">
        <v>0</v>
      </c>
      <c r="AD55" s="53">
        <v>0</v>
      </c>
      <c r="AE55" s="53">
        <v>0</v>
      </c>
      <c r="AF55" s="22">
        <v>0</v>
      </c>
      <c r="AG55" s="22">
        <v>0</v>
      </c>
      <c r="AH55" s="22">
        <v>0</v>
      </c>
      <c r="AI55" s="22">
        <v>0</v>
      </c>
      <c r="AJ55" s="11">
        <f t="shared" ref="AJ55:AJ58" si="39">SUM(E55:AI55)</f>
        <v>1204</v>
      </c>
      <c r="AK55" s="12">
        <f>AJ55+'Jul-24'!AK55</f>
        <v>7933.201</v>
      </c>
      <c r="AO55" s="344" t="s">
        <v>340</v>
      </c>
    </row>
    <row r="56" spans="1:679" x14ac:dyDescent="0.3">
      <c r="A56" s="24"/>
      <c r="B56" s="24" t="s">
        <v>363</v>
      </c>
      <c r="C56" s="10" t="s">
        <v>51</v>
      </c>
      <c r="D56" s="10"/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8111</v>
      </c>
      <c r="P56" s="55">
        <v>8106</v>
      </c>
      <c r="Q56" s="23">
        <v>0</v>
      </c>
      <c r="R56" s="23">
        <v>0</v>
      </c>
      <c r="S56" s="23">
        <v>8103</v>
      </c>
      <c r="T56" s="23">
        <v>8111</v>
      </c>
      <c r="U56" s="23">
        <v>0</v>
      </c>
      <c r="V56" s="23">
        <v>0</v>
      </c>
      <c r="W56" s="23">
        <v>0</v>
      </c>
      <c r="X56" s="23">
        <v>0</v>
      </c>
      <c r="Y56" s="23">
        <v>0</v>
      </c>
      <c r="Z56" s="23">
        <v>0</v>
      </c>
      <c r="AA56" s="23">
        <v>0</v>
      </c>
      <c r="AB56" s="22">
        <v>0</v>
      </c>
      <c r="AC56" s="22">
        <v>0</v>
      </c>
      <c r="AD56" s="53">
        <v>0</v>
      </c>
      <c r="AE56" s="53">
        <v>0</v>
      </c>
      <c r="AF56" s="22">
        <v>0</v>
      </c>
      <c r="AG56" s="22">
        <v>0</v>
      </c>
      <c r="AH56" s="22">
        <v>0</v>
      </c>
      <c r="AI56" s="22">
        <v>0</v>
      </c>
      <c r="AJ56" s="11">
        <f t="shared" si="39"/>
        <v>32431</v>
      </c>
      <c r="AK56" s="12">
        <f>AJ56+'Jul-24'!AK56</f>
        <v>426405.83999999997</v>
      </c>
      <c r="AO56" s="344" t="s">
        <v>328</v>
      </c>
    </row>
    <row r="57" spans="1:679" x14ac:dyDescent="0.3">
      <c r="A57" s="24"/>
      <c r="B57" s="24" t="s">
        <v>364</v>
      </c>
      <c r="C57" s="10" t="s">
        <v>51</v>
      </c>
      <c r="D57" s="10"/>
      <c r="E57" s="23">
        <f>E68*E72</f>
        <v>0</v>
      </c>
      <c r="F57" s="23">
        <f t="shared" ref="F57:AI57" si="40">F68*F72</f>
        <v>0</v>
      </c>
      <c r="G57" s="23">
        <f t="shared" si="40"/>
        <v>2877894</v>
      </c>
      <c r="H57" s="23">
        <f t="shared" si="40"/>
        <v>5031851</v>
      </c>
      <c r="I57" s="23">
        <f t="shared" si="40"/>
        <v>5158956</v>
      </c>
      <c r="J57" s="23">
        <f t="shared" si="40"/>
        <v>5172875</v>
      </c>
      <c r="K57" s="23">
        <f t="shared" si="40"/>
        <v>5227926</v>
      </c>
      <c r="L57" s="23">
        <f t="shared" si="40"/>
        <v>5121930</v>
      </c>
      <c r="M57" s="42">
        <f t="shared" si="40"/>
        <v>5105826</v>
      </c>
      <c r="N57" s="23">
        <f>N68*N72</f>
        <v>5079584</v>
      </c>
      <c r="O57" s="23">
        <f t="shared" si="40"/>
        <v>5061220</v>
      </c>
      <c r="P57" s="23">
        <f t="shared" si="40"/>
        <v>4893750</v>
      </c>
      <c r="Q57" s="23">
        <f t="shared" si="40"/>
        <v>5086600</v>
      </c>
      <c r="R57" s="23">
        <f t="shared" si="40"/>
        <v>4944060</v>
      </c>
      <c r="S57" s="23">
        <f t="shared" si="40"/>
        <v>5005770</v>
      </c>
      <c r="T57" s="23">
        <f t="shared" si="40"/>
        <v>5023570</v>
      </c>
      <c r="U57" s="23">
        <f t="shared" si="40"/>
        <v>0</v>
      </c>
      <c r="V57" s="23">
        <f t="shared" si="40"/>
        <v>0</v>
      </c>
      <c r="W57" s="23">
        <f t="shared" si="40"/>
        <v>0</v>
      </c>
      <c r="X57" s="23">
        <f>X68*X72</f>
        <v>0</v>
      </c>
      <c r="Y57" s="23">
        <f t="shared" si="40"/>
        <v>0</v>
      </c>
      <c r="Z57" s="23">
        <f t="shared" si="40"/>
        <v>0</v>
      </c>
      <c r="AA57" s="23">
        <f>AA68*AA72</f>
        <v>0</v>
      </c>
      <c r="AB57" s="23">
        <f t="shared" si="40"/>
        <v>0</v>
      </c>
      <c r="AC57" s="23">
        <f t="shared" si="40"/>
        <v>0</v>
      </c>
      <c r="AD57" s="23">
        <f t="shared" si="40"/>
        <v>0</v>
      </c>
      <c r="AE57" s="23">
        <f t="shared" si="40"/>
        <v>0</v>
      </c>
      <c r="AF57" s="23">
        <f>AF68*AF72</f>
        <v>0</v>
      </c>
      <c r="AG57" s="22">
        <f>AG68*AG72</f>
        <v>0</v>
      </c>
      <c r="AH57" s="23">
        <f t="shared" si="40"/>
        <v>0</v>
      </c>
      <c r="AI57" s="23">
        <f t="shared" si="40"/>
        <v>0</v>
      </c>
      <c r="AJ57" s="11">
        <f t="shared" si="39"/>
        <v>68791812</v>
      </c>
      <c r="AK57" s="12">
        <f>AJ57+'Jul-24'!AK57</f>
        <v>651082541.89999998</v>
      </c>
      <c r="AO57" s="344" t="s">
        <v>329</v>
      </c>
    </row>
    <row r="58" spans="1:679" s="51" customFormat="1" x14ac:dyDescent="0.3">
      <c r="A58" s="58"/>
      <c r="B58" s="58" t="s">
        <v>365</v>
      </c>
      <c r="C58" s="59" t="s">
        <v>51</v>
      </c>
      <c r="D58" s="59"/>
      <c r="E58" s="67">
        <f>E56*E55</f>
        <v>0</v>
      </c>
      <c r="F58" s="67">
        <f t="shared" ref="F58:AI58" si="41">F56*F55</f>
        <v>0</v>
      </c>
      <c r="G58" s="67">
        <f t="shared" si="41"/>
        <v>0</v>
      </c>
      <c r="H58" s="67">
        <f>H56*H55</f>
        <v>0</v>
      </c>
      <c r="I58" s="67">
        <f t="shared" si="41"/>
        <v>0</v>
      </c>
      <c r="J58" s="67">
        <f t="shared" si="41"/>
        <v>0</v>
      </c>
      <c r="K58" s="67">
        <f t="shared" si="41"/>
        <v>0</v>
      </c>
      <c r="L58" s="67">
        <f t="shared" si="41"/>
        <v>0</v>
      </c>
      <c r="M58" s="68">
        <f t="shared" si="41"/>
        <v>0</v>
      </c>
      <c r="N58" s="68">
        <f t="shared" si="41"/>
        <v>0</v>
      </c>
      <c r="O58" s="68">
        <f t="shared" si="41"/>
        <v>1492424</v>
      </c>
      <c r="P58" s="68">
        <f t="shared" si="41"/>
        <v>1864380</v>
      </c>
      <c r="Q58" s="68">
        <f t="shared" si="41"/>
        <v>0</v>
      </c>
      <c r="R58" s="68">
        <f t="shared" si="41"/>
        <v>0</v>
      </c>
      <c r="S58" s="68">
        <f t="shared" si="41"/>
        <v>3184479</v>
      </c>
      <c r="T58" s="68">
        <f t="shared" si="41"/>
        <v>3220067</v>
      </c>
      <c r="U58" s="68">
        <f t="shared" si="41"/>
        <v>0</v>
      </c>
      <c r="V58" s="67">
        <f t="shared" si="41"/>
        <v>0</v>
      </c>
      <c r="W58" s="67">
        <f t="shared" si="41"/>
        <v>0</v>
      </c>
      <c r="X58" s="67">
        <f t="shared" si="41"/>
        <v>0</v>
      </c>
      <c r="Y58" s="67">
        <f t="shared" si="41"/>
        <v>0</v>
      </c>
      <c r="Z58" s="67">
        <f t="shared" si="41"/>
        <v>0</v>
      </c>
      <c r="AA58" s="67">
        <f t="shared" si="41"/>
        <v>0</v>
      </c>
      <c r="AB58" s="67">
        <f t="shared" si="41"/>
        <v>0</v>
      </c>
      <c r="AC58" s="67">
        <f t="shared" si="41"/>
        <v>0</v>
      </c>
      <c r="AD58" s="67">
        <f t="shared" si="41"/>
        <v>0</v>
      </c>
      <c r="AE58" s="67">
        <f t="shared" si="41"/>
        <v>0</v>
      </c>
      <c r="AF58" s="67">
        <f t="shared" si="41"/>
        <v>0</v>
      </c>
      <c r="AG58" s="67">
        <f t="shared" si="41"/>
        <v>0</v>
      </c>
      <c r="AH58" s="67">
        <f t="shared" si="41"/>
        <v>0</v>
      </c>
      <c r="AI58" s="67">
        <f t="shared" si="41"/>
        <v>0</v>
      </c>
      <c r="AJ58" s="11">
        <f t="shared" si="39"/>
        <v>9761350</v>
      </c>
      <c r="AK58" s="12">
        <f>AJ58+'Jul-24'!AK58</f>
        <v>63978318.809</v>
      </c>
      <c r="AL58"/>
      <c r="AM58"/>
      <c r="AN58"/>
      <c r="AO58" s="344" t="s">
        <v>341</v>
      </c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</row>
    <row r="59" spans="1:679" s="19" customFormat="1" x14ac:dyDescent="0.3">
      <c r="A59" s="44"/>
      <c r="B59" s="44" t="s">
        <v>222</v>
      </c>
      <c r="C59" s="15" t="s">
        <v>51</v>
      </c>
      <c r="D59" s="15" t="s">
        <v>7</v>
      </c>
      <c r="E59" s="56" t="e">
        <f>E58/E57</f>
        <v>#DIV/0!</v>
      </c>
      <c r="F59" s="56" t="e">
        <f>F58/F57</f>
        <v>#DIV/0!</v>
      </c>
      <c r="G59" s="56">
        <f t="shared" ref="G59:AI59" si="42">G58/G57</f>
        <v>0</v>
      </c>
      <c r="H59" s="56">
        <f t="shared" si="42"/>
        <v>0</v>
      </c>
      <c r="I59" s="56">
        <f t="shared" si="42"/>
        <v>0</v>
      </c>
      <c r="J59" s="56">
        <f t="shared" si="42"/>
        <v>0</v>
      </c>
      <c r="K59" s="56">
        <f t="shared" si="42"/>
        <v>0</v>
      </c>
      <c r="L59" s="56">
        <f t="shared" si="42"/>
        <v>0</v>
      </c>
      <c r="M59" s="56">
        <f t="shared" si="42"/>
        <v>0</v>
      </c>
      <c r="N59" s="56">
        <f t="shared" si="42"/>
        <v>0</v>
      </c>
      <c r="O59" s="56">
        <f t="shared" si="42"/>
        <v>0.29487435835628562</v>
      </c>
      <c r="P59" s="56">
        <f t="shared" si="42"/>
        <v>0.38097164750957857</v>
      </c>
      <c r="Q59" s="56">
        <f t="shared" si="42"/>
        <v>0</v>
      </c>
      <c r="R59" s="56">
        <f t="shared" si="42"/>
        <v>0</v>
      </c>
      <c r="S59" s="56">
        <f t="shared" si="42"/>
        <v>0.63616166943347374</v>
      </c>
      <c r="T59" s="56">
        <f t="shared" si="42"/>
        <v>0.64099176482063558</v>
      </c>
      <c r="U59" s="56" t="e">
        <f t="shared" si="42"/>
        <v>#DIV/0!</v>
      </c>
      <c r="V59" s="56" t="e">
        <f t="shared" si="42"/>
        <v>#DIV/0!</v>
      </c>
      <c r="W59" s="56" t="e">
        <f t="shared" si="42"/>
        <v>#DIV/0!</v>
      </c>
      <c r="X59" s="56" t="e">
        <f t="shared" si="42"/>
        <v>#DIV/0!</v>
      </c>
      <c r="Y59" s="56" t="e">
        <f t="shared" si="42"/>
        <v>#DIV/0!</v>
      </c>
      <c r="Z59" s="56" t="e">
        <f t="shared" si="42"/>
        <v>#DIV/0!</v>
      </c>
      <c r="AA59" s="56" t="e">
        <f>AA58/AA57</f>
        <v>#DIV/0!</v>
      </c>
      <c r="AB59" s="56" t="e">
        <f t="shared" si="42"/>
        <v>#DIV/0!</v>
      </c>
      <c r="AC59" s="56" t="e">
        <f t="shared" si="42"/>
        <v>#DIV/0!</v>
      </c>
      <c r="AD59" s="56" t="e">
        <f t="shared" si="42"/>
        <v>#DIV/0!</v>
      </c>
      <c r="AE59" s="56" t="e">
        <f t="shared" si="42"/>
        <v>#DIV/0!</v>
      </c>
      <c r="AF59" s="56" t="e">
        <f t="shared" si="42"/>
        <v>#DIV/0!</v>
      </c>
      <c r="AG59" s="56" t="e">
        <f t="shared" si="42"/>
        <v>#DIV/0!</v>
      </c>
      <c r="AH59" s="56" t="e">
        <f t="shared" si="42"/>
        <v>#DIV/0!</v>
      </c>
      <c r="AI59" s="56" t="e">
        <f t="shared" si="42"/>
        <v>#DIV/0!</v>
      </c>
      <c r="AJ59" s="16">
        <f>AJ58/AJ57</f>
        <v>0.14189697459924447</v>
      </c>
      <c r="AK59" s="16">
        <f>AK58/AK57</f>
        <v>9.8264528215266531E-2</v>
      </c>
      <c r="AL59"/>
      <c r="AM59"/>
      <c r="AN59"/>
      <c r="AO59" s="344" t="s">
        <v>342</v>
      </c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</row>
    <row r="60" spans="1:679" x14ac:dyDescent="0.3">
      <c r="A60" s="24"/>
      <c r="B60" s="24" t="s">
        <v>366</v>
      </c>
      <c r="C60" s="10" t="s">
        <v>51</v>
      </c>
      <c r="D60" s="10"/>
      <c r="E60" s="55">
        <v>0</v>
      </c>
      <c r="F60" s="55">
        <v>0</v>
      </c>
      <c r="G60" s="55">
        <v>0</v>
      </c>
      <c r="H60" s="55">
        <v>0</v>
      </c>
      <c r="I60" s="55">
        <v>0</v>
      </c>
      <c r="J60" s="55">
        <v>0</v>
      </c>
      <c r="K60" s="55">
        <v>0</v>
      </c>
      <c r="L60" s="55">
        <v>0</v>
      </c>
      <c r="M60" s="55">
        <v>1074</v>
      </c>
      <c r="N60" s="55">
        <v>1070</v>
      </c>
      <c r="O60" s="55">
        <v>735</v>
      </c>
      <c r="P60" s="42">
        <v>0</v>
      </c>
      <c r="Q60" s="42">
        <v>0</v>
      </c>
      <c r="R60" s="42">
        <v>0</v>
      </c>
      <c r="S60" s="55">
        <v>0</v>
      </c>
      <c r="T60" s="55">
        <v>0</v>
      </c>
      <c r="U60" s="55">
        <v>0</v>
      </c>
      <c r="V60" s="10">
        <v>0</v>
      </c>
      <c r="W60" s="10">
        <v>0</v>
      </c>
      <c r="X60" s="10">
        <v>0</v>
      </c>
      <c r="Y60" s="55">
        <v>0</v>
      </c>
      <c r="Z60" s="55">
        <v>0</v>
      </c>
      <c r="AA60" s="55">
        <v>0</v>
      </c>
      <c r="AB60" s="55">
        <v>0</v>
      </c>
      <c r="AC60" s="55">
        <v>0</v>
      </c>
      <c r="AD60" s="55">
        <v>0</v>
      </c>
      <c r="AE60" s="55">
        <v>0</v>
      </c>
      <c r="AF60" s="55">
        <v>0</v>
      </c>
      <c r="AG60" s="55">
        <v>0</v>
      </c>
      <c r="AH60" s="55">
        <v>0</v>
      </c>
      <c r="AI60" s="55">
        <v>0</v>
      </c>
      <c r="AJ60" s="11">
        <f t="shared" ref="AJ60:AJ62" si="43">SUM(E60:AI60)</f>
        <v>2879</v>
      </c>
      <c r="AK60" s="12">
        <f>AJ60+'Jul-24'!AK60</f>
        <v>27299</v>
      </c>
      <c r="AO60" s="344" t="s">
        <v>343</v>
      </c>
    </row>
    <row r="61" spans="1:679" x14ac:dyDescent="0.3">
      <c r="A61" s="24"/>
      <c r="B61" s="24" t="s">
        <v>367</v>
      </c>
      <c r="C61" s="10" t="s">
        <v>51</v>
      </c>
      <c r="D61" s="10"/>
      <c r="E61" s="55">
        <v>0</v>
      </c>
      <c r="F61" s="55">
        <v>0</v>
      </c>
      <c r="G61" s="55">
        <v>0</v>
      </c>
      <c r="H61" s="55">
        <v>0</v>
      </c>
      <c r="I61" s="55">
        <v>0</v>
      </c>
      <c r="J61" s="55">
        <v>0</v>
      </c>
      <c r="K61" s="55">
        <v>0</v>
      </c>
      <c r="L61" s="55">
        <v>0</v>
      </c>
      <c r="M61" s="55">
        <v>4752</v>
      </c>
      <c r="N61" s="55">
        <v>4749</v>
      </c>
      <c r="O61" s="55">
        <v>4753</v>
      </c>
      <c r="P61" s="42">
        <v>0</v>
      </c>
      <c r="Q61" s="42">
        <v>0</v>
      </c>
      <c r="R61" s="42">
        <v>0</v>
      </c>
      <c r="S61" s="55">
        <v>0</v>
      </c>
      <c r="T61" s="55">
        <v>0</v>
      </c>
      <c r="U61" s="55">
        <v>0</v>
      </c>
      <c r="V61" s="23">
        <v>0</v>
      </c>
      <c r="W61" s="23">
        <v>0</v>
      </c>
      <c r="X61" s="23">
        <v>0</v>
      </c>
      <c r="Y61" s="55">
        <v>0</v>
      </c>
      <c r="Z61" s="55">
        <v>0</v>
      </c>
      <c r="AA61" s="55">
        <v>0</v>
      </c>
      <c r="AB61" s="55">
        <v>0</v>
      </c>
      <c r="AC61" s="55">
        <v>0</v>
      </c>
      <c r="AD61" s="55">
        <v>0</v>
      </c>
      <c r="AE61" s="55">
        <v>0</v>
      </c>
      <c r="AF61" s="55">
        <v>0</v>
      </c>
      <c r="AG61" s="55">
        <v>0</v>
      </c>
      <c r="AH61" s="55">
        <v>0</v>
      </c>
      <c r="AI61" s="55">
        <v>0</v>
      </c>
      <c r="AJ61" s="11">
        <f t="shared" si="43"/>
        <v>14254</v>
      </c>
      <c r="AK61" s="12">
        <f>AJ61+'Jul-24'!AK61</f>
        <v>357199.05200000003</v>
      </c>
      <c r="AO61" s="344" t="s">
        <v>344</v>
      </c>
    </row>
    <row r="62" spans="1:679" x14ac:dyDescent="0.3">
      <c r="A62" s="24"/>
      <c r="B62" s="24" t="s">
        <v>368</v>
      </c>
      <c r="C62" s="10" t="s">
        <v>51</v>
      </c>
      <c r="D62" s="10"/>
      <c r="E62" s="55">
        <f t="shared" ref="E62:AI62" si="44">E61*E60</f>
        <v>0</v>
      </c>
      <c r="F62" s="55">
        <f t="shared" si="44"/>
        <v>0</v>
      </c>
      <c r="G62" s="55">
        <f t="shared" si="44"/>
        <v>0</v>
      </c>
      <c r="H62" s="55">
        <f t="shared" si="44"/>
        <v>0</v>
      </c>
      <c r="I62" s="55">
        <f t="shared" si="44"/>
        <v>0</v>
      </c>
      <c r="J62" s="55">
        <f t="shared" si="44"/>
        <v>0</v>
      </c>
      <c r="K62" s="55">
        <f>K61*K60</f>
        <v>0</v>
      </c>
      <c r="L62" s="55">
        <f t="shared" si="44"/>
        <v>0</v>
      </c>
      <c r="M62" s="55">
        <f t="shared" si="44"/>
        <v>5103648</v>
      </c>
      <c r="N62" s="55">
        <f t="shared" si="44"/>
        <v>5081430</v>
      </c>
      <c r="O62" s="55">
        <f t="shared" si="44"/>
        <v>3493455</v>
      </c>
      <c r="P62" s="55">
        <f t="shared" si="44"/>
        <v>0</v>
      </c>
      <c r="Q62" s="55">
        <f t="shared" si="44"/>
        <v>0</v>
      </c>
      <c r="R62" s="55">
        <f t="shared" si="44"/>
        <v>0</v>
      </c>
      <c r="S62" s="55">
        <f t="shared" si="44"/>
        <v>0</v>
      </c>
      <c r="T62" s="55">
        <f t="shared" si="44"/>
        <v>0</v>
      </c>
      <c r="U62" s="55">
        <f t="shared" si="44"/>
        <v>0</v>
      </c>
      <c r="V62" s="55">
        <f t="shared" si="44"/>
        <v>0</v>
      </c>
      <c r="W62" s="55">
        <f t="shared" si="44"/>
        <v>0</v>
      </c>
      <c r="X62" s="55">
        <f t="shared" si="44"/>
        <v>0</v>
      </c>
      <c r="Y62" s="55">
        <f t="shared" si="44"/>
        <v>0</v>
      </c>
      <c r="Z62" s="55">
        <f t="shared" si="44"/>
        <v>0</v>
      </c>
      <c r="AA62" s="55">
        <f t="shared" si="44"/>
        <v>0</v>
      </c>
      <c r="AB62" s="55">
        <f t="shared" si="44"/>
        <v>0</v>
      </c>
      <c r="AC62" s="55">
        <f t="shared" si="44"/>
        <v>0</v>
      </c>
      <c r="AD62" s="55">
        <f t="shared" si="44"/>
        <v>0</v>
      </c>
      <c r="AE62" s="55">
        <f t="shared" si="44"/>
        <v>0</v>
      </c>
      <c r="AF62" s="55">
        <f t="shared" si="44"/>
        <v>0</v>
      </c>
      <c r="AG62" s="55">
        <f t="shared" si="44"/>
        <v>0</v>
      </c>
      <c r="AH62" s="55">
        <f t="shared" si="44"/>
        <v>0</v>
      </c>
      <c r="AI62" s="55">
        <f t="shared" si="44"/>
        <v>0</v>
      </c>
      <c r="AJ62" s="11">
        <f t="shared" si="43"/>
        <v>13678533</v>
      </c>
      <c r="AK62" s="12">
        <f>AJ62+'Jul-24'!AK62</f>
        <v>130023739.54800001</v>
      </c>
      <c r="AO62" s="344" t="s">
        <v>345</v>
      </c>
    </row>
    <row r="63" spans="1:679" x14ac:dyDescent="0.3">
      <c r="A63" s="44">
        <v>12</v>
      </c>
      <c r="B63" s="44" t="s">
        <v>223</v>
      </c>
      <c r="C63" s="15" t="s">
        <v>51</v>
      </c>
      <c r="D63" s="15" t="s">
        <v>55</v>
      </c>
      <c r="E63" s="21" t="e">
        <f>E62/E57</f>
        <v>#DIV/0!</v>
      </c>
      <c r="F63" s="21" t="e">
        <f t="shared" ref="F63:AI63" si="45">F62/F57</f>
        <v>#DIV/0!</v>
      </c>
      <c r="G63" s="21">
        <f t="shared" si="45"/>
        <v>0</v>
      </c>
      <c r="H63" s="21">
        <f t="shared" si="45"/>
        <v>0</v>
      </c>
      <c r="I63" s="21">
        <f t="shared" si="45"/>
        <v>0</v>
      </c>
      <c r="J63" s="21">
        <f t="shared" si="45"/>
        <v>0</v>
      </c>
      <c r="K63" s="21">
        <f t="shared" si="45"/>
        <v>0</v>
      </c>
      <c r="L63" s="21">
        <f t="shared" si="45"/>
        <v>0</v>
      </c>
      <c r="M63" s="21">
        <f t="shared" si="45"/>
        <v>0.9995734284717106</v>
      </c>
      <c r="N63" s="21">
        <f t="shared" si="45"/>
        <v>1.0003634155867882</v>
      </c>
      <c r="O63" s="21">
        <f t="shared" si="45"/>
        <v>0.69023970505135124</v>
      </c>
      <c r="P63" s="21">
        <f t="shared" si="45"/>
        <v>0</v>
      </c>
      <c r="Q63" s="21">
        <f t="shared" si="45"/>
        <v>0</v>
      </c>
      <c r="R63" s="21">
        <f t="shared" si="45"/>
        <v>0</v>
      </c>
      <c r="S63" s="21">
        <f t="shared" si="45"/>
        <v>0</v>
      </c>
      <c r="T63" s="21">
        <f t="shared" si="45"/>
        <v>0</v>
      </c>
      <c r="U63" s="21" t="e">
        <f t="shared" si="45"/>
        <v>#DIV/0!</v>
      </c>
      <c r="V63" s="21" t="e">
        <f t="shared" si="45"/>
        <v>#DIV/0!</v>
      </c>
      <c r="W63" s="21" t="e">
        <f t="shared" si="45"/>
        <v>#DIV/0!</v>
      </c>
      <c r="X63" s="21" t="e">
        <f t="shared" si="45"/>
        <v>#DIV/0!</v>
      </c>
      <c r="Y63" s="21" t="e">
        <f t="shared" si="45"/>
        <v>#DIV/0!</v>
      </c>
      <c r="Z63" s="21" t="e">
        <f t="shared" si="45"/>
        <v>#DIV/0!</v>
      </c>
      <c r="AA63" s="21" t="e">
        <f t="shared" si="45"/>
        <v>#DIV/0!</v>
      </c>
      <c r="AB63" s="21" t="e">
        <f t="shared" si="45"/>
        <v>#DIV/0!</v>
      </c>
      <c r="AC63" s="21" t="e">
        <f t="shared" si="45"/>
        <v>#DIV/0!</v>
      </c>
      <c r="AD63" s="21" t="e">
        <f t="shared" si="45"/>
        <v>#DIV/0!</v>
      </c>
      <c r="AE63" s="21" t="e">
        <f t="shared" si="45"/>
        <v>#DIV/0!</v>
      </c>
      <c r="AF63" s="21" t="e">
        <f t="shared" si="45"/>
        <v>#DIV/0!</v>
      </c>
      <c r="AG63" s="21" t="e">
        <f t="shared" si="45"/>
        <v>#DIV/0!</v>
      </c>
      <c r="AH63" s="21" t="e">
        <f t="shared" si="45"/>
        <v>#DIV/0!</v>
      </c>
      <c r="AI63" s="21" t="e">
        <f t="shared" si="45"/>
        <v>#DIV/0!</v>
      </c>
      <c r="AJ63" s="16">
        <f>AJ62/AJ57</f>
        <v>0.1988395508465455</v>
      </c>
      <c r="AK63" s="16">
        <f>AK62/AK57</f>
        <v>0.19970392566288531</v>
      </c>
      <c r="AO63" s="344" t="s">
        <v>335</v>
      </c>
    </row>
    <row r="64" spans="1:679" x14ac:dyDescent="0.3">
      <c r="B64" s="24" t="s">
        <v>369</v>
      </c>
      <c r="C64" s="10" t="s">
        <v>51</v>
      </c>
      <c r="D64" s="10" t="s">
        <v>55</v>
      </c>
      <c r="E64" s="22">
        <v>0</v>
      </c>
      <c r="F64" s="22">
        <v>0</v>
      </c>
      <c r="G64" s="23">
        <v>655</v>
      </c>
      <c r="H64" s="22">
        <v>1076</v>
      </c>
      <c r="I64" s="22">
        <v>1200</v>
      </c>
      <c r="J64" s="22">
        <v>1266</v>
      </c>
      <c r="K64" s="22">
        <v>1238</v>
      </c>
      <c r="L64" s="22">
        <v>1285</v>
      </c>
      <c r="M64" s="10">
        <v>0</v>
      </c>
      <c r="N64" s="42">
        <v>0</v>
      </c>
      <c r="O64" s="42">
        <v>0</v>
      </c>
      <c r="P64" s="42">
        <v>689</v>
      </c>
      <c r="Q64" s="69">
        <v>1296</v>
      </c>
      <c r="R64" s="69">
        <v>1222</v>
      </c>
      <c r="S64" s="69">
        <v>409</v>
      </c>
      <c r="T64" s="69">
        <v>413</v>
      </c>
      <c r="U64" s="69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22">
        <v>0</v>
      </c>
      <c r="AC64" s="22">
        <v>0</v>
      </c>
      <c r="AD64" s="53">
        <v>0</v>
      </c>
      <c r="AE64" s="53">
        <v>0</v>
      </c>
      <c r="AF64" s="53">
        <v>0</v>
      </c>
      <c r="AG64" s="53">
        <v>0</v>
      </c>
      <c r="AH64" s="53">
        <v>0</v>
      </c>
      <c r="AI64" s="53">
        <v>0</v>
      </c>
      <c r="AJ64" s="11">
        <f t="shared" ref="AJ64:AJ66" si="46">SUM(E64:AI64)</f>
        <v>10749</v>
      </c>
      <c r="AK64" s="12">
        <f>AJ64+'Jul-24'!AK64</f>
        <v>97012.798999999999</v>
      </c>
      <c r="AO64" s="344" t="s">
        <v>336</v>
      </c>
    </row>
    <row r="65" spans="1:253" x14ac:dyDescent="0.3">
      <c r="B65" s="24" t="s">
        <v>370</v>
      </c>
      <c r="C65" s="10" t="s">
        <v>51</v>
      </c>
      <c r="D65" s="10" t="s">
        <v>55</v>
      </c>
      <c r="E65" s="23">
        <v>0</v>
      </c>
      <c r="F65" s="23">
        <v>0</v>
      </c>
      <c r="G65" s="23">
        <v>4392</v>
      </c>
      <c r="H65" s="23">
        <v>4678</v>
      </c>
      <c r="I65" s="23">
        <v>4299</v>
      </c>
      <c r="J65" s="23">
        <v>4083</v>
      </c>
      <c r="K65" s="23">
        <v>4223</v>
      </c>
      <c r="L65" s="23">
        <v>3987</v>
      </c>
      <c r="M65" s="23">
        <v>0</v>
      </c>
      <c r="N65" s="42">
        <v>0</v>
      </c>
      <c r="O65" s="42">
        <v>0</v>
      </c>
      <c r="P65" s="42">
        <v>4395</v>
      </c>
      <c r="Q65" s="23">
        <v>3925</v>
      </c>
      <c r="R65" s="23">
        <v>4045</v>
      </c>
      <c r="S65" s="23">
        <v>4251</v>
      </c>
      <c r="T65" s="23">
        <v>4363</v>
      </c>
      <c r="U65" s="23">
        <v>0</v>
      </c>
      <c r="V65" s="23">
        <v>0</v>
      </c>
      <c r="W65" s="23">
        <v>0</v>
      </c>
      <c r="X65" s="23">
        <v>0</v>
      </c>
      <c r="Y65" s="23">
        <v>0</v>
      </c>
      <c r="Z65" s="23">
        <v>0</v>
      </c>
      <c r="AA65" s="23">
        <v>0</v>
      </c>
      <c r="AB65" s="53">
        <v>0</v>
      </c>
      <c r="AC65" s="53">
        <v>0</v>
      </c>
      <c r="AD65" s="53">
        <v>0</v>
      </c>
      <c r="AE65" s="53">
        <v>0</v>
      </c>
      <c r="AF65" s="53">
        <v>0</v>
      </c>
      <c r="AG65" s="53">
        <v>0</v>
      </c>
      <c r="AH65" s="53">
        <v>0</v>
      </c>
      <c r="AI65" s="53">
        <v>0</v>
      </c>
      <c r="AJ65" s="11">
        <f t="shared" si="46"/>
        <v>46641</v>
      </c>
      <c r="AK65" s="12">
        <f>AJ65+'Jul-24'!AK65</f>
        <v>606824.05200000003</v>
      </c>
      <c r="AO65" s="344" t="s">
        <v>337</v>
      </c>
    </row>
    <row r="66" spans="1:253" x14ac:dyDescent="0.3">
      <c r="B66" s="24" t="s">
        <v>371</v>
      </c>
      <c r="C66" s="10" t="s">
        <v>51</v>
      </c>
      <c r="D66" s="10" t="s">
        <v>55</v>
      </c>
      <c r="E66" s="70">
        <f>E65*E64</f>
        <v>0</v>
      </c>
      <c r="F66" s="70">
        <f>F65*F64</f>
        <v>0</v>
      </c>
      <c r="G66" s="70">
        <f t="shared" ref="G66:AI66" si="47">G65*G64</f>
        <v>2876760</v>
      </c>
      <c r="H66" s="70">
        <f t="shared" si="47"/>
        <v>5033528</v>
      </c>
      <c r="I66" s="70">
        <f t="shared" si="47"/>
        <v>5158800</v>
      </c>
      <c r="J66" s="70">
        <f t="shared" si="47"/>
        <v>5169078</v>
      </c>
      <c r="K66" s="70">
        <f t="shared" si="47"/>
        <v>5228074</v>
      </c>
      <c r="L66" s="70">
        <f t="shared" si="47"/>
        <v>5123295</v>
      </c>
      <c r="M66" s="71">
        <f t="shared" si="47"/>
        <v>0</v>
      </c>
      <c r="N66" s="70">
        <f t="shared" si="47"/>
        <v>0</v>
      </c>
      <c r="O66" s="70">
        <f t="shared" si="47"/>
        <v>0</v>
      </c>
      <c r="P66" s="70">
        <f t="shared" si="47"/>
        <v>3028155</v>
      </c>
      <c r="Q66" s="70">
        <f t="shared" si="47"/>
        <v>5086800</v>
      </c>
      <c r="R66" s="70">
        <f>R65*R64</f>
        <v>4942990</v>
      </c>
      <c r="S66" s="70">
        <f>S65*S64</f>
        <v>1738659</v>
      </c>
      <c r="T66" s="70">
        <f>T65*T64</f>
        <v>1801919</v>
      </c>
      <c r="U66" s="70">
        <f>U65*U64</f>
        <v>0</v>
      </c>
      <c r="V66" s="70">
        <f t="shared" si="47"/>
        <v>0</v>
      </c>
      <c r="W66" s="70">
        <f t="shared" si="47"/>
        <v>0</v>
      </c>
      <c r="X66" s="70">
        <f t="shared" si="47"/>
        <v>0</v>
      </c>
      <c r="Y66" s="70">
        <f t="shared" si="47"/>
        <v>0</v>
      </c>
      <c r="Z66" s="70">
        <f t="shared" si="47"/>
        <v>0</v>
      </c>
      <c r="AA66" s="70">
        <f t="shared" si="47"/>
        <v>0</v>
      </c>
      <c r="AB66" s="70">
        <f t="shared" si="47"/>
        <v>0</v>
      </c>
      <c r="AC66" s="70">
        <f t="shared" si="47"/>
        <v>0</v>
      </c>
      <c r="AD66" s="70">
        <f t="shared" si="47"/>
        <v>0</v>
      </c>
      <c r="AE66" s="70">
        <f t="shared" si="47"/>
        <v>0</v>
      </c>
      <c r="AF66" s="70">
        <f t="shared" si="47"/>
        <v>0</v>
      </c>
      <c r="AG66" s="70">
        <f t="shared" si="47"/>
        <v>0</v>
      </c>
      <c r="AH66" s="70">
        <f t="shared" si="47"/>
        <v>0</v>
      </c>
      <c r="AI66" s="70">
        <f t="shared" si="47"/>
        <v>0</v>
      </c>
      <c r="AJ66" s="11">
        <f t="shared" si="46"/>
        <v>45188058</v>
      </c>
      <c r="AK66" s="12">
        <f>AJ66+'Jul-24'!AK66</f>
        <v>454307462.89899999</v>
      </c>
      <c r="AO66" s="344" t="s">
        <v>346</v>
      </c>
    </row>
    <row r="67" spans="1:253" x14ac:dyDescent="0.3">
      <c r="A67" s="19">
        <v>14</v>
      </c>
      <c r="B67" s="44" t="s">
        <v>63</v>
      </c>
      <c r="C67" s="15" t="s">
        <v>51</v>
      </c>
      <c r="D67" s="15" t="s">
        <v>55</v>
      </c>
      <c r="E67" s="21" t="e">
        <f t="shared" ref="E67:AI67" si="48">E66/(E57)</f>
        <v>#DIV/0!</v>
      </c>
      <c r="F67" s="21" t="e">
        <f t="shared" si="48"/>
        <v>#DIV/0!</v>
      </c>
      <c r="G67" s="21">
        <f t="shared" si="48"/>
        <v>0.99960596185960982</v>
      </c>
      <c r="H67" s="21">
        <f t="shared" si="48"/>
        <v>1.0003332769591151</v>
      </c>
      <c r="I67" s="21">
        <f t="shared" si="48"/>
        <v>0.99996976132380277</v>
      </c>
      <c r="J67" s="21">
        <f t="shared" si="48"/>
        <v>0.9992659787835585</v>
      </c>
      <c r="K67" s="21">
        <f t="shared" si="48"/>
        <v>1.0000283095055287</v>
      </c>
      <c r="L67" s="21">
        <f t="shared" si="48"/>
        <v>1.0002665011040761</v>
      </c>
      <c r="M67" s="21">
        <f t="shared" si="48"/>
        <v>0</v>
      </c>
      <c r="N67" s="21">
        <f t="shared" si="48"/>
        <v>0</v>
      </c>
      <c r="O67" s="21">
        <f>O66/(O57)</f>
        <v>0</v>
      </c>
      <c r="P67" s="21">
        <f t="shared" si="48"/>
        <v>0.61878007662835244</v>
      </c>
      <c r="Q67" s="21">
        <f t="shared" si="48"/>
        <v>1.0000393189950065</v>
      </c>
      <c r="R67" s="21">
        <f t="shared" si="48"/>
        <v>0.99978357867825229</v>
      </c>
      <c r="S67" s="21">
        <f t="shared" si="48"/>
        <v>0.34733098004902341</v>
      </c>
      <c r="T67" s="21">
        <f t="shared" si="48"/>
        <v>0.35869292156772969</v>
      </c>
      <c r="U67" s="21" t="e">
        <f t="shared" si="48"/>
        <v>#DIV/0!</v>
      </c>
      <c r="V67" s="21" t="e">
        <f t="shared" si="48"/>
        <v>#DIV/0!</v>
      </c>
      <c r="W67" s="21" t="e">
        <f t="shared" si="48"/>
        <v>#DIV/0!</v>
      </c>
      <c r="X67" s="21" t="e">
        <f t="shared" si="48"/>
        <v>#DIV/0!</v>
      </c>
      <c r="Y67" s="21" t="e">
        <f t="shared" si="48"/>
        <v>#DIV/0!</v>
      </c>
      <c r="Z67" s="21" t="e">
        <f t="shared" si="48"/>
        <v>#DIV/0!</v>
      </c>
      <c r="AA67" s="21" t="e">
        <f>AA66/(AA57)</f>
        <v>#DIV/0!</v>
      </c>
      <c r="AB67" s="21" t="e">
        <f t="shared" si="48"/>
        <v>#DIV/0!</v>
      </c>
      <c r="AC67" s="21" t="e">
        <f t="shared" si="48"/>
        <v>#DIV/0!</v>
      </c>
      <c r="AD67" s="21" t="e">
        <f t="shared" si="48"/>
        <v>#DIV/0!</v>
      </c>
      <c r="AE67" s="21" t="e">
        <f t="shared" si="48"/>
        <v>#DIV/0!</v>
      </c>
      <c r="AF67" s="21" t="e">
        <f t="shared" si="48"/>
        <v>#DIV/0!</v>
      </c>
      <c r="AG67" s="21" t="e">
        <f t="shared" si="48"/>
        <v>#DIV/0!</v>
      </c>
      <c r="AH67" s="21" t="e">
        <f t="shared" si="48"/>
        <v>#DIV/0!</v>
      </c>
      <c r="AI67" s="21" t="e">
        <f t="shared" si="48"/>
        <v>#DIV/0!</v>
      </c>
      <c r="AJ67" s="16">
        <f>AJ66/(AJ57)</f>
        <v>0.65688134512287599</v>
      </c>
      <c r="AK67" s="16">
        <f>AK66/(AK57)</f>
        <v>0.69777245381704189</v>
      </c>
      <c r="AN67" s="62"/>
      <c r="AO67" s="344" t="s">
        <v>347</v>
      </c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62"/>
      <c r="BN67" s="62"/>
      <c r="BO67" s="62"/>
      <c r="BP67" s="62"/>
      <c r="BQ67" s="62"/>
      <c r="BR67" s="62"/>
      <c r="BS67" s="62"/>
      <c r="BT67" s="62"/>
      <c r="BU67" s="62"/>
      <c r="BV67" s="62"/>
      <c r="BW67" s="62"/>
      <c r="BX67" s="62"/>
      <c r="BY67" s="62"/>
      <c r="BZ67" s="62"/>
      <c r="CA67" s="62"/>
      <c r="CB67" s="62"/>
      <c r="CC67" s="62"/>
      <c r="CD67" s="62"/>
      <c r="CE67" s="62"/>
      <c r="CF67" s="62"/>
      <c r="CG67" s="62"/>
      <c r="CH67" s="62"/>
      <c r="CI67" s="62"/>
      <c r="CJ67" s="62"/>
      <c r="CK67" s="62"/>
      <c r="CL67" s="62"/>
      <c r="CM67" s="62"/>
      <c r="CN67" s="62"/>
      <c r="CO67" s="62"/>
      <c r="CP67" s="62"/>
      <c r="CQ67" s="62"/>
      <c r="CR67" s="62"/>
      <c r="CS67" s="62"/>
      <c r="CT67" s="62"/>
      <c r="CU67" s="62"/>
      <c r="CV67" s="62"/>
      <c r="CW67" s="62"/>
      <c r="CX67" s="62"/>
      <c r="CY67" s="62"/>
      <c r="CZ67" s="62"/>
      <c r="DA67" s="62"/>
      <c r="DB67" s="62"/>
      <c r="DC67" s="62"/>
      <c r="DD67" s="62"/>
      <c r="DE67" s="62"/>
      <c r="DF67" s="62"/>
      <c r="DG67" s="62"/>
      <c r="DH67" s="62"/>
      <c r="DI67" s="62"/>
      <c r="DJ67" s="62"/>
      <c r="DK67" s="62"/>
      <c r="DL67" s="62"/>
      <c r="DM67" s="62"/>
      <c r="DN67" s="62"/>
      <c r="DO67" s="62"/>
      <c r="DP67" s="62"/>
      <c r="DQ67" s="62"/>
      <c r="DR67" s="62"/>
      <c r="DS67" s="62"/>
      <c r="DT67" s="62"/>
      <c r="DU67" s="62"/>
      <c r="DV67" s="62"/>
      <c r="DW67" s="62"/>
      <c r="DX67" s="62"/>
      <c r="DY67" s="62"/>
      <c r="DZ67" s="62"/>
      <c r="EA67" s="62"/>
      <c r="EB67" s="62"/>
      <c r="EC67" s="62"/>
      <c r="ED67" s="62"/>
      <c r="EE67" s="62"/>
      <c r="EF67" s="62"/>
      <c r="EG67" s="62"/>
      <c r="EH67" s="62"/>
      <c r="EI67" s="62"/>
      <c r="EJ67" s="62"/>
      <c r="EK67" s="62"/>
      <c r="EL67" s="62"/>
      <c r="EM67" s="62"/>
      <c r="EN67" s="62"/>
      <c r="EO67" s="62"/>
      <c r="EP67" s="62"/>
      <c r="EQ67" s="62"/>
      <c r="ER67" s="62"/>
      <c r="ES67" s="62"/>
      <c r="ET67" s="62"/>
      <c r="EU67" s="62"/>
      <c r="EV67" s="62"/>
      <c r="EW67" s="62"/>
      <c r="EX67" s="62"/>
      <c r="EY67" s="62"/>
      <c r="EZ67" s="62"/>
      <c r="FA67" s="62"/>
      <c r="FB67" s="62"/>
      <c r="FC67" s="62"/>
      <c r="FD67" s="62"/>
      <c r="FE67" s="62"/>
      <c r="FF67" s="62"/>
      <c r="FG67" s="62"/>
      <c r="FH67" s="62"/>
      <c r="FI67" s="62"/>
      <c r="FJ67" s="62"/>
      <c r="FK67" s="62"/>
      <c r="FL67" s="62"/>
      <c r="FM67" s="62"/>
      <c r="FN67" s="62"/>
      <c r="FO67" s="62"/>
      <c r="FP67" s="62"/>
      <c r="FQ67" s="62"/>
      <c r="FR67" s="62"/>
      <c r="FS67" s="62"/>
      <c r="FT67" s="62"/>
      <c r="FU67" s="62"/>
      <c r="FV67" s="62"/>
      <c r="FW67" s="62"/>
      <c r="FX67" s="62"/>
      <c r="FY67" s="62"/>
      <c r="FZ67" s="62"/>
      <c r="GA67" s="62"/>
      <c r="GB67" s="62"/>
      <c r="GC67" s="62"/>
      <c r="GD67" s="62"/>
      <c r="GE67" s="62"/>
      <c r="GF67" s="62"/>
      <c r="GG67" s="62"/>
      <c r="GH67" s="62"/>
      <c r="GI67" s="62"/>
      <c r="GJ67" s="62"/>
      <c r="GK67" s="62"/>
      <c r="GL67" s="62"/>
      <c r="GM67" s="62"/>
      <c r="GN67" s="62"/>
      <c r="GO67" s="62"/>
      <c r="GP67" s="62"/>
      <c r="GQ67" s="62"/>
      <c r="GR67" s="62"/>
      <c r="GS67" s="62"/>
      <c r="GT67" s="62"/>
      <c r="GU67" s="62"/>
      <c r="GV67" s="62"/>
      <c r="GW67" s="62"/>
      <c r="GX67" s="62"/>
      <c r="GY67" s="62"/>
      <c r="GZ67" s="62"/>
      <c r="HA67" s="62"/>
      <c r="HB67" s="62"/>
      <c r="HC67" s="62"/>
      <c r="HD67" s="62"/>
      <c r="HE67" s="62"/>
      <c r="HF67" s="62"/>
      <c r="HG67" s="62"/>
      <c r="HH67" s="62"/>
      <c r="HI67" s="62"/>
      <c r="HJ67" s="62"/>
      <c r="HK67" s="62"/>
      <c r="HL67" s="62"/>
      <c r="HM67" s="62"/>
      <c r="HN67" s="62"/>
      <c r="HO67" s="62"/>
      <c r="HP67" s="62"/>
      <c r="HQ67" s="62"/>
      <c r="HR67" s="62"/>
      <c r="HS67" s="62"/>
      <c r="HT67" s="62"/>
      <c r="HU67" s="62"/>
      <c r="HV67" s="62"/>
      <c r="HW67" s="62"/>
      <c r="HX67" s="62"/>
      <c r="HY67" s="62"/>
      <c r="HZ67" s="62"/>
      <c r="IA67" s="62"/>
      <c r="IB67" s="62"/>
      <c r="IC67" s="62"/>
      <c r="ID67" s="62"/>
      <c r="IE67" s="62"/>
      <c r="IF67" s="62"/>
      <c r="IG67" s="62"/>
      <c r="IH67" s="62"/>
      <c r="II67" s="62"/>
      <c r="IJ67" s="62"/>
      <c r="IK67" s="62"/>
      <c r="IL67" s="62"/>
      <c r="IM67" s="62"/>
      <c r="IN67" s="62"/>
      <c r="IO67" s="62"/>
      <c r="IP67" s="62"/>
      <c r="IQ67" s="62"/>
      <c r="IR67" s="62"/>
      <c r="IS67" s="62"/>
    </row>
    <row r="68" spans="1:253" x14ac:dyDescent="0.3">
      <c r="B68" s="58" t="s">
        <v>71</v>
      </c>
      <c r="C68" s="59"/>
      <c r="D68" s="59"/>
      <c r="E68" s="24">
        <v>0</v>
      </c>
      <c r="F68" s="24">
        <v>0</v>
      </c>
      <c r="G68" s="24">
        <v>909</v>
      </c>
      <c r="H68" s="24">
        <v>739</v>
      </c>
      <c r="I68" s="24">
        <v>726</v>
      </c>
      <c r="J68" s="24">
        <v>725</v>
      </c>
      <c r="K68" s="24">
        <v>726</v>
      </c>
      <c r="L68" s="24">
        <v>726</v>
      </c>
      <c r="M68" s="24">
        <v>723</v>
      </c>
      <c r="N68" s="24">
        <v>724</v>
      </c>
      <c r="O68" s="24">
        <v>722</v>
      </c>
      <c r="P68" s="24">
        <v>725</v>
      </c>
      <c r="Q68" s="24">
        <v>725</v>
      </c>
      <c r="R68" s="24">
        <v>726</v>
      </c>
      <c r="S68" s="24">
        <v>726</v>
      </c>
      <c r="T68" s="24">
        <v>727</v>
      </c>
      <c r="U68" s="74">
        <v>0</v>
      </c>
      <c r="V68" s="73">
        <v>0</v>
      </c>
      <c r="W68" s="73">
        <v>0</v>
      </c>
      <c r="X68" s="73">
        <v>0</v>
      </c>
      <c r="Y68" s="73">
        <v>0</v>
      </c>
      <c r="Z68" s="73">
        <v>0</v>
      </c>
      <c r="AA68" s="73">
        <v>0</v>
      </c>
      <c r="AB68" s="73">
        <v>0</v>
      </c>
      <c r="AC68" s="73">
        <v>0</v>
      </c>
      <c r="AD68" s="73">
        <v>0</v>
      </c>
      <c r="AE68" s="73">
        <v>0</v>
      </c>
      <c r="AF68" s="73">
        <v>0</v>
      </c>
      <c r="AG68" s="327">
        <v>0</v>
      </c>
      <c r="AH68" s="73">
        <v>0</v>
      </c>
      <c r="AI68" s="73">
        <v>0</v>
      </c>
      <c r="AJ68" s="63">
        <f>AJ57/AJ15</f>
        <v>732.28741444097886</v>
      </c>
      <c r="AK68" s="63">
        <f>AK57/AK15</f>
        <v>725.88903656299999</v>
      </c>
      <c r="AL68" s="75">
        <f>(AJ57+AJ44)/(AJ72+AJ73)</f>
        <v>740.23636217953299</v>
      </c>
      <c r="AO68" s="344" t="s">
        <v>348</v>
      </c>
    </row>
    <row r="69" spans="1:253" x14ac:dyDescent="0.3">
      <c r="B69" s="58" t="s">
        <v>72</v>
      </c>
      <c r="C69" s="59"/>
      <c r="D69" s="59"/>
      <c r="E69" s="326">
        <v>852</v>
      </c>
      <c r="F69" s="292">
        <v>741</v>
      </c>
      <c r="G69" s="292">
        <v>752</v>
      </c>
      <c r="H69" s="292">
        <v>755</v>
      </c>
      <c r="I69" s="89">
        <v>756</v>
      </c>
      <c r="J69" s="89">
        <v>741</v>
      </c>
      <c r="K69" s="89">
        <v>740</v>
      </c>
      <c r="L69" s="89">
        <v>736</v>
      </c>
      <c r="M69" s="73">
        <v>734</v>
      </c>
      <c r="N69" s="73">
        <v>734</v>
      </c>
      <c r="O69" s="73">
        <v>736</v>
      </c>
      <c r="P69" s="73">
        <v>734</v>
      </c>
      <c r="Q69" s="73">
        <v>738</v>
      </c>
      <c r="R69" s="74">
        <v>739</v>
      </c>
      <c r="S69" s="74">
        <v>738</v>
      </c>
      <c r="T69" s="74">
        <v>739</v>
      </c>
      <c r="U69" s="74">
        <v>739</v>
      </c>
      <c r="V69" s="73">
        <v>739</v>
      </c>
      <c r="W69" s="73">
        <v>738</v>
      </c>
      <c r="X69" s="73">
        <v>736</v>
      </c>
      <c r="Y69" s="73">
        <v>750</v>
      </c>
      <c r="Z69" s="73">
        <v>760</v>
      </c>
      <c r="AA69" s="73">
        <v>739</v>
      </c>
      <c r="AB69" s="73">
        <v>739</v>
      </c>
      <c r="AC69" s="73">
        <v>752</v>
      </c>
      <c r="AD69" s="73">
        <v>736</v>
      </c>
      <c r="AE69" s="73">
        <v>736</v>
      </c>
      <c r="AF69" s="73">
        <v>737</v>
      </c>
      <c r="AG69" s="73">
        <v>736</v>
      </c>
      <c r="AH69" s="73">
        <v>739</v>
      </c>
      <c r="AI69" s="73">
        <v>739</v>
      </c>
      <c r="AJ69" s="76">
        <f>AJ44/AJ21</f>
        <v>743.15887832178782</v>
      </c>
      <c r="AK69" s="76">
        <f>AK44/AK21</f>
        <v>738.54222620248231</v>
      </c>
      <c r="AL69" s="3"/>
    </row>
    <row r="70" spans="1:253" x14ac:dyDescent="0.3">
      <c r="AK70" s="63"/>
    </row>
    <row r="72" spans="1:253" x14ac:dyDescent="0.3">
      <c r="B72" s="81" t="s">
        <v>81</v>
      </c>
      <c r="C72" s="10"/>
      <c r="D72" s="10"/>
      <c r="E72" s="34">
        <v>0</v>
      </c>
      <c r="F72" s="34">
        <v>0</v>
      </c>
      <c r="G72" s="34">
        <v>3166</v>
      </c>
      <c r="H72" s="34">
        <v>6809</v>
      </c>
      <c r="I72" s="34">
        <v>7106</v>
      </c>
      <c r="J72" s="34">
        <v>7135</v>
      </c>
      <c r="K72" s="34">
        <v>7201</v>
      </c>
      <c r="L72" s="34">
        <v>7055</v>
      </c>
      <c r="M72" s="78">
        <v>7062</v>
      </c>
      <c r="N72" s="34">
        <v>7016</v>
      </c>
      <c r="O72" s="34">
        <v>7010</v>
      </c>
      <c r="P72" s="34">
        <v>6750</v>
      </c>
      <c r="Q72" s="34">
        <v>7016</v>
      </c>
      <c r="R72" s="34">
        <v>6810</v>
      </c>
      <c r="S72" s="34">
        <v>6895</v>
      </c>
      <c r="T72" s="34">
        <v>6910</v>
      </c>
      <c r="U72" s="34">
        <v>0</v>
      </c>
      <c r="V72" s="34">
        <v>0</v>
      </c>
      <c r="W72" s="34">
        <v>0</v>
      </c>
      <c r="X72" s="34">
        <v>0</v>
      </c>
      <c r="Y72" s="34">
        <v>0</v>
      </c>
      <c r="Z72" s="34">
        <v>0</v>
      </c>
      <c r="AA72" s="34">
        <v>0</v>
      </c>
      <c r="AB72" s="34">
        <v>0</v>
      </c>
      <c r="AC72" s="34">
        <v>0</v>
      </c>
      <c r="AD72" s="34">
        <v>0</v>
      </c>
      <c r="AE72" s="34">
        <v>0</v>
      </c>
      <c r="AF72" s="34">
        <v>0</v>
      </c>
      <c r="AG72" s="34">
        <v>0</v>
      </c>
      <c r="AH72" s="34">
        <v>0</v>
      </c>
      <c r="AI72" s="34">
        <v>0</v>
      </c>
      <c r="AJ72" s="34">
        <f>SUM(E72:AI72)</f>
        <v>93941</v>
      </c>
      <c r="AK72" s="12">
        <f>AJ72/COUNTIF(E72:AI72,"&gt;0")</f>
        <v>6710.0714285714284</v>
      </c>
      <c r="AL72" s="282">
        <f>(6368+AK72)/2</f>
        <v>6539.0357142857138</v>
      </c>
    </row>
    <row r="73" spans="1:253" x14ac:dyDescent="0.3">
      <c r="B73" s="81" t="s">
        <v>82</v>
      </c>
      <c r="C73" s="10"/>
      <c r="D73" s="10"/>
      <c r="E73" s="34">
        <v>6288</v>
      </c>
      <c r="F73" s="34">
        <v>8280</v>
      </c>
      <c r="G73" s="34">
        <v>6807</v>
      </c>
      <c r="H73" s="34">
        <v>6734</v>
      </c>
      <c r="I73" s="34">
        <v>7878</v>
      </c>
      <c r="J73" s="34">
        <v>8658</v>
      </c>
      <c r="K73" s="34">
        <v>9001</v>
      </c>
      <c r="L73" s="34">
        <v>8804</v>
      </c>
      <c r="M73" s="34">
        <v>8658</v>
      </c>
      <c r="N73" s="34">
        <v>8517</v>
      </c>
      <c r="O73" s="34">
        <v>8698</v>
      </c>
      <c r="P73" s="34">
        <v>8760</v>
      </c>
      <c r="Q73" s="34">
        <v>8765</v>
      </c>
      <c r="R73" s="34">
        <v>8561</v>
      </c>
      <c r="S73" s="34">
        <v>8898</v>
      </c>
      <c r="T73" s="34">
        <v>8989</v>
      </c>
      <c r="U73" s="34">
        <v>8813</v>
      </c>
      <c r="V73" s="34">
        <v>8886</v>
      </c>
      <c r="W73" s="34">
        <v>8864</v>
      </c>
      <c r="X73" s="34">
        <v>8829</v>
      </c>
      <c r="Y73" s="34">
        <v>8113</v>
      </c>
      <c r="Z73" s="34">
        <v>4879</v>
      </c>
      <c r="AA73" s="34">
        <v>7051</v>
      </c>
      <c r="AB73" s="34">
        <v>8571</v>
      </c>
      <c r="AC73" s="34">
        <v>8888</v>
      </c>
      <c r="AD73" s="34">
        <v>8160</v>
      </c>
      <c r="AE73" s="34">
        <v>8596</v>
      </c>
      <c r="AF73" s="34">
        <v>8690</v>
      </c>
      <c r="AG73" s="34">
        <v>8450</v>
      </c>
      <c r="AH73" s="34">
        <v>8195</v>
      </c>
      <c r="AI73" s="34">
        <v>8229</v>
      </c>
      <c r="AJ73" s="34">
        <f>SUM(E73:AI73)</f>
        <v>255510</v>
      </c>
      <c r="AK73" s="12">
        <f>AJ73/COUNTIF(E73:AI73,"&gt;0")</f>
        <v>8242.2580645161288</v>
      </c>
      <c r="AL73" s="282"/>
    </row>
    <row r="74" spans="1:253" x14ac:dyDescent="0.3">
      <c r="R74"/>
      <c r="S74"/>
      <c r="T74"/>
      <c r="U74"/>
      <c r="AJ74" s="82"/>
      <c r="AK74" s="12"/>
    </row>
    <row r="75" spans="1:253" x14ac:dyDescent="0.3">
      <c r="B75" s="81" t="s">
        <v>83</v>
      </c>
      <c r="C75" s="10"/>
      <c r="D75" s="10" t="s">
        <v>7</v>
      </c>
      <c r="E75" s="42">
        <v>0</v>
      </c>
      <c r="F75" s="42">
        <v>0</v>
      </c>
      <c r="G75" s="42">
        <v>295</v>
      </c>
      <c r="H75" s="42">
        <v>268</v>
      </c>
      <c r="I75" s="42">
        <v>296</v>
      </c>
      <c r="J75" s="42">
        <v>399</v>
      </c>
      <c r="K75" s="42">
        <v>348</v>
      </c>
      <c r="L75" s="42">
        <v>243</v>
      </c>
      <c r="M75" s="42">
        <v>257</v>
      </c>
      <c r="N75" s="42">
        <v>215</v>
      </c>
      <c r="O75" s="42">
        <v>218</v>
      </c>
      <c r="P75" s="42">
        <v>390</v>
      </c>
      <c r="Q75" s="55">
        <v>260</v>
      </c>
      <c r="R75" s="55">
        <v>226</v>
      </c>
      <c r="S75" s="55">
        <v>231</v>
      </c>
      <c r="T75" s="55">
        <v>176</v>
      </c>
      <c r="U75" s="55">
        <v>288</v>
      </c>
      <c r="V75" s="55">
        <v>234</v>
      </c>
      <c r="W75" s="42">
        <v>223</v>
      </c>
      <c r="X75" s="23">
        <v>276</v>
      </c>
      <c r="Y75" s="23">
        <v>230</v>
      </c>
      <c r="Z75" s="23">
        <v>95</v>
      </c>
      <c r="AA75" s="55">
        <v>63</v>
      </c>
      <c r="AB75" s="45">
        <v>172</v>
      </c>
      <c r="AC75" s="45">
        <v>326</v>
      </c>
      <c r="AD75" s="45">
        <v>148</v>
      </c>
      <c r="AE75" s="45">
        <v>230</v>
      </c>
      <c r="AF75" s="45">
        <v>162</v>
      </c>
      <c r="AG75" s="45">
        <v>182</v>
      </c>
      <c r="AH75" s="22">
        <v>174</v>
      </c>
      <c r="AI75" s="22">
        <v>145</v>
      </c>
      <c r="AJ75" s="34">
        <f>SUM(E75:AI75)</f>
        <v>6770</v>
      </c>
      <c r="AK75" s="83">
        <f>AJ75/COUNTIF(E75:AI75,"&gt;0")</f>
        <v>233.44827586206895</v>
      </c>
    </row>
    <row r="76" spans="1:253" x14ac:dyDescent="0.3">
      <c r="B76" s="81" t="s">
        <v>397</v>
      </c>
      <c r="C76" s="10"/>
      <c r="D76" s="10" t="s">
        <v>85</v>
      </c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2"/>
      <c r="X76" s="55"/>
      <c r="Y76" s="55"/>
      <c r="Z76" s="55"/>
      <c r="AA76" s="22"/>
      <c r="AB76" s="22"/>
      <c r="AC76" s="22"/>
      <c r="AD76" s="22"/>
      <c r="AE76" s="22"/>
      <c r="AF76" s="22"/>
      <c r="AG76" s="22"/>
      <c r="AH76" s="22"/>
      <c r="AI76" s="22"/>
      <c r="AJ76" s="22"/>
    </row>
    <row r="77" spans="1:253" x14ac:dyDescent="0.3">
      <c r="B77" s="81" t="s">
        <v>398</v>
      </c>
      <c r="C77" s="10"/>
      <c r="D77" s="10" t="s">
        <v>87</v>
      </c>
      <c r="E77" s="23">
        <v>0</v>
      </c>
      <c r="F77" s="23">
        <v>0</v>
      </c>
      <c r="G77" s="23">
        <v>2721</v>
      </c>
      <c r="H77" s="23">
        <v>2718</v>
      </c>
      <c r="I77" s="23">
        <v>2713</v>
      </c>
      <c r="J77" s="23">
        <v>2564</v>
      </c>
      <c r="K77" s="23">
        <v>2573</v>
      </c>
      <c r="L77" s="23">
        <v>2314</v>
      </c>
      <c r="M77" s="23">
        <v>2658</v>
      </c>
      <c r="N77" s="23">
        <v>2491</v>
      </c>
      <c r="O77" s="23">
        <v>2558</v>
      </c>
      <c r="P77" s="23">
        <v>2504</v>
      </c>
      <c r="Q77" s="23">
        <v>2495</v>
      </c>
      <c r="R77" s="23">
        <v>2474</v>
      </c>
      <c r="S77" s="23">
        <v>2395</v>
      </c>
      <c r="T77" s="23">
        <v>2404</v>
      </c>
      <c r="U77" s="23">
        <v>2779</v>
      </c>
      <c r="V77" s="23">
        <v>2278</v>
      </c>
      <c r="W77" s="23">
        <v>2404</v>
      </c>
      <c r="X77" s="23">
        <v>2430</v>
      </c>
      <c r="Y77" s="23">
        <v>2428</v>
      </c>
      <c r="Z77" s="23">
        <v>2497</v>
      </c>
      <c r="AA77" s="23">
        <v>2404</v>
      </c>
      <c r="AB77" s="22">
        <v>2331</v>
      </c>
      <c r="AC77" s="22">
        <v>2569</v>
      </c>
      <c r="AD77" s="23">
        <v>2358</v>
      </c>
      <c r="AE77" s="23">
        <v>2682</v>
      </c>
      <c r="AF77" s="23">
        <v>2691</v>
      </c>
      <c r="AG77" s="23">
        <v>2524</v>
      </c>
      <c r="AH77" s="23">
        <v>2386</v>
      </c>
      <c r="AI77" s="23">
        <v>2454</v>
      </c>
      <c r="AJ77" s="38">
        <f>IFERROR(SUMPRODUCT(E77:AI77,E75:AI75)/AJ75,0)</f>
        <v>2527.298966026588</v>
      </c>
    </row>
    <row r="78" spans="1:253" x14ac:dyDescent="0.3">
      <c r="E78" s="84"/>
      <c r="F78" s="84"/>
      <c r="G78" s="84"/>
      <c r="H78" s="84"/>
      <c r="I78" s="84"/>
      <c r="J78" s="84"/>
      <c r="K78" s="84"/>
      <c r="L78" s="84"/>
      <c r="M78" s="85"/>
      <c r="N78" s="84"/>
      <c r="O78" s="84"/>
      <c r="P78" s="84"/>
      <c r="Q78" s="84"/>
      <c r="R78" s="84"/>
      <c r="S78" s="84"/>
      <c r="T78" s="84"/>
      <c r="U78" s="86"/>
      <c r="V78" s="86"/>
      <c r="W78" s="86"/>
    </row>
    <row r="79" spans="1:253" x14ac:dyDescent="0.3">
      <c r="B79" s="81" t="s">
        <v>88</v>
      </c>
      <c r="C79" s="10"/>
      <c r="D79" s="10"/>
      <c r="E79" s="22">
        <v>835</v>
      </c>
      <c r="F79" s="22">
        <v>0</v>
      </c>
      <c r="G79" s="22">
        <v>707</v>
      </c>
      <c r="H79" s="22">
        <v>0</v>
      </c>
      <c r="I79" s="22">
        <v>0</v>
      </c>
      <c r="J79" s="22">
        <v>1120</v>
      </c>
      <c r="K79" s="22">
        <v>2575</v>
      </c>
      <c r="L79" s="10">
        <v>2290</v>
      </c>
      <c r="M79" s="10">
        <v>2070</v>
      </c>
      <c r="N79" s="22">
        <v>0</v>
      </c>
      <c r="O79" s="23">
        <v>2319</v>
      </c>
      <c r="P79" s="22">
        <v>0</v>
      </c>
      <c r="Q79" s="22">
        <v>0</v>
      </c>
      <c r="R79" s="22">
        <v>2985</v>
      </c>
      <c r="S79" s="22">
        <v>1840</v>
      </c>
      <c r="T79" s="22">
        <v>0</v>
      </c>
      <c r="U79" s="10">
        <v>0</v>
      </c>
      <c r="V79" s="22">
        <v>0</v>
      </c>
      <c r="W79" s="22">
        <v>0</v>
      </c>
      <c r="X79" s="22">
        <v>1822</v>
      </c>
      <c r="Y79" s="22">
        <v>3518</v>
      </c>
      <c r="Z79" s="22">
        <v>0</v>
      </c>
      <c r="AA79" s="22">
        <v>0</v>
      </c>
      <c r="AB79" s="22">
        <v>0</v>
      </c>
      <c r="AC79" s="22">
        <v>0</v>
      </c>
      <c r="AD79" s="22">
        <v>2080</v>
      </c>
      <c r="AE79" s="22">
        <v>0</v>
      </c>
      <c r="AF79" s="22">
        <v>2235</v>
      </c>
      <c r="AG79" s="22">
        <v>395</v>
      </c>
      <c r="AH79" s="87">
        <v>2090</v>
      </c>
      <c r="AI79" s="87">
        <v>0</v>
      </c>
      <c r="AJ79" s="88">
        <f t="shared" ref="AJ79:AJ86" si="49">SUM(E79:AI79)</f>
        <v>28881</v>
      </c>
      <c r="AK79" s="89">
        <v>28881</v>
      </c>
      <c r="AL79" s="24">
        <f>AJ79-AK79</f>
        <v>0</v>
      </c>
      <c r="AM79" t="e">
        <f>AL83/SUM(AL79:AL83)</f>
        <v>#DIV/0!</v>
      </c>
      <c r="AN79" s="90">
        <f>(AJ79+AJ84)/$AJ$87</f>
        <v>0.46205638264936533</v>
      </c>
      <c r="AO79" s="90"/>
    </row>
    <row r="80" spans="1:253" x14ac:dyDescent="0.3">
      <c r="B80" s="81" t="s">
        <v>89</v>
      </c>
      <c r="C80" s="10"/>
      <c r="D80" s="10"/>
      <c r="E80" s="22">
        <v>0</v>
      </c>
      <c r="F80" s="22">
        <v>0</v>
      </c>
      <c r="G80" s="22">
        <v>0</v>
      </c>
      <c r="H80" s="22">
        <v>2345</v>
      </c>
      <c r="I80" s="22">
        <v>0</v>
      </c>
      <c r="J80" s="22">
        <v>835</v>
      </c>
      <c r="K80" s="91">
        <v>1746</v>
      </c>
      <c r="L80" s="10">
        <v>2175</v>
      </c>
      <c r="M80" s="10">
        <v>1385</v>
      </c>
      <c r="N80" s="22">
        <v>1077</v>
      </c>
      <c r="O80" s="22">
        <v>0</v>
      </c>
      <c r="P80" s="22">
        <v>1980</v>
      </c>
      <c r="Q80" s="22">
        <v>3110</v>
      </c>
      <c r="R80" s="22">
        <v>1875</v>
      </c>
      <c r="S80" s="22">
        <v>0</v>
      </c>
      <c r="T80" s="22">
        <v>2625</v>
      </c>
      <c r="U80" s="10">
        <v>0</v>
      </c>
      <c r="V80" s="22">
        <v>464</v>
      </c>
      <c r="W80" s="22">
        <v>3553</v>
      </c>
      <c r="X80" s="22">
        <v>0</v>
      </c>
      <c r="Y80" s="22">
        <v>0</v>
      </c>
      <c r="Z80" s="22">
        <v>2865</v>
      </c>
      <c r="AA80" s="22">
        <v>0</v>
      </c>
      <c r="AB80" s="22">
        <v>2575</v>
      </c>
      <c r="AC80" s="22">
        <v>0</v>
      </c>
      <c r="AD80" s="22">
        <v>1660</v>
      </c>
      <c r="AE80" s="22">
        <v>2785</v>
      </c>
      <c r="AF80" s="22">
        <v>0</v>
      </c>
      <c r="AG80" s="22">
        <v>2055</v>
      </c>
      <c r="AH80" s="87">
        <v>2575</v>
      </c>
      <c r="AI80" s="87">
        <v>0</v>
      </c>
      <c r="AJ80" s="88">
        <f t="shared" si="49"/>
        <v>37685</v>
      </c>
      <c r="AK80" s="89">
        <v>37685</v>
      </c>
      <c r="AL80" s="24">
        <f t="shared" ref="AL80:AL85" si="50">AJ80-AK80</f>
        <v>0</v>
      </c>
      <c r="AM80" t="e">
        <f>AL80/SUM(AL79:AL83)</f>
        <v>#DIV/0!</v>
      </c>
      <c r="AN80" s="90">
        <f>(AJ80+AJ85)/$AJ$87</f>
        <v>0.27129979470439536</v>
      </c>
      <c r="AO80" s="90"/>
    </row>
    <row r="81" spans="2:41" x14ac:dyDescent="0.3">
      <c r="B81" s="81" t="s">
        <v>90</v>
      </c>
      <c r="C81" s="10"/>
      <c r="D81" s="10"/>
      <c r="E81" s="22">
        <v>0</v>
      </c>
      <c r="F81" s="22">
        <v>0</v>
      </c>
      <c r="G81" s="22">
        <v>0</v>
      </c>
      <c r="H81" s="22">
        <v>0</v>
      </c>
      <c r="I81" s="22">
        <v>2315</v>
      </c>
      <c r="J81" s="22">
        <v>0</v>
      </c>
      <c r="K81" s="22">
        <v>0</v>
      </c>
      <c r="L81" s="10">
        <v>0</v>
      </c>
      <c r="M81" s="10">
        <v>0</v>
      </c>
      <c r="N81" s="22">
        <v>0</v>
      </c>
      <c r="O81" s="22">
        <v>0</v>
      </c>
      <c r="P81" s="22">
        <v>1475</v>
      </c>
      <c r="Q81" s="22">
        <v>0</v>
      </c>
      <c r="R81" s="22">
        <v>0</v>
      </c>
      <c r="S81" s="22">
        <v>0</v>
      </c>
      <c r="T81" s="22">
        <v>0</v>
      </c>
      <c r="U81" s="10">
        <v>0</v>
      </c>
      <c r="V81" s="22">
        <v>1496</v>
      </c>
      <c r="W81" s="22">
        <v>1253</v>
      </c>
      <c r="X81" s="22">
        <v>1004</v>
      </c>
      <c r="Y81" s="22">
        <v>0</v>
      </c>
      <c r="Z81" s="22">
        <v>0</v>
      </c>
      <c r="AA81" s="22">
        <v>745</v>
      </c>
      <c r="AB81" s="22">
        <v>0</v>
      </c>
      <c r="AC81" s="22">
        <v>0</v>
      </c>
      <c r="AD81" s="22">
        <v>0</v>
      </c>
      <c r="AE81" s="22">
        <v>1788</v>
      </c>
      <c r="AF81" s="22">
        <v>0</v>
      </c>
      <c r="AG81" s="22">
        <v>0</v>
      </c>
      <c r="AH81" s="87">
        <v>0</v>
      </c>
      <c r="AI81" s="87">
        <v>0</v>
      </c>
      <c r="AJ81" s="88">
        <f t="shared" si="49"/>
        <v>10076</v>
      </c>
      <c r="AK81" s="92">
        <v>10076</v>
      </c>
      <c r="AL81" s="24">
        <f t="shared" si="50"/>
        <v>0</v>
      </c>
      <c r="AM81" t="e">
        <f>AL81/SUM(AL79:AL83)</f>
        <v>#DIV/0!</v>
      </c>
      <c r="AN81" s="90">
        <f>(AJ81)/$AJ$87</f>
        <v>3.0286361819225647E-2</v>
      </c>
      <c r="AO81" s="90"/>
    </row>
    <row r="82" spans="2:41" x14ac:dyDescent="0.3">
      <c r="B82" s="81" t="s">
        <v>91</v>
      </c>
      <c r="C82" s="10"/>
      <c r="D82" s="10"/>
      <c r="E82" s="22">
        <v>0</v>
      </c>
      <c r="F82" s="22">
        <v>2666</v>
      </c>
      <c r="G82" s="22">
        <v>0</v>
      </c>
      <c r="H82" s="22">
        <v>0</v>
      </c>
      <c r="I82" s="22">
        <v>0</v>
      </c>
      <c r="J82" s="22">
        <v>2525</v>
      </c>
      <c r="K82" s="22">
        <v>0</v>
      </c>
      <c r="L82" s="10">
        <v>0</v>
      </c>
      <c r="M82" s="10">
        <v>1250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2633</v>
      </c>
      <c r="T82" s="22">
        <v>0</v>
      </c>
      <c r="U82" s="10">
        <v>1076</v>
      </c>
      <c r="V82" s="22">
        <v>2263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2942</v>
      </c>
      <c r="AD82" s="22">
        <v>1043</v>
      </c>
      <c r="AE82" s="22">
        <v>0</v>
      </c>
      <c r="AF82" s="22">
        <v>540</v>
      </c>
      <c r="AG82" s="22">
        <v>0</v>
      </c>
      <c r="AH82" s="22">
        <v>0</v>
      </c>
      <c r="AI82" s="22">
        <v>1666</v>
      </c>
      <c r="AJ82" s="88">
        <f t="shared" si="49"/>
        <v>18604</v>
      </c>
      <c r="AK82" s="92">
        <v>18604</v>
      </c>
      <c r="AL82" s="24">
        <f>AJ82-AK82</f>
        <v>0</v>
      </c>
      <c r="AM82" t="e">
        <f>AL86/SUM(AL82:AL86)</f>
        <v>#DIV/0!</v>
      </c>
      <c r="AN82" s="90">
        <f>(AJ82)/$AJ$87</f>
        <v>5.5919757372456726E-2</v>
      </c>
      <c r="AO82" s="90"/>
    </row>
    <row r="83" spans="2:41" x14ac:dyDescent="0.3">
      <c r="B83" s="81" t="s">
        <v>92</v>
      </c>
      <c r="C83" s="10"/>
      <c r="D83" s="10"/>
      <c r="E83" s="22">
        <v>3200</v>
      </c>
      <c r="F83" s="22">
        <v>1350</v>
      </c>
      <c r="G83" s="22">
        <v>0</v>
      </c>
      <c r="H83" s="22">
        <v>1017</v>
      </c>
      <c r="I83" s="22">
        <v>0</v>
      </c>
      <c r="J83" s="22">
        <v>0</v>
      </c>
      <c r="K83" s="22">
        <v>0</v>
      </c>
      <c r="L83" s="10">
        <v>0</v>
      </c>
      <c r="M83" s="10">
        <v>0</v>
      </c>
      <c r="N83" s="22">
        <v>3058</v>
      </c>
      <c r="O83" s="22">
        <v>1455</v>
      </c>
      <c r="P83" s="22">
        <v>405</v>
      </c>
      <c r="Q83" s="22">
        <v>1288</v>
      </c>
      <c r="R83" s="22">
        <v>0</v>
      </c>
      <c r="S83" s="22">
        <v>0</v>
      </c>
      <c r="T83" s="22">
        <v>1470</v>
      </c>
      <c r="U83" s="10">
        <v>2768</v>
      </c>
      <c r="V83" s="22">
        <v>0</v>
      </c>
      <c r="W83" s="22">
        <v>0</v>
      </c>
      <c r="X83" s="22">
        <v>1506</v>
      </c>
      <c r="Y83" s="22">
        <v>1180</v>
      </c>
      <c r="Z83" s="22">
        <v>0</v>
      </c>
      <c r="AA83" s="22">
        <v>1045</v>
      </c>
      <c r="AB83" s="22">
        <v>981</v>
      </c>
      <c r="AC83" s="22">
        <v>0</v>
      </c>
      <c r="AD83" s="22">
        <v>0</v>
      </c>
      <c r="AE83" s="22">
        <v>0</v>
      </c>
      <c r="AF83" s="3">
        <v>910</v>
      </c>
      <c r="AG83" s="22">
        <v>900</v>
      </c>
      <c r="AH83" s="87">
        <v>0</v>
      </c>
      <c r="AI83" s="87">
        <v>2384</v>
      </c>
      <c r="AJ83" s="88">
        <f t="shared" si="49"/>
        <v>24917</v>
      </c>
      <c r="AK83" s="92">
        <v>24917</v>
      </c>
      <c r="AL83" s="24">
        <f t="shared" si="50"/>
        <v>0</v>
      </c>
      <c r="AM83" t="e">
        <f>AL87/SUM(AL83:AL87)</f>
        <v>#DIV/0!</v>
      </c>
      <c r="AN83" s="90">
        <f>(AJ83+AJ88)/$AJ$87</f>
        <v>7.4898329080137424E-2</v>
      </c>
      <c r="AO83" s="90"/>
    </row>
    <row r="84" spans="2:41" x14ac:dyDescent="0.3">
      <c r="B84" s="81" t="s">
        <v>93</v>
      </c>
      <c r="C84" s="10"/>
      <c r="D84" s="10"/>
      <c r="E84" s="22">
        <v>3010</v>
      </c>
      <c r="F84" s="22">
        <v>5856</v>
      </c>
      <c r="G84" s="22">
        <v>1378</v>
      </c>
      <c r="H84" s="22">
        <v>0</v>
      </c>
      <c r="I84" s="22">
        <v>6555</v>
      </c>
      <c r="J84" s="22">
        <v>4910</v>
      </c>
      <c r="K84" s="22">
        <v>2955</v>
      </c>
      <c r="L84" s="22">
        <v>7100</v>
      </c>
      <c r="M84" s="10">
        <v>4105</v>
      </c>
      <c r="N84" s="22">
        <v>2702</v>
      </c>
      <c r="O84" s="22">
        <v>5800</v>
      </c>
      <c r="P84" s="22">
        <v>4475</v>
      </c>
      <c r="Q84" s="22">
        <v>0</v>
      </c>
      <c r="R84" s="22">
        <v>6915</v>
      </c>
      <c r="S84" s="22">
        <v>3770</v>
      </c>
      <c r="T84" s="22">
        <v>6742</v>
      </c>
      <c r="U84" s="10">
        <v>1940</v>
      </c>
      <c r="V84" s="22">
        <v>3260</v>
      </c>
      <c r="W84" s="22">
        <v>3578</v>
      </c>
      <c r="X84" s="22">
        <v>2643</v>
      </c>
      <c r="Y84" s="22">
        <v>0</v>
      </c>
      <c r="Z84" s="22">
        <v>4055</v>
      </c>
      <c r="AA84" s="22">
        <v>1360</v>
      </c>
      <c r="AB84" s="22">
        <v>4580</v>
      </c>
      <c r="AC84" s="22">
        <v>4284</v>
      </c>
      <c r="AD84" s="22">
        <v>4102</v>
      </c>
      <c r="AE84" s="22">
        <v>6578</v>
      </c>
      <c r="AF84" s="22">
        <v>6805</v>
      </c>
      <c r="AG84" s="22">
        <v>3870</v>
      </c>
      <c r="AH84" s="87">
        <v>6745</v>
      </c>
      <c r="AI84" s="87">
        <v>4768</v>
      </c>
      <c r="AJ84" s="88">
        <f t="shared" si="49"/>
        <v>124841</v>
      </c>
      <c r="AK84" s="89">
        <v>124841</v>
      </c>
      <c r="AL84" s="24">
        <f t="shared" si="50"/>
        <v>0</v>
      </c>
      <c r="AN84" s="90">
        <f>(AJ83+AJ86)/$AJ$87</f>
        <v>0.18043770345455692</v>
      </c>
    </row>
    <row r="85" spans="2:41" x14ac:dyDescent="0.3">
      <c r="B85" s="81" t="s">
        <v>94</v>
      </c>
      <c r="C85" s="10"/>
      <c r="D85" s="10"/>
      <c r="E85" s="22">
        <v>891</v>
      </c>
      <c r="F85" s="22">
        <v>1050</v>
      </c>
      <c r="G85" s="22">
        <v>3208</v>
      </c>
      <c r="H85" s="22">
        <v>3406</v>
      </c>
      <c r="I85" s="22">
        <v>1546</v>
      </c>
      <c r="J85" s="22">
        <v>1695</v>
      </c>
      <c r="K85" s="22">
        <v>0</v>
      </c>
      <c r="L85" s="22">
        <v>0</v>
      </c>
      <c r="M85" s="10">
        <v>1630</v>
      </c>
      <c r="N85" s="22">
        <v>1373</v>
      </c>
      <c r="O85" s="22">
        <v>1266</v>
      </c>
      <c r="P85" s="22">
        <v>1010</v>
      </c>
      <c r="Q85" s="22">
        <v>4245</v>
      </c>
      <c r="R85" s="22">
        <v>0</v>
      </c>
      <c r="S85" s="22">
        <v>0</v>
      </c>
      <c r="T85" s="22">
        <v>0</v>
      </c>
      <c r="U85" s="10">
        <v>3380</v>
      </c>
      <c r="V85" s="22">
        <v>0</v>
      </c>
      <c r="W85" s="22">
        <v>2075</v>
      </c>
      <c r="X85" s="22">
        <v>2340</v>
      </c>
      <c r="Y85" s="22">
        <v>4060</v>
      </c>
      <c r="Z85" s="22">
        <v>0</v>
      </c>
      <c r="AA85" s="22">
        <v>0</v>
      </c>
      <c r="AB85" s="22">
        <v>2066</v>
      </c>
      <c r="AC85" s="22">
        <v>1820</v>
      </c>
      <c r="AD85" s="22">
        <v>1861</v>
      </c>
      <c r="AE85" s="22">
        <v>3241</v>
      </c>
      <c r="AF85" s="22">
        <v>1757</v>
      </c>
      <c r="AG85" s="22">
        <v>2710</v>
      </c>
      <c r="AH85" s="87">
        <v>3895</v>
      </c>
      <c r="AI85" s="87">
        <v>2049</v>
      </c>
      <c r="AJ85" s="88">
        <f t="shared" si="49"/>
        <v>52574</v>
      </c>
      <c r="AK85" s="89">
        <v>52574</v>
      </c>
      <c r="AL85" s="24">
        <f t="shared" si="50"/>
        <v>0</v>
      </c>
      <c r="AN85" s="90">
        <f>(AL83+AL86)/AJ87</f>
        <v>0</v>
      </c>
    </row>
    <row r="86" spans="2:41" x14ac:dyDescent="0.3">
      <c r="B86" s="81" t="s">
        <v>95</v>
      </c>
      <c r="C86" s="10"/>
      <c r="D86" s="10"/>
      <c r="E86" s="22">
        <v>2415</v>
      </c>
      <c r="F86" s="22">
        <v>0</v>
      </c>
      <c r="G86" s="22">
        <v>1803</v>
      </c>
      <c r="H86" s="22">
        <v>2136</v>
      </c>
      <c r="I86" s="22">
        <v>0</v>
      </c>
      <c r="J86" s="22">
        <v>350</v>
      </c>
      <c r="K86" s="22">
        <v>1135</v>
      </c>
      <c r="L86" s="22">
        <v>0</v>
      </c>
      <c r="M86" s="10">
        <v>0</v>
      </c>
      <c r="N86" s="22">
        <v>2084</v>
      </c>
      <c r="O86" s="22">
        <v>0</v>
      </c>
      <c r="P86" s="22">
        <v>665</v>
      </c>
      <c r="Q86" s="22">
        <v>1615</v>
      </c>
      <c r="R86" s="22">
        <v>0</v>
      </c>
      <c r="S86" s="22">
        <v>1810</v>
      </c>
      <c r="T86" s="22">
        <v>0</v>
      </c>
      <c r="U86" s="10">
        <v>0</v>
      </c>
      <c r="V86" s="22">
        <v>1380</v>
      </c>
      <c r="W86" s="22">
        <v>0</v>
      </c>
      <c r="X86" s="22">
        <v>0</v>
      </c>
      <c r="Y86" s="22">
        <v>1770</v>
      </c>
      <c r="Z86" s="22">
        <v>950</v>
      </c>
      <c r="AA86" s="22">
        <v>730</v>
      </c>
      <c r="AB86" s="22">
        <v>0</v>
      </c>
      <c r="AC86" s="22">
        <v>735</v>
      </c>
      <c r="AD86" s="22">
        <v>3660</v>
      </c>
      <c r="AE86" s="22">
        <v>0</v>
      </c>
      <c r="AF86" s="22">
        <v>3175</v>
      </c>
      <c r="AG86" s="22">
        <v>1110</v>
      </c>
      <c r="AH86" s="87">
        <v>2040</v>
      </c>
      <c r="AI86" s="87">
        <v>5550</v>
      </c>
      <c r="AJ86" s="88">
        <f t="shared" si="49"/>
        <v>35113</v>
      </c>
      <c r="AK86" s="89">
        <v>35113</v>
      </c>
      <c r="AL86" s="24">
        <f>AJ86-AK86</f>
        <v>0</v>
      </c>
      <c r="AN86" s="90"/>
      <c r="AO86" s="90"/>
    </row>
    <row r="87" spans="2:41" x14ac:dyDescent="0.3">
      <c r="B87" s="93" t="s">
        <v>96</v>
      </c>
      <c r="C87" s="94"/>
      <c r="D87" s="94"/>
      <c r="E87" s="95">
        <f>SUM(E79:E86)</f>
        <v>10351</v>
      </c>
      <c r="F87" s="95">
        <f t="shared" ref="F87:AI87" si="51">SUM(F79:F86)</f>
        <v>10922</v>
      </c>
      <c r="G87" s="95">
        <f t="shared" si="51"/>
        <v>7096</v>
      </c>
      <c r="H87" s="95">
        <f t="shared" si="51"/>
        <v>8904</v>
      </c>
      <c r="I87" s="95">
        <f t="shared" si="51"/>
        <v>10416</v>
      </c>
      <c r="J87" s="95">
        <f t="shared" si="51"/>
        <v>11435</v>
      </c>
      <c r="K87" s="95">
        <f>SUM(K79:K86)</f>
        <v>8411</v>
      </c>
      <c r="L87" s="95">
        <f t="shared" si="51"/>
        <v>11565</v>
      </c>
      <c r="M87" s="95">
        <f>SUM(M79:M86)</f>
        <v>10440</v>
      </c>
      <c r="N87" s="95">
        <f t="shared" si="51"/>
        <v>10294</v>
      </c>
      <c r="O87" s="95">
        <f t="shared" si="51"/>
        <v>10840</v>
      </c>
      <c r="P87" s="95">
        <f>SUM(P79:P86)</f>
        <v>10010</v>
      </c>
      <c r="Q87" s="95">
        <f t="shared" si="51"/>
        <v>10258</v>
      </c>
      <c r="R87" s="95">
        <f t="shared" si="51"/>
        <v>11775</v>
      </c>
      <c r="S87" s="95">
        <f t="shared" si="51"/>
        <v>10053</v>
      </c>
      <c r="T87" s="95">
        <f t="shared" si="51"/>
        <v>10837</v>
      </c>
      <c r="U87" s="95">
        <f t="shared" si="51"/>
        <v>9164</v>
      </c>
      <c r="V87" s="95">
        <f t="shared" si="51"/>
        <v>8863</v>
      </c>
      <c r="W87" s="95">
        <f t="shared" si="51"/>
        <v>10459</v>
      </c>
      <c r="X87" s="95">
        <f t="shared" si="51"/>
        <v>9315</v>
      </c>
      <c r="Y87" s="95">
        <f t="shared" si="51"/>
        <v>10528</v>
      </c>
      <c r="Z87" s="95">
        <f t="shared" si="51"/>
        <v>7870</v>
      </c>
      <c r="AA87" s="95">
        <f t="shared" si="51"/>
        <v>3880</v>
      </c>
      <c r="AB87" s="95">
        <f t="shared" si="51"/>
        <v>10202</v>
      </c>
      <c r="AC87" s="95">
        <f t="shared" si="51"/>
        <v>9781</v>
      </c>
      <c r="AD87" s="95">
        <f t="shared" si="51"/>
        <v>14406</v>
      </c>
      <c r="AE87" s="95">
        <f t="shared" si="51"/>
        <v>14392</v>
      </c>
      <c r="AF87" s="95">
        <f t="shared" si="51"/>
        <v>15422</v>
      </c>
      <c r="AG87" s="95">
        <f t="shared" si="51"/>
        <v>11040</v>
      </c>
      <c r="AH87" s="95">
        <f t="shared" si="51"/>
        <v>17345</v>
      </c>
      <c r="AI87" s="95">
        <f t="shared" si="51"/>
        <v>16417</v>
      </c>
      <c r="AJ87" s="88">
        <f>SUM(E87:AI87)</f>
        <v>332691</v>
      </c>
      <c r="AK87" s="96"/>
      <c r="AL87" s="24"/>
    </row>
    <row r="88" spans="2:41" x14ac:dyDescent="0.3">
      <c r="E88" s="22" t="b">
        <f>IF(SUM(E3,E7,E39,E82)=E87, TRUE, FALSE)</f>
        <v>1</v>
      </c>
      <c r="F88" s="22" t="b">
        <f>IF(SUM(F3,F7,F39,F82)=F87, TRUE, FALSE)</f>
        <v>1</v>
      </c>
      <c r="G88" s="22" t="b">
        <f>IF(SUM(G3,G7,G39,G82)=G87, TRUE, FALSE)</f>
        <v>1</v>
      </c>
      <c r="H88" s="22" t="b">
        <f>IF(SUM(H3,H7,H39,H82)=H87, TRUE, FALSE)</f>
        <v>1</v>
      </c>
      <c r="I88" s="22" t="b">
        <f t="shared" ref="I88:R88" si="52">IF((I3+I7+I39+I82)=I87,TRUE,FALSE)</f>
        <v>1</v>
      </c>
      <c r="J88" s="22" t="b">
        <f t="shared" si="52"/>
        <v>1</v>
      </c>
      <c r="K88" s="22" t="b">
        <f t="shared" si="52"/>
        <v>1</v>
      </c>
      <c r="L88" s="22" t="b">
        <f t="shared" si="52"/>
        <v>1</v>
      </c>
      <c r="M88" s="10" t="b">
        <f t="shared" si="52"/>
        <v>1</v>
      </c>
      <c r="N88" s="22" t="b">
        <f t="shared" si="52"/>
        <v>1</v>
      </c>
      <c r="O88" s="22" t="b">
        <f t="shared" si="52"/>
        <v>1</v>
      </c>
      <c r="P88" s="22" t="b">
        <f t="shared" si="52"/>
        <v>1</v>
      </c>
      <c r="Q88" s="22" t="b">
        <f t="shared" si="52"/>
        <v>1</v>
      </c>
      <c r="R88" s="22" t="b">
        <f t="shared" si="52"/>
        <v>1</v>
      </c>
      <c r="S88" s="22" t="b">
        <v>1</v>
      </c>
      <c r="T88" s="22" t="b">
        <v>1</v>
      </c>
      <c r="U88" s="22" t="b">
        <v>1</v>
      </c>
      <c r="V88" s="22" t="b">
        <f t="shared" ref="V88:AJ88" si="53">IF((V3+V7+V39+V82)=V87,TRUE,FALSE)</f>
        <v>1</v>
      </c>
      <c r="W88" s="22" t="b">
        <f t="shared" si="53"/>
        <v>1</v>
      </c>
      <c r="X88" s="22" t="b">
        <f t="shared" si="53"/>
        <v>1</v>
      </c>
      <c r="Y88" s="22" t="b">
        <f t="shared" si="53"/>
        <v>1</v>
      </c>
      <c r="Z88" s="22" t="b">
        <f t="shared" si="53"/>
        <v>1</v>
      </c>
      <c r="AA88" s="22" t="b">
        <f t="shared" si="53"/>
        <v>1</v>
      </c>
      <c r="AB88" s="22" t="b">
        <f t="shared" si="53"/>
        <v>1</v>
      </c>
      <c r="AC88" s="22" t="b">
        <f t="shared" si="53"/>
        <v>1</v>
      </c>
      <c r="AD88" s="22" t="b">
        <f t="shared" si="53"/>
        <v>1</v>
      </c>
      <c r="AE88" s="22" t="b">
        <f t="shared" si="53"/>
        <v>1</v>
      </c>
      <c r="AF88" s="22" t="b">
        <f t="shared" si="53"/>
        <v>1</v>
      </c>
      <c r="AG88" s="22" t="b">
        <f t="shared" si="53"/>
        <v>1</v>
      </c>
      <c r="AH88" s="22" t="b">
        <f t="shared" si="53"/>
        <v>1</v>
      </c>
      <c r="AI88" s="22" t="b">
        <f t="shared" si="53"/>
        <v>1</v>
      </c>
      <c r="AJ88" s="22" t="b">
        <f t="shared" si="53"/>
        <v>1</v>
      </c>
      <c r="AK88" s="24"/>
      <c r="AL88" s="24"/>
    </row>
    <row r="89" spans="2:41" ht="15.6" x14ac:dyDescent="0.3">
      <c r="B89" s="97" t="s">
        <v>97</v>
      </c>
      <c r="E89" s="22"/>
      <c r="F89" s="22"/>
      <c r="G89" s="22"/>
      <c r="H89" s="22"/>
      <c r="I89" s="22"/>
      <c r="J89" s="22"/>
      <c r="K89" s="22"/>
      <c r="L89" s="22"/>
      <c r="M89" s="10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87"/>
      <c r="AI89" s="87"/>
      <c r="AJ89" s="22"/>
      <c r="AK89" s="24"/>
      <c r="AL89" s="24"/>
    </row>
    <row r="90" spans="2:41" x14ac:dyDescent="0.3">
      <c r="B90" s="81" t="s">
        <v>372</v>
      </c>
      <c r="C90" s="10"/>
      <c r="D90" s="10"/>
      <c r="E90" s="22">
        <v>284</v>
      </c>
      <c r="F90" s="22">
        <v>0</v>
      </c>
      <c r="G90" s="22">
        <v>241</v>
      </c>
      <c r="H90" s="22">
        <v>0</v>
      </c>
      <c r="I90" s="22">
        <v>0</v>
      </c>
      <c r="J90" s="22">
        <v>371</v>
      </c>
      <c r="K90" s="22">
        <v>803</v>
      </c>
      <c r="L90" s="22">
        <v>668</v>
      </c>
      <c r="M90" s="10">
        <v>635</v>
      </c>
      <c r="N90" s="22">
        <v>0</v>
      </c>
      <c r="O90" s="23">
        <v>758</v>
      </c>
      <c r="P90" s="22">
        <v>0</v>
      </c>
      <c r="Q90" s="22">
        <v>0</v>
      </c>
      <c r="R90" s="22">
        <v>945</v>
      </c>
      <c r="S90" s="22">
        <v>578</v>
      </c>
      <c r="T90" s="22">
        <v>0</v>
      </c>
      <c r="U90" s="10">
        <v>0</v>
      </c>
      <c r="V90" s="22">
        <v>0</v>
      </c>
      <c r="W90" s="22">
        <v>0</v>
      </c>
      <c r="X90" s="22">
        <v>548</v>
      </c>
      <c r="Y90" s="22">
        <v>1072</v>
      </c>
      <c r="Z90" s="22">
        <v>0</v>
      </c>
      <c r="AA90" s="22">
        <v>0</v>
      </c>
      <c r="AB90" s="22">
        <v>0</v>
      </c>
      <c r="AC90" s="22">
        <v>0</v>
      </c>
      <c r="AD90" s="22">
        <v>703</v>
      </c>
      <c r="AE90" s="22">
        <v>0</v>
      </c>
      <c r="AF90" s="22">
        <v>764</v>
      </c>
      <c r="AG90" s="22">
        <v>134</v>
      </c>
      <c r="AH90" s="87">
        <v>673</v>
      </c>
      <c r="AI90" s="87">
        <v>0</v>
      </c>
      <c r="AJ90" s="88">
        <f t="shared" ref="AJ90:AJ97" si="54">SUM(E90:AI90)</f>
        <v>9177</v>
      </c>
      <c r="AK90" s="89">
        <v>9177</v>
      </c>
      <c r="AL90" s="24">
        <f t="shared" ref="AL90:AL97" si="55">AJ90-AK90</f>
        <v>0</v>
      </c>
      <c r="AN90" s="90"/>
      <c r="AO90" s="54"/>
    </row>
    <row r="91" spans="2:41" x14ac:dyDescent="0.3">
      <c r="B91" s="81" t="s">
        <v>373</v>
      </c>
      <c r="C91" s="10"/>
      <c r="D91" s="10"/>
      <c r="E91" s="22">
        <v>0</v>
      </c>
      <c r="F91" s="22">
        <v>0</v>
      </c>
      <c r="G91" s="22">
        <v>0</v>
      </c>
      <c r="H91" s="22">
        <v>733</v>
      </c>
      <c r="I91" s="22">
        <v>0</v>
      </c>
      <c r="J91" s="22">
        <v>276</v>
      </c>
      <c r="K91" s="22">
        <v>544</v>
      </c>
      <c r="L91" s="22">
        <v>634</v>
      </c>
      <c r="M91" s="10">
        <v>425</v>
      </c>
      <c r="N91" s="22">
        <v>347</v>
      </c>
      <c r="O91" s="22">
        <v>0</v>
      </c>
      <c r="P91" s="22">
        <v>634</v>
      </c>
      <c r="Q91" s="22">
        <v>978</v>
      </c>
      <c r="R91" s="22">
        <v>593</v>
      </c>
      <c r="S91" s="22">
        <v>0</v>
      </c>
      <c r="T91" s="22">
        <v>818</v>
      </c>
      <c r="U91" s="10">
        <v>0</v>
      </c>
      <c r="V91" s="22">
        <v>146</v>
      </c>
      <c r="W91" s="22">
        <v>1086</v>
      </c>
      <c r="X91" s="22">
        <v>0</v>
      </c>
      <c r="Y91" s="22">
        <v>0</v>
      </c>
      <c r="Z91" s="22">
        <v>861</v>
      </c>
      <c r="AA91" s="22">
        <v>0</v>
      </c>
      <c r="AB91" s="22">
        <v>805</v>
      </c>
      <c r="AC91" s="22">
        <v>0</v>
      </c>
      <c r="AD91" s="22">
        <v>561</v>
      </c>
      <c r="AE91" s="22">
        <v>949</v>
      </c>
      <c r="AF91" s="22">
        <v>0</v>
      </c>
      <c r="AG91" s="22">
        <v>699</v>
      </c>
      <c r="AH91" s="87">
        <v>829</v>
      </c>
      <c r="AI91" s="87">
        <v>0</v>
      </c>
      <c r="AJ91" s="88">
        <f t="shared" si="54"/>
        <v>11918</v>
      </c>
      <c r="AK91" s="89">
        <v>11918</v>
      </c>
      <c r="AL91" s="24">
        <f t="shared" si="55"/>
        <v>0</v>
      </c>
      <c r="AN91" s="90"/>
      <c r="AO91" s="54"/>
    </row>
    <row r="92" spans="2:41" x14ac:dyDescent="0.3">
      <c r="B92" s="81" t="s">
        <v>374</v>
      </c>
      <c r="C92" s="10"/>
      <c r="D92" s="10"/>
      <c r="E92" s="22">
        <v>0</v>
      </c>
      <c r="F92" s="22">
        <v>0</v>
      </c>
      <c r="G92" s="22">
        <v>0</v>
      </c>
      <c r="H92" s="22">
        <v>0</v>
      </c>
      <c r="I92" s="22">
        <v>637</v>
      </c>
      <c r="J92" s="22">
        <v>0</v>
      </c>
      <c r="K92" s="22">
        <v>0</v>
      </c>
      <c r="L92" s="22">
        <v>0</v>
      </c>
      <c r="M92" s="10">
        <v>0</v>
      </c>
      <c r="N92" s="22">
        <v>0</v>
      </c>
      <c r="O92" s="22">
        <v>0</v>
      </c>
      <c r="P92" s="22">
        <v>398</v>
      </c>
      <c r="Q92" s="22">
        <v>0</v>
      </c>
      <c r="R92" s="22">
        <v>0</v>
      </c>
      <c r="S92" s="22">
        <v>0</v>
      </c>
      <c r="T92" s="22">
        <v>0</v>
      </c>
      <c r="U92" s="10">
        <v>0</v>
      </c>
      <c r="V92" s="22">
        <v>419</v>
      </c>
      <c r="W92" s="22">
        <v>339</v>
      </c>
      <c r="X92" s="22">
        <v>267</v>
      </c>
      <c r="Y92" s="22">
        <v>0</v>
      </c>
      <c r="Z92" s="22">
        <v>0</v>
      </c>
      <c r="AA92" s="22">
        <v>211</v>
      </c>
      <c r="AB92" s="22">
        <v>0</v>
      </c>
      <c r="AC92" s="22">
        <v>0</v>
      </c>
      <c r="AD92" s="22">
        <v>0</v>
      </c>
      <c r="AE92" s="22">
        <v>497</v>
      </c>
      <c r="AF92" s="22">
        <v>0</v>
      </c>
      <c r="AG92" s="22">
        <v>0</v>
      </c>
      <c r="AH92" s="87">
        <v>0</v>
      </c>
      <c r="AI92" s="87">
        <v>0</v>
      </c>
      <c r="AJ92" s="88">
        <f t="shared" si="54"/>
        <v>2768</v>
      </c>
      <c r="AK92" s="89">
        <v>2768</v>
      </c>
      <c r="AL92" s="24">
        <f t="shared" si="55"/>
        <v>0</v>
      </c>
      <c r="AN92" s="90"/>
      <c r="AO92" s="54"/>
    </row>
    <row r="93" spans="2:41" x14ac:dyDescent="0.3">
      <c r="B93" s="81" t="s">
        <v>375</v>
      </c>
      <c r="C93" s="10"/>
      <c r="D93" s="10"/>
      <c r="E93" s="22">
        <v>0</v>
      </c>
      <c r="F93" s="22">
        <v>804</v>
      </c>
      <c r="G93" s="22">
        <v>0</v>
      </c>
      <c r="H93" s="22">
        <v>0</v>
      </c>
      <c r="I93" s="22">
        <v>0</v>
      </c>
      <c r="J93" s="22">
        <v>736</v>
      </c>
      <c r="K93" s="22">
        <v>0</v>
      </c>
      <c r="L93" s="22">
        <v>0</v>
      </c>
      <c r="M93" s="10">
        <v>351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790</v>
      </c>
      <c r="T93" s="22">
        <v>0</v>
      </c>
      <c r="U93" s="10">
        <v>324</v>
      </c>
      <c r="V93" s="22">
        <v>679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901</v>
      </c>
      <c r="AD93" s="22">
        <v>320</v>
      </c>
      <c r="AE93" s="22">
        <v>0</v>
      </c>
      <c r="AF93" s="22">
        <v>165</v>
      </c>
      <c r="AG93" s="22">
        <v>0</v>
      </c>
      <c r="AH93" s="22">
        <v>0</v>
      </c>
      <c r="AI93" s="22">
        <v>512</v>
      </c>
      <c r="AJ93" s="88">
        <f t="shared" si="54"/>
        <v>5582</v>
      </c>
      <c r="AK93" s="89">
        <v>5582</v>
      </c>
      <c r="AL93" s="24">
        <f t="shared" si="55"/>
        <v>0</v>
      </c>
      <c r="AN93" s="90"/>
      <c r="AO93" s="54"/>
    </row>
    <row r="94" spans="2:41" x14ac:dyDescent="0.3">
      <c r="B94" s="81" t="s">
        <v>376</v>
      </c>
      <c r="C94" s="10"/>
      <c r="D94" s="10"/>
      <c r="E94" s="22">
        <v>1026</v>
      </c>
      <c r="F94" s="22">
        <v>1848</v>
      </c>
      <c r="G94" s="22">
        <v>439</v>
      </c>
      <c r="H94" s="22">
        <v>0</v>
      </c>
      <c r="I94" s="22">
        <v>2058</v>
      </c>
      <c r="J94" s="22">
        <v>1531</v>
      </c>
      <c r="K94" s="22">
        <v>923</v>
      </c>
      <c r="L94" s="22">
        <v>2085</v>
      </c>
      <c r="M94" s="10">
        <v>1229</v>
      </c>
      <c r="N94" s="22">
        <v>843</v>
      </c>
      <c r="O94" s="22">
        <v>1921</v>
      </c>
      <c r="P94" s="22">
        <v>1394</v>
      </c>
      <c r="Q94" s="22">
        <v>0</v>
      </c>
      <c r="R94" s="22">
        <v>2246</v>
      </c>
      <c r="S94" s="22">
        <v>1171</v>
      </c>
      <c r="T94" s="22">
        <v>2105</v>
      </c>
      <c r="U94" s="10">
        <v>612</v>
      </c>
      <c r="V94" s="22">
        <v>1052</v>
      </c>
      <c r="W94" s="22">
        <v>1119</v>
      </c>
      <c r="X94" s="22">
        <v>813</v>
      </c>
      <c r="Y94" s="22">
        <v>0</v>
      </c>
      <c r="Z94" s="22">
        <v>1259</v>
      </c>
      <c r="AA94" s="22">
        <v>438</v>
      </c>
      <c r="AB94" s="22">
        <v>1477</v>
      </c>
      <c r="AC94" s="22">
        <v>1481</v>
      </c>
      <c r="AD94" s="22">
        <v>1397</v>
      </c>
      <c r="AE94" s="22">
        <v>2082</v>
      </c>
      <c r="AF94" s="22">
        <v>2227</v>
      </c>
      <c r="AG94" s="22">
        <v>1250</v>
      </c>
      <c r="AH94" s="87">
        <v>2092</v>
      </c>
      <c r="AI94" s="87">
        <v>1576</v>
      </c>
      <c r="AJ94" s="88">
        <f t="shared" si="54"/>
        <v>39694</v>
      </c>
      <c r="AK94" s="89">
        <v>36964</v>
      </c>
      <c r="AL94" s="24">
        <f t="shared" si="55"/>
        <v>2730</v>
      </c>
      <c r="AN94" s="90"/>
      <c r="AO94" s="54"/>
    </row>
    <row r="95" spans="2:41" x14ac:dyDescent="0.3">
      <c r="B95" s="81" t="s">
        <v>377</v>
      </c>
      <c r="C95" s="10"/>
      <c r="D95" s="10"/>
      <c r="E95" s="22">
        <v>303</v>
      </c>
      <c r="F95" s="22">
        <v>331</v>
      </c>
      <c r="G95" s="22">
        <v>1022</v>
      </c>
      <c r="H95" s="22">
        <v>1110</v>
      </c>
      <c r="I95" s="22">
        <v>485</v>
      </c>
      <c r="J95" s="22">
        <v>529</v>
      </c>
      <c r="K95" s="22">
        <v>0</v>
      </c>
      <c r="L95" s="22">
        <v>0</v>
      </c>
      <c r="M95" s="10">
        <v>488</v>
      </c>
      <c r="N95" s="22">
        <v>428</v>
      </c>
      <c r="O95" s="22">
        <v>419</v>
      </c>
      <c r="P95" s="22">
        <v>315</v>
      </c>
      <c r="Q95" s="22">
        <v>1384</v>
      </c>
      <c r="R95" s="22">
        <v>0</v>
      </c>
      <c r="S95" s="22">
        <v>0</v>
      </c>
      <c r="T95" s="22">
        <v>0</v>
      </c>
      <c r="U95" s="10">
        <v>1066</v>
      </c>
      <c r="V95" s="22">
        <v>0</v>
      </c>
      <c r="W95" s="22">
        <v>648</v>
      </c>
      <c r="X95" s="22">
        <v>719</v>
      </c>
      <c r="Y95" s="22">
        <v>1259</v>
      </c>
      <c r="Z95" s="22">
        <v>0</v>
      </c>
      <c r="AA95" s="22">
        <v>0</v>
      </c>
      <c r="AB95" s="22">
        <v>665</v>
      </c>
      <c r="AC95" s="22">
        <v>629</v>
      </c>
      <c r="AD95" s="22">
        <v>634</v>
      </c>
      <c r="AE95" s="22">
        <v>1026</v>
      </c>
      <c r="AF95" s="22">
        <v>575</v>
      </c>
      <c r="AG95" s="22">
        <v>875</v>
      </c>
      <c r="AH95" s="87">
        <v>1208</v>
      </c>
      <c r="AI95" s="87">
        <v>677</v>
      </c>
      <c r="AJ95" s="88">
        <f t="shared" si="54"/>
        <v>16795</v>
      </c>
      <c r="AK95" s="89">
        <v>16795</v>
      </c>
      <c r="AL95" s="24">
        <f t="shared" si="55"/>
        <v>0</v>
      </c>
      <c r="AN95" s="90"/>
      <c r="AO95" s="54"/>
    </row>
    <row r="96" spans="2:41" s="19" customFormat="1" x14ac:dyDescent="0.3">
      <c r="B96" s="44" t="s">
        <v>98</v>
      </c>
      <c r="C96" s="15"/>
      <c r="D96" s="15"/>
      <c r="E96" s="88">
        <v>0</v>
      </c>
      <c r="F96" s="88">
        <v>0</v>
      </c>
      <c r="G96" s="88">
        <v>0</v>
      </c>
      <c r="H96" s="88">
        <v>50</v>
      </c>
      <c r="I96" s="88">
        <v>0</v>
      </c>
      <c r="J96" s="88">
        <v>0</v>
      </c>
      <c r="K96" s="88">
        <v>0</v>
      </c>
      <c r="L96" s="88">
        <v>0</v>
      </c>
      <c r="M96" s="15">
        <v>0</v>
      </c>
      <c r="N96" s="88">
        <v>150</v>
      </c>
      <c r="O96" s="88">
        <v>71</v>
      </c>
      <c r="P96" s="88">
        <v>20</v>
      </c>
      <c r="Q96" s="88">
        <v>63</v>
      </c>
      <c r="R96" s="88">
        <v>0</v>
      </c>
      <c r="S96" s="88">
        <v>0</v>
      </c>
      <c r="T96" s="88">
        <v>72</v>
      </c>
      <c r="U96" s="15">
        <v>136</v>
      </c>
      <c r="V96" s="88">
        <v>0</v>
      </c>
      <c r="W96" s="88">
        <v>0</v>
      </c>
      <c r="X96" s="88">
        <v>74</v>
      </c>
      <c r="Y96" s="88">
        <v>58</v>
      </c>
      <c r="Z96" s="88">
        <v>0</v>
      </c>
      <c r="AA96" s="88">
        <v>0</v>
      </c>
      <c r="AB96" s="88">
        <v>10</v>
      </c>
      <c r="AC96" s="88">
        <v>0</v>
      </c>
      <c r="AD96" s="88">
        <v>0</v>
      </c>
      <c r="AE96" s="88">
        <v>0</v>
      </c>
      <c r="AF96" s="88">
        <v>45</v>
      </c>
      <c r="AG96" s="88">
        <v>44</v>
      </c>
      <c r="AH96" s="98">
        <v>0</v>
      </c>
      <c r="AI96" s="98">
        <v>117</v>
      </c>
      <c r="AJ96" s="88">
        <f t="shared" si="54"/>
        <v>910</v>
      </c>
      <c r="AK96" s="92">
        <v>910</v>
      </c>
      <c r="AL96" s="44">
        <f t="shared" si="55"/>
        <v>0</v>
      </c>
      <c r="AN96" s="99"/>
      <c r="AO96" s="100"/>
    </row>
    <row r="97" spans="1:41" s="19" customFormat="1" x14ac:dyDescent="0.3">
      <c r="B97" s="44" t="s">
        <v>99</v>
      </c>
      <c r="C97" s="15"/>
      <c r="D97" s="15"/>
      <c r="E97" s="88">
        <v>118</v>
      </c>
      <c r="F97" s="88">
        <v>0</v>
      </c>
      <c r="G97" s="88">
        <v>88</v>
      </c>
      <c r="H97" s="88">
        <v>105</v>
      </c>
      <c r="I97" s="88">
        <v>0</v>
      </c>
      <c r="J97" s="88">
        <v>17</v>
      </c>
      <c r="K97" s="88">
        <v>56</v>
      </c>
      <c r="L97" s="88">
        <v>0</v>
      </c>
      <c r="M97" s="15">
        <v>0</v>
      </c>
      <c r="N97" s="88">
        <v>102</v>
      </c>
      <c r="O97" s="88">
        <v>0</v>
      </c>
      <c r="P97" s="88">
        <v>33</v>
      </c>
      <c r="Q97" s="88">
        <v>79</v>
      </c>
      <c r="R97" s="88">
        <v>0</v>
      </c>
      <c r="S97" s="88">
        <v>89</v>
      </c>
      <c r="T97" s="88">
        <v>0</v>
      </c>
      <c r="U97" s="15">
        <v>0</v>
      </c>
      <c r="V97" s="88">
        <v>68</v>
      </c>
      <c r="W97" s="88">
        <v>0</v>
      </c>
      <c r="X97" s="88">
        <v>0</v>
      </c>
      <c r="Y97" s="88">
        <v>87</v>
      </c>
      <c r="Z97" s="88">
        <v>0</v>
      </c>
      <c r="AA97" s="88">
        <v>0</v>
      </c>
      <c r="AB97" s="88">
        <v>0</v>
      </c>
      <c r="AC97" s="88">
        <v>36</v>
      </c>
      <c r="AD97" s="88">
        <v>179</v>
      </c>
      <c r="AE97" s="88">
        <v>0</v>
      </c>
      <c r="AF97" s="88">
        <v>156</v>
      </c>
      <c r="AG97" s="88">
        <v>54</v>
      </c>
      <c r="AH97" s="98">
        <v>100</v>
      </c>
      <c r="AI97" s="98">
        <v>272</v>
      </c>
      <c r="AJ97" s="88">
        <f t="shared" si="54"/>
        <v>1639</v>
      </c>
      <c r="AK97" s="92">
        <v>1639</v>
      </c>
      <c r="AL97" s="44">
        <f t="shared" si="55"/>
        <v>0</v>
      </c>
      <c r="AN97" s="99"/>
      <c r="AO97" s="100"/>
    </row>
    <row r="98" spans="1:41" x14ac:dyDescent="0.3">
      <c r="E98" s="3" t="b">
        <f t="shared" ref="E98:AH98" si="56">IF((SUM(E90:E95)=(E123+E124+E125+E126)), TRUE, FALSE)</f>
        <v>1</v>
      </c>
      <c r="F98" s="3" t="b">
        <f t="shared" si="56"/>
        <v>1</v>
      </c>
      <c r="G98" s="3" t="b">
        <f>IF((SUM(G90:G95)=(G123+G124+G125+G126)), TRUE, FALSE)</f>
        <v>1</v>
      </c>
      <c r="H98" s="3" t="b">
        <f t="shared" si="56"/>
        <v>1</v>
      </c>
      <c r="I98" s="3" t="b">
        <f>IF((SUM(I90:I95)=(I123+I124+I125+I126)), TRUE, FALSE)</f>
        <v>1</v>
      </c>
      <c r="J98" s="3" t="b">
        <f t="shared" si="56"/>
        <v>1</v>
      </c>
      <c r="K98" s="3" t="b">
        <f t="shared" si="56"/>
        <v>1</v>
      </c>
      <c r="L98" s="3" t="b">
        <f t="shared" si="56"/>
        <v>1</v>
      </c>
      <c r="M98" s="3" t="b">
        <f t="shared" si="56"/>
        <v>1</v>
      </c>
      <c r="N98" s="3" t="b">
        <f t="shared" si="56"/>
        <v>1</v>
      </c>
      <c r="O98" s="3" t="b">
        <f>IF((SUM(O90:O95)=(O123+O124+O125+O126)), TRUE, FALSE)</f>
        <v>1</v>
      </c>
      <c r="P98" s="3" t="b">
        <f>IF((SUM(P90:P95)=(P123+P124+P125+P126)), TRUE, FALSE)</f>
        <v>1</v>
      </c>
      <c r="Q98" s="3" t="b">
        <f>IF((SUM(Q90:Q95)=(Q123+Q124+Q125+Q126)), TRUE, FALSE)</f>
        <v>1</v>
      </c>
      <c r="R98" s="3" t="b">
        <f>IF((SUM(R90:R95)=(R123+R124+R125+R126)), TRUE, FALSE)</f>
        <v>1</v>
      </c>
      <c r="S98" s="3" t="b">
        <f>IF((SUM(S90:S95)=(S123+S124+S125+S126)), TRUE, FALSE)</f>
        <v>1</v>
      </c>
      <c r="T98" s="3" t="b">
        <f t="shared" si="56"/>
        <v>1</v>
      </c>
      <c r="U98" s="3" t="b">
        <f t="shared" si="56"/>
        <v>1</v>
      </c>
      <c r="V98" s="3" t="b">
        <f t="shared" si="56"/>
        <v>1</v>
      </c>
      <c r="W98" s="3" t="b">
        <f t="shared" si="56"/>
        <v>1</v>
      </c>
      <c r="X98" s="3" t="b">
        <f t="shared" si="56"/>
        <v>1</v>
      </c>
      <c r="Y98" s="3" t="b">
        <f t="shared" si="56"/>
        <v>1</v>
      </c>
      <c r="Z98" s="3" t="b">
        <f t="shared" si="56"/>
        <v>1</v>
      </c>
      <c r="AA98" s="3" t="b">
        <f t="shared" si="56"/>
        <v>1</v>
      </c>
      <c r="AB98" s="3" t="b">
        <f t="shared" si="56"/>
        <v>1</v>
      </c>
      <c r="AC98" s="3" t="b">
        <f t="shared" si="56"/>
        <v>1</v>
      </c>
      <c r="AD98" s="3" t="b">
        <f t="shared" si="56"/>
        <v>1</v>
      </c>
      <c r="AE98" s="3" t="b">
        <f t="shared" si="56"/>
        <v>1</v>
      </c>
      <c r="AF98" s="3" t="b">
        <f>IF((SUM(AF90:AF95)=(AF123+AF124+AF125+AF126)), TRUE, FALSE)</f>
        <v>1</v>
      </c>
      <c r="AG98" s="3" t="b">
        <f t="shared" si="56"/>
        <v>1</v>
      </c>
      <c r="AH98" s="3" t="b">
        <f t="shared" si="56"/>
        <v>1</v>
      </c>
      <c r="AI98" s="3" t="b">
        <f t="shared" ref="AI98" si="57">IF((SUM(AI90:AI95)=(AI123+AI124+AI125+AI126)), TRUE, FALSE)</f>
        <v>1</v>
      </c>
      <c r="AJ98" s="3" t="b">
        <f>IF((SUM(AJ90:AJ95)=(AJ123+AJ124+AJ125+AJ126)), TRUE, FALSE)</f>
        <v>1</v>
      </c>
    </row>
    <row r="99" spans="1:41" x14ac:dyDescent="0.3">
      <c r="A99" s="101" t="s">
        <v>100</v>
      </c>
      <c r="B99" s="102"/>
      <c r="C99" s="103"/>
      <c r="D99" s="103"/>
      <c r="E99" s="104"/>
      <c r="F99" s="104"/>
      <c r="G99" s="262">
        <f>G97/G87</f>
        <v>1.2401352874859075E-2</v>
      </c>
      <c r="H99" s="104"/>
      <c r="I99" s="104"/>
      <c r="J99" s="104"/>
      <c r="K99" s="104"/>
      <c r="L99" s="104"/>
      <c r="M99" s="103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2"/>
      <c r="AL99" s="102"/>
    </row>
    <row r="100" spans="1:41" x14ac:dyDescent="0.3">
      <c r="A100" s="24"/>
      <c r="B100" s="105" t="s">
        <v>378</v>
      </c>
      <c r="C100" s="106"/>
      <c r="D100" s="106"/>
      <c r="E100" s="107"/>
      <c r="F100" s="107"/>
      <c r="G100" s="107"/>
      <c r="H100" s="107"/>
      <c r="I100" s="107"/>
      <c r="J100" s="107"/>
      <c r="K100" s="107"/>
      <c r="L100" s="107"/>
      <c r="M100" s="107"/>
      <c r="N100" s="106"/>
      <c r="O100" s="106"/>
      <c r="P100" s="106"/>
      <c r="Q100" s="106"/>
      <c r="R100" s="106"/>
      <c r="S100" s="106"/>
      <c r="T100" s="106"/>
      <c r="U100" s="106"/>
      <c r="V100" s="107"/>
      <c r="W100" s="107"/>
      <c r="X100" s="107"/>
      <c r="Y100" s="107"/>
      <c r="Z100" s="107"/>
      <c r="AA100" s="107"/>
      <c r="AB100" s="107"/>
      <c r="AC100" s="107"/>
      <c r="AD100" s="107"/>
      <c r="AE100" s="107"/>
      <c r="AF100" s="107"/>
      <c r="AG100" s="107"/>
      <c r="AH100" s="107"/>
      <c r="AI100" s="107"/>
      <c r="AJ100" s="108">
        <f>SUM(E100:AH100)</f>
        <v>0</v>
      </c>
      <c r="AK100" s="109"/>
      <c r="AL100" s="109"/>
    </row>
    <row r="101" spans="1:41" x14ac:dyDescent="0.3">
      <c r="A101" s="24"/>
      <c r="B101" s="81" t="s">
        <v>379</v>
      </c>
      <c r="C101" s="10"/>
      <c r="D101" s="10"/>
      <c r="E101" s="107">
        <v>0</v>
      </c>
      <c r="F101" s="107">
        <v>0</v>
      </c>
      <c r="G101" s="107">
        <v>0</v>
      </c>
      <c r="H101" s="107">
        <v>0</v>
      </c>
      <c r="I101" s="107">
        <v>0</v>
      </c>
      <c r="J101" s="107">
        <v>0</v>
      </c>
      <c r="K101" s="107">
        <v>0</v>
      </c>
      <c r="L101" s="22">
        <v>0</v>
      </c>
      <c r="M101" s="22">
        <v>0</v>
      </c>
      <c r="N101" s="22">
        <v>0</v>
      </c>
      <c r="O101" s="22">
        <v>57.51</v>
      </c>
      <c r="P101" s="22">
        <v>0</v>
      </c>
      <c r="Q101" s="22">
        <v>0</v>
      </c>
      <c r="R101" s="10">
        <v>0</v>
      </c>
      <c r="S101" s="10">
        <v>92.05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12">
        <v>0</v>
      </c>
      <c r="AB101" s="10">
        <v>0</v>
      </c>
      <c r="AC101" s="10">
        <v>0</v>
      </c>
      <c r="AD101" s="10">
        <v>0</v>
      </c>
      <c r="AE101" s="10">
        <v>0</v>
      </c>
      <c r="AF101" s="22">
        <v>0</v>
      </c>
      <c r="AG101" s="22">
        <v>0</v>
      </c>
      <c r="AH101" s="22">
        <v>0</v>
      </c>
      <c r="AI101" s="22">
        <v>0</v>
      </c>
      <c r="AJ101" s="26">
        <f>SUM(E101:AI101)</f>
        <v>149.56</v>
      </c>
      <c r="AK101" s="24" t="s">
        <v>103</v>
      </c>
      <c r="AL101" s="113">
        <f>AJ101/COUNTIF(E101:AI101,"&gt;-1")</f>
        <v>4.8245161290322578</v>
      </c>
    </row>
    <row r="102" spans="1:41" x14ac:dyDescent="0.3">
      <c r="A102" s="24"/>
      <c r="B102" s="81" t="s">
        <v>380</v>
      </c>
      <c r="C102" s="10"/>
      <c r="D102" s="10"/>
      <c r="E102" s="22">
        <v>0</v>
      </c>
      <c r="F102" s="22">
        <v>0</v>
      </c>
      <c r="G102" s="22">
        <v>0</v>
      </c>
      <c r="H102" s="22">
        <v>0</v>
      </c>
      <c r="I102" s="22">
        <v>0</v>
      </c>
      <c r="J102" s="22">
        <v>0</v>
      </c>
      <c r="K102" s="22">
        <v>0</v>
      </c>
      <c r="L102" s="22">
        <v>0</v>
      </c>
      <c r="M102" s="22">
        <v>0</v>
      </c>
      <c r="N102" s="22">
        <v>0</v>
      </c>
      <c r="O102" s="22">
        <v>1362</v>
      </c>
      <c r="P102" s="22">
        <v>0</v>
      </c>
      <c r="Q102" s="22">
        <v>0</v>
      </c>
      <c r="R102" s="22">
        <v>0</v>
      </c>
      <c r="S102" s="22">
        <v>899</v>
      </c>
      <c r="T102" s="22">
        <v>0</v>
      </c>
      <c r="U102" s="22">
        <v>0</v>
      </c>
      <c r="V102" s="22">
        <v>0</v>
      </c>
      <c r="W102" s="22">
        <v>0</v>
      </c>
      <c r="X102" s="22">
        <v>0</v>
      </c>
      <c r="Y102" s="22">
        <v>0</v>
      </c>
      <c r="Z102" s="22">
        <v>0</v>
      </c>
      <c r="AA102" s="115">
        <v>0</v>
      </c>
      <c r="AB102" s="22">
        <v>0</v>
      </c>
      <c r="AC102" s="22">
        <v>0</v>
      </c>
      <c r="AD102" s="22">
        <v>0</v>
      </c>
      <c r="AE102" s="22">
        <v>0</v>
      </c>
      <c r="AF102" s="22">
        <v>0</v>
      </c>
      <c r="AG102" s="22">
        <v>0</v>
      </c>
      <c r="AH102" s="22">
        <v>0</v>
      </c>
      <c r="AI102" s="22">
        <v>0</v>
      </c>
      <c r="AJ102" s="38">
        <f>SUMPRODUCT(E102:AI102,E101:AI101)/AJ101</f>
        <v>1077.0364402246589</v>
      </c>
      <c r="AK102" s="24"/>
      <c r="AL102" s="24"/>
    </row>
    <row r="103" spans="1:41" x14ac:dyDescent="0.3">
      <c r="A103" s="116" t="s">
        <v>105</v>
      </c>
      <c r="R103"/>
      <c r="S103"/>
      <c r="T103"/>
      <c r="U103"/>
      <c r="AJ103" s="117"/>
      <c r="AN103" s="83"/>
      <c r="AO103" s="83"/>
    </row>
    <row r="104" spans="1:41" x14ac:dyDescent="0.3">
      <c r="A104" s="24"/>
      <c r="B104" s="81" t="s">
        <v>381</v>
      </c>
      <c r="C104" s="10"/>
      <c r="D104" s="10"/>
      <c r="E104" s="22"/>
      <c r="F104" s="22"/>
      <c r="G104" s="22"/>
      <c r="H104" s="22"/>
      <c r="I104" s="22"/>
      <c r="J104" s="22"/>
      <c r="K104" s="22"/>
      <c r="L104" s="22"/>
      <c r="M104" s="22"/>
      <c r="N104" s="10"/>
      <c r="O104" s="10"/>
      <c r="P104" s="10"/>
      <c r="Q104" s="10"/>
      <c r="R104" s="10"/>
      <c r="S104" s="10"/>
      <c r="T104" s="10"/>
      <c r="U104" s="10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38">
        <f>SUM(E104:AH104)</f>
        <v>0</v>
      </c>
      <c r="AK104" s="24"/>
      <c r="AL104" s="24"/>
    </row>
    <row r="105" spans="1:41" x14ac:dyDescent="0.3">
      <c r="A105" s="24"/>
      <c r="B105" s="81" t="s">
        <v>382</v>
      </c>
      <c r="C105" s="10"/>
      <c r="D105" s="10"/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0</v>
      </c>
      <c r="K105" s="22">
        <v>47.2</v>
      </c>
      <c r="L105" s="22">
        <v>58.22</v>
      </c>
      <c r="M105" s="22">
        <v>0</v>
      </c>
      <c r="N105" s="22">
        <v>0</v>
      </c>
      <c r="O105" s="22">
        <v>32.22</v>
      </c>
      <c r="P105" s="22">
        <v>0</v>
      </c>
      <c r="Q105" s="111">
        <v>0</v>
      </c>
      <c r="R105" s="110">
        <v>0</v>
      </c>
      <c r="S105" s="110">
        <v>27.77</v>
      </c>
      <c r="T105" s="110">
        <v>0</v>
      </c>
      <c r="U105" s="110">
        <v>0</v>
      </c>
      <c r="V105" s="110">
        <v>0</v>
      </c>
      <c r="W105" s="110">
        <v>28.55</v>
      </c>
      <c r="X105" s="22">
        <v>0</v>
      </c>
      <c r="Y105" s="22">
        <v>0</v>
      </c>
      <c r="Z105" s="22">
        <v>56.88</v>
      </c>
      <c r="AA105" s="10">
        <v>0</v>
      </c>
      <c r="AB105" s="10">
        <v>0</v>
      </c>
      <c r="AC105" s="10">
        <v>0</v>
      </c>
      <c r="AD105" s="10">
        <v>61.45</v>
      </c>
      <c r="AE105" s="23">
        <v>0</v>
      </c>
      <c r="AF105" s="22">
        <v>0</v>
      </c>
      <c r="AG105" s="22">
        <v>0</v>
      </c>
      <c r="AH105" s="22">
        <v>0</v>
      </c>
      <c r="AI105" s="22">
        <v>0</v>
      </c>
      <c r="AJ105" s="26">
        <f>SUM(E105:AI105)</f>
        <v>312.29000000000002</v>
      </c>
      <c r="AK105" s="24" t="s">
        <v>103</v>
      </c>
      <c r="AL105" s="113">
        <f>AJ105/COUNTIF(E105:AI105,"&gt;-1")</f>
        <v>10.073870967741936</v>
      </c>
    </row>
    <row r="106" spans="1:41" x14ac:dyDescent="0.3">
      <c r="A106" s="24"/>
      <c r="B106" s="81" t="s">
        <v>383</v>
      </c>
      <c r="C106" s="10"/>
      <c r="D106" s="10"/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914</v>
      </c>
      <c r="L106" s="22">
        <v>2617</v>
      </c>
      <c r="M106" s="22">
        <v>0</v>
      </c>
      <c r="N106" s="22">
        <v>0</v>
      </c>
      <c r="O106" s="22">
        <v>1362</v>
      </c>
      <c r="P106" s="22">
        <v>0</v>
      </c>
      <c r="Q106" s="22">
        <v>0</v>
      </c>
      <c r="R106" s="22">
        <v>0</v>
      </c>
      <c r="S106" s="22">
        <v>899</v>
      </c>
      <c r="T106" s="22">
        <v>0</v>
      </c>
      <c r="U106" s="118">
        <v>0</v>
      </c>
      <c r="V106" s="118">
        <v>0</v>
      </c>
      <c r="W106" s="114">
        <v>1922</v>
      </c>
      <c r="X106" s="22">
        <v>0</v>
      </c>
      <c r="Y106" s="22">
        <v>0</v>
      </c>
      <c r="Z106" s="22">
        <v>389</v>
      </c>
      <c r="AA106" s="22">
        <v>0</v>
      </c>
      <c r="AB106" s="22">
        <v>0</v>
      </c>
      <c r="AC106" s="22">
        <v>0</v>
      </c>
      <c r="AD106" s="22">
        <v>692</v>
      </c>
      <c r="AE106" s="22">
        <v>0</v>
      </c>
      <c r="AF106" s="22">
        <v>0</v>
      </c>
      <c r="AG106" s="22">
        <v>0</v>
      </c>
      <c r="AH106" s="22">
        <v>0</v>
      </c>
      <c r="AI106" s="22">
        <v>0</v>
      </c>
      <c r="AJ106" s="38">
        <f>SUMPRODUCT(E106:AI106,E105:AI105)/AJ105</f>
        <v>1229.2235742418904</v>
      </c>
      <c r="AK106" s="24"/>
      <c r="AL106" s="24"/>
    </row>
    <row r="107" spans="1:41" x14ac:dyDescent="0.3">
      <c r="N107" s="119"/>
      <c r="O107"/>
      <c r="P107"/>
      <c r="Q107"/>
      <c r="R107"/>
      <c r="S107"/>
      <c r="T107"/>
      <c r="U107"/>
    </row>
    <row r="108" spans="1:41" x14ac:dyDescent="0.3">
      <c r="B108" s="120" t="s">
        <v>107</v>
      </c>
      <c r="N108" s="121"/>
      <c r="O108" s="86"/>
      <c r="P108"/>
      <c r="R108"/>
      <c r="S108"/>
      <c r="T108"/>
      <c r="U108"/>
    </row>
    <row r="109" spans="1:41" x14ac:dyDescent="0.3">
      <c r="B109" s="122" t="s">
        <v>108</v>
      </c>
      <c r="C109" s="2" t="s">
        <v>109</v>
      </c>
      <c r="E109" s="123">
        <v>0</v>
      </c>
      <c r="F109" s="123">
        <v>0</v>
      </c>
      <c r="G109" s="123">
        <v>0</v>
      </c>
      <c r="H109" s="123">
        <v>0.06</v>
      </c>
      <c r="I109" s="123">
        <v>0.09</v>
      </c>
      <c r="J109" s="123">
        <v>0.18</v>
      </c>
      <c r="K109" s="123">
        <v>0.21</v>
      </c>
      <c r="L109" s="123">
        <v>0.25</v>
      </c>
      <c r="M109" s="124">
        <v>0.17</v>
      </c>
      <c r="N109" s="123">
        <v>0.28999999999999998</v>
      </c>
      <c r="O109" s="123">
        <v>0.39</v>
      </c>
      <c r="P109" s="123">
        <v>0.43</v>
      </c>
      <c r="Q109" s="123">
        <v>0.27</v>
      </c>
      <c r="R109" s="123">
        <v>0.15081633060890073</v>
      </c>
      <c r="S109" s="123">
        <v>0.12912477651776824</v>
      </c>
      <c r="T109" s="123">
        <v>0.23</v>
      </c>
      <c r="U109" s="123">
        <v>0.16</v>
      </c>
      <c r="V109" s="123">
        <v>0.28999999999999998</v>
      </c>
      <c r="W109" s="123">
        <v>0.23</v>
      </c>
      <c r="X109" s="123">
        <v>0.08</v>
      </c>
      <c r="Y109" s="123">
        <v>0.25</v>
      </c>
      <c r="Z109" s="123">
        <v>0.17</v>
      </c>
      <c r="AA109" s="123">
        <v>0</v>
      </c>
      <c r="AB109" s="123">
        <v>0.2</v>
      </c>
      <c r="AC109" s="123">
        <v>0.22</v>
      </c>
      <c r="AD109" s="123">
        <v>0.25</v>
      </c>
      <c r="AE109" s="123">
        <v>0.13</v>
      </c>
      <c r="AF109" s="123">
        <v>0.18</v>
      </c>
      <c r="AG109" s="123">
        <v>0.15</v>
      </c>
      <c r="AH109" s="123">
        <v>0.16</v>
      </c>
      <c r="AI109" s="123">
        <v>0.22</v>
      </c>
      <c r="AJ109" s="123">
        <f>SUMPRODUCT(E109:AH109,$E$113:$AH$113)/SUM($E$113:$AH$113)</f>
        <v>0.20675430063086561</v>
      </c>
    </row>
    <row r="110" spans="1:41" x14ac:dyDescent="0.3">
      <c r="B110" s="122" t="s">
        <v>110</v>
      </c>
      <c r="C110" s="2" t="s">
        <v>109</v>
      </c>
      <c r="E110" s="123">
        <v>0</v>
      </c>
      <c r="F110" s="123">
        <v>0.1</v>
      </c>
      <c r="G110" s="123">
        <v>0.09</v>
      </c>
      <c r="H110" s="123">
        <v>0.16</v>
      </c>
      <c r="I110" s="123">
        <v>0.16</v>
      </c>
      <c r="J110" s="123">
        <v>0.15</v>
      </c>
      <c r="K110" s="123">
        <v>0.13</v>
      </c>
      <c r="L110" s="123">
        <v>0.12</v>
      </c>
      <c r="M110" s="124">
        <v>0.15</v>
      </c>
      <c r="N110" s="123">
        <v>0.06</v>
      </c>
      <c r="O110" s="123">
        <v>0.19</v>
      </c>
      <c r="P110" s="123">
        <v>0.03</v>
      </c>
      <c r="Q110" s="123">
        <v>0.05</v>
      </c>
      <c r="R110" s="123">
        <v>3.6236373130554694E-2</v>
      </c>
      <c r="S110" s="123">
        <v>9.3590681025294886E-2</v>
      </c>
      <c r="T110" s="123">
        <v>0</v>
      </c>
      <c r="U110" s="123">
        <v>0</v>
      </c>
      <c r="V110" s="123">
        <v>0</v>
      </c>
      <c r="W110" s="123">
        <v>0.1</v>
      </c>
      <c r="X110" s="123">
        <v>0.23</v>
      </c>
      <c r="Y110" s="123">
        <v>7.0000000000000007E-2</v>
      </c>
      <c r="Z110" s="123">
        <v>0.18</v>
      </c>
      <c r="AA110" s="123">
        <v>0</v>
      </c>
      <c r="AB110" s="123">
        <v>0.1</v>
      </c>
      <c r="AC110" s="123">
        <v>0.28999999999999998</v>
      </c>
      <c r="AD110" s="123">
        <v>0.1</v>
      </c>
      <c r="AE110" s="123">
        <v>0.12</v>
      </c>
      <c r="AF110" s="123">
        <v>0</v>
      </c>
      <c r="AG110" s="123">
        <v>0.02</v>
      </c>
      <c r="AH110" s="123">
        <v>0</v>
      </c>
      <c r="AI110" s="123">
        <v>0.03</v>
      </c>
      <c r="AJ110" s="342">
        <f>SUMPRODUCT(E110:AH110,$E$113:$AH$113)/SUM($E$113:$AH$113)</f>
        <v>9.8291370473064923E-2</v>
      </c>
      <c r="AK110" t="s">
        <v>284</v>
      </c>
    </row>
    <row r="111" spans="1:41" x14ac:dyDescent="0.3">
      <c r="B111" s="122" t="s">
        <v>111</v>
      </c>
      <c r="C111" s="2" t="s">
        <v>109</v>
      </c>
      <c r="E111" s="123">
        <v>0</v>
      </c>
      <c r="F111" s="123">
        <v>0</v>
      </c>
      <c r="G111" s="123">
        <v>0</v>
      </c>
      <c r="H111" s="123">
        <v>0</v>
      </c>
      <c r="I111" s="123">
        <v>0</v>
      </c>
      <c r="J111" s="123">
        <v>0.05</v>
      </c>
      <c r="K111" s="123">
        <v>0.05</v>
      </c>
      <c r="L111" s="123">
        <v>0.08</v>
      </c>
      <c r="M111" s="124">
        <v>0.04</v>
      </c>
      <c r="N111" s="123">
        <v>0.04</v>
      </c>
      <c r="O111" s="123">
        <v>0</v>
      </c>
      <c r="P111" s="123">
        <v>0.03</v>
      </c>
      <c r="Q111" s="123">
        <v>0</v>
      </c>
      <c r="R111" s="123">
        <v>3.3614175506519448E-2</v>
      </c>
      <c r="S111" s="123">
        <v>0</v>
      </c>
      <c r="T111" s="123">
        <v>0</v>
      </c>
      <c r="U111" s="123">
        <v>0</v>
      </c>
      <c r="V111" s="123">
        <v>0</v>
      </c>
      <c r="W111" s="123">
        <v>0</v>
      </c>
      <c r="X111" s="123">
        <v>0</v>
      </c>
      <c r="Y111" s="123">
        <v>0</v>
      </c>
      <c r="Z111" s="123">
        <v>0</v>
      </c>
      <c r="AA111" s="123">
        <v>0</v>
      </c>
      <c r="AB111" s="123">
        <v>0</v>
      </c>
      <c r="AC111" s="123">
        <v>0</v>
      </c>
      <c r="AD111" s="123">
        <v>0</v>
      </c>
      <c r="AE111" s="123">
        <v>0</v>
      </c>
      <c r="AF111" s="123">
        <v>0</v>
      </c>
      <c r="AG111" s="123">
        <v>0</v>
      </c>
      <c r="AH111" s="123">
        <v>0</v>
      </c>
      <c r="AI111" s="123">
        <v>0</v>
      </c>
      <c r="AJ111" s="123">
        <f>SUMPRODUCT(E111:AH111,$E$113:$AH$113)/SUM($E$113:$AH$113)</f>
        <v>1.5640405625471854E-2</v>
      </c>
      <c r="AN111">
        <v>909</v>
      </c>
    </row>
    <row r="112" spans="1:41" x14ac:dyDescent="0.3">
      <c r="B112" s="122" t="s">
        <v>112</v>
      </c>
      <c r="C112" s="2" t="s">
        <v>109</v>
      </c>
      <c r="E112" s="34">
        <v>10613</v>
      </c>
      <c r="F112" s="34">
        <v>18036</v>
      </c>
      <c r="G112" s="34">
        <v>11562</v>
      </c>
      <c r="H112" s="34">
        <v>13779</v>
      </c>
      <c r="I112" s="34">
        <v>16751</v>
      </c>
      <c r="J112" s="34">
        <v>16970</v>
      </c>
      <c r="K112" s="34">
        <v>14800</v>
      </c>
      <c r="L112" s="34">
        <v>14398</v>
      </c>
      <c r="M112" s="78">
        <v>13376</v>
      </c>
      <c r="N112" s="34">
        <v>12924</v>
      </c>
      <c r="O112" s="34">
        <v>10838</v>
      </c>
      <c r="P112" s="34">
        <v>12905</v>
      </c>
      <c r="Q112" s="34">
        <v>20758</v>
      </c>
      <c r="R112" s="34">
        <v>24146.479999999992</v>
      </c>
      <c r="S112" s="34">
        <v>18512.23</v>
      </c>
      <c r="T112" s="34">
        <v>19339</v>
      </c>
      <c r="U112" s="34">
        <v>6378</v>
      </c>
      <c r="V112" s="34">
        <v>11459</v>
      </c>
      <c r="W112" s="34">
        <v>10557</v>
      </c>
      <c r="X112" s="34">
        <v>14393</v>
      </c>
      <c r="Y112" s="34">
        <v>13068</v>
      </c>
      <c r="Z112" s="34">
        <v>10219</v>
      </c>
      <c r="AA112" s="34">
        <v>1743</v>
      </c>
      <c r="AB112" s="34">
        <v>9049</v>
      </c>
      <c r="AC112" s="34">
        <v>6876</v>
      </c>
      <c r="AD112" s="34">
        <v>12732</v>
      </c>
      <c r="AE112" s="34">
        <v>12044</v>
      </c>
      <c r="AF112" s="34">
        <v>12941</v>
      </c>
      <c r="AG112" s="34">
        <v>10010</v>
      </c>
      <c r="AH112" s="34">
        <v>4291</v>
      </c>
      <c r="AI112" s="34">
        <v>15806</v>
      </c>
      <c r="AJ112" s="22"/>
      <c r="AN112">
        <v>739</v>
      </c>
    </row>
    <row r="113" spans="1:40" x14ac:dyDescent="0.3">
      <c r="B113" s="122" t="s">
        <v>113</v>
      </c>
      <c r="C113" s="2" t="s">
        <v>109</v>
      </c>
      <c r="E113" s="34">
        <v>5467</v>
      </c>
      <c r="F113" s="34">
        <v>14025</v>
      </c>
      <c r="G113" s="34">
        <v>2389</v>
      </c>
      <c r="H113" s="34">
        <v>11949</v>
      </c>
      <c r="I113" s="34">
        <v>20220</v>
      </c>
      <c r="J113" s="34">
        <v>23650</v>
      </c>
      <c r="K113" s="34">
        <v>22111</v>
      </c>
      <c r="L113" s="34">
        <v>23406</v>
      </c>
      <c r="M113" s="78">
        <v>13919</v>
      </c>
      <c r="N113" s="34">
        <v>16874</v>
      </c>
      <c r="O113" s="34">
        <v>21376</v>
      </c>
      <c r="P113" s="34">
        <v>23588</v>
      </c>
      <c r="Q113" s="34">
        <v>28269</v>
      </c>
      <c r="R113" s="34">
        <v>23018.859999999997</v>
      </c>
      <c r="S113" s="34">
        <v>20801.43</v>
      </c>
      <c r="T113" s="34">
        <v>20920</v>
      </c>
      <c r="U113" s="34">
        <v>5881</v>
      </c>
      <c r="V113" s="34">
        <v>15176</v>
      </c>
      <c r="W113" s="34">
        <v>13758</v>
      </c>
      <c r="X113" s="34">
        <v>13087</v>
      </c>
      <c r="Y113" s="34">
        <v>12455</v>
      </c>
      <c r="Z113" s="34">
        <v>13259</v>
      </c>
      <c r="AA113" s="34" t="s">
        <v>276</v>
      </c>
      <c r="AB113" s="34">
        <v>11943</v>
      </c>
      <c r="AC113" s="34">
        <v>12536</v>
      </c>
      <c r="AD113" s="34">
        <v>14674</v>
      </c>
      <c r="AE113" s="34">
        <v>8768</v>
      </c>
      <c r="AF113" s="34">
        <v>13882</v>
      </c>
      <c r="AG113" s="34">
        <v>7229</v>
      </c>
      <c r="AH113" s="34">
        <v>4849</v>
      </c>
      <c r="AI113" s="34">
        <v>17032</v>
      </c>
      <c r="AJ113" s="22"/>
      <c r="AN113">
        <v>726</v>
      </c>
    </row>
    <row r="114" spans="1:40" x14ac:dyDescent="0.3">
      <c r="B114" s="125"/>
      <c r="E114" s="82"/>
      <c r="F114" s="82"/>
      <c r="G114" s="82"/>
      <c r="H114" s="82"/>
      <c r="I114" s="82"/>
      <c r="J114" s="82"/>
      <c r="K114" s="82"/>
      <c r="L114" s="82"/>
      <c r="M114" s="126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  <c r="AA114" s="82"/>
      <c r="AB114" s="82"/>
      <c r="AC114" s="82"/>
      <c r="AD114" s="82"/>
      <c r="AE114" s="82"/>
      <c r="AF114" s="82"/>
      <c r="AG114" s="82"/>
      <c r="AH114" s="82"/>
      <c r="AI114" s="82"/>
      <c r="AN114">
        <v>725</v>
      </c>
    </row>
    <row r="115" spans="1:40" x14ac:dyDescent="0.3">
      <c r="B115" s="122" t="s">
        <v>114</v>
      </c>
      <c r="C115" s="10" t="s">
        <v>115</v>
      </c>
      <c r="E115" s="34"/>
      <c r="F115" s="34"/>
      <c r="G115" s="34"/>
      <c r="H115" s="34"/>
      <c r="I115" s="34"/>
      <c r="J115" s="34"/>
      <c r="K115" s="34"/>
      <c r="L115" s="34"/>
      <c r="M115" s="78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22"/>
      <c r="AN115">
        <v>726</v>
      </c>
    </row>
    <row r="116" spans="1:40" x14ac:dyDescent="0.3">
      <c r="B116" s="122" t="s">
        <v>116</v>
      </c>
      <c r="C116" s="10" t="s">
        <v>115</v>
      </c>
      <c r="E116" s="34"/>
      <c r="F116" s="34"/>
      <c r="G116" s="34"/>
      <c r="H116" s="34"/>
      <c r="I116" s="34"/>
      <c r="J116" s="34"/>
      <c r="K116" s="34"/>
      <c r="L116" s="34"/>
      <c r="M116" s="78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22"/>
      <c r="AN116">
        <v>726</v>
      </c>
    </row>
    <row r="117" spans="1:40" x14ac:dyDescent="0.3">
      <c r="AN117">
        <v>723</v>
      </c>
    </row>
    <row r="118" spans="1:40" x14ac:dyDescent="0.3">
      <c r="A118" s="346" t="s">
        <v>117</v>
      </c>
      <c r="B118" s="127" t="s">
        <v>384</v>
      </c>
      <c r="C118" s="10" t="s">
        <v>36</v>
      </c>
      <c r="E118" s="22">
        <f>51-E119</f>
        <v>30</v>
      </c>
      <c r="F118" s="22">
        <f>163-F119</f>
        <v>96</v>
      </c>
      <c r="G118" s="22">
        <f>38-G119</f>
        <v>20</v>
      </c>
      <c r="H118" s="22">
        <f>126-H119</f>
        <v>67</v>
      </c>
      <c r="I118" s="22">
        <f>101-I119</f>
        <v>66</v>
      </c>
      <c r="J118" s="22">
        <f>216-J119</f>
        <v>129</v>
      </c>
      <c r="K118" s="22">
        <f>233-K119</f>
        <v>125</v>
      </c>
      <c r="L118" s="22">
        <f>241-L119</f>
        <v>129</v>
      </c>
      <c r="M118" s="22">
        <f>233-M119</f>
        <v>128</v>
      </c>
      <c r="N118" s="22">
        <f>57-N119</f>
        <v>30</v>
      </c>
      <c r="O118" s="22">
        <f>121-O119</f>
        <v>63</v>
      </c>
      <c r="P118" s="22">
        <f>166-P119</f>
        <v>94</v>
      </c>
      <c r="Q118" s="22">
        <f>163-Q119</f>
        <v>85</v>
      </c>
      <c r="R118" s="22">
        <f>254-R119</f>
        <v>132</v>
      </c>
      <c r="S118" s="22">
        <f>214-S119</f>
        <v>129</v>
      </c>
      <c r="T118" s="22">
        <f>137-T119</f>
        <v>71</v>
      </c>
      <c r="U118" s="22">
        <f>46-U119</f>
        <v>30</v>
      </c>
      <c r="V118" s="22">
        <f>183-V119</f>
        <v>115</v>
      </c>
      <c r="W118" s="22">
        <f>238-W119</f>
        <v>130</v>
      </c>
      <c r="X118" s="22">
        <f>138-X119</f>
        <v>77</v>
      </c>
      <c r="Y118" s="22">
        <f>184-Y119</f>
        <v>82</v>
      </c>
      <c r="Z118" s="22">
        <f>0</f>
        <v>0</v>
      </c>
      <c r="AA118" s="22">
        <f>32-AA119</f>
        <v>25</v>
      </c>
      <c r="AB118" s="22">
        <f>96-AB119</f>
        <v>70</v>
      </c>
      <c r="AC118" s="22">
        <f>0</f>
        <v>0</v>
      </c>
      <c r="AD118" s="22">
        <f>221-AD119</f>
        <v>127</v>
      </c>
      <c r="AE118" s="22">
        <f>221-AE119</f>
        <v>124</v>
      </c>
      <c r="AF118" s="22">
        <f>117-AF119</f>
        <v>61</v>
      </c>
      <c r="AG118" s="22">
        <f>127-AG119</f>
        <v>66</v>
      </c>
      <c r="AH118" s="22">
        <f>244-AH119</f>
        <v>127</v>
      </c>
      <c r="AI118" s="22">
        <f>0</f>
        <v>0</v>
      </c>
      <c r="AJ118" s="22">
        <f>SUM(E118:AI118)</f>
        <v>2428</v>
      </c>
      <c r="AK118" s="96"/>
      <c r="AN118">
        <v>724</v>
      </c>
    </row>
    <row r="119" spans="1:40" x14ac:dyDescent="0.3">
      <c r="A119" s="346"/>
      <c r="B119" s="127" t="s">
        <v>385</v>
      </c>
      <c r="C119" s="10" t="s">
        <v>36</v>
      </c>
      <c r="E119" s="22">
        <v>21</v>
      </c>
      <c r="F119" s="22">
        <v>67</v>
      </c>
      <c r="G119" s="22">
        <v>18</v>
      </c>
      <c r="H119" s="22">
        <v>59</v>
      </c>
      <c r="I119" s="22">
        <v>35</v>
      </c>
      <c r="J119" s="22">
        <v>87</v>
      </c>
      <c r="K119" s="22">
        <v>108</v>
      </c>
      <c r="L119" s="22">
        <v>112</v>
      </c>
      <c r="M119" s="22">
        <v>105</v>
      </c>
      <c r="N119" s="22">
        <v>27</v>
      </c>
      <c r="O119" s="22">
        <v>58</v>
      </c>
      <c r="P119" s="22">
        <v>72</v>
      </c>
      <c r="Q119" s="22">
        <v>78</v>
      </c>
      <c r="R119" s="22">
        <v>122</v>
      </c>
      <c r="S119" s="22">
        <v>85</v>
      </c>
      <c r="T119" s="22">
        <v>66</v>
      </c>
      <c r="U119" s="22">
        <v>16</v>
      </c>
      <c r="V119" s="22">
        <v>68</v>
      </c>
      <c r="W119" s="22">
        <v>108</v>
      </c>
      <c r="X119" s="22">
        <v>61</v>
      </c>
      <c r="Y119" s="22">
        <v>102</v>
      </c>
      <c r="Z119" s="22">
        <v>0</v>
      </c>
      <c r="AA119" s="22">
        <v>7</v>
      </c>
      <c r="AB119" s="22">
        <v>26</v>
      </c>
      <c r="AC119" s="22">
        <v>0</v>
      </c>
      <c r="AD119" s="22">
        <v>94</v>
      </c>
      <c r="AE119" s="22">
        <v>97</v>
      </c>
      <c r="AF119" s="22">
        <v>56</v>
      </c>
      <c r="AG119" s="22">
        <v>61</v>
      </c>
      <c r="AH119" s="22">
        <v>117</v>
      </c>
      <c r="AI119" s="22">
        <v>0</v>
      </c>
      <c r="AJ119" s="22">
        <f>SUM(E119:AI119)</f>
        <v>1933</v>
      </c>
      <c r="AK119" s="96">
        <v>1933</v>
      </c>
      <c r="AL119">
        <f>AJ119-AK119</f>
        <v>0</v>
      </c>
      <c r="AN119">
        <v>722</v>
      </c>
    </row>
    <row r="120" spans="1:40" x14ac:dyDescent="0.3">
      <c r="A120" s="346" t="s">
        <v>118</v>
      </c>
      <c r="B120" s="127" t="s">
        <v>386</v>
      </c>
      <c r="C120" s="10" t="s">
        <v>36</v>
      </c>
      <c r="E120" s="22">
        <f>182-E121</f>
        <v>84</v>
      </c>
      <c r="F120" s="22">
        <f>322-F121</f>
        <v>149</v>
      </c>
      <c r="G120" s="22">
        <f>214-G121</f>
        <v>99</v>
      </c>
      <c r="H120" s="22">
        <f>158-H121</f>
        <v>73</v>
      </c>
      <c r="I120" s="22">
        <f>379-I121</f>
        <v>176</v>
      </c>
      <c r="J120" s="22">
        <f>307-J121</f>
        <v>142</v>
      </c>
      <c r="K120" s="22">
        <f>138-K121</f>
        <v>64</v>
      </c>
      <c r="L120" s="22">
        <f>332-L121</f>
        <v>154</v>
      </c>
      <c r="M120" s="22">
        <f>260-M121</f>
        <v>117</v>
      </c>
      <c r="N120" s="22">
        <f>185-N121</f>
        <v>83</v>
      </c>
      <c r="O120" s="22">
        <f>320-O121</f>
        <v>144</v>
      </c>
      <c r="P120" s="22">
        <f>249-P121</f>
        <v>112</v>
      </c>
      <c r="Q120" s="22">
        <f>192-Q121</f>
        <v>86</v>
      </c>
      <c r="R120" s="22">
        <f>314-R121</f>
        <v>141</v>
      </c>
      <c r="S120" s="22">
        <f>170-S121</f>
        <v>76</v>
      </c>
      <c r="T120" s="22">
        <f>306-T121</f>
        <v>137</v>
      </c>
      <c r="U120" s="22">
        <f>242-U121</f>
        <v>109</v>
      </c>
      <c r="V120" s="22">
        <f>149-V121</f>
        <v>67</v>
      </c>
      <c r="W120" s="22">
        <f>257-W121</f>
        <v>116</v>
      </c>
      <c r="X120" s="22">
        <f>226-X121</f>
        <v>101</v>
      </c>
      <c r="Y120" s="22">
        <f>184-Y121</f>
        <v>82</v>
      </c>
      <c r="Z120" s="22">
        <f>0</f>
        <v>0</v>
      </c>
      <c r="AA120" s="22">
        <f>60-AA121</f>
        <v>46</v>
      </c>
      <c r="AB120" s="22">
        <f>202-AB121</f>
        <v>136</v>
      </c>
      <c r="AC120" s="22">
        <f>277-AC121</f>
        <v>124</v>
      </c>
      <c r="AD120" s="22">
        <f>270-AD121</f>
        <v>121</v>
      </c>
      <c r="AE120" s="22">
        <f>445-AE121</f>
        <v>200</v>
      </c>
      <c r="AF120" s="22">
        <f>389-AF121</f>
        <v>175</v>
      </c>
      <c r="AG120" s="22">
        <f>299-AG121</f>
        <v>134</v>
      </c>
      <c r="AH120" s="22">
        <f>484-AH121</f>
        <v>218</v>
      </c>
      <c r="AI120" s="22">
        <f>310-AI121</f>
        <v>140</v>
      </c>
      <c r="AJ120" s="22">
        <f>SUM(E120:AI120)</f>
        <v>3606</v>
      </c>
      <c r="AN120">
        <v>725</v>
      </c>
    </row>
    <row r="121" spans="1:40" x14ac:dyDescent="0.3">
      <c r="A121" s="346"/>
      <c r="B121" s="127" t="s">
        <v>387</v>
      </c>
      <c r="C121" s="10" t="s">
        <v>36</v>
      </c>
      <c r="E121" s="22">
        <v>98</v>
      </c>
      <c r="F121" s="22">
        <v>173</v>
      </c>
      <c r="G121" s="22">
        <v>115</v>
      </c>
      <c r="H121" s="22">
        <v>85</v>
      </c>
      <c r="I121" s="22">
        <v>203</v>
      </c>
      <c r="J121" s="22">
        <v>165</v>
      </c>
      <c r="K121" s="22">
        <v>74</v>
      </c>
      <c r="L121" s="22">
        <v>178</v>
      </c>
      <c r="M121" s="22">
        <v>143</v>
      </c>
      <c r="N121" s="22">
        <v>102</v>
      </c>
      <c r="O121" s="22">
        <v>176</v>
      </c>
      <c r="P121" s="22">
        <v>137</v>
      </c>
      <c r="Q121" s="22">
        <v>106</v>
      </c>
      <c r="R121" s="22">
        <v>173</v>
      </c>
      <c r="S121" s="22">
        <v>94</v>
      </c>
      <c r="T121" s="22">
        <v>169</v>
      </c>
      <c r="U121" s="22">
        <v>133</v>
      </c>
      <c r="V121" s="22">
        <v>82</v>
      </c>
      <c r="W121" s="22">
        <v>141</v>
      </c>
      <c r="X121" s="22">
        <v>125</v>
      </c>
      <c r="Y121" s="22">
        <v>102</v>
      </c>
      <c r="Z121" s="22">
        <v>0</v>
      </c>
      <c r="AA121" s="22">
        <v>14</v>
      </c>
      <c r="AB121" s="22">
        <v>66</v>
      </c>
      <c r="AC121" s="22">
        <v>153</v>
      </c>
      <c r="AD121" s="22">
        <v>149</v>
      </c>
      <c r="AE121" s="22">
        <v>245</v>
      </c>
      <c r="AF121" s="22">
        <v>214</v>
      </c>
      <c r="AG121" s="22">
        <v>165</v>
      </c>
      <c r="AH121" s="22">
        <v>266</v>
      </c>
      <c r="AI121" s="22">
        <v>170</v>
      </c>
      <c r="AJ121" s="22">
        <f>SUM(E121:AI121)</f>
        <v>4216</v>
      </c>
      <c r="AK121" s="283">
        <v>4216</v>
      </c>
      <c r="AN121">
        <v>725</v>
      </c>
    </row>
    <row r="122" spans="1:40" x14ac:dyDescent="0.3">
      <c r="AN122">
        <v>726</v>
      </c>
    </row>
    <row r="123" spans="1:40" x14ac:dyDescent="0.3">
      <c r="A123" s="347" t="s">
        <v>117</v>
      </c>
      <c r="B123" s="127" t="s">
        <v>388</v>
      </c>
      <c r="C123" s="10" t="s">
        <v>36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2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22">
        <f>SUM(E123:AI123)</f>
        <v>0</v>
      </c>
      <c r="AK123" s="3"/>
      <c r="AN123">
        <v>726</v>
      </c>
    </row>
    <row r="124" spans="1:40" x14ac:dyDescent="0.3">
      <c r="A124" s="347"/>
      <c r="B124" s="127" t="s">
        <v>389</v>
      </c>
      <c r="C124" s="10" t="s">
        <v>36</v>
      </c>
      <c r="E124" s="3">
        <f t="shared" ref="E124:AI124" si="58">E90+E91+E92+E93-E123</f>
        <v>284</v>
      </c>
      <c r="F124" s="3">
        <f t="shared" si="58"/>
        <v>804</v>
      </c>
      <c r="G124" s="3">
        <f t="shared" si="58"/>
        <v>241</v>
      </c>
      <c r="H124" s="3">
        <f t="shared" si="58"/>
        <v>733</v>
      </c>
      <c r="I124" s="3">
        <f t="shared" si="58"/>
        <v>637</v>
      </c>
      <c r="J124" s="3">
        <f t="shared" si="58"/>
        <v>1383</v>
      </c>
      <c r="K124" s="3">
        <f t="shared" si="58"/>
        <v>1347</v>
      </c>
      <c r="L124" s="3">
        <f t="shared" si="58"/>
        <v>1302</v>
      </c>
      <c r="M124" s="3">
        <f t="shared" si="58"/>
        <v>1411</v>
      </c>
      <c r="N124" s="3">
        <f t="shared" si="58"/>
        <v>347</v>
      </c>
      <c r="O124" s="3">
        <f t="shared" si="58"/>
        <v>758</v>
      </c>
      <c r="P124" s="3">
        <f t="shared" si="58"/>
        <v>1032</v>
      </c>
      <c r="Q124" s="3">
        <f t="shared" si="58"/>
        <v>978</v>
      </c>
      <c r="R124" s="3">
        <f t="shared" si="58"/>
        <v>1538</v>
      </c>
      <c r="S124" s="3">
        <f t="shared" si="58"/>
        <v>1368</v>
      </c>
      <c r="T124" s="3">
        <f t="shared" si="58"/>
        <v>818</v>
      </c>
      <c r="U124" s="3">
        <f t="shared" si="58"/>
        <v>324</v>
      </c>
      <c r="V124" s="3">
        <f t="shared" si="58"/>
        <v>1244</v>
      </c>
      <c r="W124" s="3">
        <f t="shared" si="58"/>
        <v>1425</v>
      </c>
      <c r="X124" s="3">
        <f t="shared" si="58"/>
        <v>815</v>
      </c>
      <c r="Y124" s="3">
        <f t="shared" si="58"/>
        <v>1072</v>
      </c>
      <c r="Z124" s="3">
        <f t="shared" si="58"/>
        <v>861</v>
      </c>
      <c r="AA124" s="3">
        <f t="shared" si="58"/>
        <v>211</v>
      </c>
      <c r="AB124" s="3">
        <f t="shared" si="58"/>
        <v>805</v>
      </c>
      <c r="AC124" s="3">
        <f t="shared" si="58"/>
        <v>901</v>
      </c>
      <c r="AD124" s="3">
        <f t="shared" si="58"/>
        <v>1584</v>
      </c>
      <c r="AE124" s="3">
        <f t="shared" si="58"/>
        <v>1446</v>
      </c>
      <c r="AF124" s="3">
        <f t="shared" si="58"/>
        <v>929</v>
      </c>
      <c r="AG124" s="3">
        <f t="shared" si="58"/>
        <v>833</v>
      </c>
      <c r="AH124" s="3">
        <f t="shared" si="58"/>
        <v>1502</v>
      </c>
      <c r="AI124" s="3">
        <f t="shared" si="58"/>
        <v>512</v>
      </c>
      <c r="AJ124" s="22">
        <f>SUM(E124:AI124)</f>
        <v>29445</v>
      </c>
      <c r="AK124" s="3">
        <f>9177+11918+2768+5582</f>
        <v>29445</v>
      </c>
      <c r="AN124">
        <v>727</v>
      </c>
    </row>
    <row r="125" spans="1:40" x14ac:dyDescent="0.3">
      <c r="A125" s="347" t="s">
        <v>118</v>
      </c>
      <c r="B125" s="127" t="s">
        <v>390</v>
      </c>
      <c r="C125" s="10" t="s">
        <v>36</v>
      </c>
      <c r="E125" s="3">
        <v>0</v>
      </c>
      <c r="F125" s="3">
        <v>0</v>
      </c>
      <c r="G125" s="3">
        <v>0</v>
      </c>
      <c r="H125" s="3">
        <v>0</v>
      </c>
      <c r="I125" s="3">
        <v>150</v>
      </c>
      <c r="J125" s="3">
        <v>100</v>
      </c>
      <c r="K125" s="3">
        <v>100</v>
      </c>
      <c r="L125" s="3">
        <v>100</v>
      </c>
      <c r="M125" s="2">
        <v>100</v>
      </c>
      <c r="N125" s="3">
        <v>105</v>
      </c>
      <c r="O125" s="3">
        <v>100</v>
      </c>
      <c r="P125" s="3">
        <v>100</v>
      </c>
      <c r="Q125" s="3">
        <v>100</v>
      </c>
      <c r="R125" s="3">
        <v>150</v>
      </c>
      <c r="S125" s="3">
        <v>0</v>
      </c>
      <c r="T125" s="3">
        <v>150</v>
      </c>
      <c r="U125" s="3">
        <v>170</v>
      </c>
      <c r="V125" s="3">
        <v>0</v>
      </c>
      <c r="W125" s="3">
        <v>150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22">
        <f>SUM(E125:AI125)</f>
        <v>1575</v>
      </c>
      <c r="AK125" s="3"/>
    </row>
    <row r="126" spans="1:40" x14ac:dyDescent="0.3">
      <c r="A126" s="347"/>
      <c r="B126" s="127" t="s">
        <v>391</v>
      </c>
      <c r="C126" s="10" t="s">
        <v>36</v>
      </c>
      <c r="E126" s="3">
        <f t="shared" ref="E126:AH126" si="59">E94+E95-E125</f>
        <v>1329</v>
      </c>
      <c r="F126" s="3">
        <f t="shared" si="59"/>
        <v>2179</v>
      </c>
      <c r="G126" s="3">
        <f t="shared" si="59"/>
        <v>1461</v>
      </c>
      <c r="H126" s="3">
        <f t="shared" si="59"/>
        <v>1110</v>
      </c>
      <c r="I126" s="3">
        <f t="shared" si="59"/>
        <v>2393</v>
      </c>
      <c r="J126" s="3">
        <f t="shared" si="59"/>
        <v>1960</v>
      </c>
      <c r="K126" s="3">
        <f>K94+K95-K125</f>
        <v>823</v>
      </c>
      <c r="L126" s="3">
        <f>L94+L95-L125</f>
        <v>1985</v>
      </c>
      <c r="M126" s="3">
        <f t="shared" si="59"/>
        <v>1617</v>
      </c>
      <c r="N126" s="3">
        <f t="shared" si="59"/>
        <v>1166</v>
      </c>
      <c r="O126" s="3">
        <f t="shared" si="59"/>
        <v>2240</v>
      </c>
      <c r="P126" s="3">
        <f t="shared" si="59"/>
        <v>1609</v>
      </c>
      <c r="Q126" s="3">
        <f t="shared" si="59"/>
        <v>1284</v>
      </c>
      <c r="R126" s="3">
        <f t="shared" si="59"/>
        <v>2096</v>
      </c>
      <c r="S126" s="3">
        <f t="shared" si="59"/>
        <v>1171</v>
      </c>
      <c r="T126" s="3">
        <f>T94+T95-T125</f>
        <v>1955</v>
      </c>
      <c r="U126" s="3">
        <f t="shared" si="59"/>
        <v>1508</v>
      </c>
      <c r="V126" s="3">
        <f t="shared" si="59"/>
        <v>1052</v>
      </c>
      <c r="W126" s="3">
        <f t="shared" si="59"/>
        <v>1617</v>
      </c>
      <c r="X126" s="3">
        <f t="shared" si="59"/>
        <v>1532</v>
      </c>
      <c r="Y126" s="3">
        <f t="shared" si="59"/>
        <v>1259</v>
      </c>
      <c r="Z126" s="3">
        <f t="shared" si="59"/>
        <v>1259</v>
      </c>
      <c r="AA126" s="3">
        <f t="shared" si="59"/>
        <v>438</v>
      </c>
      <c r="AB126" s="3">
        <f t="shared" si="59"/>
        <v>2142</v>
      </c>
      <c r="AC126" s="3">
        <f t="shared" si="59"/>
        <v>2110</v>
      </c>
      <c r="AD126" s="3">
        <f t="shared" si="59"/>
        <v>2031</v>
      </c>
      <c r="AE126" s="3">
        <f t="shared" si="59"/>
        <v>3108</v>
      </c>
      <c r="AF126" s="3">
        <f t="shared" si="59"/>
        <v>2802</v>
      </c>
      <c r="AG126" s="3">
        <f t="shared" si="59"/>
        <v>2125</v>
      </c>
      <c r="AH126" s="3">
        <f t="shared" si="59"/>
        <v>3300</v>
      </c>
      <c r="AI126" s="3">
        <f>AI94+AI95-AI125</f>
        <v>2253</v>
      </c>
      <c r="AJ126" s="22">
        <f>SUM(E126:AI126)</f>
        <v>54914</v>
      </c>
      <c r="AK126" s="3">
        <f>39694+16795-AJ125</f>
        <v>54914</v>
      </c>
    </row>
    <row r="127" spans="1:40" x14ac:dyDescent="0.3">
      <c r="A127" s="2"/>
      <c r="B127" s="128"/>
      <c r="C127" s="129"/>
      <c r="P127" s="130"/>
      <c r="Q127" s="130"/>
      <c r="R127" s="130"/>
      <c r="S127" s="130"/>
      <c r="T127" s="130"/>
      <c r="U127" s="130"/>
      <c r="V127" s="130"/>
    </row>
    <row r="128" spans="1:40" x14ac:dyDescent="0.3">
      <c r="B128" s="128" t="s">
        <v>121</v>
      </c>
      <c r="P128" s="130"/>
      <c r="Q128" s="130"/>
      <c r="R128" s="130"/>
      <c r="S128" s="130"/>
      <c r="T128" s="130"/>
      <c r="U128" s="130"/>
      <c r="V128" s="130"/>
    </row>
    <row r="129" spans="1:37" x14ac:dyDescent="0.3">
      <c r="A129" s="24"/>
      <c r="B129" s="13" t="s">
        <v>392</v>
      </c>
      <c r="C129" s="10" t="s">
        <v>117</v>
      </c>
      <c r="D129" s="10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>
        <f>SUM(E129:AH129)</f>
        <v>0</v>
      </c>
    </row>
    <row r="130" spans="1:37" x14ac:dyDescent="0.3">
      <c r="A130" s="24"/>
      <c r="B130" s="13" t="s">
        <v>395</v>
      </c>
      <c r="C130" s="10" t="s">
        <v>118</v>
      </c>
      <c r="D130" s="10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>
        <f>SUM(E130:AH130)</f>
        <v>0</v>
      </c>
    </row>
    <row r="131" spans="1:37" x14ac:dyDescent="0.3">
      <c r="A131" s="24"/>
      <c r="B131" s="13" t="s">
        <v>393</v>
      </c>
      <c r="C131" s="10" t="s">
        <v>117</v>
      </c>
      <c r="D131" s="10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>
        <f>SUM(E131:AH131)</f>
        <v>0</v>
      </c>
    </row>
    <row r="132" spans="1:37" x14ac:dyDescent="0.3">
      <c r="A132" s="24"/>
      <c r="B132" s="13" t="s">
        <v>394</v>
      </c>
      <c r="C132" s="10" t="s">
        <v>118</v>
      </c>
      <c r="D132" s="10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>
        <f>SUM(E132:AH132)</f>
        <v>0</v>
      </c>
    </row>
    <row r="133" spans="1:37" x14ac:dyDescent="0.3">
      <c r="B133" s="275"/>
      <c r="M133" s="3"/>
    </row>
    <row r="134" spans="1:37" x14ac:dyDescent="0.3">
      <c r="B134" s="44" t="s">
        <v>256</v>
      </c>
      <c r="E134" s="84">
        <f t="shared" ref="E134:AI134" si="60">E44+E57</f>
        <v>5357376</v>
      </c>
      <c r="F134" s="84">
        <f t="shared" si="60"/>
        <v>6135480</v>
      </c>
      <c r="G134" s="84">
        <f t="shared" si="60"/>
        <v>7996758</v>
      </c>
      <c r="H134" s="84">
        <f t="shared" si="60"/>
        <v>10116021</v>
      </c>
      <c r="I134" s="84">
        <f t="shared" si="60"/>
        <v>11114724</v>
      </c>
      <c r="J134" s="84">
        <f t="shared" si="60"/>
        <v>11588453</v>
      </c>
      <c r="K134" s="84">
        <f t="shared" si="60"/>
        <v>11888666</v>
      </c>
      <c r="L134" s="84">
        <f t="shared" si="60"/>
        <v>11601674</v>
      </c>
      <c r="M134" s="84">
        <f t="shared" si="60"/>
        <v>11460798</v>
      </c>
      <c r="N134" s="84">
        <f t="shared" si="60"/>
        <v>11331062</v>
      </c>
      <c r="O134" s="84">
        <f t="shared" si="60"/>
        <v>11462948</v>
      </c>
      <c r="P134" s="84">
        <f t="shared" si="60"/>
        <v>11323590</v>
      </c>
      <c r="Q134" s="84">
        <f t="shared" si="60"/>
        <v>11555170</v>
      </c>
      <c r="R134" s="84">
        <f t="shared" si="60"/>
        <v>11270639</v>
      </c>
      <c r="S134" s="84">
        <f t="shared" si="60"/>
        <v>11572494</v>
      </c>
      <c r="T134" s="84">
        <f t="shared" si="60"/>
        <v>11666441</v>
      </c>
      <c r="U134" s="84">
        <f t="shared" si="60"/>
        <v>6512807</v>
      </c>
      <c r="V134" s="84">
        <f t="shared" si="60"/>
        <v>6566754</v>
      </c>
      <c r="W134" s="84">
        <f t="shared" si="60"/>
        <v>6541632</v>
      </c>
      <c r="X134" s="84">
        <f t="shared" si="60"/>
        <v>6498144</v>
      </c>
      <c r="Y134" s="84">
        <f t="shared" si="60"/>
        <v>6084750</v>
      </c>
      <c r="Z134" s="84">
        <f t="shared" si="60"/>
        <v>3708040</v>
      </c>
      <c r="AA134" s="84">
        <f t="shared" si="60"/>
        <v>5210689</v>
      </c>
      <c r="AB134" s="84">
        <f t="shared" si="60"/>
        <v>6333969</v>
      </c>
      <c r="AC134" s="84">
        <f t="shared" si="60"/>
        <v>6683776</v>
      </c>
      <c r="AD134" s="84">
        <f t="shared" si="60"/>
        <v>6005760</v>
      </c>
      <c r="AE134" s="84">
        <f t="shared" si="60"/>
        <v>6326656</v>
      </c>
      <c r="AF134" s="84">
        <f t="shared" si="60"/>
        <v>6404530</v>
      </c>
      <c r="AG134" s="84">
        <f t="shared" si="60"/>
        <v>6219200</v>
      </c>
      <c r="AH134" s="84">
        <f t="shared" si="60"/>
        <v>6056105</v>
      </c>
      <c r="AI134" s="84">
        <f t="shared" si="60"/>
        <v>6081231</v>
      </c>
      <c r="AJ134" s="84">
        <f>AJ44+AJ57</f>
        <v>258676337</v>
      </c>
      <c r="AK134" s="117">
        <f>AJ134/(AJ72+AJ73)</f>
        <v>740.23636217953299</v>
      </c>
    </row>
    <row r="135" spans="1:37" x14ac:dyDescent="0.3">
      <c r="B135" s="44" t="s">
        <v>250</v>
      </c>
      <c r="E135" s="276">
        <f>(E49+E62)/E134</f>
        <v>0.1645535052981161</v>
      </c>
      <c r="F135" s="276">
        <f t="shared" ref="F135:AH135" si="61">(F49+F62)/F134</f>
        <v>0.26302685364470263</v>
      </c>
      <c r="G135" s="276">
        <f t="shared" si="61"/>
        <v>0.2563910374679339</v>
      </c>
      <c r="H135" s="276">
        <f t="shared" si="61"/>
        <v>0</v>
      </c>
      <c r="I135" s="276">
        <f t="shared" si="61"/>
        <v>0</v>
      </c>
      <c r="J135" s="276">
        <f t="shared" si="61"/>
        <v>0</v>
      </c>
      <c r="K135" s="276">
        <f t="shared" si="61"/>
        <v>0</v>
      </c>
      <c r="L135" s="276">
        <f t="shared" si="61"/>
        <v>0</v>
      </c>
      <c r="M135" s="276">
        <f t="shared" si="61"/>
        <v>0.44531349387712793</v>
      </c>
      <c r="N135" s="276">
        <f t="shared" si="61"/>
        <v>0.44845134551377441</v>
      </c>
      <c r="O135" s="276">
        <f t="shared" si="61"/>
        <v>0.30476060782967873</v>
      </c>
      <c r="P135" s="276">
        <f t="shared" si="61"/>
        <v>0</v>
      </c>
      <c r="Q135" s="276">
        <f t="shared" si="61"/>
        <v>0</v>
      </c>
      <c r="R135" s="276">
        <f t="shared" si="61"/>
        <v>0</v>
      </c>
      <c r="S135" s="276">
        <f t="shared" si="61"/>
        <v>0</v>
      </c>
      <c r="T135" s="276">
        <f t="shared" si="61"/>
        <v>0</v>
      </c>
      <c r="U135" s="276">
        <f t="shared" si="61"/>
        <v>0</v>
      </c>
      <c r="V135" s="276">
        <f t="shared" si="61"/>
        <v>0</v>
      </c>
      <c r="W135" s="276">
        <f t="shared" si="61"/>
        <v>0</v>
      </c>
      <c r="X135" s="276">
        <f t="shared" si="61"/>
        <v>0</v>
      </c>
      <c r="Y135" s="276">
        <f t="shared" si="61"/>
        <v>0</v>
      </c>
      <c r="Z135" s="276">
        <f t="shared" si="61"/>
        <v>0</v>
      </c>
      <c r="AA135" s="276">
        <f t="shared" si="61"/>
        <v>0</v>
      </c>
      <c r="AB135" s="276">
        <f t="shared" si="61"/>
        <v>0</v>
      </c>
      <c r="AC135" s="276">
        <f t="shared" si="61"/>
        <v>0</v>
      </c>
      <c r="AD135" s="276">
        <f t="shared" si="61"/>
        <v>0</v>
      </c>
      <c r="AE135" s="276">
        <f t="shared" si="61"/>
        <v>0</v>
      </c>
      <c r="AF135" s="276">
        <f t="shared" si="61"/>
        <v>0.45774974900578186</v>
      </c>
      <c r="AG135" s="276">
        <f t="shared" si="61"/>
        <v>0.43463275019295083</v>
      </c>
      <c r="AH135" s="276">
        <f t="shared" si="61"/>
        <v>0.43569588043800428</v>
      </c>
      <c r="AI135" s="276">
        <f>(AI49+AI62)/AI134</f>
        <v>0.44867264539038232</v>
      </c>
      <c r="AJ135" s="276">
        <f>(AJ49+AJ62)/AJ134</f>
        <v>0.11298305604196025</v>
      </c>
    </row>
    <row r="136" spans="1:37" x14ac:dyDescent="0.3">
      <c r="B136" s="44" t="s">
        <v>251</v>
      </c>
      <c r="E136" s="276">
        <f t="shared" ref="E136:AI136" si="62">(E53+E66)/E134</f>
        <v>0.39523733260461841</v>
      </c>
      <c r="F136" s="276">
        <f t="shared" si="62"/>
        <v>0.22426607209215904</v>
      </c>
      <c r="G136" s="276">
        <f t="shared" si="62"/>
        <v>0.35974078495310224</v>
      </c>
      <c r="H136" s="276">
        <f t="shared" si="62"/>
        <v>0.70552186477272039</v>
      </c>
      <c r="I136" s="276">
        <f t="shared" si="62"/>
        <v>0.70347333860921779</v>
      </c>
      <c r="J136" s="276">
        <f t="shared" si="62"/>
        <v>0.69000435174565578</v>
      </c>
      <c r="K136" s="276">
        <f t="shared" si="62"/>
        <v>0.70696258099941578</v>
      </c>
      <c r="L136" s="276">
        <f t="shared" si="62"/>
        <v>0.69856324182182672</v>
      </c>
      <c r="M136" s="276">
        <f t="shared" si="62"/>
        <v>0.26374987151854523</v>
      </c>
      <c r="N136" s="276">
        <f t="shared" si="62"/>
        <v>0.26378198265970126</v>
      </c>
      <c r="O136" s="276">
        <f t="shared" si="62"/>
        <v>0.37933802020213298</v>
      </c>
      <c r="P136" s="276">
        <f t="shared" si="62"/>
        <v>0.67066601669611847</v>
      </c>
      <c r="Q136" s="276">
        <f t="shared" si="62"/>
        <v>0.71775767903025223</v>
      </c>
      <c r="R136" s="276">
        <f t="shared" si="62"/>
        <v>0.72110729480378177</v>
      </c>
      <c r="S136" s="276">
        <f t="shared" si="62"/>
        <v>0.5505135712319229</v>
      </c>
      <c r="T136" s="276">
        <f t="shared" si="62"/>
        <v>0.53970383941426525</v>
      </c>
      <c r="U136" s="276">
        <f t="shared" si="62"/>
        <v>0.44414950419995558</v>
      </c>
      <c r="V136" s="276">
        <f t="shared" si="62"/>
        <v>0.36171980859949987</v>
      </c>
      <c r="W136" s="276">
        <f t="shared" si="62"/>
        <v>0.35777860937454142</v>
      </c>
      <c r="X136" s="276">
        <f t="shared" si="62"/>
        <v>0.35266054430311178</v>
      </c>
      <c r="Y136" s="276">
        <f t="shared" si="62"/>
        <v>0.49561691113028472</v>
      </c>
      <c r="Z136" s="276">
        <f t="shared" si="62"/>
        <v>0.53277095176966804</v>
      </c>
      <c r="AA136" s="276">
        <f t="shared" si="62"/>
        <v>0.53327343082651835</v>
      </c>
      <c r="AB136" s="276">
        <f t="shared" si="62"/>
        <v>0.51835681545015455</v>
      </c>
      <c r="AC136" s="276">
        <f t="shared" si="62"/>
        <v>0.48271635674205721</v>
      </c>
      <c r="AD136" s="276">
        <f t="shared" si="62"/>
        <v>0.45627863917306055</v>
      </c>
      <c r="AE136" s="276">
        <f t="shared" si="62"/>
        <v>0.41682683553523375</v>
      </c>
      <c r="AF136" s="276">
        <f t="shared" si="62"/>
        <v>0</v>
      </c>
      <c r="AG136" s="276">
        <f t="shared" si="62"/>
        <v>0</v>
      </c>
      <c r="AH136" s="276">
        <f t="shared" si="62"/>
        <v>0</v>
      </c>
      <c r="AI136" s="276">
        <f t="shared" si="62"/>
        <v>0</v>
      </c>
      <c r="AJ136" s="276">
        <f>(AJ53+AJ66)/AJ134</f>
        <v>0.47329980167455366</v>
      </c>
    </row>
    <row r="137" spans="1:37" x14ac:dyDescent="0.3">
      <c r="B137" s="44" t="s">
        <v>270</v>
      </c>
      <c r="E137" s="276">
        <f>(E45+E58)/E134</f>
        <v>0.4401288989236522</v>
      </c>
      <c r="F137" s="276">
        <f>(F45+F58)/F134</f>
        <v>0.51252632230893103</v>
      </c>
      <c r="G137" s="276">
        <f t="shared" ref="G137:AI137" si="63">(G45+G58)/G134</f>
        <v>0.28322476933777413</v>
      </c>
      <c r="H137" s="276">
        <f t="shared" si="63"/>
        <v>0.2228522459571802</v>
      </c>
      <c r="I137" s="276">
        <f t="shared" si="63"/>
        <v>0.22476347590817369</v>
      </c>
      <c r="J137" s="276">
        <f t="shared" si="63"/>
        <v>0.22189355214194681</v>
      </c>
      <c r="K137" s="276">
        <f t="shared" si="63"/>
        <v>0.21414681849082143</v>
      </c>
      <c r="L137" s="276">
        <f t="shared" si="63"/>
        <v>0.24016792749046387</v>
      </c>
      <c r="M137" s="276">
        <f t="shared" si="63"/>
        <v>0.23116610204629731</v>
      </c>
      <c r="N137" s="276">
        <f t="shared" si="63"/>
        <v>0.24043395049819691</v>
      </c>
      <c r="O137" s="276">
        <f>(O45+O58)/O134</f>
        <v>0.25651481625843542</v>
      </c>
      <c r="P137" s="276">
        <f t="shared" si="63"/>
        <v>0.24328786188832341</v>
      </c>
      <c r="Q137" s="276">
        <f t="shared" si="63"/>
        <v>0.2262393370240334</v>
      </c>
      <c r="R137" s="276">
        <f t="shared" si="63"/>
        <v>0.22941911279387087</v>
      </c>
      <c r="S137" s="276">
        <f t="shared" si="63"/>
        <v>0.39219713572545384</v>
      </c>
      <c r="T137" s="276">
        <f t="shared" si="63"/>
        <v>0.42408854594130291</v>
      </c>
      <c r="U137" s="276">
        <f t="shared" si="63"/>
        <v>0.43325926900643608</v>
      </c>
      <c r="V137" s="276">
        <f t="shared" si="63"/>
        <v>0.55680386382678571</v>
      </c>
      <c r="W137" s="276">
        <f t="shared" si="63"/>
        <v>0.55110895874301702</v>
      </c>
      <c r="X137" s="276">
        <f t="shared" si="63"/>
        <v>0.54340947199692713</v>
      </c>
      <c r="Y137" s="276">
        <f t="shared" si="63"/>
        <v>0.41238999137187232</v>
      </c>
      <c r="Z137" s="276">
        <f t="shared" si="63"/>
        <v>0.39718692354990776</v>
      </c>
      <c r="AA137" s="276">
        <f t="shared" si="63"/>
        <v>0.43668236580613429</v>
      </c>
      <c r="AB137" s="276">
        <f t="shared" si="63"/>
        <v>0.41853899190223381</v>
      </c>
      <c r="AC137" s="276">
        <f t="shared" si="63"/>
        <v>0.3916235373537354</v>
      </c>
      <c r="AD137" s="276">
        <f t="shared" si="63"/>
        <v>0.47882799179454388</v>
      </c>
      <c r="AE137" s="276">
        <f t="shared" si="63"/>
        <v>0.4850643056932446</v>
      </c>
      <c r="AF137" s="276">
        <f t="shared" si="63"/>
        <v>0.47389051187206555</v>
      </c>
      <c r="AG137" s="276">
        <f t="shared" si="63"/>
        <v>0.49154617957293545</v>
      </c>
      <c r="AH137" s="276">
        <f t="shared" si="63"/>
        <v>0.49589331756962601</v>
      </c>
      <c r="AI137" s="276">
        <f t="shared" si="63"/>
        <v>0.49346193229627355</v>
      </c>
      <c r="AJ137" s="276">
        <f>(AJ58+AJ45)/AJ134</f>
        <v>0.34545116100047452</v>
      </c>
    </row>
    <row r="138" spans="1:37" x14ac:dyDescent="0.3">
      <c r="B138" s="44" t="s">
        <v>254</v>
      </c>
      <c r="E138" s="276">
        <f>((E101*E102)+(E105*E106))/E134</f>
        <v>0</v>
      </c>
      <c r="F138" s="276">
        <f t="shared" ref="F138:AI138" si="64">((F101*F102)+(F105*F106))/F134</f>
        <v>0</v>
      </c>
      <c r="G138" s="276">
        <f t="shared" si="64"/>
        <v>0</v>
      </c>
      <c r="H138" s="276">
        <f t="shared" si="64"/>
        <v>0</v>
      </c>
      <c r="I138" s="276">
        <f t="shared" si="64"/>
        <v>0</v>
      </c>
      <c r="J138" s="276">
        <f t="shared" si="64"/>
        <v>0</v>
      </c>
      <c r="K138" s="276">
        <f t="shared" si="64"/>
        <v>3.6287334508346017E-3</v>
      </c>
      <c r="L138" s="276">
        <f t="shared" si="64"/>
        <v>1.3132737568733614E-2</v>
      </c>
      <c r="M138" s="276">
        <f t="shared" si="64"/>
        <v>0</v>
      </c>
      <c r="N138" s="276">
        <f t="shared" si="64"/>
        <v>0</v>
      </c>
      <c r="O138" s="276">
        <f t="shared" si="64"/>
        <v>1.0661503480605513E-2</v>
      </c>
      <c r="P138" s="276">
        <f t="shared" si="64"/>
        <v>0</v>
      </c>
      <c r="Q138" s="276">
        <f t="shared" si="64"/>
        <v>0</v>
      </c>
      <c r="R138" s="276">
        <f t="shared" si="64"/>
        <v>0</v>
      </c>
      <c r="S138" s="276">
        <f t="shared" si="64"/>
        <v>9.3081214818517069E-3</v>
      </c>
      <c r="T138" s="276">
        <f t="shared" si="64"/>
        <v>0</v>
      </c>
      <c r="U138" s="276">
        <f t="shared" si="64"/>
        <v>0</v>
      </c>
      <c r="V138" s="276">
        <f t="shared" si="64"/>
        <v>0</v>
      </c>
      <c r="W138" s="276">
        <f t="shared" si="64"/>
        <v>8.3882890385763055E-3</v>
      </c>
      <c r="X138" s="276">
        <f t="shared" si="64"/>
        <v>0</v>
      </c>
      <c r="Y138" s="276">
        <f t="shared" si="64"/>
        <v>0</v>
      </c>
      <c r="Z138" s="276">
        <f t="shared" si="64"/>
        <v>5.9671200957918469E-3</v>
      </c>
      <c r="AA138" s="276">
        <f t="shared" si="64"/>
        <v>0</v>
      </c>
      <c r="AB138" s="276">
        <f t="shared" si="64"/>
        <v>0</v>
      </c>
      <c r="AC138" s="276">
        <f t="shared" si="64"/>
        <v>0</v>
      </c>
      <c r="AD138" s="276">
        <f t="shared" si="64"/>
        <v>7.080436114663257E-3</v>
      </c>
      <c r="AE138" s="276">
        <f t="shared" si="64"/>
        <v>0</v>
      </c>
      <c r="AF138" s="276">
        <f t="shared" si="64"/>
        <v>0</v>
      </c>
      <c r="AG138" s="276">
        <f t="shared" si="64"/>
        <v>0</v>
      </c>
      <c r="AH138" s="276">
        <f t="shared" si="64"/>
        <v>0</v>
      </c>
      <c r="AI138" s="276">
        <f t="shared" si="64"/>
        <v>0</v>
      </c>
      <c r="AJ138" s="276">
        <f>((AJ101*AJ102)+(AJ105*AJ106))/AJ134</f>
        <v>2.1067091266256796E-3</v>
      </c>
    </row>
    <row r="139" spans="1:37" x14ac:dyDescent="0.3">
      <c r="B139" s="44" t="s">
        <v>255</v>
      </c>
      <c r="E139" s="276">
        <f>(E75*E77)/E134</f>
        <v>0</v>
      </c>
      <c r="F139" s="276">
        <f t="shared" ref="F139:AI139" si="65">(F75*F77)/F134</f>
        <v>0</v>
      </c>
      <c r="G139" s="276">
        <f t="shared" si="65"/>
        <v>0.1003775530033546</v>
      </c>
      <c r="H139" s="276">
        <f t="shared" si="65"/>
        <v>7.2006967957065335E-2</v>
      </c>
      <c r="I139" s="276">
        <f t="shared" si="65"/>
        <v>7.2250826921118325E-2</v>
      </c>
      <c r="J139" s="276">
        <f t="shared" si="65"/>
        <v>8.8280635905413782E-2</v>
      </c>
      <c r="K139" s="276">
        <f t="shared" si="65"/>
        <v>7.5315767134849276E-2</v>
      </c>
      <c r="L139" s="276">
        <f t="shared" si="65"/>
        <v>4.846731600974135E-2</v>
      </c>
      <c r="M139" s="276">
        <f t="shared" si="65"/>
        <v>5.9603702988221242E-2</v>
      </c>
      <c r="N139" s="276">
        <f t="shared" si="65"/>
        <v>4.7265207797821597E-2</v>
      </c>
      <c r="O139" s="276">
        <f t="shared" si="65"/>
        <v>4.8647520690140091E-2</v>
      </c>
      <c r="P139" s="276">
        <f t="shared" si="65"/>
        <v>8.6241200891236797E-2</v>
      </c>
      <c r="Q139" s="276">
        <f t="shared" si="65"/>
        <v>5.6139373111775942E-2</v>
      </c>
      <c r="R139" s="276">
        <f t="shared" si="65"/>
        <v>4.9608899726093614E-2</v>
      </c>
      <c r="S139" s="276">
        <f t="shared" si="65"/>
        <v>4.780689452074894E-2</v>
      </c>
      <c r="T139" s="276">
        <f t="shared" si="65"/>
        <v>3.6266758645588662E-2</v>
      </c>
      <c r="U139" s="276">
        <f t="shared" si="65"/>
        <v>0.12288894788376195</v>
      </c>
      <c r="V139" s="276">
        <f t="shared" si="65"/>
        <v>8.1174351894406277E-2</v>
      </c>
      <c r="W139" s="276">
        <f t="shared" si="65"/>
        <v>8.1950803713813317E-2</v>
      </c>
      <c r="X139" s="276">
        <f t="shared" si="65"/>
        <v>0.10321100917431193</v>
      </c>
      <c r="Y139" s="276">
        <f t="shared" si="65"/>
        <v>9.1776983442212093E-2</v>
      </c>
      <c r="Z139" s="276">
        <f t="shared" si="65"/>
        <v>6.3973150235704032E-2</v>
      </c>
      <c r="AA139" s="276">
        <f>(AA75*AA77)/AA134</f>
        <v>2.9065637960738015E-2</v>
      </c>
      <c r="AB139" s="276">
        <f t="shared" si="65"/>
        <v>6.3298699441061368E-2</v>
      </c>
      <c r="AC139" s="276">
        <f t="shared" si="65"/>
        <v>0.12530252360342417</v>
      </c>
      <c r="AD139" s="276">
        <f t="shared" si="65"/>
        <v>5.8108216112531967E-2</v>
      </c>
      <c r="AE139" s="276">
        <f t="shared" si="65"/>
        <v>9.7501744997673334E-2</v>
      </c>
      <c r="AF139" s="276">
        <f t="shared" si="65"/>
        <v>6.8067758289835481E-2</v>
      </c>
      <c r="AG139" s="276">
        <f t="shared" si="65"/>
        <v>7.3862876254180601E-2</v>
      </c>
      <c r="AH139" s="276">
        <f t="shared" si="65"/>
        <v>6.8552972578910049E-2</v>
      </c>
      <c r="AI139" s="276">
        <f t="shared" si="65"/>
        <v>5.8512824130509102E-2</v>
      </c>
      <c r="AJ139" s="276">
        <f>(AJ75*AJ77)/AJ134</f>
        <v>6.6143715341075049E-2</v>
      </c>
    </row>
  </sheetData>
  <mergeCells count="4">
    <mergeCell ref="A118:A119"/>
    <mergeCell ref="A120:A121"/>
    <mergeCell ref="A123:A124"/>
    <mergeCell ref="A125:A126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1601B-149B-4FC8-8544-8752FDCED48B}">
  <dimension ref="A1:ZC140"/>
  <sheetViews>
    <sheetView zoomScale="88" workbookViewId="0">
      <selection activeCell="E12" sqref="E12"/>
    </sheetView>
  </sheetViews>
  <sheetFormatPr defaultColWidth="8.6640625" defaultRowHeight="14.4" x14ac:dyDescent="0.3"/>
  <cols>
    <col min="1" max="1" width="4" customWidth="1"/>
    <col min="2" max="2" width="35.6640625" customWidth="1"/>
    <col min="3" max="3" width="20" style="2" bestFit="1" customWidth="1"/>
    <col min="4" max="4" width="14.33203125" style="2" bestFit="1" customWidth="1"/>
    <col min="5" max="5" width="13.21875" style="3" bestFit="1" customWidth="1"/>
    <col min="6" max="12" width="11" style="3" bestFit="1" customWidth="1"/>
    <col min="13" max="13" width="11" style="2" bestFit="1" customWidth="1"/>
    <col min="14" max="26" width="11" style="3" bestFit="1" customWidth="1"/>
    <col min="27" max="29" width="10.6640625" style="3" customWidth="1"/>
    <col min="30" max="33" width="12.44140625" style="3" customWidth="1"/>
    <col min="34" max="34" width="13" style="3" customWidth="1"/>
    <col min="35" max="35" width="11.109375" style="3" hidden="1" customWidth="1"/>
    <col min="36" max="36" width="15" style="3" bestFit="1" customWidth="1"/>
    <col min="37" max="37" width="14.109375" bestFit="1" customWidth="1"/>
    <col min="38" max="38" width="16" customWidth="1"/>
  </cols>
  <sheetData>
    <row r="1" spans="1:253" ht="28.8" x14ac:dyDescent="0.55000000000000004">
      <c r="A1" s="1" t="s">
        <v>0</v>
      </c>
      <c r="N1"/>
      <c r="O1"/>
      <c r="P1"/>
      <c r="R1"/>
      <c r="S1"/>
      <c r="T1"/>
      <c r="U1"/>
    </row>
    <row r="2" spans="1:253" x14ac:dyDescent="0.3">
      <c r="A2" s="4" t="s">
        <v>1</v>
      </c>
      <c r="B2" s="5" t="s">
        <v>2</v>
      </c>
      <c r="C2" s="4" t="s">
        <v>3</v>
      </c>
      <c r="D2" s="4" t="s">
        <v>4</v>
      </c>
      <c r="E2" s="6">
        <v>45536</v>
      </c>
      <c r="F2" s="6">
        <v>45537</v>
      </c>
      <c r="G2" s="6">
        <v>45538</v>
      </c>
      <c r="H2" s="6">
        <v>45539</v>
      </c>
      <c r="I2" s="6">
        <v>45540</v>
      </c>
      <c r="J2" s="6">
        <v>45541</v>
      </c>
      <c r="K2" s="6">
        <v>45542</v>
      </c>
      <c r="L2" s="6">
        <v>45543</v>
      </c>
      <c r="M2" s="6">
        <v>45544</v>
      </c>
      <c r="N2" s="6">
        <v>45545</v>
      </c>
      <c r="O2" s="6">
        <v>45546</v>
      </c>
      <c r="P2" s="6">
        <v>45547</v>
      </c>
      <c r="Q2" s="6">
        <v>45548</v>
      </c>
      <c r="R2" s="6">
        <v>45549</v>
      </c>
      <c r="S2" s="6">
        <v>45550</v>
      </c>
      <c r="T2" s="6">
        <v>45551</v>
      </c>
      <c r="U2" s="6">
        <v>45552</v>
      </c>
      <c r="V2" s="6">
        <v>45553</v>
      </c>
      <c r="W2" s="6">
        <v>45554</v>
      </c>
      <c r="X2" s="6">
        <v>45555</v>
      </c>
      <c r="Y2" s="6">
        <v>45556</v>
      </c>
      <c r="Z2" s="6">
        <v>45557</v>
      </c>
      <c r="AA2" s="6">
        <v>45558</v>
      </c>
      <c r="AB2" s="6">
        <v>45559</v>
      </c>
      <c r="AC2" s="6">
        <v>45560</v>
      </c>
      <c r="AD2" s="6">
        <v>45561</v>
      </c>
      <c r="AE2" s="6">
        <v>45562</v>
      </c>
      <c r="AF2" s="6">
        <v>45563</v>
      </c>
      <c r="AG2" s="6">
        <v>45564</v>
      </c>
      <c r="AH2" s="6">
        <v>45565</v>
      </c>
      <c r="AI2" s="6">
        <v>45535</v>
      </c>
      <c r="AJ2" s="7">
        <v>45505</v>
      </c>
    </row>
    <row r="3" spans="1:253" x14ac:dyDescent="0.3">
      <c r="A3" s="8"/>
      <c r="B3" s="9" t="s">
        <v>5</v>
      </c>
      <c r="C3" s="10" t="s">
        <v>6</v>
      </c>
      <c r="D3" s="10" t="s">
        <v>7</v>
      </c>
      <c r="E3" s="10">
        <f>E80+E81+E85+E86</f>
        <v>11190</v>
      </c>
      <c r="F3" s="10">
        <f t="shared" ref="F3:AI3" si="0">F80+F81+F85+F86</f>
        <v>11779</v>
      </c>
      <c r="G3" s="10">
        <f t="shared" si="0"/>
        <v>9510</v>
      </c>
      <c r="H3" s="10">
        <f t="shared" si="0"/>
        <v>13560</v>
      </c>
      <c r="I3" s="10">
        <f t="shared" si="0"/>
        <v>14513</v>
      </c>
      <c r="J3" s="10">
        <f t="shared" si="0"/>
        <v>0</v>
      </c>
      <c r="K3" s="10">
        <f t="shared" si="0"/>
        <v>0</v>
      </c>
      <c r="L3" s="10">
        <f t="shared" si="0"/>
        <v>0</v>
      </c>
      <c r="M3" s="10">
        <f t="shared" si="0"/>
        <v>0</v>
      </c>
      <c r="N3" s="10">
        <f t="shared" si="0"/>
        <v>0</v>
      </c>
      <c r="O3" s="10">
        <f t="shared" si="0"/>
        <v>0</v>
      </c>
      <c r="P3" s="10">
        <f t="shared" si="0"/>
        <v>0</v>
      </c>
      <c r="Q3" s="10">
        <f t="shared" si="0"/>
        <v>0</v>
      </c>
      <c r="R3" s="10">
        <f t="shared" si="0"/>
        <v>0</v>
      </c>
      <c r="S3" s="10">
        <f t="shared" si="0"/>
        <v>0</v>
      </c>
      <c r="T3" s="10">
        <f t="shared" si="0"/>
        <v>0</v>
      </c>
      <c r="U3" s="10">
        <f t="shared" si="0"/>
        <v>0</v>
      </c>
      <c r="V3" s="10">
        <f t="shared" si="0"/>
        <v>0</v>
      </c>
      <c r="W3" s="10">
        <f t="shared" si="0"/>
        <v>0</v>
      </c>
      <c r="X3" s="10">
        <f t="shared" si="0"/>
        <v>0</v>
      </c>
      <c r="Y3" s="10">
        <f t="shared" si="0"/>
        <v>0</v>
      </c>
      <c r="Z3" s="10">
        <f t="shared" si="0"/>
        <v>0</v>
      </c>
      <c r="AA3" s="10">
        <f t="shared" si="0"/>
        <v>0</v>
      </c>
      <c r="AB3" s="10">
        <f t="shared" si="0"/>
        <v>0</v>
      </c>
      <c r="AC3" s="10">
        <f t="shared" si="0"/>
        <v>0</v>
      </c>
      <c r="AD3" s="10">
        <f t="shared" si="0"/>
        <v>0</v>
      </c>
      <c r="AE3" s="10">
        <f t="shared" si="0"/>
        <v>0</v>
      </c>
      <c r="AF3" s="10">
        <f t="shared" si="0"/>
        <v>0</v>
      </c>
      <c r="AG3" s="10">
        <f t="shared" si="0"/>
        <v>0</v>
      </c>
      <c r="AH3" s="10">
        <f t="shared" si="0"/>
        <v>0</v>
      </c>
      <c r="AI3" s="10">
        <f t="shared" si="0"/>
        <v>0</v>
      </c>
      <c r="AJ3" s="11">
        <f>SUM(E3:AI3)</f>
        <v>60552</v>
      </c>
      <c r="AK3" s="12">
        <f>AJ3+'Jul-24'!AK3</f>
        <v>1436037</v>
      </c>
    </row>
    <row r="4" spans="1:253" x14ac:dyDescent="0.3">
      <c r="A4" s="8"/>
      <c r="B4" s="9" t="s">
        <v>8</v>
      </c>
      <c r="C4" s="10" t="s">
        <v>6</v>
      </c>
      <c r="D4" s="10" t="s">
        <v>7</v>
      </c>
      <c r="E4" s="10">
        <f>E91+E92+E95+E96</f>
        <v>3716</v>
      </c>
      <c r="F4" s="10">
        <f t="shared" ref="F4:AI4" si="1">F91+F92+F95+F96</f>
        <v>3813</v>
      </c>
      <c r="G4" s="10">
        <f t="shared" si="1"/>
        <v>3193</v>
      </c>
      <c r="H4" s="10">
        <f t="shared" si="1"/>
        <v>4371</v>
      </c>
      <c r="I4" s="10">
        <f t="shared" si="1"/>
        <v>4770</v>
      </c>
      <c r="J4" s="10">
        <f t="shared" si="1"/>
        <v>0</v>
      </c>
      <c r="K4" s="10">
        <f t="shared" si="1"/>
        <v>0</v>
      </c>
      <c r="L4" s="10">
        <f t="shared" si="1"/>
        <v>0</v>
      </c>
      <c r="M4" s="10">
        <f t="shared" si="1"/>
        <v>0</v>
      </c>
      <c r="N4" s="10">
        <f t="shared" si="1"/>
        <v>0</v>
      </c>
      <c r="O4" s="10">
        <f>O91+O92+O95+O96</f>
        <v>0</v>
      </c>
      <c r="P4" s="10">
        <f>P91+P92+P95+P96</f>
        <v>0</v>
      </c>
      <c r="Q4" s="10">
        <f>Q91+Q92+Q95+Q96</f>
        <v>0</v>
      </c>
      <c r="R4" s="10">
        <f>R91+R92+R95+R96</f>
        <v>0</v>
      </c>
      <c r="S4" s="10">
        <f t="shared" si="1"/>
        <v>0</v>
      </c>
      <c r="T4" s="10">
        <f t="shared" si="1"/>
        <v>0</v>
      </c>
      <c r="U4" s="10">
        <f t="shared" si="1"/>
        <v>0</v>
      </c>
      <c r="V4" s="10">
        <f t="shared" si="1"/>
        <v>0</v>
      </c>
      <c r="W4" s="10">
        <f t="shared" si="1"/>
        <v>0</v>
      </c>
      <c r="X4" s="10">
        <f t="shared" si="1"/>
        <v>0</v>
      </c>
      <c r="Y4" s="10">
        <f t="shared" si="1"/>
        <v>0</v>
      </c>
      <c r="Z4" s="10">
        <f t="shared" si="1"/>
        <v>0</v>
      </c>
      <c r="AA4" s="10">
        <f t="shared" si="1"/>
        <v>0</v>
      </c>
      <c r="AB4" s="10">
        <f t="shared" si="1"/>
        <v>0</v>
      </c>
      <c r="AC4" s="10">
        <f t="shared" si="1"/>
        <v>0</v>
      </c>
      <c r="AD4" s="10">
        <f t="shared" si="1"/>
        <v>0</v>
      </c>
      <c r="AE4" s="10">
        <f t="shared" si="1"/>
        <v>0</v>
      </c>
      <c r="AF4" s="10">
        <f t="shared" si="1"/>
        <v>0</v>
      </c>
      <c r="AG4" s="10">
        <f t="shared" si="1"/>
        <v>0</v>
      </c>
      <c r="AH4" s="10">
        <f t="shared" si="1"/>
        <v>0</v>
      </c>
      <c r="AI4" s="10">
        <f t="shared" si="1"/>
        <v>0</v>
      </c>
      <c r="AJ4" s="11">
        <f>SUM(E4:AI4)</f>
        <v>19863</v>
      </c>
      <c r="AK4" s="12">
        <f>AJ4+'Jul-24'!AK4</f>
        <v>469841</v>
      </c>
    </row>
    <row r="5" spans="1:253" s="19" customFormat="1" x14ac:dyDescent="0.3">
      <c r="A5" s="13">
        <v>1</v>
      </c>
      <c r="B5" s="14" t="s">
        <v>9</v>
      </c>
      <c r="C5" s="15" t="s">
        <v>6</v>
      </c>
      <c r="D5" s="15" t="s">
        <v>10</v>
      </c>
      <c r="E5" s="16">
        <f t="shared" ref="E5:AI5" si="2">E4/E3</f>
        <v>0.33208221626452189</v>
      </c>
      <c r="F5" s="16">
        <f t="shared" si="2"/>
        <v>0.32371169029628999</v>
      </c>
      <c r="G5" s="16">
        <f t="shared" si="2"/>
        <v>0.33575184016824394</v>
      </c>
      <c r="H5" s="16">
        <f t="shared" si="2"/>
        <v>0.32234513274336285</v>
      </c>
      <c r="I5" s="16">
        <f t="shared" si="2"/>
        <v>0.32867084682698272</v>
      </c>
      <c r="J5" s="16" t="e">
        <f t="shared" si="2"/>
        <v>#DIV/0!</v>
      </c>
      <c r="K5" s="16" t="e">
        <f t="shared" si="2"/>
        <v>#DIV/0!</v>
      </c>
      <c r="L5" s="16" t="e">
        <f t="shared" si="2"/>
        <v>#DIV/0!</v>
      </c>
      <c r="M5" s="17" t="e">
        <f t="shared" si="2"/>
        <v>#DIV/0!</v>
      </c>
      <c r="N5" s="16" t="e">
        <f t="shared" si="2"/>
        <v>#DIV/0!</v>
      </c>
      <c r="O5" s="16" t="e">
        <f t="shared" si="2"/>
        <v>#DIV/0!</v>
      </c>
      <c r="P5" s="16" t="e">
        <f t="shared" si="2"/>
        <v>#DIV/0!</v>
      </c>
      <c r="Q5" s="16" t="e">
        <f t="shared" si="2"/>
        <v>#DIV/0!</v>
      </c>
      <c r="R5" s="16" t="e">
        <f t="shared" si="2"/>
        <v>#DIV/0!</v>
      </c>
      <c r="S5" s="16" t="e">
        <f t="shared" si="2"/>
        <v>#DIV/0!</v>
      </c>
      <c r="T5" s="16" t="e">
        <f t="shared" si="2"/>
        <v>#DIV/0!</v>
      </c>
      <c r="U5" s="16" t="e">
        <f t="shared" si="2"/>
        <v>#DIV/0!</v>
      </c>
      <c r="V5" s="16" t="e">
        <f t="shared" si="2"/>
        <v>#DIV/0!</v>
      </c>
      <c r="W5" s="16" t="e">
        <f t="shared" si="2"/>
        <v>#DIV/0!</v>
      </c>
      <c r="X5" s="16" t="e">
        <f t="shared" si="2"/>
        <v>#DIV/0!</v>
      </c>
      <c r="Y5" s="16" t="e">
        <f t="shared" si="2"/>
        <v>#DIV/0!</v>
      </c>
      <c r="Z5" s="16" t="e">
        <f t="shared" si="2"/>
        <v>#DIV/0!</v>
      </c>
      <c r="AA5" s="16" t="e">
        <f t="shared" si="2"/>
        <v>#DIV/0!</v>
      </c>
      <c r="AB5" s="16" t="e">
        <f t="shared" si="2"/>
        <v>#DIV/0!</v>
      </c>
      <c r="AC5" s="16" t="e">
        <f t="shared" si="2"/>
        <v>#DIV/0!</v>
      </c>
      <c r="AD5" s="16" t="e">
        <f t="shared" si="2"/>
        <v>#DIV/0!</v>
      </c>
      <c r="AE5" s="16" t="e">
        <f t="shared" si="2"/>
        <v>#DIV/0!</v>
      </c>
      <c r="AF5" s="16" t="e">
        <f t="shared" si="2"/>
        <v>#DIV/0!</v>
      </c>
      <c r="AG5" s="16" t="e">
        <f t="shared" si="2"/>
        <v>#DIV/0!</v>
      </c>
      <c r="AH5" s="16" t="e">
        <f t="shared" si="2"/>
        <v>#DIV/0!</v>
      </c>
      <c r="AI5" s="16" t="e">
        <f t="shared" si="2"/>
        <v>#DIV/0!</v>
      </c>
      <c r="AJ5" s="18">
        <f>AJ4/AJ3</f>
        <v>0.32803210463733651</v>
      </c>
      <c r="AK5" s="18">
        <f>AK4/AK3</f>
        <v>0.32717889580839493</v>
      </c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</row>
    <row r="6" spans="1:253" x14ac:dyDescent="0.3">
      <c r="A6" s="8"/>
      <c r="B6" s="9" t="s">
        <v>8</v>
      </c>
      <c r="C6" s="10" t="s">
        <v>6</v>
      </c>
      <c r="D6" s="10" t="s">
        <v>7</v>
      </c>
      <c r="E6" s="10">
        <f>E93</f>
        <v>309</v>
      </c>
      <c r="F6" s="10">
        <f t="shared" ref="F6:AI6" si="3">F93</f>
        <v>0</v>
      </c>
      <c r="G6" s="10">
        <f t="shared" si="3"/>
        <v>0</v>
      </c>
      <c r="H6" s="10">
        <f t="shared" si="3"/>
        <v>0</v>
      </c>
      <c r="I6" s="10">
        <f t="shared" si="3"/>
        <v>294</v>
      </c>
      <c r="J6" s="10">
        <f>J93</f>
        <v>0</v>
      </c>
      <c r="K6" s="10">
        <f t="shared" si="3"/>
        <v>0</v>
      </c>
      <c r="L6" s="10">
        <f t="shared" si="3"/>
        <v>0</v>
      </c>
      <c r="M6" s="10">
        <f t="shared" si="3"/>
        <v>0</v>
      </c>
      <c r="N6" s="10">
        <f t="shared" si="3"/>
        <v>0</v>
      </c>
      <c r="O6" s="10">
        <f>O93</f>
        <v>0</v>
      </c>
      <c r="P6" s="10">
        <f>P93</f>
        <v>0</v>
      </c>
      <c r="Q6" s="10">
        <f>Q93</f>
        <v>0</v>
      </c>
      <c r="R6" s="10">
        <f>R93</f>
        <v>0</v>
      </c>
      <c r="S6" s="10">
        <f t="shared" si="3"/>
        <v>0</v>
      </c>
      <c r="T6" s="10">
        <f t="shared" si="3"/>
        <v>0</v>
      </c>
      <c r="U6" s="10">
        <f t="shared" si="3"/>
        <v>0</v>
      </c>
      <c r="V6" s="10">
        <f t="shared" si="3"/>
        <v>0</v>
      </c>
      <c r="W6" s="10">
        <f t="shared" si="3"/>
        <v>0</v>
      </c>
      <c r="X6" s="10">
        <f t="shared" si="3"/>
        <v>0</v>
      </c>
      <c r="Y6" s="10">
        <f t="shared" si="3"/>
        <v>0</v>
      </c>
      <c r="Z6" s="10">
        <f t="shared" si="3"/>
        <v>0</v>
      </c>
      <c r="AA6" s="10">
        <f t="shared" si="3"/>
        <v>0</v>
      </c>
      <c r="AB6" s="10">
        <f t="shared" si="3"/>
        <v>0</v>
      </c>
      <c r="AC6" s="10">
        <f t="shared" si="3"/>
        <v>0</v>
      </c>
      <c r="AD6" s="10">
        <f t="shared" si="3"/>
        <v>0</v>
      </c>
      <c r="AE6" s="10">
        <f t="shared" si="3"/>
        <v>0</v>
      </c>
      <c r="AF6" s="10">
        <f t="shared" si="3"/>
        <v>0</v>
      </c>
      <c r="AG6" s="10">
        <f t="shared" si="3"/>
        <v>0</v>
      </c>
      <c r="AH6" s="10">
        <f t="shared" si="3"/>
        <v>0</v>
      </c>
      <c r="AI6" s="10">
        <f t="shared" si="3"/>
        <v>0</v>
      </c>
      <c r="AJ6" s="11">
        <f>SUM(E6:AI6)</f>
        <v>603</v>
      </c>
      <c r="AK6" s="12">
        <f>AJ6+'Jul-24'!AK6</f>
        <v>20620</v>
      </c>
    </row>
    <row r="7" spans="1:253" x14ac:dyDescent="0.3">
      <c r="A7" s="8"/>
      <c r="B7" s="9" t="s">
        <v>11</v>
      </c>
      <c r="C7" s="10" t="s">
        <v>6</v>
      </c>
      <c r="D7" s="10" t="s">
        <v>7</v>
      </c>
      <c r="E7" s="10">
        <f>E82</f>
        <v>1100</v>
      </c>
      <c r="F7" s="10">
        <f t="shared" ref="F7:AI7" si="4">F82</f>
        <v>0</v>
      </c>
      <c r="G7" s="10">
        <f t="shared" si="4"/>
        <v>0</v>
      </c>
      <c r="H7" s="10">
        <f t="shared" si="4"/>
        <v>0</v>
      </c>
      <c r="I7" s="10">
        <f t="shared" si="4"/>
        <v>1045</v>
      </c>
      <c r="J7" s="10">
        <f t="shared" si="4"/>
        <v>0</v>
      </c>
      <c r="K7" s="10">
        <f t="shared" si="4"/>
        <v>0</v>
      </c>
      <c r="L7" s="10">
        <f t="shared" si="4"/>
        <v>0</v>
      </c>
      <c r="M7" s="10">
        <f t="shared" si="4"/>
        <v>0</v>
      </c>
      <c r="N7" s="10">
        <f t="shared" si="4"/>
        <v>0</v>
      </c>
      <c r="O7" s="10">
        <f t="shared" si="4"/>
        <v>0</v>
      </c>
      <c r="P7" s="10">
        <f t="shared" si="4"/>
        <v>0</v>
      </c>
      <c r="Q7" s="10">
        <f t="shared" si="4"/>
        <v>0</v>
      </c>
      <c r="R7" s="10">
        <f t="shared" si="4"/>
        <v>0</v>
      </c>
      <c r="S7" s="10">
        <f t="shared" si="4"/>
        <v>0</v>
      </c>
      <c r="T7" s="10">
        <f t="shared" si="4"/>
        <v>0</v>
      </c>
      <c r="U7" s="10">
        <f t="shared" si="4"/>
        <v>0</v>
      </c>
      <c r="V7" s="10">
        <f t="shared" si="4"/>
        <v>0</v>
      </c>
      <c r="W7" s="10">
        <f t="shared" si="4"/>
        <v>0</v>
      </c>
      <c r="X7" s="10">
        <f t="shared" si="4"/>
        <v>0</v>
      </c>
      <c r="Y7" s="10">
        <f t="shared" si="4"/>
        <v>0</v>
      </c>
      <c r="Z7" s="10">
        <f t="shared" si="4"/>
        <v>0</v>
      </c>
      <c r="AA7" s="10">
        <f t="shared" si="4"/>
        <v>0</v>
      </c>
      <c r="AB7" s="10">
        <f t="shared" si="4"/>
        <v>0</v>
      </c>
      <c r="AC7" s="10">
        <f t="shared" si="4"/>
        <v>0</v>
      </c>
      <c r="AD7" s="10">
        <f t="shared" si="4"/>
        <v>0</v>
      </c>
      <c r="AE7" s="10">
        <f t="shared" si="4"/>
        <v>0</v>
      </c>
      <c r="AF7" s="10">
        <f t="shared" si="4"/>
        <v>0</v>
      </c>
      <c r="AG7" s="10">
        <f t="shared" si="4"/>
        <v>0</v>
      </c>
      <c r="AH7" s="10">
        <f t="shared" si="4"/>
        <v>0</v>
      </c>
      <c r="AI7" s="10">
        <f t="shared" si="4"/>
        <v>0</v>
      </c>
      <c r="AJ7" s="11">
        <f>SUM(E7:AI7)</f>
        <v>2145</v>
      </c>
      <c r="AK7" s="12">
        <f>AJ7+'Jul-24'!AK7</f>
        <v>74402</v>
      </c>
    </row>
    <row r="8" spans="1:253" s="19" customFormat="1" x14ac:dyDescent="0.3">
      <c r="A8" s="13">
        <v>2</v>
      </c>
      <c r="B8" s="14" t="s">
        <v>12</v>
      </c>
      <c r="C8" s="15" t="s">
        <v>6</v>
      </c>
      <c r="D8" s="15" t="s">
        <v>10</v>
      </c>
      <c r="E8" s="21">
        <f t="shared" ref="E8:AI8" si="5">IFERROR(E6/E7,"-")</f>
        <v>0.28090909090909089</v>
      </c>
      <c r="F8" s="21" t="str">
        <f t="shared" si="5"/>
        <v>-</v>
      </c>
      <c r="G8" s="21" t="str">
        <f t="shared" si="5"/>
        <v>-</v>
      </c>
      <c r="H8" s="21" t="str">
        <f t="shared" si="5"/>
        <v>-</v>
      </c>
      <c r="I8" s="21">
        <f t="shared" si="5"/>
        <v>0.28133971291866028</v>
      </c>
      <c r="J8" s="21" t="str">
        <f t="shared" si="5"/>
        <v>-</v>
      </c>
      <c r="K8" s="21" t="str">
        <f t="shared" si="5"/>
        <v>-</v>
      </c>
      <c r="L8" s="21" t="str">
        <f t="shared" si="5"/>
        <v>-</v>
      </c>
      <c r="M8" s="21" t="str">
        <f t="shared" si="5"/>
        <v>-</v>
      </c>
      <c r="N8" s="21" t="str">
        <f t="shared" si="5"/>
        <v>-</v>
      </c>
      <c r="O8" s="21" t="str">
        <f t="shared" si="5"/>
        <v>-</v>
      </c>
      <c r="P8" s="21" t="str">
        <f t="shared" si="5"/>
        <v>-</v>
      </c>
      <c r="Q8" s="21" t="str">
        <f t="shared" si="5"/>
        <v>-</v>
      </c>
      <c r="R8" s="21" t="str">
        <f t="shared" si="5"/>
        <v>-</v>
      </c>
      <c r="S8" s="21" t="str">
        <f t="shared" si="5"/>
        <v>-</v>
      </c>
      <c r="T8" s="21" t="str">
        <f t="shared" si="5"/>
        <v>-</v>
      </c>
      <c r="U8" s="21" t="str">
        <f t="shared" si="5"/>
        <v>-</v>
      </c>
      <c r="V8" s="21" t="str">
        <f t="shared" si="5"/>
        <v>-</v>
      </c>
      <c r="W8" s="21" t="str">
        <f t="shared" si="5"/>
        <v>-</v>
      </c>
      <c r="X8" s="21" t="str">
        <f t="shared" si="5"/>
        <v>-</v>
      </c>
      <c r="Y8" s="21" t="str">
        <f t="shared" si="5"/>
        <v>-</v>
      </c>
      <c r="Z8" s="21" t="str">
        <f t="shared" si="5"/>
        <v>-</v>
      </c>
      <c r="AA8" s="21" t="str">
        <f t="shared" si="5"/>
        <v>-</v>
      </c>
      <c r="AB8" s="21" t="str">
        <f t="shared" si="5"/>
        <v>-</v>
      </c>
      <c r="AC8" s="21" t="str">
        <f t="shared" si="5"/>
        <v>-</v>
      </c>
      <c r="AD8" s="21" t="str">
        <f t="shared" si="5"/>
        <v>-</v>
      </c>
      <c r="AE8" s="21" t="str">
        <f t="shared" si="5"/>
        <v>-</v>
      </c>
      <c r="AF8" s="21" t="str">
        <f t="shared" si="5"/>
        <v>-</v>
      </c>
      <c r="AG8" s="21" t="str">
        <f t="shared" si="5"/>
        <v>-</v>
      </c>
      <c r="AH8" s="21" t="str">
        <f t="shared" si="5"/>
        <v>-</v>
      </c>
      <c r="AI8" s="21" t="str">
        <f t="shared" si="5"/>
        <v>-</v>
      </c>
      <c r="AJ8" s="18">
        <f>AJ6/AJ7</f>
        <v>0.28111888111888111</v>
      </c>
      <c r="AK8" s="18">
        <f>AK6/AK7</f>
        <v>0.27714308755140993</v>
      </c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</row>
    <row r="9" spans="1:253" x14ac:dyDescent="0.3">
      <c r="A9" s="8"/>
      <c r="B9" s="9" t="s">
        <v>8</v>
      </c>
      <c r="C9" s="10" t="s">
        <v>6</v>
      </c>
      <c r="D9" s="10" t="s">
        <v>7</v>
      </c>
      <c r="E9" s="10">
        <f>E94</f>
        <v>0</v>
      </c>
      <c r="F9" s="10">
        <f t="shared" ref="F9:AI9" si="6">F94</f>
        <v>603</v>
      </c>
      <c r="G9" s="10">
        <f t="shared" si="6"/>
        <v>0</v>
      </c>
      <c r="H9" s="10">
        <f t="shared" si="6"/>
        <v>0</v>
      </c>
      <c r="I9" s="10">
        <f t="shared" si="6"/>
        <v>668</v>
      </c>
      <c r="J9" s="10">
        <f t="shared" si="6"/>
        <v>0</v>
      </c>
      <c r="K9" s="10">
        <f t="shared" si="6"/>
        <v>0</v>
      </c>
      <c r="L9" s="10">
        <f t="shared" si="6"/>
        <v>0</v>
      </c>
      <c r="M9" s="10">
        <f t="shared" si="6"/>
        <v>0</v>
      </c>
      <c r="N9" s="10">
        <f t="shared" si="6"/>
        <v>0</v>
      </c>
      <c r="O9" s="10">
        <f t="shared" si="6"/>
        <v>0</v>
      </c>
      <c r="P9" s="10">
        <f t="shared" si="6"/>
        <v>0</v>
      </c>
      <c r="Q9" s="10">
        <f t="shared" si="6"/>
        <v>0</v>
      </c>
      <c r="R9" s="10">
        <f t="shared" si="6"/>
        <v>0</v>
      </c>
      <c r="S9" s="10">
        <f t="shared" si="6"/>
        <v>0</v>
      </c>
      <c r="T9" s="10">
        <f t="shared" si="6"/>
        <v>0</v>
      </c>
      <c r="U9" s="10">
        <f t="shared" si="6"/>
        <v>0</v>
      </c>
      <c r="V9" s="10">
        <f t="shared" si="6"/>
        <v>0</v>
      </c>
      <c r="W9" s="10">
        <f t="shared" si="6"/>
        <v>0</v>
      </c>
      <c r="X9" s="10">
        <f t="shared" si="6"/>
        <v>0</v>
      </c>
      <c r="Y9" s="10">
        <f t="shared" si="6"/>
        <v>0</v>
      </c>
      <c r="Z9" s="10">
        <f t="shared" si="6"/>
        <v>0</v>
      </c>
      <c r="AA9" s="10">
        <f t="shared" si="6"/>
        <v>0</v>
      </c>
      <c r="AB9" s="10">
        <f t="shared" si="6"/>
        <v>0</v>
      </c>
      <c r="AC9" s="10">
        <f t="shared" si="6"/>
        <v>0</v>
      </c>
      <c r="AD9" s="10">
        <f t="shared" si="6"/>
        <v>0</v>
      </c>
      <c r="AE9" s="10">
        <f t="shared" si="6"/>
        <v>0</v>
      </c>
      <c r="AF9" s="10">
        <f t="shared" si="6"/>
        <v>0</v>
      </c>
      <c r="AG9" s="10">
        <f t="shared" si="6"/>
        <v>0</v>
      </c>
      <c r="AH9" s="10">
        <f t="shared" si="6"/>
        <v>0</v>
      </c>
      <c r="AI9" s="10">
        <f t="shared" si="6"/>
        <v>0</v>
      </c>
      <c r="AJ9" s="69">
        <f>SUM(E9:AI9)</f>
        <v>1271</v>
      </c>
      <c r="AK9" s="12">
        <f>AJ9+'Jul-24'!AK9</f>
        <v>32779</v>
      </c>
    </row>
    <row r="10" spans="1:253" x14ac:dyDescent="0.3">
      <c r="A10" s="8"/>
      <c r="B10" s="9" t="s">
        <v>207</v>
      </c>
      <c r="C10" s="10" t="s">
        <v>6</v>
      </c>
      <c r="D10" s="10" t="s">
        <v>7</v>
      </c>
      <c r="E10" s="10">
        <f>E83</f>
        <v>0</v>
      </c>
      <c r="F10" s="10">
        <f t="shared" ref="F10:AI10" si="7">F83</f>
        <v>1945</v>
      </c>
      <c r="G10" s="10">
        <f t="shared" si="7"/>
        <v>0</v>
      </c>
      <c r="H10" s="10">
        <f t="shared" si="7"/>
        <v>0</v>
      </c>
      <c r="I10" s="10">
        <f t="shared" si="7"/>
        <v>2220</v>
      </c>
      <c r="J10" s="10">
        <f t="shared" si="7"/>
        <v>0</v>
      </c>
      <c r="K10" s="10">
        <f t="shared" si="7"/>
        <v>0</v>
      </c>
      <c r="L10" s="10">
        <f t="shared" si="7"/>
        <v>0</v>
      </c>
      <c r="M10" s="10">
        <f t="shared" si="7"/>
        <v>0</v>
      </c>
      <c r="N10" s="10">
        <f t="shared" si="7"/>
        <v>0</v>
      </c>
      <c r="O10" s="10">
        <f t="shared" si="7"/>
        <v>0</v>
      </c>
      <c r="P10" s="10">
        <f t="shared" si="7"/>
        <v>0</v>
      </c>
      <c r="Q10" s="10">
        <f t="shared" si="7"/>
        <v>0</v>
      </c>
      <c r="R10" s="10">
        <f t="shared" si="7"/>
        <v>0</v>
      </c>
      <c r="S10" s="10">
        <f t="shared" si="7"/>
        <v>0</v>
      </c>
      <c r="T10" s="10">
        <f t="shared" si="7"/>
        <v>0</v>
      </c>
      <c r="U10" s="10">
        <f t="shared" si="7"/>
        <v>0</v>
      </c>
      <c r="V10" s="10">
        <f t="shared" si="7"/>
        <v>0</v>
      </c>
      <c r="W10" s="10">
        <f t="shared" si="7"/>
        <v>0</v>
      </c>
      <c r="X10" s="10">
        <f t="shared" si="7"/>
        <v>0</v>
      </c>
      <c r="Y10" s="10">
        <f t="shared" si="7"/>
        <v>0</v>
      </c>
      <c r="Z10" s="10">
        <f t="shared" si="7"/>
        <v>0</v>
      </c>
      <c r="AA10" s="10">
        <f t="shared" si="7"/>
        <v>0</v>
      </c>
      <c r="AB10" s="10">
        <f t="shared" si="7"/>
        <v>0</v>
      </c>
      <c r="AC10" s="10">
        <f t="shared" si="7"/>
        <v>0</v>
      </c>
      <c r="AD10" s="10">
        <f t="shared" si="7"/>
        <v>0</v>
      </c>
      <c r="AE10" s="10">
        <f t="shared" si="7"/>
        <v>0</v>
      </c>
      <c r="AF10" s="10">
        <f t="shared" si="7"/>
        <v>0</v>
      </c>
      <c r="AG10" s="10">
        <f t="shared" si="7"/>
        <v>0</v>
      </c>
      <c r="AH10" s="10">
        <f t="shared" si="7"/>
        <v>0</v>
      </c>
      <c r="AI10" s="10">
        <f t="shared" si="7"/>
        <v>0</v>
      </c>
      <c r="AJ10" s="69">
        <f>SUM(E10:AI10)</f>
        <v>4165</v>
      </c>
      <c r="AK10" s="12">
        <f>AJ10+'Jul-24'!AK10</f>
        <v>109057</v>
      </c>
    </row>
    <row r="11" spans="1:253" x14ac:dyDescent="0.3">
      <c r="A11" s="13">
        <v>3</v>
      </c>
      <c r="B11" s="14" t="s">
        <v>206</v>
      </c>
      <c r="C11" s="15" t="s">
        <v>6</v>
      </c>
      <c r="D11" s="15" t="s">
        <v>10</v>
      </c>
      <c r="E11" s="21" t="str">
        <f>IFERROR(E9/E10,"-")</f>
        <v>-</v>
      </c>
      <c r="F11" s="21">
        <f t="shared" ref="F11:AI11" si="8">IFERROR(F9/F10,"-")</f>
        <v>0.31002570694087406</v>
      </c>
      <c r="G11" s="21" t="str">
        <f t="shared" si="8"/>
        <v>-</v>
      </c>
      <c r="H11" s="21" t="str">
        <f t="shared" si="8"/>
        <v>-</v>
      </c>
      <c r="I11" s="21">
        <f t="shared" si="8"/>
        <v>0.30090090090090088</v>
      </c>
      <c r="J11" s="21" t="str">
        <f t="shared" si="8"/>
        <v>-</v>
      </c>
      <c r="K11" s="21" t="str">
        <f t="shared" si="8"/>
        <v>-</v>
      </c>
      <c r="L11" s="21" t="str">
        <f t="shared" si="8"/>
        <v>-</v>
      </c>
      <c r="M11" s="21" t="str">
        <f t="shared" si="8"/>
        <v>-</v>
      </c>
      <c r="N11" s="21" t="str">
        <f t="shared" si="8"/>
        <v>-</v>
      </c>
      <c r="O11" s="21" t="str">
        <f t="shared" si="8"/>
        <v>-</v>
      </c>
      <c r="P11" s="21" t="str">
        <f t="shared" si="8"/>
        <v>-</v>
      </c>
      <c r="Q11" s="21" t="str">
        <f t="shared" si="8"/>
        <v>-</v>
      </c>
      <c r="R11" s="21" t="str">
        <f t="shared" si="8"/>
        <v>-</v>
      </c>
      <c r="S11" s="21" t="str">
        <f t="shared" si="8"/>
        <v>-</v>
      </c>
      <c r="T11" s="21" t="str">
        <f t="shared" si="8"/>
        <v>-</v>
      </c>
      <c r="U11" s="21" t="str">
        <f t="shared" si="8"/>
        <v>-</v>
      </c>
      <c r="V11" s="21" t="str">
        <f t="shared" si="8"/>
        <v>-</v>
      </c>
      <c r="W11" s="21" t="str">
        <f t="shared" si="8"/>
        <v>-</v>
      </c>
      <c r="X11" s="21" t="str">
        <f t="shared" si="8"/>
        <v>-</v>
      </c>
      <c r="Y11" s="21" t="str">
        <f t="shared" si="8"/>
        <v>-</v>
      </c>
      <c r="Z11" s="21" t="str">
        <f t="shared" si="8"/>
        <v>-</v>
      </c>
      <c r="AA11" s="21" t="str">
        <f t="shared" si="8"/>
        <v>-</v>
      </c>
      <c r="AB11" s="21" t="str">
        <f t="shared" si="8"/>
        <v>-</v>
      </c>
      <c r="AC11" s="21" t="str">
        <f t="shared" si="8"/>
        <v>-</v>
      </c>
      <c r="AD11" s="21" t="str">
        <f t="shared" si="8"/>
        <v>-</v>
      </c>
      <c r="AE11" s="21" t="str">
        <f t="shared" si="8"/>
        <v>-</v>
      </c>
      <c r="AF11" s="21" t="str">
        <f t="shared" si="8"/>
        <v>-</v>
      </c>
      <c r="AG11" s="21" t="str">
        <f t="shared" si="8"/>
        <v>-</v>
      </c>
      <c r="AH11" s="21" t="str">
        <f t="shared" si="8"/>
        <v>-</v>
      </c>
      <c r="AI11" s="21" t="str">
        <f t="shared" si="8"/>
        <v>-</v>
      </c>
      <c r="AJ11" s="223">
        <f>IFERROR((AJ9/AJ10),"0")</f>
        <v>0.30516206482593039</v>
      </c>
      <c r="AK11" s="223">
        <f>AK9/AK10</f>
        <v>0.30056759309351988</v>
      </c>
    </row>
    <row r="12" spans="1:253" x14ac:dyDescent="0.3">
      <c r="A12" s="8"/>
      <c r="B12" s="9" t="s">
        <v>13</v>
      </c>
      <c r="C12" s="10" t="s">
        <v>14</v>
      </c>
      <c r="D12" s="10" t="s">
        <v>15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</row>
    <row r="13" spans="1:253" x14ac:dyDescent="0.3">
      <c r="A13" s="8"/>
      <c r="B13" s="24" t="s">
        <v>16</v>
      </c>
      <c r="C13" s="10" t="s">
        <v>14</v>
      </c>
      <c r="D13" s="10" t="s">
        <v>17</v>
      </c>
      <c r="E13" s="26">
        <v>6.85</v>
      </c>
      <c r="F13" s="26">
        <v>6.65</v>
      </c>
      <c r="G13" s="26">
        <v>6.91</v>
      </c>
      <c r="H13" s="26">
        <v>6.67</v>
      </c>
      <c r="I13" s="26">
        <v>6.76</v>
      </c>
      <c r="J13" s="26"/>
      <c r="K13" s="25"/>
      <c r="L13" s="25"/>
      <c r="M13" s="25"/>
      <c r="N13" s="26"/>
      <c r="O13" s="26"/>
      <c r="P13" s="26"/>
      <c r="Q13" s="26"/>
      <c r="R13" s="26"/>
      <c r="S13" s="26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6"/>
      <c r="AF13" s="26"/>
      <c r="AG13" s="26"/>
      <c r="AH13" s="26"/>
      <c r="AI13" s="26"/>
      <c r="AJ13" s="27"/>
    </row>
    <row r="14" spans="1:253" x14ac:dyDescent="0.3">
      <c r="A14" s="8"/>
      <c r="B14" s="24" t="s">
        <v>18</v>
      </c>
      <c r="C14" s="10" t="s">
        <v>14</v>
      </c>
      <c r="D14" s="10" t="s">
        <v>19</v>
      </c>
      <c r="E14" s="23">
        <f>E12/E13*1000</f>
        <v>0</v>
      </c>
      <c r="F14" s="23">
        <f>F12/F13*1000</f>
        <v>0</v>
      </c>
      <c r="G14" s="23">
        <f>G12/G13*1000</f>
        <v>0</v>
      </c>
      <c r="H14" s="23">
        <f>H12/H13*1000</f>
        <v>0</v>
      </c>
      <c r="I14" s="23">
        <f t="shared" ref="I14:AI14" si="9">I12/I13*1000</f>
        <v>0</v>
      </c>
      <c r="J14" s="23" t="e">
        <f t="shared" si="9"/>
        <v>#DIV/0!</v>
      </c>
      <c r="K14" s="23" t="e">
        <f t="shared" si="9"/>
        <v>#DIV/0!</v>
      </c>
      <c r="L14" s="23" t="e">
        <f t="shared" si="9"/>
        <v>#DIV/0!</v>
      </c>
      <c r="M14" s="23" t="e">
        <f t="shared" si="9"/>
        <v>#DIV/0!</v>
      </c>
      <c r="N14" s="23" t="e">
        <f t="shared" si="9"/>
        <v>#DIV/0!</v>
      </c>
      <c r="O14" s="23" t="e">
        <f t="shared" si="9"/>
        <v>#DIV/0!</v>
      </c>
      <c r="P14" s="23" t="e">
        <f t="shared" si="9"/>
        <v>#DIV/0!</v>
      </c>
      <c r="Q14" s="23" t="e">
        <f t="shared" si="9"/>
        <v>#DIV/0!</v>
      </c>
      <c r="R14" s="23" t="e">
        <f>R12/R13*1000</f>
        <v>#DIV/0!</v>
      </c>
      <c r="S14" s="23" t="e">
        <f>S12/S13*1000</f>
        <v>#DIV/0!</v>
      </c>
      <c r="T14" s="23" t="e">
        <f t="shared" si="9"/>
        <v>#DIV/0!</v>
      </c>
      <c r="U14" s="23" t="e">
        <f t="shared" si="9"/>
        <v>#DIV/0!</v>
      </c>
      <c r="V14" s="23" t="e">
        <f t="shared" si="9"/>
        <v>#DIV/0!</v>
      </c>
      <c r="W14" s="23" t="e">
        <f>W12/W13*1000</f>
        <v>#DIV/0!</v>
      </c>
      <c r="X14" s="23" t="e">
        <f t="shared" si="9"/>
        <v>#DIV/0!</v>
      </c>
      <c r="Y14" s="23" t="e">
        <f t="shared" si="9"/>
        <v>#DIV/0!</v>
      </c>
      <c r="Z14" s="23" t="e">
        <f t="shared" si="9"/>
        <v>#DIV/0!</v>
      </c>
      <c r="AA14" s="23" t="e">
        <f t="shared" si="9"/>
        <v>#DIV/0!</v>
      </c>
      <c r="AB14" s="23" t="e">
        <f t="shared" si="9"/>
        <v>#DIV/0!</v>
      </c>
      <c r="AC14" s="23" t="e">
        <f t="shared" si="9"/>
        <v>#DIV/0!</v>
      </c>
      <c r="AD14" s="23" t="e">
        <f t="shared" si="9"/>
        <v>#DIV/0!</v>
      </c>
      <c r="AE14" s="23" t="e">
        <f t="shared" si="9"/>
        <v>#DIV/0!</v>
      </c>
      <c r="AF14" s="23" t="e">
        <f t="shared" si="9"/>
        <v>#DIV/0!</v>
      </c>
      <c r="AG14" s="23" t="e">
        <f t="shared" si="9"/>
        <v>#DIV/0!</v>
      </c>
      <c r="AH14" s="23" t="e">
        <f t="shared" si="9"/>
        <v>#DIV/0!</v>
      </c>
      <c r="AI14" s="23" t="e">
        <f t="shared" si="9"/>
        <v>#DIV/0!</v>
      </c>
      <c r="AJ14" s="28">
        <f>SUMIF(E15:AI15,"&gt;5950",E14:AI14)</f>
        <v>0</v>
      </c>
    </row>
    <row r="15" spans="1:253" x14ac:dyDescent="0.3">
      <c r="A15" s="8"/>
      <c r="B15" s="9" t="s">
        <v>20</v>
      </c>
      <c r="C15" s="10" t="s">
        <v>14</v>
      </c>
      <c r="D15" s="10" t="s">
        <v>15</v>
      </c>
      <c r="E15" s="29">
        <f>E72</f>
        <v>0</v>
      </c>
      <c r="F15" s="29">
        <f t="shared" ref="F15:AI15" si="10">F72</f>
        <v>0</v>
      </c>
      <c r="G15" s="29">
        <f t="shared" si="10"/>
        <v>0</v>
      </c>
      <c r="H15" s="29">
        <f t="shared" si="10"/>
        <v>0</v>
      </c>
      <c r="I15" s="29">
        <f t="shared" si="10"/>
        <v>0</v>
      </c>
      <c r="J15" s="29">
        <f t="shared" si="10"/>
        <v>0</v>
      </c>
      <c r="K15" s="29">
        <f t="shared" si="10"/>
        <v>0</v>
      </c>
      <c r="L15" s="29">
        <f t="shared" si="10"/>
        <v>0</v>
      </c>
      <c r="M15" s="29">
        <f t="shared" si="10"/>
        <v>0</v>
      </c>
      <c r="N15" s="29">
        <f t="shared" si="10"/>
        <v>0</v>
      </c>
      <c r="O15" s="29">
        <f t="shared" si="10"/>
        <v>0</v>
      </c>
      <c r="P15" s="29">
        <f t="shared" si="10"/>
        <v>0</v>
      </c>
      <c r="Q15" s="29">
        <f t="shared" si="10"/>
        <v>0</v>
      </c>
      <c r="R15" s="29">
        <f t="shared" si="10"/>
        <v>0</v>
      </c>
      <c r="S15" s="29">
        <f t="shared" si="10"/>
        <v>0</v>
      </c>
      <c r="T15" s="29">
        <f t="shared" si="10"/>
        <v>0</v>
      </c>
      <c r="U15" s="29">
        <f t="shared" si="10"/>
        <v>0</v>
      </c>
      <c r="V15" s="29">
        <f t="shared" si="10"/>
        <v>0</v>
      </c>
      <c r="W15" s="29">
        <f t="shared" si="10"/>
        <v>0</v>
      </c>
      <c r="X15" s="29">
        <f t="shared" si="10"/>
        <v>0</v>
      </c>
      <c r="Y15" s="29">
        <f t="shared" si="10"/>
        <v>0</v>
      </c>
      <c r="Z15" s="29">
        <f t="shared" si="10"/>
        <v>0</v>
      </c>
      <c r="AA15" s="29">
        <f t="shared" si="10"/>
        <v>0</v>
      </c>
      <c r="AB15" s="29">
        <f t="shared" si="10"/>
        <v>0</v>
      </c>
      <c r="AC15" s="29">
        <f t="shared" si="10"/>
        <v>0</v>
      </c>
      <c r="AD15" s="29">
        <f t="shared" si="10"/>
        <v>0</v>
      </c>
      <c r="AE15" s="29">
        <f t="shared" si="10"/>
        <v>0</v>
      </c>
      <c r="AF15" s="29">
        <f t="shared" si="10"/>
        <v>0</v>
      </c>
      <c r="AG15" s="29">
        <f t="shared" si="10"/>
        <v>0</v>
      </c>
      <c r="AH15" s="29">
        <f t="shared" si="10"/>
        <v>0</v>
      </c>
      <c r="AI15" s="29">
        <f t="shared" si="10"/>
        <v>0</v>
      </c>
      <c r="AJ15" s="30">
        <f>SUM(E15:AI15)</f>
        <v>0</v>
      </c>
      <c r="AK15" s="12">
        <f>AJ15+'Jul-24'!AK15</f>
        <v>803004</v>
      </c>
    </row>
    <row r="16" spans="1:253" s="19" customFormat="1" x14ac:dyDescent="0.3">
      <c r="A16" s="13">
        <v>4</v>
      </c>
      <c r="B16" s="14" t="s">
        <v>21</v>
      </c>
      <c r="C16" s="15" t="s">
        <v>14</v>
      </c>
      <c r="D16" s="15" t="s">
        <v>22</v>
      </c>
      <c r="E16" s="32" t="e">
        <f>E14/E15</f>
        <v>#DIV/0!</v>
      </c>
      <c r="F16" s="32" t="e">
        <f>F14/F15</f>
        <v>#DIV/0!</v>
      </c>
      <c r="G16" s="32" t="e">
        <f t="shared" ref="G16:AI16" si="11">G14/G15</f>
        <v>#DIV/0!</v>
      </c>
      <c r="H16" s="32" t="e">
        <f t="shared" si="11"/>
        <v>#DIV/0!</v>
      </c>
      <c r="I16" s="32" t="e">
        <f t="shared" si="11"/>
        <v>#DIV/0!</v>
      </c>
      <c r="J16" s="32" t="e">
        <f t="shared" si="11"/>
        <v>#DIV/0!</v>
      </c>
      <c r="K16" s="32" t="e">
        <f t="shared" si="11"/>
        <v>#DIV/0!</v>
      </c>
      <c r="L16" s="32" t="e">
        <f t="shared" si="11"/>
        <v>#DIV/0!</v>
      </c>
      <c r="M16" s="32" t="e">
        <f t="shared" si="11"/>
        <v>#DIV/0!</v>
      </c>
      <c r="N16" s="32" t="e">
        <f t="shared" si="11"/>
        <v>#DIV/0!</v>
      </c>
      <c r="O16" s="32" t="e">
        <f t="shared" si="11"/>
        <v>#DIV/0!</v>
      </c>
      <c r="P16" s="32" t="e">
        <f t="shared" si="11"/>
        <v>#DIV/0!</v>
      </c>
      <c r="Q16" s="32" t="e">
        <f t="shared" si="11"/>
        <v>#DIV/0!</v>
      </c>
      <c r="R16" s="32" t="e">
        <f t="shared" si="11"/>
        <v>#DIV/0!</v>
      </c>
      <c r="S16" s="32" t="e">
        <f t="shared" si="11"/>
        <v>#DIV/0!</v>
      </c>
      <c r="T16" s="32" t="e">
        <f t="shared" si="11"/>
        <v>#DIV/0!</v>
      </c>
      <c r="U16" s="32" t="e">
        <f t="shared" si="11"/>
        <v>#DIV/0!</v>
      </c>
      <c r="V16" s="32" t="e">
        <f t="shared" si="11"/>
        <v>#DIV/0!</v>
      </c>
      <c r="W16" s="32" t="e">
        <f>W14/W15</f>
        <v>#DIV/0!</v>
      </c>
      <c r="X16" s="32" t="e">
        <f t="shared" si="11"/>
        <v>#DIV/0!</v>
      </c>
      <c r="Y16" s="32" t="e">
        <f t="shared" si="11"/>
        <v>#DIV/0!</v>
      </c>
      <c r="Z16" s="32" t="e">
        <f t="shared" si="11"/>
        <v>#DIV/0!</v>
      </c>
      <c r="AA16" s="32" t="e">
        <f t="shared" si="11"/>
        <v>#DIV/0!</v>
      </c>
      <c r="AB16" s="32" t="e">
        <f t="shared" si="11"/>
        <v>#DIV/0!</v>
      </c>
      <c r="AC16" s="32" t="e">
        <f t="shared" si="11"/>
        <v>#DIV/0!</v>
      </c>
      <c r="AD16" s="32" t="e">
        <f t="shared" si="11"/>
        <v>#DIV/0!</v>
      </c>
      <c r="AE16" s="32" t="e">
        <f t="shared" si="11"/>
        <v>#DIV/0!</v>
      </c>
      <c r="AF16" s="32" t="e">
        <f t="shared" si="11"/>
        <v>#DIV/0!</v>
      </c>
      <c r="AG16" s="32" t="e">
        <f t="shared" si="11"/>
        <v>#DIV/0!</v>
      </c>
      <c r="AH16" s="32" t="e">
        <f t="shared" si="11"/>
        <v>#DIV/0!</v>
      </c>
      <c r="AI16" s="32" t="e">
        <f t="shared" si="11"/>
        <v>#DIV/0!</v>
      </c>
      <c r="AJ16" s="33" t="e">
        <f>AJ14/AJ15</f>
        <v>#DIV/0!</v>
      </c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</row>
    <row r="17" spans="1:253" x14ac:dyDescent="0.3">
      <c r="A17" s="8"/>
      <c r="B17" s="9" t="s">
        <v>23</v>
      </c>
      <c r="C17" s="10" t="s">
        <v>14</v>
      </c>
      <c r="D17" s="10" t="s">
        <v>15</v>
      </c>
      <c r="E17" s="22">
        <v>964.79</v>
      </c>
      <c r="F17" s="22">
        <v>1037.45</v>
      </c>
      <c r="G17" s="22">
        <v>966.67</v>
      </c>
      <c r="H17" s="22">
        <v>1020.2</v>
      </c>
      <c r="I17" s="22">
        <v>962.15</v>
      </c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11"/>
    </row>
    <row r="18" spans="1:253" x14ac:dyDescent="0.3">
      <c r="A18" s="8"/>
      <c r="B18" s="9" t="s">
        <v>24</v>
      </c>
      <c r="C18" s="10" t="s">
        <v>14</v>
      </c>
      <c r="D18" s="10" t="s">
        <v>15</v>
      </c>
      <c r="E18" s="22">
        <v>106.88</v>
      </c>
      <c r="F18" s="22">
        <v>120.79</v>
      </c>
      <c r="G18" s="22">
        <v>115.89</v>
      </c>
      <c r="H18" s="22">
        <v>113.26</v>
      </c>
      <c r="I18" s="22">
        <v>101.33</v>
      </c>
      <c r="J18" s="22"/>
      <c r="K18" s="22"/>
      <c r="L18" s="22"/>
      <c r="M18" s="22"/>
      <c r="N18" s="22"/>
      <c r="O18" s="22"/>
      <c r="P18" s="22"/>
      <c r="Q18" s="23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11"/>
    </row>
    <row r="19" spans="1:253" x14ac:dyDescent="0.3">
      <c r="A19" s="8"/>
      <c r="B19" s="9" t="s">
        <v>16</v>
      </c>
      <c r="C19" s="10" t="s">
        <v>14</v>
      </c>
      <c r="D19" s="10" t="s">
        <v>17</v>
      </c>
      <c r="E19" s="26">
        <f t="shared" ref="E19:AI19" si="12">E13</f>
        <v>6.85</v>
      </c>
      <c r="F19" s="26">
        <f t="shared" si="12"/>
        <v>6.65</v>
      </c>
      <c r="G19" s="26">
        <f t="shared" si="12"/>
        <v>6.91</v>
      </c>
      <c r="H19" s="26">
        <f t="shared" si="12"/>
        <v>6.67</v>
      </c>
      <c r="I19" s="26">
        <f t="shared" si="12"/>
        <v>6.76</v>
      </c>
      <c r="J19" s="26">
        <f t="shared" si="12"/>
        <v>0</v>
      </c>
      <c r="K19" s="26">
        <f t="shared" si="12"/>
        <v>0</v>
      </c>
      <c r="L19" s="26">
        <f t="shared" si="12"/>
        <v>0</v>
      </c>
      <c r="M19" s="26">
        <f t="shared" si="12"/>
        <v>0</v>
      </c>
      <c r="N19" s="26">
        <f t="shared" si="12"/>
        <v>0</v>
      </c>
      <c r="O19" s="26">
        <f t="shared" si="12"/>
        <v>0</v>
      </c>
      <c r="P19" s="26">
        <f t="shared" si="12"/>
        <v>0</v>
      </c>
      <c r="Q19" s="26">
        <f t="shared" si="12"/>
        <v>0</v>
      </c>
      <c r="R19" s="26">
        <f>R13</f>
        <v>0</v>
      </c>
      <c r="S19" s="26">
        <f>S13</f>
        <v>0</v>
      </c>
      <c r="T19" s="26">
        <f t="shared" si="12"/>
        <v>0</v>
      </c>
      <c r="U19" s="26">
        <f t="shared" si="12"/>
        <v>0</v>
      </c>
      <c r="V19" s="26">
        <f t="shared" si="12"/>
        <v>0</v>
      </c>
      <c r="W19" s="26">
        <f t="shared" si="12"/>
        <v>0</v>
      </c>
      <c r="X19" s="26">
        <f t="shared" si="12"/>
        <v>0</v>
      </c>
      <c r="Y19" s="26">
        <f t="shared" si="12"/>
        <v>0</v>
      </c>
      <c r="Z19" s="26">
        <f t="shared" si="12"/>
        <v>0</v>
      </c>
      <c r="AA19" s="26">
        <f t="shared" si="12"/>
        <v>0</v>
      </c>
      <c r="AB19" s="26">
        <f t="shared" si="12"/>
        <v>0</v>
      </c>
      <c r="AC19" s="26">
        <f t="shared" si="12"/>
        <v>0</v>
      </c>
      <c r="AD19" s="26">
        <f t="shared" si="12"/>
        <v>0</v>
      </c>
      <c r="AE19" s="26">
        <f t="shared" si="12"/>
        <v>0</v>
      </c>
      <c r="AF19" s="26">
        <f t="shared" si="12"/>
        <v>0</v>
      </c>
      <c r="AG19" s="26">
        <f t="shared" si="12"/>
        <v>0</v>
      </c>
      <c r="AH19" s="26">
        <f t="shared" si="12"/>
        <v>0</v>
      </c>
      <c r="AI19" s="26">
        <f t="shared" si="12"/>
        <v>0</v>
      </c>
      <c r="AJ19" s="11"/>
    </row>
    <row r="20" spans="1:253" x14ac:dyDescent="0.3">
      <c r="A20" s="8"/>
      <c r="B20" s="24" t="s">
        <v>25</v>
      </c>
      <c r="C20" s="10" t="s">
        <v>14</v>
      </c>
      <c r="D20" s="10" t="s">
        <v>19</v>
      </c>
      <c r="E20" s="23">
        <f t="shared" ref="E20:AI20" si="13">(E17+E18)/E19*1000</f>
        <v>156448.17518248176</v>
      </c>
      <c r="F20" s="23">
        <f t="shared" si="13"/>
        <v>174171.42857142855</v>
      </c>
      <c r="G20" s="23">
        <f t="shared" si="13"/>
        <v>156665.70188133139</v>
      </c>
      <c r="H20" s="23">
        <f t="shared" si="13"/>
        <v>169934.03298350825</v>
      </c>
      <c r="I20" s="23">
        <f t="shared" si="13"/>
        <v>157319.52662721896</v>
      </c>
      <c r="J20" s="23" t="e">
        <f t="shared" si="13"/>
        <v>#DIV/0!</v>
      </c>
      <c r="K20" s="23" t="e">
        <f t="shared" si="13"/>
        <v>#DIV/0!</v>
      </c>
      <c r="L20" s="23" t="e">
        <f t="shared" si="13"/>
        <v>#DIV/0!</v>
      </c>
      <c r="M20" s="23" t="e">
        <f t="shared" si="13"/>
        <v>#DIV/0!</v>
      </c>
      <c r="N20" s="23" t="e">
        <f t="shared" si="13"/>
        <v>#DIV/0!</v>
      </c>
      <c r="O20" s="23" t="e">
        <f t="shared" si="13"/>
        <v>#DIV/0!</v>
      </c>
      <c r="P20" s="23" t="e">
        <f t="shared" si="13"/>
        <v>#DIV/0!</v>
      </c>
      <c r="Q20" s="23" t="e">
        <f t="shared" si="13"/>
        <v>#DIV/0!</v>
      </c>
      <c r="R20" s="23" t="e">
        <f t="shared" si="13"/>
        <v>#DIV/0!</v>
      </c>
      <c r="S20" s="23" t="e">
        <f t="shared" si="13"/>
        <v>#DIV/0!</v>
      </c>
      <c r="T20" s="23" t="e">
        <f t="shared" si="13"/>
        <v>#DIV/0!</v>
      </c>
      <c r="U20" s="23" t="e">
        <f t="shared" si="13"/>
        <v>#DIV/0!</v>
      </c>
      <c r="V20" s="23" t="e">
        <f t="shared" si="13"/>
        <v>#DIV/0!</v>
      </c>
      <c r="W20" s="23" t="e">
        <f t="shared" si="13"/>
        <v>#DIV/0!</v>
      </c>
      <c r="X20" s="23" t="e">
        <f t="shared" si="13"/>
        <v>#DIV/0!</v>
      </c>
      <c r="Y20" s="23" t="e">
        <f t="shared" si="13"/>
        <v>#DIV/0!</v>
      </c>
      <c r="Z20" s="23" t="e">
        <f t="shared" si="13"/>
        <v>#DIV/0!</v>
      </c>
      <c r="AA20" s="23" t="e">
        <f t="shared" si="13"/>
        <v>#DIV/0!</v>
      </c>
      <c r="AB20" s="23" t="e">
        <f t="shared" si="13"/>
        <v>#DIV/0!</v>
      </c>
      <c r="AC20" s="23" t="e">
        <f t="shared" si="13"/>
        <v>#DIV/0!</v>
      </c>
      <c r="AD20" s="23" t="e">
        <f t="shared" si="13"/>
        <v>#DIV/0!</v>
      </c>
      <c r="AE20" s="23" t="e">
        <f t="shared" si="13"/>
        <v>#DIV/0!</v>
      </c>
      <c r="AF20" s="23" t="e">
        <f t="shared" si="13"/>
        <v>#DIV/0!</v>
      </c>
      <c r="AG20" s="23" t="e">
        <f t="shared" si="13"/>
        <v>#DIV/0!</v>
      </c>
      <c r="AH20" s="23" t="e">
        <f t="shared" si="13"/>
        <v>#DIV/0!</v>
      </c>
      <c r="AI20" s="23" t="e">
        <f t="shared" si="13"/>
        <v>#DIV/0!</v>
      </c>
      <c r="AJ20" s="28">
        <f>SUMIF(E21:AI21,"&gt;7905",E20:AI20)</f>
        <v>657219.33861874999</v>
      </c>
    </row>
    <row r="21" spans="1:253" x14ac:dyDescent="0.3">
      <c r="A21" s="8"/>
      <c r="B21" s="9" t="s">
        <v>20</v>
      </c>
      <c r="C21" s="10" t="s">
        <v>14</v>
      </c>
      <c r="D21" s="10" t="s">
        <v>15</v>
      </c>
      <c r="E21" s="34">
        <f>E73</f>
        <v>8399</v>
      </c>
      <c r="F21" s="34">
        <f t="shared" ref="F21:AI21" si="14">F73</f>
        <v>8401</v>
      </c>
      <c r="G21" s="34">
        <f t="shared" si="14"/>
        <v>8199</v>
      </c>
      <c r="H21" s="34">
        <f t="shared" si="14"/>
        <v>8373</v>
      </c>
      <c r="I21" s="34">
        <f t="shared" si="14"/>
        <v>0</v>
      </c>
      <c r="J21" s="34">
        <f t="shared" si="14"/>
        <v>0</v>
      </c>
      <c r="K21" s="34">
        <f t="shared" si="14"/>
        <v>0</v>
      </c>
      <c r="L21" s="34">
        <f t="shared" si="14"/>
        <v>0</v>
      </c>
      <c r="M21" s="34">
        <f t="shared" si="14"/>
        <v>0</v>
      </c>
      <c r="N21" s="34">
        <f t="shared" si="14"/>
        <v>0</v>
      </c>
      <c r="O21" s="34">
        <f t="shared" si="14"/>
        <v>0</v>
      </c>
      <c r="P21" s="34">
        <f t="shared" si="14"/>
        <v>0</v>
      </c>
      <c r="Q21" s="34">
        <f t="shared" si="14"/>
        <v>0</v>
      </c>
      <c r="R21" s="34">
        <f t="shared" si="14"/>
        <v>0</v>
      </c>
      <c r="S21" s="34">
        <f t="shared" si="14"/>
        <v>0</v>
      </c>
      <c r="T21" s="34">
        <f t="shared" si="14"/>
        <v>0</v>
      </c>
      <c r="U21" s="34">
        <f t="shared" si="14"/>
        <v>0</v>
      </c>
      <c r="V21" s="34">
        <f t="shared" si="14"/>
        <v>0</v>
      </c>
      <c r="W21" s="34">
        <f t="shared" si="14"/>
        <v>0</v>
      </c>
      <c r="X21" s="34">
        <f t="shared" si="14"/>
        <v>0</v>
      </c>
      <c r="Y21" s="34">
        <f t="shared" si="14"/>
        <v>0</v>
      </c>
      <c r="Z21" s="34">
        <f t="shared" si="14"/>
        <v>0</v>
      </c>
      <c r="AA21" s="34">
        <f t="shared" si="14"/>
        <v>0</v>
      </c>
      <c r="AB21" s="34">
        <f t="shared" si="14"/>
        <v>0</v>
      </c>
      <c r="AC21" s="34">
        <f t="shared" si="14"/>
        <v>0</v>
      </c>
      <c r="AD21" s="34">
        <f t="shared" si="14"/>
        <v>0</v>
      </c>
      <c r="AE21" s="34">
        <f t="shared" si="14"/>
        <v>0</v>
      </c>
      <c r="AF21" s="34">
        <f t="shared" si="14"/>
        <v>0</v>
      </c>
      <c r="AG21" s="34">
        <f t="shared" si="14"/>
        <v>0</v>
      </c>
      <c r="AH21" s="34">
        <f t="shared" si="14"/>
        <v>0</v>
      </c>
      <c r="AI21" s="34">
        <f t="shared" si="14"/>
        <v>0</v>
      </c>
      <c r="AJ21" s="30">
        <f>SUM(E21:AI21)</f>
        <v>33372</v>
      </c>
      <c r="AK21" s="12">
        <f>AJ21+'Jul-24'!AK21</f>
        <v>950873</v>
      </c>
    </row>
    <row r="22" spans="1:253" s="19" customFormat="1" x14ac:dyDescent="0.3">
      <c r="A22" s="13">
        <v>5</v>
      </c>
      <c r="B22" s="14" t="s">
        <v>26</v>
      </c>
      <c r="C22" s="15" t="s">
        <v>14</v>
      </c>
      <c r="D22" s="15" t="s">
        <v>22</v>
      </c>
      <c r="E22" s="32">
        <f>E20/E21</f>
        <v>18.627000259850192</v>
      </c>
      <c r="F22" s="32">
        <f>F20/F21</f>
        <v>20.732225755437277</v>
      </c>
      <c r="G22" s="32">
        <f>G20/G21</f>
        <v>19.107903632312645</v>
      </c>
      <c r="H22" s="32">
        <f t="shared" ref="H22:AI22" si="15">H20/H21</f>
        <v>20.29547748519148</v>
      </c>
      <c r="I22" s="32" t="e">
        <f t="shared" si="15"/>
        <v>#DIV/0!</v>
      </c>
      <c r="J22" s="32" t="e">
        <f t="shared" si="15"/>
        <v>#DIV/0!</v>
      </c>
      <c r="K22" s="32" t="e">
        <f t="shared" si="15"/>
        <v>#DIV/0!</v>
      </c>
      <c r="L22" s="32" t="e">
        <f t="shared" si="15"/>
        <v>#DIV/0!</v>
      </c>
      <c r="M22" s="35" t="e">
        <f t="shared" si="15"/>
        <v>#DIV/0!</v>
      </c>
      <c r="N22" s="32" t="e">
        <f t="shared" si="15"/>
        <v>#DIV/0!</v>
      </c>
      <c r="O22" s="32" t="e">
        <f t="shared" si="15"/>
        <v>#DIV/0!</v>
      </c>
      <c r="P22" s="32" t="e">
        <f t="shared" si="15"/>
        <v>#DIV/0!</v>
      </c>
      <c r="Q22" s="32" t="e">
        <f t="shared" si="15"/>
        <v>#DIV/0!</v>
      </c>
      <c r="R22" s="32" t="e">
        <f t="shared" si="15"/>
        <v>#DIV/0!</v>
      </c>
      <c r="S22" s="32" t="e">
        <f t="shared" si="15"/>
        <v>#DIV/0!</v>
      </c>
      <c r="T22" s="32" t="e">
        <f t="shared" si="15"/>
        <v>#DIV/0!</v>
      </c>
      <c r="U22" s="32" t="e">
        <f t="shared" si="15"/>
        <v>#DIV/0!</v>
      </c>
      <c r="V22" s="32" t="e">
        <f t="shared" si="15"/>
        <v>#DIV/0!</v>
      </c>
      <c r="W22" s="32" t="e">
        <f t="shared" si="15"/>
        <v>#DIV/0!</v>
      </c>
      <c r="X22" s="32" t="e">
        <f t="shared" si="15"/>
        <v>#DIV/0!</v>
      </c>
      <c r="Y22" s="32" t="e">
        <f t="shared" si="15"/>
        <v>#DIV/0!</v>
      </c>
      <c r="Z22" s="32" t="e">
        <f t="shared" si="15"/>
        <v>#DIV/0!</v>
      </c>
      <c r="AA22" s="32" t="e">
        <f>AA20/AA21</f>
        <v>#DIV/0!</v>
      </c>
      <c r="AB22" s="32" t="e">
        <f t="shared" si="15"/>
        <v>#DIV/0!</v>
      </c>
      <c r="AC22" s="32" t="e">
        <f t="shared" si="15"/>
        <v>#DIV/0!</v>
      </c>
      <c r="AD22" s="32" t="e">
        <f t="shared" si="15"/>
        <v>#DIV/0!</v>
      </c>
      <c r="AE22" s="32" t="e">
        <f t="shared" si="15"/>
        <v>#DIV/0!</v>
      </c>
      <c r="AF22" s="32" t="e">
        <f t="shared" si="15"/>
        <v>#DIV/0!</v>
      </c>
      <c r="AG22" s="32" t="e">
        <f t="shared" si="15"/>
        <v>#DIV/0!</v>
      </c>
      <c r="AH22" s="32" t="e">
        <f t="shared" si="15"/>
        <v>#DIV/0!</v>
      </c>
      <c r="AI22" s="32" t="e">
        <f t="shared" si="15"/>
        <v>#DIV/0!</v>
      </c>
      <c r="AJ22" s="36">
        <f>AJ20/AJ21</f>
        <v>19.693735425468955</v>
      </c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</row>
    <row r="23" spans="1:253" s="19" customFormat="1" x14ac:dyDescent="0.3">
      <c r="A23" s="13"/>
      <c r="B23" s="14" t="s">
        <v>27</v>
      </c>
      <c r="C23" s="15" t="s">
        <v>14</v>
      </c>
      <c r="D23" s="15" t="s">
        <v>19</v>
      </c>
      <c r="E23" s="32">
        <v>151110</v>
      </c>
      <c r="F23" s="32">
        <v>168330</v>
      </c>
      <c r="G23" s="32">
        <v>151110</v>
      </c>
      <c r="H23" s="32">
        <v>164290</v>
      </c>
      <c r="I23" s="32">
        <v>151860</v>
      </c>
      <c r="J23" s="32"/>
      <c r="K23" s="32"/>
      <c r="L23" s="32"/>
      <c r="M23" s="35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28">
        <f>SUM(E23:AI23)</f>
        <v>786700</v>
      </c>
      <c r="AK23" s="12">
        <f>AJ23+'Jul-24'!AK23</f>
        <v>44971060</v>
      </c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</row>
    <row r="24" spans="1:253" s="19" customFormat="1" x14ac:dyDescent="0.3">
      <c r="A24" s="13">
        <v>6</v>
      </c>
      <c r="B24" s="14" t="s">
        <v>28</v>
      </c>
      <c r="C24" s="15" t="s">
        <v>14</v>
      </c>
      <c r="D24" s="15" t="s">
        <v>22</v>
      </c>
      <c r="E24" s="32">
        <f t="shared" ref="E24:AI24" si="16">E23/(E72+E73)</f>
        <v>17.991427550898916</v>
      </c>
      <c r="F24" s="32">
        <f t="shared" si="16"/>
        <v>20.036900369003689</v>
      </c>
      <c r="G24" s="32">
        <f t="shared" si="16"/>
        <v>18.430296377607025</v>
      </c>
      <c r="H24" s="32">
        <f t="shared" si="16"/>
        <v>19.621402125880806</v>
      </c>
      <c r="I24" s="32" t="e">
        <f t="shared" si="16"/>
        <v>#DIV/0!</v>
      </c>
      <c r="J24" s="32" t="e">
        <f t="shared" si="16"/>
        <v>#DIV/0!</v>
      </c>
      <c r="K24" s="32" t="e">
        <f t="shared" si="16"/>
        <v>#DIV/0!</v>
      </c>
      <c r="L24" s="32" t="e">
        <f t="shared" si="16"/>
        <v>#DIV/0!</v>
      </c>
      <c r="M24" s="35" t="e">
        <f t="shared" si="16"/>
        <v>#DIV/0!</v>
      </c>
      <c r="N24" s="32" t="e">
        <f t="shared" si="16"/>
        <v>#DIV/0!</v>
      </c>
      <c r="O24" s="32" t="e">
        <f t="shared" si="16"/>
        <v>#DIV/0!</v>
      </c>
      <c r="P24" s="32" t="e">
        <f t="shared" si="16"/>
        <v>#DIV/0!</v>
      </c>
      <c r="Q24" s="32" t="e">
        <f t="shared" si="16"/>
        <v>#DIV/0!</v>
      </c>
      <c r="R24" s="32" t="e">
        <f t="shared" si="16"/>
        <v>#DIV/0!</v>
      </c>
      <c r="S24" s="32" t="e">
        <f t="shared" si="16"/>
        <v>#DIV/0!</v>
      </c>
      <c r="T24" s="32" t="e">
        <f t="shared" si="16"/>
        <v>#DIV/0!</v>
      </c>
      <c r="U24" s="32" t="e">
        <f t="shared" si="16"/>
        <v>#DIV/0!</v>
      </c>
      <c r="V24" s="32" t="e">
        <f t="shared" si="16"/>
        <v>#DIV/0!</v>
      </c>
      <c r="W24" s="32" t="e">
        <f t="shared" si="16"/>
        <v>#DIV/0!</v>
      </c>
      <c r="X24" s="32" t="e">
        <f t="shared" si="16"/>
        <v>#DIV/0!</v>
      </c>
      <c r="Y24" s="32" t="e">
        <f t="shared" si="16"/>
        <v>#DIV/0!</v>
      </c>
      <c r="Z24" s="32" t="e">
        <f t="shared" si="16"/>
        <v>#DIV/0!</v>
      </c>
      <c r="AA24" s="32" t="e">
        <f t="shared" si="16"/>
        <v>#DIV/0!</v>
      </c>
      <c r="AB24" s="32" t="e">
        <f t="shared" si="16"/>
        <v>#DIV/0!</v>
      </c>
      <c r="AC24" s="32" t="e">
        <f t="shared" si="16"/>
        <v>#DIV/0!</v>
      </c>
      <c r="AD24" s="32" t="e">
        <f t="shared" si="16"/>
        <v>#DIV/0!</v>
      </c>
      <c r="AE24" s="32" t="e">
        <f t="shared" si="16"/>
        <v>#DIV/0!</v>
      </c>
      <c r="AF24" s="32" t="e">
        <f t="shared" si="16"/>
        <v>#DIV/0!</v>
      </c>
      <c r="AG24" s="32" t="e">
        <f t="shared" si="16"/>
        <v>#DIV/0!</v>
      </c>
      <c r="AH24" s="32" t="e">
        <f t="shared" si="16"/>
        <v>#DIV/0!</v>
      </c>
      <c r="AI24" s="32" t="e">
        <f t="shared" si="16"/>
        <v>#DIV/0!</v>
      </c>
      <c r="AJ24" s="33">
        <f>AJ23/(AJ15+AJ21)</f>
        <v>23.573654560709578</v>
      </c>
      <c r="AK24" s="33">
        <f>AK23/(AK15+AK21)</f>
        <v>25.640942893942963</v>
      </c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</row>
    <row r="25" spans="1:253" x14ac:dyDescent="0.3">
      <c r="A25" s="8"/>
      <c r="B25" s="9" t="s">
        <v>29</v>
      </c>
      <c r="C25" s="10" t="s">
        <v>30</v>
      </c>
      <c r="D25" s="10" t="s">
        <v>31</v>
      </c>
      <c r="E25" s="38"/>
      <c r="F25" s="38"/>
      <c r="G25" s="38"/>
      <c r="H25" s="38"/>
      <c r="I25" s="38"/>
      <c r="J25" s="38"/>
      <c r="K25" s="38"/>
      <c r="L25" s="38"/>
      <c r="M25" s="39"/>
      <c r="N25" s="40"/>
      <c r="O25" s="40"/>
      <c r="P25" s="40"/>
      <c r="Q25" s="39"/>
      <c r="R25" s="40"/>
      <c r="S25" s="40"/>
      <c r="T25" s="40"/>
      <c r="U25" s="40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8"/>
    </row>
    <row r="26" spans="1:253" x14ac:dyDescent="0.3">
      <c r="A26" s="8"/>
      <c r="B26" s="9" t="s">
        <v>32</v>
      </c>
      <c r="C26" s="10" t="s">
        <v>30</v>
      </c>
      <c r="D26" s="10" t="s">
        <v>31</v>
      </c>
      <c r="E26" s="38"/>
      <c r="F26" s="38"/>
      <c r="G26" s="38"/>
      <c r="H26" s="38"/>
      <c r="I26" s="38"/>
      <c r="J26" s="38"/>
      <c r="K26" s="38"/>
      <c r="L26" s="38"/>
      <c r="M26" s="39"/>
      <c r="N26" s="40"/>
      <c r="O26" s="40"/>
      <c r="P26" s="40"/>
      <c r="Q26" s="39"/>
      <c r="R26" s="40"/>
      <c r="S26" s="40"/>
      <c r="T26" s="40"/>
      <c r="U26" s="40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8"/>
    </row>
    <row r="27" spans="1:253" s="19" customFormat="1" x14ac:dyDescent="0.3">
      <c r="A27" s="13">
        <v>7</v>
      </c>
      <c r="B27" s="14" t="s">
        <v>33</v>
      </c>
      <c r="C27" s="15" t="s">
        <v>30</v>
      </c>
      <c r="D27" s="15" t="s">
        <v>34</v>
      </c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28" t="e">
        <f>(AVERAGE(E27:AI27)*31)/1000</f>
        <v>#DIV/0!</v>
      </c>
      <c r="AK27" s="12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</row>
    <row r="28" spans="1:253" x14ac:dyDescent="0.3">
      <c r="A28" s="24"/>
      <c r="B28" s="9" t="s">
        <v>35</v>
      </c>
      <c r="C28" s="10" t="s">
        <v>36</v>
      </c>
      <c r="D28" s="10" t="s">
        <v>7</v>
      </c>
      <c r="E28" s="10">
        <v>52</v>
      </c>
      <c r="F28" s="10">
        <v>62</v>
      </c>
      <c r="G28" s="10">
        <v>51</v>
      </c>
      <c r="H28" s="10">
        <v>62</v>
      </c>
      <c r="I28" s="10">
        <v>76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28">
        <f t="shared" ref="AJ28:AJ33" si="17">SUM(E28:AI28)</f>
        <v>303</v>
      </c>
      <c r="AK28" s="12">
        <f>AJ28+'Jul-24'!AK28</f>
        <v>6441</v>
      </c>
      <c r="AL28" s="54">
        <f>AJ28/AJ88</f>
        <v>3.7874053148671282E-3</v>
      </c>
      <c r="AM28" t="s">
        <v>283</v>
      </c>
    </row>
    <row r="29" spans="1:253" x14ac:dyDescent="0.3">
      <c r="A29" s="24"/>
      <c r="B29" s="9" t="s">
        <v>268</v>
      </c>
      <c r="C29" s="10" t="s">
        <v>36</v>
      </c>
      <c r="D29" s="10" t="s">
        <v>7</v>
      </c>
      <c r="E29" s="10">
        <f>32+68</f>
        <v>100</v>
      </c>
      <c r="F29" s="10">
        <f>18+62</f>
        <v>80</v>
      </c>
      <c r="G29" s="10">
        <v>66</v>
      </c>
      <c r="H29" s="10">
        <f>35+73</f>
        <v>108</v>
      </c>
      <c r="I29" s="10">
        <v>86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28">
        <f t="shared" si="17"/>
        <v>440</v>
      </c>
      <c r="AK29" s="12">
        <f>AJ29+'Jul-24'!AK29</f>
        <v>4930</v>
      </c>
      <c r="AL29" s="54">
        <f>AJ29/AJ88</f>
        <v>5.4998625034374145E-3</v>
      </c>
      <c r="AM29" t="s">
        <v>282</v>
      </c>
    </row>
    <row r="30" spans="1:253" x14ac:dyDescent="0.3">
      <c r="A30" s="24"/>
      <c r="B30" s="9" t="s">
        <v>37</v>
      </c>
      <c r="C30" s="10" t="s">
        <v>36</v>
      </c>
      <c r="D30" s="10" t="s">
        <v>7</v>
      </c>
      <c r="E30" s="10">
        <v>0</v>
      </c>
      <c r="F30" s="10">
        <v>136</v>
      </c>
      <c r="G30" s="10">
        <v>136</v>
      </c>
      <c r="H30" s="10">
        <v>142</v>
      </c>
      <c r="I30" s="10">
        <v>264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22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28">
        <f t="shared" si="17"/>
        <v>678</v>
      </c>
      <c r="AK30" s="12">
        <f>AJ30+'Jul-24'!AK30</f>
        <v>4512</v>
      </c>
      <c r="AL30" s="54">
        <f>(AJ30+AJ31)/(AJ84+AJ87)</f>
        <v>6.7427701674277016E-2</v>
      </c>
      <c r="AM30" t="s">
        <v>280</v>
      </c>
    </row>
    <row r="31" spans="1:253" x14ac:dyDescent="0.3">
      <c r="A31" s="24"/>
      <c r="B31" s="9" t="s">
        <v>38</v>
      </c>
      <c r="C31" s="10" t="s">
        <v>36</v>
      </c>
      <c r="D31" s="10" t="s">
        <v>7</v>
      </c>
      <c r="E31" s="10">
        <v>62</v>
      </c>
      <c r="F31" s="10">
        <v>0</v>
      </c>
      <c r="G31" s="10">
        <v>61</v>
      </c>
      <c r="H31" s="10">
        <v>43</v>
      </c>
      <c r="I31" s="10">
        <v>42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22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28">
        <f t="shared" si="17"/>
        <v>208</v>
      </c>
      <c r="AK31" s="12">
        <f>AJ31+'Jul-24'!AK31</f>
        <v>5569</v>
      </c>
    </row>
    <row r="32" spans="1:253" x14ac:dyDescent="0.3">
      <c r="A32" s="24"/>
      <c r="B32" s="9" t="s">
        <v>39</v>
      </c>
      <c r="C32" s="10" t="s">
        <v>36</v>
      </c>
      <c r="D32" s="10" t="s">
        <v>7</v>
      </c>
      <c r="E32" s="42">
        <f>E119+E121</f>
        <v>355</v>
      </c>
      <c r="F32" s="42">
        <f t="shared" ref="E32:AI33" si="18">F119+F121</f>
        <v>188</v>
      </c>
      <c r="G32" s="42">
        <f>G119+G121</f>
        <v>155</v>
      </c>
      <c r="H32" s="42">
        <f>H119+H121</f>
        <v>186</v>
      </c>
      <c r="I32" s="42">
        <f t="shared" si="18"/>
        <v>229</v>
      </c>
      <c r="J32" s="42">
        <f t="shared" si="18"/>
        <v>0</v>
      </c>
      <c r="K32" s="42">
        <f t="shared" si="18"/>
        <v>0</v>
      </c>
      <c r="L32" s="42">
        <f t="shared" si="18"/>
        <v>0</v>
      </c>
      <c r="M32" s="42">
        <f t="shared" si="18"/>
        <v>0</v>
      </c>
      <c r="N32" s="42">
        <f t="shared" si="18"/>
        <v>0</v>
      </c>
      <c r="O32" s="42">
        <f t="shared" si="18"/>
        <v>0</v>
      </c>
      <c r="P32" s="42">
        <f t="shared" si="18"/>
        <v>0</v>
      </c>
      <c r="Q32" s="42">
        <f t="shared" si="18"/>
        <v>0</v>
      </c>
      <c r="R32" s="42">
        <f>R119+R121</f>
        <v>0</v>
      </c>
      <c r="S32" s="42">
        <f t="shared" si="18"/>
        <v>0</v>
      </c>
      <c r="T32" s="42">
        <f t="shared" si="18"/>
        <v>0</v>
      </c>
      <c r="U32" s="42">
        <f t="shared" si="18"/>
        <v>0</v>
      </c>
      <c r="V32" s="42">
        <f t="shared" si="18"/>
        <v>0</v>
      </c>
      <c r="W32" s="42">
        <f t="shared" si="18"/>
        <v>0</v>
      </c>
      <c r="X32" s="42">
        <f t="shared" si="18"/>
        <v>0</v>
      </c>
      <c r="Y32" s="42">
        <f t="shared" si="18"/>
        <v>0</v>
      </c>
      <c r="Z32" s="42">
        <f t="shared" si="18"/>
        <v>0</v>
      </c>
      <c r="AA32" s="42">
        <f t="shared" si="18"/>
        <v>0</v>
      </c>
      <c r="AB32" s="42">
        <f t="shared" si="18"/>
        <v>0</v>
      </c>
      <c r="AC32" s="42">
        <f t="shared" si="18"/>
        <v>0</v>
      </c>
      <c r="AD32" s="42">
        <f t="shared" si="18"/>
        <v>0</v>
      </c>
      <c r="AE32" s="42">
        <f t="shared" si="18"/>
        <v>0</v>
      </c>
      <c r="AF32" s="42">
        <f>AF119+AF121</f>
        <v>0</v>
      </c>
      <c r="AG32" s="42">
        <f t="shared" si="18"/>
        <v>0</v>
      </c>
      <c r="AH32" s="42">
        <f t="shared" si="18"/>
        <v>0</v>
      </c>
      <c r="AI32" s="42">
        <f t="shared" si="18"/>
        <v>0</v>
      </c>
      <c r="AJ32" s="28">
        <f t="shared" si="17"/>
        <v>1113</v>
      </c>
      <c r="AK32" s="12">
        <f>AJ32+'Jul-24'!AK32</f>
        <v>42237</v>
      </c>
      <c r="AL32" s="54">
        <f>AJ32/(AJ80+AJ81+AJ82++AJ83+AJ85+AJ86)</f>
        <v>1.6646226556190361E-2</v>
      </c>
      <c r="AM32" t="s">
        <v>281</v>
      </c>
    </row>
    <row r="33" spans="1:253" x14ac:dyDescent="0.3">
      <c r="A33" s="24"/>
      <c r="B33" s="9" t="s">
        <v>40</v>
      </c>
      <c r="C33" s="10" t="s">
        <v>36</v>
      </c>
      <c r="D33" s="10" t="s">
        <v>7</v>
      </c>
      <c r="E33" s="10">
        <f t="shared" si="18"/>
        <v>223</v>
      </c>
      <c r="F33" s="10">
        <f t="shared" si="18"/>
        <v>230</v>
      </c>
      <c r="G33" s="10">
        <f t="shared" si="18"/>
        <v>189</v>
      </c>
      <c r="H33" s="10">
        <f t="shared" si="18"/>
        <v>228</v>
      </c>
      <c r="I33" s="10">
        <f t="shared" si="18"/>
        <v>280</v>
      </c>
      <c r="J33" s="10">
        <f t="shared" si="18"/>
        <v>0</v>
      </c>
      <c r="K33" s="10">
        <f t="shared" si="18"/>
        <v>0</v>
      </c>
      <c r="L33" s="10">
        <f t="shared" si="18"/>
        <v>0</v>
      </c>
      <c r="M33" s="10">
        <f t="shared" si="18"/>
        <v>0</v>
      </c>
      <c r="N33" s="10">
        <f t="shared" si="18"/>
        <v>0</v>
      </c>
      <c r="O33" s="10">
        <f t="shared" si="18"/>
        <v>0</v>
      </c>
      <c r="P33" s="10">
        <f t="shared" si="18"/>
        <v>0</v>
      </c>
      <c r="Q33" s="10">
        <f t="shared" si="18"/>
        <v>0</v>
      </c>
      <c r="R33" s="10">
        <f t="shared" si="18"/>
        <v>0</v>
      </c>
      <c r="S33" s="10">
        <f t="shared" si="18"/>
        <v>0</v>
      </c>
      <c r="T33" s="10">
        <f t="shared" si="18"/>
        <v>0</v>
      </c>
      <c r="U33" s="10">
        <f t="shared" si="18"/>
        <v>0</v>
      </c>
      <c r="V33" s="10">
        <f t="shared" si="18"/>
        <v>0</v>
      </c>
      <c r="W33" s="10">
        <f t="shared" si="18"/>
        <v>0</v>
      </c>
      <c r="X33" s="10">
        <f t="shared" si="18"/>
        <v>0</v>
      </c>
      <c r="Y33" s="10">
        <f t="shared" si="18"/>
        <v>0</v>
      </c>
      <c r="Z33" s="10">
        <f t="shared" si="18"/>
        <v>0</v>
      </c>
      <c r="AA33" s="10">
        <f t="shared" si="18"/>
        <v>0</v>
      </c>
      <c r="AB33" s="10">
        <f t="shared" si="18"/>
        <v>0</v>
      </c>
      <c r="AC33" s="10">
        <f t="shared" si="18"/>
        <v>0</v>
      </c>
      <c r="AD33" s="10">
        <f t="shared" si="18"/>
        <v>0</v>
      </c>
      <c r="AE33" s="10">
        <f t="shared" si="18"/>
        <v>0</v>
      </c>
      <c r="AF33" s="10">
        <f t="shared" si="18"/>
        <v>0</v>
      </c>
      <c r="AG33" s="10">
        <f t="shared" si="18"/>
        <v>0</v>
      </c>
      <c r="AH33" s="10">
        <f t="shared" si="18"/>
        <v>0</v>
      </c>
      <c r="AI33" s="10">
        <f t="shared" si="18"/>
        <v>0</v>
      </c>
      <c r="AJ33" s="28">
        <f t="shared" si="17"/>
        <v>1150</v>
      </c>
      <c r="AK33" s="12">
        <f>AJ33+'Jul-24'!AK33</f>
        <v>29885</v>
      </c>
    </row>
    <row r="34" spans="1:253" x14ac:dyDescent="0.3">
      <c r="A34" s="24"/>
      <c r="B34" s="9" t="s">
        <v>41</v>
      </c>
      <c r="C34" s="10" t="s">
        <v>36</v>
      </c>
      <c r="D34" s="10" t="s">
        <v>7</v>
      </c>
      <c r="E34" s="43">
        <f>SUM(E28:E33)</f>
        <v>792</v>
      </c>
      <c r="F34" s="43">
        <f>SUM(F28:F33)</f>
        <v>696</v>
      </c>
      <c r="G34" s="43">
        <f t="shared" ref="G34:AI34" si="19">SUM(G28:G33)</f>
        <v>658</v>
      </c>
      <c r="H34" s="43">
        <f>SUM(H28:H33)</f>
        <v>769</v>
      </c>
      <c r="I34" s="43">
        <f t="shared" si="19"/>
        <v>977</v>
      </c>
      <c r="J34" s="43">
        <f t="shared" si="19"/>
        <v>0</v>
      </c>
      <c r="K34" s="43">
        <f t="shared" si="19"/>
        <v>0</v>
      </c>
      <c r="L34" s="43">
        <f t="shared" si="19"/>
        <v>0</v>
      </c>
      <c r="M34" s="43">
        <f t="shared" si="19"/>
        <v>0</v>
      </c>
      <c r="N34" s="43">
        <f t="shared" si="19"/>
        <v>0</v>
      </c>
      <c r="O34" s="43">
        <f t="shared" si="19"/>
        <v>0</v>
      </c>
      <c r="P34" s="43">
        <f t="shared" si="19"/>
        <v>0</v>
      </c>
      <c r="Q34" s="43">
        <f t="shared" si="19"/>
        <v>0</v>
      </c>
      <c r="R34" s="43">
        <f>SUM(R28:R33)</f>
        <v>0</v>
      </c>
      <c r="S34" s="43">
        <f t="shared" si="19"/>
        <v>0</v>
      </c>
      <c r="T34" s="43">
        <f t="shared" si="19"/>
        <v>0</v>
      </c>
      <c r="U34" s="43">
        <f t="shared" si="19"/>
        <v>0</v>
      </c>
      <c r="V34" s="43">
        <f t="shared" si="19"/>
        <v>0</v>
      </c>
      <c r="W34" s="43">
        <f t="shared" si="19"/>
        <v>0</v>
      </c>
      <c r="X34" s="43">
        <f t="shared" si="19"/>
        <v>0</v>
      </c>
      <c r="Y34" s="43">
        <f t="shared" si="19"/>
        <v>0</v>
      </c>
      <c r="Z34" s="43">
        <f t="shared" si="19"/>
        <v>0</v>
      </c>
      <c r="AA34" s="43">
        <f t="shared" si="19"/>
        <v>0</v>
      </c>
      <c r="AB34" s="43">
        <f t="shared" si="19"/>
        <v>0</v>
      </c>
      <c r="AC34" s="43">
        <f>SUM(AC28:AC33)</f>
        <v>0</v>
      </c>
      <c r="AD34" s="43">
        <f t="shared" si="19"/>
        <v>0</v>
      </c>
      <c r="AE34" s="43">
        <f t="shared" si="19"/>
        <v>0</v>
      </c>
      <c r="AF34" s="43">
        <f t="shared" si="19"/>
        <v>0</v>
      </c>
      <c r="AG34" s="43">
        <f t="shared" si="19"/>
        <v>0</v>
      </c>
      <c r="AH34" s="43">
        <f t="shared" si="19"/>
        <v>0</v>
      </c>
      <c r="AI34" s="43">
        <f t="shared" si="19"/>
        <v>0</v>
      </c>
      <c r="AJ34" s="28">
        <f>SUM(E34:AI34)</f>
        <v>3892</v>
      </c>
      <c r="AK34" s="12">
        <f>AJ34+'Jul-24'!AK34</f>
        <v>93574</v>
      </c>
    </row>
    <row r="35" spans="1:253" s="19" customFormat="1" x14ac:dyDescent="0.3">
      <c r="A35" s="44">
        <v>8</v>
      </c>
      <c r="B35" s="44" t="s">
        <v>42</v>
      </c>
      <c r="C35" s="15" t="s">
        <v>36</v>
      </c>
      <c r="D35" s="15" t="s">
        <v>43</v>
      </c>
      <c r="E35" s="16">
        <f t="shared" ref="E35:F35" si="20">(E28+E33+E29)/E34</f>
        <v>0.47348484848484851</v>
      </c>
      <c r="F35" s="16">
        <f t="shared" si="20"/>
        <v>0.53448275862068961</v>
      </c>
      <c r="G35" s="16">
        <f>(G28+G33+G29)/G34</f>
        <v>0.46504559270516715</v>
      </c>
      <c r="H35" s="16">
        <f>(H28+H33+H29)/H34</f>
        <v>0.51755526657997397</v>
      </c>
      <c r="I35" s="16">
        <f t="shared" ref="I35:AG35" si="21">(I28+I33+I29)/I34</f>
        <v>0.45240532241555781</v>
      </c>
      <c r="J35" s="16" t="e">
        <f t="shared" si="21"/>
        <v>#DIV/0!</v>
      </c>
      <c r="K35" s="16" t="e">
        <f t="shared" si="21"/>
        <v>#DIV/0!</v>
      </c>
      <c r="L35" s="16" t="e">
        <f>(L28+L33+L29)/L34</f>
        <v>#DIV/0!</v>
      </c>
      <c r="M35" s="16" t="e">
        <f t="shared" si="21"/>
        <v>#DIV/0!</v>
      </c>
      <c r="N35" s="16" t="e">
        <f t="shared" si="21"/>
        <v>#DIV/0!</v>
      </c>
      <c r="O35" s="16" t="e">
        <f>(O28+O33+O29)/O34</f>
        <v>#DIV/0!</v>
      </c>
      <c r="P35" s="16" t="e">
        <f t="shared" si="21"/>
        <v>#DIV/0!</v>
      </c>
      <c r="Q35" s="16" t="e">
        <f t="shared" si="21"/>
        <v>#DIV/0!</v>
      </c>
      <c r="R35" s="16" t="e">
        <f t="shared" si="21"/>
        <v>#DIV/0!</v>
      </c>
      <c r="S35" s="16" t="e">
        <f t="shared" si="21"/>
        <v>#DIV/0!</v>
      </c>
      <c r="T35" s="16" t="e">
        <f t="shared" si="21"/>
        <v>#DIV/0!</v>
      </c>
      <c r="U35" s="16" t="e">
        <f t="shared" si="21"/>
        <v>#DIV/0!</v>
      </c>
      <c r="V35" s="16" t="e">
        <f t="shared" si="21"/>
        <v>#DIV/0!</v>
      </c>
      <c r="W35" s="16" t="e">
        <f t="shared" si="21"/>
        <v>#DIV/0!</v>
      </c>
      <c r="X35" s="16" t="e">
        <f t="shared" si="21"/>
        <v>#DIV/0!</v>
      </c>
      <c r="Y35" s="16" t="e">
        <f>(Y28+Y33+Y29)/Y34</f>
        <v>#DIV/0!</v>
      </c>
      <c r="Z35" s="16" t="e">
        <f t="shared" si="21"/>
        <v>#DIV/0!</v>
      </c>
      <c r="AA35" s="16" t="e">
        <f t="shared" si="21"/>
        <v>#DIV/0!</v>
      </c>
      <c r="AB35" s="16" t="e">
        <f t="shared" si="21"/>
        <v>#DIV/0!</v>
      </c>
      <c r="AC35" s="16" t="e">
        <f>(AC28+AC33+AC29)/AC34</f>
        <v>#DIV/0!</v>
      </c>
      <c r="AD35" s="16" t="e">
        <f t="shared" si="21"/>
        <v>#DIV/0!</v>
      </c>
      <c r="AE35" s="16" t="e">
        <f t="shared" si="21"/>
        <v>#DIV/0!</v>
      </c>
      <c r="AF35" s="16" t="e">
        <f>(AF28+AF33+AF29)/AF34</f>
        <v>#DIV/0!</v>
      </c>
      <c r="AG35" s="16" t="e">
        <f t="shared" si="21"/>
        <v>#DIV/0!</v>
      </c>
      <c r="AH35" s="16" t="e">
        <f>(AH28+AH33+AH29)/AH34</f>
        <v>#DIV/0!</v>
      </c>
      <c r="AI35" s="16" t="e">
        <f>(AI28+AI33+AI29)/AI34</f>
        <v>#DIV/0!</v>
      </c>
      <c r="AJ35" s="16">
        <f>(AJ28+AJ33+AJ29)/AJ34</f>
        <v>0.48638232271325799</v>
      </c>
      <c r="AK35" s="21">
        <f>(AK28+AK33+AK29)/AK34</f>
        <v>0.44089170068608802</v>
      </c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</row>
    <row r="36" spans="1:253" x14ac:dyDescent="0.3">
      <c r="A36" s="24"/>
      <c r="B36" s="24" t="s">
        <v>44</v>
      </c>
      <c r="C36" s="10" t="s">
        <v>36</v>
      </c>
      <c r="D36" s="10" t="s">
        <v>7</v>
      </c>
      <c r="E36" s="45">
        <f t="shared" ref="E36:AI36" si="22">E124+E126</f>
        <v>0</v>
      </c>
      <c r="F36" s="45">
        <f t="shared" si="22"/>
        <v>0</v>
      </c>
      <c r="G36" s="45">
        <f t="shared" si="22"/>
        <v>0</v>
      </c>
      <c r="H36" s="45">
        <f t="shared" si="22"/>
        <v>0</v>
      </c>
      <c r="I36" s="45">
        <f t="shared" si="22"/>
        <v>0</v>
      </c>
      <c r="J36" s="45">
        <f t="shared" si="22"/>
        <v>0</v>
      </c>
      <c r="K36" s="45">
        <f t="shared" si="22"/>
        <v>0</v>
      </c>
      <c r="L36" s="45">
        <f t="shared" si="22"/>
        <v>0</v>
      </c>
      <c r="M36" s="45">
        <f t="shared" si="22"/>
        <v>0</v>
      </c>
      <c r="N36" s="45">
        <f t="shared" si="22"/>
        <v>0</v>
      </c>
      <c r="O36" s="45">
        <f t="shared" si="22"/>
        <v>0</v>
      </c>
      <c r="P36" s="45">
        <f t="shared" si="22"/>
        <v>0</v>
      </c>
      <c r="Q36" s="45">
        <f t="shared" si="22"/>
        <v>0</v>
      </c>
      <c r="R36" s="45">
        <f t="shared" si="22"/>
        <v>0</v>
      </c>
      <c r="S36" s="45">
        <f t="shared" si="22"/>
        <v>0</v>
      </c>
      <c r="T36" s="45">
        <f t="shared" si="22"/>
        <v>0</v>
      </c>
      <c r="U36" s="45">
        <f t="shared" si="22"/>
        <v>0</v>
      </c>
      <c r="V36" s="45">
        <f t="shared" si="22"/>
        <v>0</v>
      </c>
      <c r="W36" s="45">
        <f t="shared" si="22"/>
        <v>0</v>
      </c>
      <c r="X36" s="45">
        <f t="shared" si="22"/>
        <v>0</v>
      </c>
      <c r="Y36" s="45">
        <f t="shared" si="22"/>
        <v>0</v>
      </c>
      <c r="Z36" s="45">
        <f>Z124+Z126</f>
        <v>0</v>
      </c>
      <c r="AA36" s="45">
        <f t="shared" si="22"/>
        <v>0</v>
      </c>
      <c r="AB36" s="45">
        <f t="shared" si="22"/>
        <v>0</v>
      </c>
      <c r="AC36" s="45">
        <f t="shared" si="22"/>
        <v>0</v>
      </c>
      <c r="AD36" s="45">
        <f t="shared" si="22"/>
        <v>0</v>
      </c>
      <c r="AE36" s="45">
        <f t="shared" si="22"/>
        <v>0</v>
      </c>
      <c r="AF36" s="45">
        <f t="shared" si="22"/>
        <v>0</v>
      </c>
      <c r="AG36" s="45">
        <f t="shared" si="22"/>
        <v>0</v>
      </c>
      <c r="AH36" s="45">
        <f t="shared" si="22"/>
        <v>0</v>
      </c>
      <c r="AI36" s="45">
        <f t="shared" si="22"/>
        <v>0</v>
      </c>
      <c r="AJ36" s="11">
        <f>SUM(E36:AI36)</f>
        <v>0</v>
      </c>
      <c r="AK36" s="12">
        <f>AJ36+'Jul-24'!AK36</f>
        <v>94940</v>
      </c>
    </row>
    <row r="37" spans="1:253" x14ac:dyDescent="0.3">
      <c r="A37" s="24"/>
      <c r="B37" s="24" t="s">
        <v>45</v>
      </c>
      <c r="C37" s="10" t="s">
        <v>36</v>
      </c>
      <c r="D37" s="10" t="s">
        <v>7</v>
      </c>
      <c r="E37" s="45">
        <f t="shared" ref="E37:AH37" si="23">SUM(E124:E127)</f>
        <v>4025</v>
      </c>
      <c r="F37" s="45">
        <f t="shared" si="23"/>
        <v>4416</v>
      </c>
      <c r="G37" s="45">
        <f t="shared" si="23"/>
        <v>3193</v>
      </c>
      <c r="H37" s="45">
        <f t="shared" si="23"/>
        <v>4371</v>
      </c>
      <c r="I37" s="45">
        <f t="shared" si="23"/>
        <v>5732</v>
      </c>
      <c r="J37" s="45">
        <f t="shared" si="23"/>
        <v>0</v>
      </c>
      <c r="K37" s="45">
        <f t="shared" si="23"/>
        <v>0</v>
      </c>
      <c r="L37" s="45">
        <f t="shared" si="23"/>
        <v>0</v>
      </c>
      <c r="M37" s="45">
        <f t="shared" si="23"/>
        <v>0</v>
      </c>
      <c r="N37" s="45">
        <f t="shared" si="23"/>
        <v>0</v>
      </c>
      <c r="O37" s="45">
        <f t="shared" si="23"/>
        <v>0</v>
      </c>
      <c r="P37" s="45">
        <f t="shared" si="23"/>
        <v>0</v>
      </c>
      <c r="Q37" s="45">
        <f t="shared" si="23"/>
        <v>0</v>
      </c>
      <c r="R37" s="45">
        <f t="shared" si="23"/>
        <v>0</v>
      </c>
      <c r="S37" s="45">
        <f t="shared" si="23"/>
        <v>0</v>
      </c>
      <c r="T37" s="45">
        <f t="shared" si="23"/>
        <v>0</v>
      </c>
      <c r="U37" s="45">
        <f t="shared" si="23"/>
        <v>0</v>
      </c>
      <c r="V37" s="45">
        <f t="shared" si="23"/>
        <v>0</v>
      </c>
      <c r="W37" s="45">
        <f t="shared" si="23"/>
        <v>0</v>
      </c>
      <c r="X37" s="45">
        <f t="shared" si="23"/>
        <v>0</v>
      </c>
      <c r="Y37" s="45">
        <f t="shared" si="23"/>
        <v>0</v>
      </c>
      <c r="Z37" s="45">
        <f t="shared" si="23"/>
        <v>0</v>
      </c>
      <c r="AA37" s="45">
        <f t="shared" si="23"/>
        <v>0</v>
      </c>
      <c r="AB37" s="45">
        <f t="shared" si="23"/>
        <v>0</v>
      </c>
      <c r="AC37" s="45">
        <f t="shared" si="23"/>
        <v>0</v>
      </c>
      <c r="AD37" s="45">
        <f t="shared" si="23"/>
        <v>0</v>
      </c>
      <c r="AE37" s="45">
        <f t="shared" si="23"/>
        <v>0</v>
      </c>
      <c r="AF37" s="45">
        <f t="shared" si="23"/>
        <v>0</v>
      </c>
      <c r="AG37" s="45">
        <f t="shared" si="23"/>
        <v>0</v>
      </c>
      <c r="AH37" s="45">
        <f t="shared" si="23"/>
        <v>0</v>
      </c>
      <c r="AI37" s="45">
        <f t="shared" ref="AI37" si="24">SUM(AI124:AI127)</f>
        <v>0</v>
      </c>
      <c r="AJ37" s="11">
        <f>SUM(E37:AI37)</f>
        <v>21737</v>
      </c>
      <c r="AK37" s="12">
        <f>AJ37+'Jul-24'!AK37</f>
        <v>523240</v>
      </c>
    </row>
    <row r="38" spans="1:253" x14ac:dyDescent="0.3">
      <c r="A38" s="44">
        <v>9</v>
      </c>
      <c r="B38" s="44" t="s">
        <v>46</v>
      </c>
      <c r="C38" s="15" t="s">
        <v>36</v>
      </c>
      <c r="D38" s="15" t="s">
        <v>43</v>
      </c>
      <c r="E38" s="48">
        <f t="shared" ref="E38:AJ38" si="25">E36/E37</f>
        <v>0</v>
      </c>
      <c r="F38" s="48">
        <f t="shared" si="25"/>
        <v>0</v>
      </c>
      <c r="G38" s="48">
        <f t="shared" si="25"/>
        <v>0</v>
      </c>
      <c r="H38" s="48">
        <f t="shared" si="25"/>
        <v>0</v>
      </c>
      <c r="I38" s="48">
        <f t="shared" si="25"/>
        <v>0</v>
      </c>
      <c r="J38" s="48" t="e">
        <f t="shared" si="25"/>
        <v>#DIV/0!</v>
      </c>
      <c r="K38" s="48" t="e">
        <f t="shared" si="25"/>
        <v>#DIV/0!</v>
      </c>
      <c r="L38" s="48" t="e">
        <f t="shared" si="25"/>
        <v>#DIV/0!</v>
      </c>
      <c r="M38" s="49" t="e">
        <f t="shared" si="25"/>
        <v>#DIV/0!</v>
      </c>
      <c r="N38" s="48" t="e">
        <f t="shared" si="25"/>
        <v>#DIV/0!</v>
      </c>
      <c r="O38" s="48" t="e">
        <f t="shared" si="25"/>
        <v>#DIV/0!</v>
      </c>
      <c r="P38" s="48" t="e">
        <f t="shared" si="25"/>
        <v>#DIV/0!</v>
      </c>
      <c r="Q38" s="48" t="e">
        <f>Q36/Q37</f>
        <v>#DIV/0!</v>
      </c>
      <c r="R38" s="48" t="e">
        <f t="shared" si="25"/>
        <v>#DIV/0!</v>
      </c>
      <c r="S38" s="48" t="e">
        <f t="shared" si="25"/>
        <v>#DIV/0!</v>
      </c>
      <c r="T38" s="48" t="e">
        <f t="shared" si="25"/>
        <v>#DIV/0!</v>
      </c>
      <c r="U38" s="48" t="e">
        <f t="shared" si="25"/>
        <v>#DIV/0!</v>
      </c>
      <c r="V38" s="48" t="e">
        <f t="shared" si="25"/>
        <v>#DIV/0!</v>
      </c>
      <c r="W38" s="48" t="e">
        <f t="shared" si="25"/>
        <v>#DIV/0!</v>
      </c>
      <c r="X38" s="48" t="e">
        <f t="shared" si="25"/>
        <v>#DIV/0!</v>
      </c>
      <c r="Y38" s="48" t="e">
        <f t="shared" si="25"/>
        <v>#DIV/0!</v>
      </c>
      <c r="Z38" s="48" t="e">
        <f>Z36/Z37</f>
        <v>#DIV/0!</v>
      </c>
      <c r="AA38" s="48" t="e">
        <f t="shared" si="25"/>
        <v>#DIV/0!</v>
      </c>
      <c r="AB38" s="48" t="e">
        <f t="shared" si="25"/>
        <v>#DIV/0!</v>
      </c>
      <c r="AC38" s="48" t="e">
        <f t="shared" si="25"/>
        <v>#DIV/0!</v>
      </c>
      <c r="AD38" s="48" t="e">
        <f t="shared" si="25"/>
        <v>#DIV/0!</v>
      </c>
      <c r="AE38" s="48" t="e">
        <f t="shared" si="25"/>
        <v>#DIV/0!</v>
      </c>
      <c r="AF38" s="48" t="e">
        <f t="shared" si="25"/>
        <v>#DIV/0!</v>
      </c>
      <c r="AG38" s="48" t="e">
        <f t="shared" si="25"/>
        <v>#DIV/0!</v>
      </c>
      <c r="AH38" s="48" t="e">
        <f t="shared" si="25"/>
        <v>#DIV/0!</v>
      </c>
      <c r="AI38" s="48" t="e">
        <f t="shared" si="25"/>
        <v>#DIV/0!</v>
      </c>
      <c r="AJ38" s="48">
        <f t="shared" si="25"/>
        <v>0</v>
      </c>
      <c r="AK38" s="48">
        <f>AK36/AK37</f>
        <v>0.18144637260148308</v>
      </c>
    </row>
    <row r="39" spans="1:253" x14ac:dyDescent="0.3">
      <c r="A39" s="24"/>
      <c r="B39" s="24" t="s">
        <v>47</v>
      </c>
      <c r="C39" s="10" t="s">
        <v>6</v>
      </c>
      <c r="D39" s="10" t="s">
        <v>7</v>
      </c>
      <c r="E39" s="45">
        <f t="shared" ref="E39:AI39" si="26">E84+E87</f>
        <v>2585</v>
      </c>
      <c r="F39" s="45">
        <f t="shared" si="26"/>
        <v>0</v>
      </c>
      <c r="G39" s="45">
        <f t="shared" si="26"/>
        <v>4840</v>
      </c>
      <c r="H39" s="45">
        <f t="shared" si="26"/>
        <v>2665</v>
      </c>
      <c r="I39" s="45">
        <f t="shared" si="26"/>
        <v>3050</v>
      </c>
      <c r="J39" s="45">
        <f t="shared" si="26"/>
        <v>0</v>
      </c>
      <c r="K39" s="45">
        <f t="shared" si="26"/>
        <v>0</v>
      </c>
      <c r="L39" s="45">
        <f t="shared" si="26"/>
        <v>0</v>
      </c>
      <c r="M39" s="45">
        <f t="shared" si="26"/>
        <v>0</v>
      </c>
      <c r="N39" s="45">
        <f t="shared" si="26"/>
        <v>0</v>
      </c>
      <c r="O39" s="45">
        <f t="shared" si="26"/>
        <v>0</v>
      </c>
      <c r="P39" s="45">
        <f t="shared" si="26"/>
        <v>0</v>
      </c>
      <c r="Q39" s="45">
        <f t="shared" si="26"/>
        <v>0</v>
      </c>
      <c r="R39" s="45">
        <f t="shared" si="26"/>
        <v>0</v>
      </c>
      <c r="S39" s="45">
        <f>S84+S87</f>
        <v>0</v>
      </c>
      <c r="T39" s="45">
        <f t="shared" si="26"/>
        <v>0</v>
      </c>
      <c r="U39" s="45">
        <f t="shared" si="26"/>
        <v>0</v>
      </c>
      <c r="V39" s="45">
        <f t="shared" si="26"/>
        <v>0</v>
      </c>
      <c r="W39" s="45">
        <f t="shared" si="26"/>
        <v>0</v>
      </c>
      <c r="X39" s="45">
        <f t="shared" si="26"/>
        <v>0</v>
      </c>
      <c r="Y39" s="45">
        <f t="shared" si="26"/>
        <v>0</v>
      </c>
      <c r="Z39" s="45">
        <f t="shared" si="26"/>
        <v>0</v>
      </c>
      <c r="AA39" s="45">
        <f t="shared" si="26"/>
        <v>0</v>
      </c>
      <c r="AB39" s="45">
        <f t="shared" si="26"/>
        <v>0</v>
      </c>
      <c r="AC39" s="45">
        <f t="shared" si="26"/>
        <v>0</v>
      </c>
      <c r="AD39" s="45">
        <f t="shared" si="26"/>
        <v>0</v>
      </c>
      <c r="AE39" s="45">
        <f t="shared" si="26"/>
        <v>0</v>
      </c>
      <c r="AF39" s="45">
        <f t="shared" si="26"/>
        <v>0</v>
      </c>
      <c r="AG39" s="45">
        <f t="shared" si="26"/>
        <v>0</v>
      </c>
      <c r="AH39" s="45">
        <f t="shared" si="26"/>
        <v>0</v>
      </c>
      <c r="AI39" s="45">
        <f t="shared" si="26"/>
        <v>0</v>
      </c>
      <c r="AJ39" s="11">
        <f>SUM(E39:AI39)</f>
        <v>13140</v>
      </c>
      <c r="AK39" s="12">
        <f>AJ39+'Jul-24'!AK39</f>
        <v>348477</v>
      </c>
    </row>
    <row r="40" spans="1:253" x14ac:dyDescent="0.3">
      <c r="A40" s="24"/>
      <c r="B40" s="24" t="s">
        <v>48</v>
      </c>
      <c r="C40" s="10" t="s">
        <v>6</v>
      </c>
      <c r="D40" s="10" t="s">
        <v>7</v>
      </c>
      <c r="E40" s="45">
        <f>E97+E98</f>
        <v>127</v>
      </c>
      <c r="F40" s="45">
        <f t="shared" ref="F40:AI40" si="27">F97+F98</f>
        <v>0</v>
      </c>
      <c r="G40" s="45">
        <f t="shared" si="27"/>
        <v>124</v>
      </c>
      <c r="H40" s="45">
        <f t="shared" si="27"/>
        <v>89</v>
      </c>
      <c r="I40" s="45">
        <f t="shared" si="27"/>
        <v>84</v>
      </c>
      <c r="J40" s="45">
        <f t="shared" si="27"/>
        <v>0</v>
      </c>
      <c r="K40" s="45">
        <f t="shared" si="27"/>
        <v>0</v>
      </c>
      <c r="L40" s="45">
        <f t="shared" si="27"/>
        <v>0</v>
      </c>
      <c r="M40" s="45">
        <f t="shared" si="27"/>
        <v>0</v>
      </c>
      <c r="N40" s="45">
        <f t="shared" si="27"/>
        <v>0</v>
      </c>
      <c r="O40" s="45">
        <f>O97+O98</f>
        <v>0</v>
      </c>
      <c r="P40" s="45">
        <f>P97+P98</f>
        <v>0</v>
      </c>
      <c r="Q40" s="45">
        <f>Q97+Q98</f>
        <v>0</v>
      </c>
      <c r="R40" s="45">
        <f>R97+R98</f>
        <v>0</v>
      </c>
      <c r="S40" s="45">
        <f t="shared" si="27"/>
        <v>0</v>
      </c>
      <c r="T40" s="45">
        <f t="shared" si="27"/>
        <v>0</v>
      </c>
      <c r="U40" s="45">
        <f t="shared" si="27"/>
        <v>0</v>
      </c>
      <c r="V40" s="45">
        <f t="shared" si="27"/>
        <v>0</v>
      </c>
      <c r="W40" s="45">
        <f t="shared" si="27"/>
        <v>0</v>
      </c>
      <c r="X40" s="45">
        <f t="shared" si="27"/>
        <v>0</v>
      </c>
      <c r="Y40" s="45">
        <f t="shared" si="27"/>
        <v>0</v>
      </c>
      <c r="Z40" s="45">
        <f t="shared" si="27"/>
        <v>0</v>
      </c>
      <c r="AA40" s="45">
        <f t="shared" si="27"/>
        <v>0</v>
      </c>
      <c r="AB40" s="45">
        <f t="shared" si="27"/>
        <v>0</v>
      </c>
      <c r="AC40" s="45">
        <f t="shared" si="27"/>
        <v>0</v>
      </c>
      <c r="AD40" s="45">
        <f t="shared" si="27"/>
        <v>0</v>
      </c>
      <c r="AE40" s="45">
        <f t="shared" si="27"/>
        <v>0</v>
      </c>
      <c r="AF40" s="45">
        <f t="shared" si="27"/>
        <v>0</v>
      </c>
      <c r="AG40" s="45">
        <f t="shared" si="27"/>
        <v>0</v>
      </c>
      <c r="AH40" s="45">
        <f t="shared" si="27"/>
        <v>0</v>
      </c>
      <c r="AI40" s="45">
        <f t="shared" si="27"/>
        <v>0</v>
      </c>
      <c r="AJ40" s="11">
        <f>SUM(E40:AI40)</f>
        <v>424</v>
      </c>
      <c r="AK40" s="12">
        <f>AJ40+'Jul-24'!AK40</f>
        <v>16066.91</v>
      </c>
    </row>
    <row r="41" spans="1:253" x14ac:dyDescent="0.3">
      <c r="A41" s="44">
        <v>10</v>
      </c>
      <c r="B41" s="44" t="s">
        <v>49</v>
      </c>
      <c r="C41" s="15" t="s">
        <v>36</v>
      </c>
      <c r="D41" s="15" t="s">
        <v>43</v>
      </c>
      <c r="E41" s="48">
        <f t="shared" ref="E41:AI41" si="28">IFERROR(E40/E39,"-")</f>
        <v>4.9129593810444877E-2</v>
      </c>
      <c r="F41" s="48" t="str">
        <f t="shared" si="28"/>
        <v>-</v>
      </c>
      <c r="G41" s="48">
        <f t="shared" si="28"/>
        <v>2.5619834710743802E-2</v>
      </c>
      <c r="H41" s="48">
        <f t="shared" si="28"/>
        <v>3.3395872420262665E-2</v>
      </c>
      <c r="I41" s="48">
        <f t="shared" si="28"/>
        <v>2.7540983606557379E-2</v>
      </c>
      <c r="J41" s="48" t="str">
        <f t="shared" si="28"/>
        <v>-</v>
      </c>
      <c r="K41" s="48" t="str">
        <f t="shared" si="28"/>
        <v>-</v>
      </c>
      <c r="L41" s="48" t="str">
        <f t="shared" si="28"/>
        <v>-</v>
      </c>
      <c r="M41" s="48" t="str">
        <f t="shared" si="28"/>
        <v>-</v>
      </c>
      <c r="N41" s="48" t="str">
        <f t="shared" si="28"/>
        <v>-</v>
      </c>
      <c r="O41" s="48" t="str">
        <f t="shared" si="28"/>
        <v>-</v>
      </c>
      <c r="P41" s="48" t="str">
        <f t="shared" si="28"/>
        <v>-</v>
      </c>
      <c r="Q41" s="48" t="str">
        <f t="shared" si="28"/>
        <v>-</v>
      </c>
      <c r="R41" s="48" t="str">
        <f t="shared" si="28"/>
        <v>-</v>
      </c>
      <c r="S41" s="48" t="str">
        <f t="shared" si="28"/>
        <v>-</v>
      </c>
      <c r="T41" s="48" t="str">
        <f t="shared" si="28"/>
        <v>-</v>
      </c>
      <c r="U41" s="48" t="str">
        <f t="shared" si="28"/>
        <v>-</v>
      </c>
      <c r="V41" s="48" t="str">
        <f t="shared" si="28"/>
        <v>-</v>
      </c>
      <c r="W41" s="48" t="str">
        <f t="shared" si="28"/>
        <v>-</v>
      </c>
      <c r="X41" s="48" t="str">
        <f t="shared" si="28"/>
        <v>-</v>
      </c>
      <c r="Y41" s="48" t="str">
        <f t="shared" si="28"/>
        <v>-</v>
      </c>
      <c r="Z41" s="48" t="str">
        <f t="shared" si="28"/>
        <v>-</v>
      </c>
      <c r="AA41" s="48" t="str">
        <f t="shared" si="28"/>
        <v>-</v>
      </c>
      <c r="AB41" s="48" t="str">
        <f t="shared" si="28"/>
        <v>-</v>
      </c>
      <c r="AC41" s="48" t="str">
        <f t="shared" si="28"/>
        <v>-</v>
      </c>
      <c r="AD41" s="48" t="str">
        <f>IFERROR(AD40/AD39,"-")</f>
        <v>-</v>
      </c>
      <c r="AE41" s="48" t="str">
        <f t="shared" si="28"/>
        <v>-</v>
      </c>
      <c r="AF41" s="48" t="str">
        <f t="shared" si="28"/>
        <v>-</v>
      </c>
      <c r="AG41" s="48" t="str">
        <f t="shared" si="28"/>
        <v>-</v>
      </c>
      <c r="AH41" s="48" t="str">
        <f t="shared" si="28"/>
        <v>-</v>
      </c>
      <c r="AI41" s="48" t="str">
        <f t="shared" si="28"/>
        <v>-</v>
      </c>
      <c r="AJ41" s="16">
        <f>AJ40/AJ39</f>
        <v>3.2267884322678846E-2</v>
      </c>
      <c r="AK41" s="16">
        <f>AK40/AK39</f>
        <v>4.610608447616342E-2</v>
      </c>
    </row>
    <row r="42" spans="1:253" x14ac:dyDescent="0.3">
      <c r="A42" s="24"/>
      <c r="B42" s="24" t="s">
        <v>216</v>
      </c>
      <c r="C42" s="10" t="s">
        <v>51</v>
      </c>
      <c r="D42" s="10" t="s">
        <v>7</v>
      </c>
      <c r="E42" s="52">
        <v>367</v>
      </c>
      <c r="F42" s="52">
        <v>336</v>
      </c>
      <c r="G42" s="52">
        <v>339</v>
      </c>
      <c r="H42" s="52">
        <v>350</v>
      </c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42"/>
      <c r="T42" s="10"/>
      <c r="U42" s="10"/>
      <c r="V42" s="10"/>
      <c r="W42" s="10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11">
        <f t="shared" ref="AJ42:AJ45" si="29">SUM(E42:AI42)</f>
        <v>1392</v>
      </c>
      <c r="AK42" s="12">
        <f>AJ42+'Jul-24'!AK42</f>
        <v>28619</v>
      </c>
      <c r="AL42" s="54">
        <f>AJ45/AJ44</f>
        <v>0.45038312483893039</v>
      </c>
    </row>
    <row r="43" spans="1:253" x14ac:dyDescent="0.3">
      <c r="A43" s="24"/>
      <c r="B43" s="24" t="s">
        <v>217</v>
      </c>
      <c r="C43" s="10" t="s">
        <v>51</v>
      </c>
      <c r="D43" s="10"/>
      <c r="E43" s="60">
        <v>7966</v>
      </c>
      <c r="F43" s="60">
        <v>7961</v>
      </c>
      <c r="G43" s="60">
        <v>7971</v>
      </c>
      <c r="H43" s="60">
        <v>7966</v>
      </c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11">
        <f t="shared" si="29"/>
        <v>31864</v>
      </c>
      <c r="AK43" s="12">
        <f>AJ43+'Jul-24'!AK43</f>
        <v>650327.53079999995</v>
      </c>
    </row>
    <row r="44" spans="1:253" x14ac:dyDescent="0.3">
      <c r="A44" s="24"/>
      <c r="B44" s="24" t="s">
        <v>53</v>
      </c>
      <c r="C44" s="10" t="s">
        <v>51</v>
      </c>
      <c r="D44" s="10"/>
      <c r="E44" s="23">
        <f>E69*E73</f>
        <v>6206861</v>
      </c>
      <c r="F44" s="23">
        <f t="shared" ref="F44:AI44" si="30">F69*F73</f>
        <v>6208339</v>
      </c>
      <c r="G44" s="23">
        <f>G69*G73</f>
        <v>6034464</v>
      </c>
      <c r="H44" s="23">
        <f t="shared" si="30"/>
        <v>6170901</v>
      </c>
      <c r="I44" s="23">
        <f t="shared" si="30"/>
        <v>0</v>
      </c>
      <c r="J44" s="23">
        <f t="shared" si="30"/>
        <v>0</v>
      </c>
      <c r="K44" s="23">
        <f t="shared" si="30"/>
        <v>0</v>
      </c>
      <c r="L44" s="23">
        <f t="shared" si="30"/>
        <v>0</v>
      </c>
      <c r="M44" s="23">
        <f t="shared" si="30"/>
        <v>0</v>
      </c>
      <c r="N44" s="23">
        <f t="shared" si="30"/>
        <v>0</v>
      </c>
      <c r="O44" s="23">
        <f t="shared" si="30"/>
        <v>0</v>
      </c>
      <c r="P44" s="23">
        <f t="shared" si="30"/>
        <v>0</v>
      </c>
      <c r="Q44" s="23">
        <f t="shared" si="30"/>
        <v>0</v>
      </c>
      <c r="R44" s="23">
        <f t="shared" si="30"/>
        <v>0</v>
      </c>
      <c r="S44" s="23">
        <f t="shared" si="30"/>
        <v>0</v>
      </c>
      <c r="T44" s="23">
        <f t="shared" si="30"/>
        <v>0</v>
      </c>
      <c r="U44" s="23">
        <f t="shared" si="30"/>
        <v>0</v>
      </c>
      <c r="V44" s="23">
        <f t="shared" si="30"/>
        <v>0</v>
      </c>
      <c r="W44" s="23">
        <f t="shared" si="30"/>
        <v>0</v>
      </c>
      <c r="X44" s="23">
        <f t="shared" si="30"/>
        <v>0</v>
      </c>
      <c r="Y44" s="23">
        <f t="shared" si="30"/>
        <v>0</v>
      </c>
      <c r="Z44" s="23">
        <f t="shared" si="30"/>
        <v>0</v>
      </c>
      <c r="AA44" s="23">
        <f t="shared" si="30"/>
        <v>0</v>
      </c>
      <c r="AB44" s="23">
        <f t="shared" si="30"/>
        <v>0</v>
      </c>
      <c r="AC44" s="23">
        <f t="shared" si="30"/>
        <v>0</v>
      </c>
      <c r="AD44" s="23">
        <f t="shared" si="30"/>
        <v>0</v>
      </c>
      <c r="AE44" s="23">
        <f t="shared" si="30"/>
        <v>0</v>
      </c>
      <c r="AF44" s="23">
        <f t="shared" si="30"/>
        <v>0</v>
      </c>
      <c r="AG44" s="23">
        <f t="shared" si="30"/>
        <v>0</v>
      </c>
      <c r="AH44" s="23">
        <f t="shared" si="30"/>
        <v>0</v>
      </c>
      <c r="AI44" s="23">
        <f t="shared" si="30"/>
        <v>0</v>
      </c>
      <c r="AJ44" s="28">
        <f>SUM(E44:AI44)</f>
        <v>24620565</v>
      </c>
      <c r="AK44" s="12">
        <f>AJ44+'Jul-24'!AK44</f>
        <v>701054195.29999995</v>
      </c>
    </row>
    <row r="45" spans="1:253" x14ac:dyDescent="0.3">
      <c r="A45" s="24"/>
      <c r="B45" s="24" t="s">
        <v>54</v>
      </c>
      <c r="C45" s="10" t="s">
        <v>51</v>
      </c>
      <c r="D45" s="10"/>
      <c r="E45" s="55">
        <f>E42*E43</f>
        <v>2923522</v>
      </c>
      <c r="F45" s="55">
        <f>F42*F43</f>
        <v>2674896</v>
      </c>
      <c r="G45" s="55">
        <f t="shared" ref="G45:AI45" si="31">G42*G43</f>
        <v>2702169</v>
      </c>
      <c r="H45" s="55">
        <f t="shared" si="31"/>
        <v>2788100</v>
      </c>
      <c r="I45" s="55">
        <f t="shared" si="31"/>
        <v>0</v>
      </c>
      <c r="J45" s="55">
        <f t="shared" si="31"/>
        <v>0</v>
      </c>
      <c r="K45" s="55">
        <f t="shared" si="31"/>
        <v>0</v>
      </c>
      <c r="L45" s="55">
        <f t="shared" si="31"/>
        <v>0</v>
      </c>
      <c r="M45" s="42">
        <f>M42*M43</f>
        <v>0</v>
      </c>
      <c r="N45" s="55">
        <f t="shared" si="31"/>
        <v>0</v>
      </c>
      <c r="O45" s="55">
        <f t="shared" si="31"/>
        <v>0</v>
      </c>
      <c r="P45" s="55">
        <f t="shared" si="31"/>
        <v>0</v>
      </c>
      <c r="Q45" s="55">
        <f t="shared" si="31"/>
        <v>0</v>
      </c>
      <c r="R45" s="55">
        <f t="shared" si="31"/>
        <v>0</v>
      </c>
      <c r="S45" s="55">
        <f t="shared" si="31"/>
        <v>0</v>
      </c>
      <c r="T45" s="55">
        <f t="shared" si="31"/>
        <v>0</v>
      </c>
      <c r="U45" s="55">
        <f t="shared" si="31"/>
        <v>0</v>
      </c>
      <c r="V45" s="55">
        <f t="shared" si="31"/>
        <v>0</v>
      </c>
      <c r="W45" s="55">
        <f t="shared" si="31"/>
        <v>0</v>
      </c>
      <c r="X45" s="55">
        <f t="shared" si="31"/>
        <v>0</v>
      </c>
      <c r="Y45" s="55">
        <f t="shared" si="31"/>
        <v>0</v>
      </c>
      <c r="Z45" s="55">
        <f t="shared" si="31"/>
        <v>0</v>
      </c>
      <c r="AA45" s="55">
        <f t="shared" si="31"/>
        <v>0</v>
      </c>
      <c r="AB45" s="55">
        <f t="shared" si="31"/>
        <v>0</v>
      </c>
      <c r="AC45" s="55">
        <f t="shared" si="31"/>
        <v>0</v>
      </c>
      <c r="AD45" s="55">
        <f t="shared" si="31"/>
        <v>0</v>
      </c>
      <c r="AE45" s="55">
        <f t="shared" si="31"/>
        <v>0</v>
      </c>
      <c r="AF45" s="55">
        <f t="shared" si="31"/>
        <v>0</v>
      </c>
      <c r="AG45" s="55">
        <f t="shared" si="31"/>
        <v>0</v>
      </c>
      <c r="AH45" s="55">
        <f t="shared" si="31"/>
        <v>0</v>
      </c>
      <c r="AI45" s="55">
        <f t="shared" si="31"/>
        <v>0</v>
      </c>
      <c r="AJ45" s="11">
        <f t="shared" si="29"/>
        <v>11088687</v>
      </c>
      <c r="AK45" s="12">
        <f>AJ45+'Jul-24'!AK45</f>
        <v>229816093.49000001</v>
      </c>
    </row>
    <row r="46" spans="1:253" x14ac:dyDescent="0.3">
      <c r="A46" s="44"/>
      <c r="B46" s="44" t="s">
        <v>221</v>
      </c>
      <c r="C46" s="15"/>
      <c r="D46" s="15"/>
      <c r="E46" s="56">
        <f>E45/E44</f>
        <v>0.47101457564459714</v>
      </c>
      <c r="F46" s="56">
        <f t="shared" ref="F46:AI46" si="32">F45/F44</f>
        <v>0.43085533827969125</v>
      </c>
      <c r="G46" s="56">
        <f>G45/G44</f>
        <v>0.4477893976996134</v>
      </c>
      <c r="H46" s="56">
        <f t="shared" si="32"/>
        <v>0.45181408679218804</v>
      </c>
      <c r="I46" s="56" t="e">
        <f t="shared" si="32"/>
        <v>#DIV/0!</v>
      </c>
      <c r="J46" s="56" t="e">
        <f t="shared" si="32"/>
        <v>#DIV/0!</v>
      </c>
      <c r="K46" s="56" t="e">
        <f t="shared" si="32"/>
        <v>#DIV/0!</v>
      </c>
      <c r="L46" s="56" t="e">
        <f t="shared" si="32"/>
        <v>#DIV/0!</v>
      </c>
      <c r="M46" s="56" t="e">
        <f t="shared" si="32"/>
        <v>#DIV/0!</v>
      </c>
      <c r="N46" s="56" t="e">
        <f t="shared" si="32"/>
        <v>#DIV/0!</v>
      </c>
      <c r="O46" s="56" t="e">
        <f t="shared" si="32"/>
        <v>#DIV/0!</v>
      </c>
      <c r="P46" s="56" t="e">
        <f t="shared" si="32"/>
        <v>#DIV/0!</v>
      </c>
      <c r="Q46" s="56" t="e">
        <f t="shared" si="32"/>
        <v>#DIV/0!</v>
      </c>
      <c r="R46" s="56" t="e">
        <f t="shared" si="32"/>
        <v>#DIV/0!</v>
      </c>
      <c r="S46" s="56" t="e">
        <f t="shared" si="32"/>
        <v>#DIV/0!</v>
      </c>
      <c r="T46" s="56" t="e">
        <f t="shared" si="32"/>
        <v>#DIV/0!</v>
      </c>
      <c r="U46" s="56" t="e">
        <f t="shared" si="32"/>
        <v>#DIV/0!</v>
      </c>
      <c r="V46" s="56" t="e">
        <f t="shared" si="32"/>
        <v>#DIV/0!</v>
      </c>
      <c r="W46" s="56" t="e">
        <f t="shared" si="32"/>
        <v>#DIV/0!</v>
      </c>
      <c r="X46" s="56" t="e">
        <f t="shared" si="32"/>
        <v>#DIV/0!</v>
      </c>
      <c r="Y46" s="56" t="e">
        <f t="shared" si="32"/>
        <v>#DIV/0!</v>
      </c>
      <c r="Z46" s="56" t="e">
        <f t="shared" si="32"/>
        <v>#DIV/0!</v>
      </c>
      <c r="AA46" s="56" t="e">
        <f t="shared" si="32"/>
        <v>#DIV/0!</v>
      </c>
      <c r="AB46" s="56" t="e">
        <f t="shared" si="32"/>
        <v>#DIV/0!</v>
      </c>
      <c r="AC46" s="56" t="e">
        <f t="shared" si="32"/>
        <v>#DIV/0!</v>
      </c>
      <c r="AD46" s="56" t="e">
        <f t="shared" si="32"/>
        <v>#DIV/0!</v>
      </c>
      <c r="AE46" s="56" t="e">
        <f t="shared" si="32"/>
        <v>#DIV/0!</v>
      </c>
      <c r="AF46" s="56" t="e">
        <f t="shared" si="32"/>
        <v>#DIV/0!</v>
      </c>
      <c r="AG46" s="56" t="e">
        <f t="shared" si="32"/>
        <v>#DIV/0!</v>
      </c>
      <c r="AH46" s="56" t="e">
        <f t="shared" si="32"/>
        <v>#DIV/0!</v>
      </c>
      <c r="AI46" s="56" t="e">
        <f t="shared" si="32"/>
        <v>#DIV/0!</v>
      </c>
      <c r="AJ46" s="16">
        <f>AJ45/AJ44</f>
        <v>0.45038312483893039</v>
      </c>
      <c r="AK46" s="16">
        <f>AK45/AK44</f>
        <v>0.32781501776999639</v>
      </c>
    </row>
    <row r="47" spans="1:253" s="51" customFormat="1" x14ac:dyDescent="0.3">
      <c r="B47" s="58" t="s">
        <v>215</v>
      </c>
      <c r="C47" s="59" t="s">
        <v>51</v>
      </c>
      <c r="D47" s="59" t="s">
        <v>7</v>
      </c>
      <c r="E47" s="53">
        <v>711</v>
      </c>
      <c r="F47" s="53">
        <v>0</v>
      </c>
      <c r="G47" s="53">
        <v>0</v>
      </c>
      <c r="H47" s="53">
        <v>0</v>
      </c>
      <c r="I47" s="53">
        <v>0</v>
      </c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10"/>
      <c r="U47" s="10"/>
      <c r="V47" s="10"/>
      <c r="W47" s="10"/>
      <c r="X47" s="10"/>
      <c r="Y47" s="10"/>
      <c r="Z47" s="53"/>
      <c r="AA47" s="22"/>
      <c r="AB47" s="22"/>
      <c r="AC47" s="22"/>
      <c r="AD47" s="22"/>
      <c r="AE47" s="22"/>
      <c r="AF47" s="22"/>
      <c r="AG47" s="22"/>
      <c r="AH47" s="22"/>
      <c r="AI47" s="22"/>
      <c r="AJ47" s="11">
        <f t="shared" ref="AJ47:AJ49" si="33">SUM(E47:AI47)</f>
        <v>711</v>
      </c>
      <c r="AK47" s="12">
        <f>AJ47+'Jul-24'!AK47</f>
        <v>36925.851999999999</v>
      </c>
      <c r="AL47" s="62">
        <f>AJ49/AJ44</f>
        <v>0.11505113712865647</v>
      </c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62"/>
      <c r="BL47" s="62"/>
      <c r="BM47" s="62"/>
      <c r="BN47" s="62"/>
      <c r="BO47" s="62"/>
      <c r="BP47" s="62"/>
      <c r="BQ47" s="62"/>
      <c r="BR47" s="62"/>
      <c r="BS47" s="62"/>
      <c r="BT47" s="62"/>
      <c r="BU47" s="62"/>
      <c r="BV47" s="62"/>
      <c r="BW47" s="62"/>
      <c r="BX47" s="62"/>
      <c r="BY47" s="62"/>
      <c r="BZ47" s="62"/>
      <c r="CA47" s="62"/>
      <c r="CB47" s="62"/>
      <c r="CC47" s="62"/>
      <c r="CD47" s="62"/>
      <c r="CE47" s="62"/>
      <c r="CF47" s="62"/>
      <c r="CG47" s="62"/>
      <c r="CH47" s="62"/>
      <c r="CI47" s="62"/>
      <c r="CJ47" s="62"/>
      <c r="CK47" s="62"/>
      <c r="CL47" s="62"/>
      <c r="CM47" s="62"/>
      <c r="CN47" s="62"/>
      <c r="CO47" s="62"/>
      <c r="CP47" s="62"/>
      <c r="CQ47" s="62"/>
      <c r="CR47" s="62"/>
      <c r="CS47" s="62"/>
      <c r="CT47" s="62"/>
      <c r="CU47" s="62"/>
      <c r="CV47" s="62"/>
      <c r="CW47" s="62"/>
      <c r="CX47" s="62"/>
      <c r="CY47" s="62"/>
      <c r="CZ47" s="62"/>
      <c r="DA47" s="62"/>
      <c r="DB47" s="62"/>
      <c r="DC47" s="62"/>
      <c r="DD47" s="62"/>
      <c r="DE47" s="62"/>
      <c r="DF47" s="62"/>
      <c r="DG47" s="62"/>
      <c r="DH47" s="62"/>
      <c r="DI47" s="62"/>
      <c r="DJ47" s="62"/>
      <c r="DK47" s="62"/>
      <c r="DL47" s="62"/>
      <c r="DM47" s="62"/>
      <c r="DN47" s="62"/>
      <c r="DO47" s="62"/>
      <c r="DP47" s="62"/>
      <c r="DQ47" s="62"/>
      <c r="DR47" s="62"/>
      <c r="DS47" s="62"/>
      <c r="DT47" s="62"/>
      <c r="DU47" s="62"/>
      <c r="DV47" s="62"/>
      <c r="DW47" s="62"/>
      <c r="DX47" s="62"/>
      <c r="DY47" s="62"/>
      <c r="DZ47" s="62"/>
      <c r="EA47" s="62"/>
      <c r="EB47" s="62"/>
      <c r="EC47" s="62"/>
      <c r="ED47" s="62"/>
      <c r="EE47" s="62"/>
      <c r="EF47" s="62"/>
      <c r="EG47" s="62"/>
      <c r="EH47" s="62"/>
      <c r="EI47" s="62"/>
      <c r="EJ47" s="62"/>
      <c r="EK47" s="62"/>
      <c r="EL47" s="62"/>
      <c r="EM47" s="62"/>
      <c r="EN47" s="62"/>
      <c r="EO47" s="62"/>
      <c r="EP47" s="62"/>
      <c r="EQ47" s="62"/>
      <c r="ER47" s="62"/>
      <c r="ES47" s="62"/>
      <c r="ET47" s="62"/>
      <c r="EU47" s="62"/>
      <c r="EV47" s="62"/>
      <c r="EW47" s="62"/>
      <c r="EX47" s="62"/>
      <c r="EY47" s="62"/>
      <c r="EZ47" s="62"/>
      <c r="FA47" s="62"/>
      <c r="FB47" s="62"/>
      <c r="FC47" s="62"/>
      <c r="FD47" s="62"/>
      <c r="FE47" s="62"/>
      <c r="FF47" s="62"/>
      <c r="FG47" s="62"/>
      <c r="FH47" s="62"/>
      <c r="FI47" s="62"/>
      <c r="FJ47" s="62"/>
      <c r="FK47" s="62"/>
      <c r="FL47" s="62"/>
      <c r="FM47" s="62"/>
      <c r="FN47" s="62"/>
      <c r="FO47" s="62"/>
      <c r="FP47" s="62"/>
      <c r="FQ47" s="62"/>
      <c r="FR47" s="62"/>
      <c r="FS47" s="62"/>
      <c r="FT47" s="62"/>
      <c r="FU47" s="62"/>
      <c r="FV47" s="62"/>
      <c r="FW47" s="62"/>
      <c r="FX47" s="62"/>
      <c r="FY47" s="62"/>
      <c r="FZ47" s="62"/>
      <c r="GA47" s="62"/>
      <c r="GB47" s="62"/>
      <c r="GC47" s="62"/>
      <c r="GD47" s="62"/>
      <c r="GE47" s="62"/>
      <c r="GF47" s="62"/>
      <c r="GG47" s="62"/>
      <c r="GH47" s="62"/>
      <c r="GI47" s="62"/>
      <c r="GJ47" s="62"/>
      <c r="GK47" s="62"/>
      <c r="GL47" s="62"/>
      <c r="GM47" s="62"/>
      <c r="GN47" s="62"/>
      <c r="GO47" s="62"/>
      <c r="GP47" s="62"/>
      <c r="GQ47" s="62"/>
      <c r="GR47" s="62"/>
      <c r="GS47" s="62"/>
      <c r="GT47" s="62"/>
      <c r="GU47" s="62"/>
      <c r="GV47" s="62"/>
      <c r="GW47" s="62"/>
      <c r="GX47" s="62"/>
      <c r="GY47" s="62"/>
      <c r="GZ47" s="62"/>
      <c r="HA47" s="62"/>
      <c r="HB47" s="62"/>
      <c r="HC47" s="62"/>
      <c r="HD47" s="62"/>
      <c r="HE47" s="62"/>
      <c r="HF47" s="62"/>
      <c r="HG47" s="62"/>
      <c r="HH47" s="62"/>
      <c r="HI47" s="62"/>
      <c r="HJ47" s="62"/>
      <c r="HK47" s="62"/>
      <c r="HL47" s="62"/>
      <c r="HM47" s="62"/>
      <c r="HN47" s="62"/>
      <c r="HO47" s="62"/>
      <c r="HP47" s="62"/>
      <c r="HQ47" s="62"/>
      <c r="HR47" s="62"/>
      <c r="HS47" s="62"/>
      <c r="HT47" s="62"/>
      <c r="HU47" s="62"/>
      <c r="HV47" s="62"/>
      <c r="HW47" s="62"/>
      <c r="HX47" s="62"/>
      <c r="HY47" s="62"/>
      <c r="HZ47" s="62"/>
      <c r="IA47" s="62"/>
      <c r="IB47" s="62"/>
      <c r="IC47" s="62"/>
      <c r="ID47" s="62"/>
      <c r="IE47" s="62"/>
      <c r="IF47" s="62"/>
      <c r="IG47" s="62"/>
      <c r="IH47" s="62"/>
      <c r="II47" s="62"/>
      <c r="IJ47" s="62"/>
      <c r="IK47" s="62"/>
      <c r="IL47" s="62"/>
      <c r="IM47" s="62"/>
      <c r="IN47" s="62"/>
      <c r="IO47" s="62"/>
      <c r="IP47" s="62"/>
      <c r="IQ47" s="62"/>
      <c r="IR47" s="62"/>
      <c r="IS47" s="62"/>
    </row>
    <row r="48" spans="1:253" s="51" customFormat="1" x14ac:dyDescent="0.3">
      <c r="B48" s="58" t="s">
        <v>218</v>
      </c>
      <c r="C48" s="59" t="s">
        <v>51</v>
      </c>
      <c r="D48" s="59" t="s">
        <v>55</v>
      </c>
      <c r="E48" s="60">
        <v>3984</v>
      </c>
      <c r="F48" s="60">
        <v>0</v>
      </c>
      <c r="G48" s="60">
        <v>0</v>
      </c>
      <c r="H48" s="60">
        <v>0</v>
      </c>
      <c r="I48" s="60">
        <v>0</v>
      </c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23"/>
      <c r="Z48" s="23"/>
      <c r="AA48" s="23"/>
      <c r="AB48" s="23"/>
      <c r="AC48" s="22"/>
      <c r="AD48" s="22"/>
      <c r="AE48" s="22"/>
      <c r="AF48" s="22"/>
      <c r="AG48" s="22"/>
      <c r="AH48" s="22"/>
      <c r="AI48" s="22"/>
      <c r="AJ48" s="11">
        <f t="shared" si="33"/>
        <v>3984</v>
      </c>
      <c r="AK48" s="12">
        <f>AJ48+'Jul-24'!AK48</f>
        <v>420552.52800000005</v>
      </c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2"/>
      <c r="BH48" s="62"/>
      <c r="BI48" s="62"/>
      <c r="BJ48" s="62"/>
      <c r="BK48" s="62"/>
      <c r="BL48" s="62"/>
      <c r="BM48" s="62"/>
      <c r="BN48" s="62"/>
      <c r="BO48" s="62"/>
      <c r="BP48" s="62"/>
      <c r="BQ48" s="62"/>
      <c r="BR48" s="62"/>
      <c r="BS48" s="62"/>
      <c r="BT48" s="62"/>
      <c r="BU48" s="62"/>
      <c r="BV48" s="62"/>
      <c r="BW48" s="62"/>
      <c r="BX48" s="62"/>
      <c r="BY48" s="62"/>
      <c r="BZ48" s="62"/>
      <c r="CA48" s="62"/>
      <c r="CB48" s="62"/>
      <c r="CC48" s="62"/>
      <c r="CD48" s="62"/>
      <c r="CE48" s="62"/>
      <c r="CF48" s="62"/>
      <c r="CG48" s="62"/>
      <c r="CH48" s="62"/>
      <c r="CI48" s="62"/>
      <c r="CJ48" s="62"/>
      <c r="CK48" s="62"/>
      <c r="CL48" s="62"/>
      <c r="CM48" s="62"/>
      <c r="CN48" s="62"/>
      <c r="CO48" s="62"/>
      <c r="CP48" s="62"/>
      <c r="CQ48" s="62"/>
      <c r="CR48" s="62"/>
      <c r="CS48" s="62"/>
      <c r="CT48" s="62"/>
      <c r="CU48" s="62"/>
      <c r="CV48" s="62"/>
      <c r="CW48" s="62"/>
      <c r="CX48" s="62"/>
      <c r="CY48" s="62"/>
      <c r="CZ48" s="62"/>
      <c r="DA48" s="62"/>
      <c r="DB48" s="62"/>
      <c r="DC48" s="62"/>
      <c r="DD48" s="62"/>
      <c r="DE48" s="62"/>
      <c r="DF48" s="62"/>
      <c r="DG48" s="62"/>
      <c r="DH48" s="62"/>
      <c r="DI48" s="62"/>
      <c r="DJ48" s="62"/>
      <c r="DK48" s="62"/>
      <c r="DL48" s="62"/>
      <c r="DM48" s="62"/>
      <c r="DN48" s="62"/>
      <c r="DO48" s="62"/>
      <c r="DP48" s="62"/>
      <c r="DQ48" s="62"/>
      <c r="DR48" s="62"/>
      <c r="DS48" s="62"/>
      <c r="DT48" s="62"/>
      <c r="DU48" s="62"/>
      <c r="DV48" s="62"/>
      <c r="DW48" s="62"/>
      <c r="DX48" s="62"/>
      <c r="DY48" s="62"/>
      <c r="DZ48" s="62"/>
      <c r="EA48" s="62"/>
      <c r="EB48" s="62"/>
      <c r="EC48" s="62"/>
      <c r="ED48" s="62"/>
      <c r="EE48" s="62"/>
      <c r="EF48" s="62"/>
      <c r="EG48" s="62"/>
      <c r="EH48" s="62"/>
      <c r="EI48" s="62"/>
      <c r="EJ48" s="62"/>
      <c r="EK48" s="62"/>
      <c r="EL48" s="62"/>
      <c r="EM48" s="62"/>
      <c r="EN48" s="62"/>
      <c r="EO48" s="62"/>
      <c r="EP48" s="62"/>
      <c r="EQ48" s="62"/>
      <c r="ER48" s="62"/>
      <c r="ES48" s="62"/>
      <c r="ET48" s="62"/>
      <c r="EU48" s="62"/>
      <c r="EV48" s="62"/>
      <c r="EW48" s="62"/>
      <c r="EX48" s="62"/>
      <c r="EY48" s="62"/>
      <c r="EZ48" s="62"/>
      <c r="FA48" s="62"/>
      <c r="FB48" s="62"/>
      <c r="FC48" s="62"/>
      <c r="FD48" s="62"/>
      <c r="FE48" s="62"/>
      <c r="FF48" s="62"/>
      <c r="FG48" s="62"/>
      <c r="FH48" s="62"/>
      <c r="FI48" s="62"/>
      <c r="FJ48" s="62"/>
      <c r="FK48" s="62"/>
      <c r="FL48" s="62"/>
      <c r="FM48" s="62"/>
      <c r="FN48" s="62"/>
      <c r="FO48" s="62"/>
      <c r="FP48" s="62"/>
      <c r="FQ48" s="62"/>
      <c r="FR48" s="62"/>
      <c r="FS48" s="62"/>
      <c r="FT48" s="62"/>
      <c r="FU48" s="62"/>
      <c r="FV48" s="62"/>
      <c r="FW48" s="62"/>
      <c r="FX48" s="62"/>
      <c r="FY48" s="62"/>
      <c r="FZ48" s="62"/>
      <c r="GA48" s="62"/>
      <c r="GB48" s="62"/>
      <c r="GC48" s="62"/>
      <c r="GD48" s="62"/>
      <c r="GE48" s="62"/>
      <c r="GF48" s="62"/>
      <c r="GG48" s="62"/>
      <c r="GH48" s="62"/>
      <c r="GI48" s="62"/>
      <c r="GJ48" s="62"/>
      <c r="GK48" s="62"/>
      <c r="GL48" s="62"/>
      <c r="GM48" s="62"/>
      <c r="GN48" s="62"/>
      <c r="GO48" s="62"/>
      <c r="GP48" s="62"/>
      <c r="GQ48" s="62"/>
      <c r="GR48" s="62"/>
      <c r="GS48" s="62"/>
      <c r="GT48" s="62"/>
      <c r="GU48" s="62"/>
      <c r="GV48" s="62"/>
      <c r="GW48" s="62"/>
      <c r="GX48" s="62"/>
      <c r="GY48" s="62"/>
      <c r="GZ48" s="62"/>
      <c r="HA48" s="62"/>
      <c r="HB48" s="62"/>
      <c r="HC48" s="62"/>
      <c r="HD48" s="62"/>
      <c r="HE48" s="62"/>
      <c r="HF48" s="62"/>
      <c r="HG48" s="62"/>
      <c r="HH48" s="62"/>
      <c r="HI48" s="62"/>
      <c r="HJ48" s="62"/>
      <c r="HK48" s="62"/>
      <c r="HL48" s="62"/>
      <c r="HM48" s="62"/>
      <c r="HN48" s="62"/>
      <c r="HO48" s="62"/>
      <c r="HP48" s="62"/>
      <c r="HQ48" s="62"/>
      <c r="HR48" s="62"/>
      <c r="HS48" s="62"/>
      <c r="HT48" s="62"/>
      <c r="HU48" s="62"/>
      <c r="HV48" s="62"/>
      <c r="HW48" s="62"/>
      <c r="HX48" s="62"/>
      <c r="HY48" s="62"/>
      <c r="HZ48" s="62"/>
      <c r="IA48" s="62"/>
      <c r="IB48" s="62"/>
      <c r="IC48" s="62"/>
      <c r="ID48" s="62"/>
      <c r="IE48" s="62"/>
      <c r="IF48" s="62"/>
      <c r="IG48" s="62"/>
      <c r="IH48" s="62"/>
      <c r="II48" s="62"/>
      <c r="IJ48" s="62"/>
      <c r="IK48" s="62"/>
      <c r="IL48" s="62"/>
      <c r="IM48" s="62"/>
      <c r="IN48" s="62"/>
      <c r="IO48" s="62"/>
      <c r="IP48" s="62"/>
      <c r="IQ48" s="62"/>
      <c r="IR48" s="62"/>
      <c r="IS48" s="62"/>
    </row>
    <row r="49" spans="1:679" s="51" customFormat="1" x14ac:dyDescent="0.3">
      <c r="B49" s="58" t="s">
        <v>219</v>
      </c>
      <c r="C49" s="59" t="s">
        <v>51</v>
      </c>
      <c r="D49" s="59" t="s">
        <v>55</v>
      </c>
      <c r="E49" s="63">
        <f>E47*E48</f>
        <v>2832624</v>
      </c>
      <c r="F49" s="63">
        <f>F47*F48</f>
        <v>0</v>
      </c>
      <c r="G49" s="63">
        <f>G47*G48</f>
        <v>0</v>
      </c>
      <c r="H49" s="63">
        <f t="shared" ref="H49:AI49" si="34">H47*H48</f>
        <v>0</v>
      </c>
      <c r="I49" s="63">
        <f t="shared" si="34"/>
        <v>0</v>
      </c>
      <c r="J49" s="63">
        <f t="shared" si="34"/>
        <v>0</v>
      </c>
      <c r="K49" s="63">
        <f t="shared" si="34"/>
        <v>0</v>
      </c>
      <c r="L49" s="63">
        <f t="shared" si="34"/>
        <v>0</v>
      </c>
      <c r="M49" s="63">
        <f>M47*M48</f>
        <v>0</v>
      </c>
      <c r="N49" s="63">
        <f t="shared" si="34"/>
        <v>0</v>
      </c>
      <c r="O49" s="63">
        <f t="shared" si="34"/>
        <v>0</v>
      </c>
      <c r="P49" s="63">
        <f t="shared" si="34"/>
        <v>0</v>
      </c>
      <c r="Q49" s="63">
        <f t="shared" si="34"/>
        <v>0</v>
      </c>
      <c r="R49" s="63">
        <f t="shared" si="34"/>
        <v>0</v>
      </c>
      <c r="S49" s="63">
        <f t="shared" si="34"/>
        <v>0</v>
      </c>
      <c r="T49" s="63">
        <f t="shared" si="34"/>
        <v>0</v>
      </c>
      <c r="U49" s="63">
        <f t="shared" si="34"/>
        <v>0</v>
      </c>
      <c r="V49" s="23">
        <f t="shared" si="34"/>
        <v>0</v>
      </c>
      <c r="W49" s="23">
        <f t="shared" si="34"/>
        <v>0</v>
      </c>
      <c r="X49" s="23">
        <f t="shared" si="34"/>
        <v>0</v>
      </c>
      <c r="Y49" s="23">
        <f t="shared" si="34"/>
        <v>0</v>
      </c>
      <c r="Z49" s="23">
        <f t="shared" si="34"/>
        <v>0</v>
      </c>
      <c r="AA49" s="23">
        <f t="shared" si="34"/>
        <v>0</v>
      </c>
      <c r="AB49" s="23">
        <f t="shared" si="34"/>
        <v>0</v>
      </c>
      <c r="AC49" s="63">
        <f t="shared" si="34"/>
        <v>0</v>
      </c>
      <c r="AD49" s="63">
        <f t="shared" si="34"/>
        <v>0</v>
      </c>
      <c r="AE49" s="63">
        <f t="shared" si="34"/>
        <v>0</v>
      </c>
      <c r="AF49" s="63">
        <f t="shared" si="34"/>
        <v>0</v>
      </c>
      <c r="AG49" s="63">
        <f t="shared" si="34"/>
        <v>0</v>
      </c>
      <c r="AH49" s="63">
        <f t="shared" si="34"/>
        <v>0</v>
      </c>
      <c r="AI49" s="63">
        <f t="shared" si="34"/>
        <v>0</v>
      </c>
      <c r="AJ49" s="11">
        <f t="shared" si="33"/>
        <v>2832624</v>
      </c>
      <c r="AK49" s="12">
        <f>AJ49+'Jul-24'!AK49</f>
        <v>182424502.64399999</v>
      </c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2"/>
      <c r="BH49" s="62"/>
      <c r="BI49" s="62"/>
      <c r="BJ49" s="62"/>
      <c r="BK49" s="62"/>
      <c r="BL49" s="62"/>
      <c r="BM49" s="62"/>
      <c r="BN49" s="62"/>
      <c r="BO49" s="62"/>
      <c r="BP49" s="62"/>
      <c r="BQ49" s="62"/>
      <c r="BR49" s="62"/>
      <c r="BS49" s="62"/>
      <c r="BT49" s="62"/>
      <c r="BU49" s="62"/>
      <c r="BV49" s="62"/>
      <c r="BW49" s="62"/>
      <c r="BX49" s="62"/>
      <c r="BY49" s="62"/>
      <c r="BZ49" s="62"/>
      <c r="CA49" s="62"/>
      <c r="CB49" s="62"/>
      <c r="CC49" s="62"/>
      <c r="CD49" s="62"/>
      <c r="CE49" s="62"/>
      <c r="CF49" s="62"/>
      <c r="CG49" s="62"/>
      <c r="CH49" s="62"/>
      <c r="CI49" s="62"/>
      <c r="CJ49" s="62"/>
      <c r="CK49" s="62"/>
      <c r="CL49" s="62"/>
      <c r="CM49" s="62"/>
      <c r="CN49" s="62"/>
      <c r="CO49" s="62"/>
      <c r="CP49" s="62"/>
      <c r="CQ49" s="62"/>
      <c r="CR49" s="62"/>
      <c r="CS49" s="62"/>
      <c r="CT49" s="62"/>
      <c r="CU49" s="62"/>
      <c r="CV49" s="62"/>
      <c r="CW49" s="62"/>
      <c r="CX49" s="62"/>
      <c r="CY49" s="62"/>
      <c r="CZ49" s="62"/>
      <c r="DA49" s="62"/>
      <c r="DB49" s="62"/>
      <c r="DC49" s="62"/>
      <c r="DD49" s="62"/>
      <c r="DE49" s="62"/>
      <c r="DF49" s="62"/>
      <c r="DG49" s="62"/>
      <c r="DH49" s="62"/>
      <c r="DI49" s="62"/>
      <c r="DJ49" s="62"/>
      <c r="DK49" s="62"/>
      <c r="DL49" s="62"/>
      <c r="DM49" s="62"/>
      <c r="DN49" s="62"/>
      <c r="DO49" s="62"/>
      <c r="DP49" s="62"/>
      <c r="DQ49" s="62"/>
      <c r="DR49" s="62"/>
      <c r="DS49" s="62"/>
      <c r="DT49" s="62"/>
      <c r="DU49" s="62"/>
      <c r="DV49" s="62"/>
      <c r="DW49" s="62"/>
      <c r="DX49" s="62"/>
      <c r="DY49" s="62"/>
      <c r="DZ49" s="62"/>
      <c r="EA49" s="62"/>
      <c r="EB49" s="62"/>
      <c r="EC49" s="62"/>
      <c r="ED49" s="62"/>
      <c r="EE49" s="62"/>
      <c r="EF49" s="62"/>
      <c r="EG49" s="62"/>
      <c r="EH49" s="62"/>
      <c r="EI49" s="62"/>
      <c r="EJ49" s="62"/>
      <c r="EK49" s="62"/>
      <c r="EL49" s="62"/>
      <c r="EM49" s="62"/>
      <c r="EN49" s="62"/>
      <c r="EO49" s="62"/>
      <c r="EP49" s="62"/>
      <c r="EQ49" s="62"/>
      <c r="ER49" s="62"/>
      <c r="ES49" s="62"/>
      <c r="ET49" s="62"/>
      <c r="EU49" s="62"/>
      <c r="EV49" s="62"/>
      <c r="EW49" s="62"/>
      <c r="EX49" s="62"/>
      <c r="EY49" s="62"/>
      <c r="EZ49" s="62"/>
      <c r="FA49" s="62"/>
      <c r="FB49" s="62"/>
      <c r="FC49" s="62"/>
      <c r="FD49" s="62"/>
      <c r="FE49" s="62"/>
      <c r="FF49" s="62"/>
      <c r="FG49" s="62"/>
      <c r="FH49" s="62"/>
      <c r="FI49" s="62"/>
      <c r="FJ49" s="62"/>
      <c r="FK49" s="62"/>
      <c r="FL49" s="62"/>
      <c r="FM49" s="62"/>
      <c r="FN49" s="62"/>
      <c r="FO49" s="62"/>
      <c r="FP49" s="62"/>
      <c r="FQ49" s="62"/>
      <c r="FR49" s="62"/>
      <c r="FS49" s="62"/>
      <c r="FT49" s="62"/>
      <c r="FU49" s="62"/>
      <c r="FV49" s="62"/>
      <c r="FW49" s="62"/>
      <c r="FX49" s="62"/>
      <c r="FY49" s="62"/>
      <c r="FZ49" s="62"/>
      <c r="GA49" s="62"/>
      <c r="GB49" s="62"/>
      <c r="GC49" s="62"/>
      <c r="GD49" s="62"/>
      <c r="GE49" s="62"/>
      <c r="GF49" s="62"/>
      <c r="GG49" s="62"/>
      <c r="GH49" s="62"/>
      <c r="GI49" s="62"/>
      <c r="GJ49" s="62"/>
      <c r="GK49" s="62"/>
      <c r="GL49" s="62"/>
      <c r="GM49" s="62"/>
      <c r="GN49" s="62"/>
      <c r="GO49" s="62"/>
      <c r="GP49" s="62"/>
      <c r="GQ49" s="62"/>
      <c r="GR49" s="62"/>
      <c r="GS49" s="62"/>
      <c r="GT49" s="62"/>
      <c r="GU49" s="62"/>
      <c r="GV49" s="62"/>
      <c r="GW49" s="62"/>
      <c r="GX49" s="62"/>
      <c r="GY49" s="62"/>
      <c r="GZ49" s="62"/>
      <c r="HA49" s="62"/>
      <c r="HB49" s="62"/>
      <c r="HC49" s="62"/>
      <c r="HD49" s="62"/>
      <c r="HE49" s="62"/>
      <c r="HF49" s="62"/>
      <c r="HG49" s="62"/>
      <c r="HH49" s="62"/>
      <c r="HI49" s="62"/>
      <c r="HJ49" s="62"/>
      <c r="HK49" s="62"/>
      <c r="HL49" s="62"/>
      <c r="HM49" s="62"/>
      <c r="HN49" s="62"/>
      <c r="HO49" s="62"/>
      <c r="HP49" s="62"/>
      <c r="HQ49" s="62"/>
      <c r="HR49" s="62"/>
      <c r="HS49" s="62"/>
      <c r="HT49" s="62"/>
      <c r="HU49" s="62"/>
      <c r="HV49" s="62"/>
      <c r="HW49" s="62"/>
      <c r="HX49" s="62"/>
      <c r="HY49" s="62"/>
      <c r="HZ49" s="62"/>
      <c r="IA49" s="62"/>
      <c r="IB49" s="62"/>
      <c r="IC49" s="62"/>
      <c r="ID49" s="62"/>
      <c r="IE49" s="62"/>
      <c r="IF49" s="62"/>
      <c r="IG49" s="62"/>
      <c r="IH49" s="62"/>
      <c r="II49" s="62"/>
      <c r="IJ49" s="62"/>
      <c r="IK49" s="62"/>
      <c r="IL49" s="62"/>
      <c r="IM49" s="62"/>
      <c r="IN49" s="62"/>
      <c r="IO49" s="62"/>
      <c r="IP49" s="62"/>
      <c r="IQ49" s="62"/>
      <c r="IR49" s="62"/>
      <c r="IS49" s="62"/>
    </row>
    <row r="50" spans="1:679" x14ac:dyDescent="0.3">
      <c r="A50" s="19">
        <v>11</v>
      </c>
      <c r="B50" s="44" t="s">
        <v>220</v>
      </c>
      <c r="C50" s="15"/>
      <c r="D50" s="15"/>
      <c r="E50" s="21">
        <f>E49/E44</f>
        <v>0.45636981398487897</v>
      </c>
      <c r="F50" s="21">
        <f>F49/F44</f>
        <v>0</v>
      </c>
      <c r="G50" s="21">
        <f t="shared" ref="G50:AG50" si="35">G49/G44</f>
        <v>0</v>
      </c>
      <c r="H50" s="21">
        <f t="shared" si="35"/>
        <v>0</v>
      </c>
      <c r="I50" s="21" t="e">
        <f t="shared" si="35"/>
        <v>#DIV/0!</v>
      </c>
      <c r="J50" s="21" t="e">
        <f t="shared" si="35"/>
        <v>#DIV/0!</v>
      </c>
      <c r="K50" s="21" t="e">
        <f t="shared" si="35"/>
        <v>#DIV/0!</v>
      </c>
      <c r="L50" s="21" t="e">
        <f t="shared" si="35"/>
        <v>#DIV/0!</v>
      </c>
      <c r="M50" s="21" t="e">
        <f t="shared" si="35"/>
        <v>#DIV/0!</v>
      </c>
      <c r="N50" s="21" t="e">
        <f t="shared" si="35"/>
        <v>#DIV/0!</v>
      </c>
      <c r="O50" s="21" t="e">
        <f t="shared" si="35"/>
        <v>#DIV/0!</v>
      </c>
      <c r="P50" s="21" t="e">
        <f t="shared" si="35"/>
        <v>#DIV/0!</v>
      </c>
      <c r="Q50" s="21" t="e">
        <f t="shared" si="35"/>
        <v>#DIV/0!</v>
      </c>
      <c r="R50" s="21" t="e">
        <f t="shared" si="35"/>
        <v>#DIV/0!</v>
      </c>
      <c r="S50" s="21" t="e">
        <f t="shared" si="35"/>
        <v>#DIV/0!</v>
      </c>
      <c r="T50" s="21" t="e">
        <f t="shared" si="35"/>
        <v>#DIV/0!</v>
      </c>
      <c r="U50" s="21" t="e">
        <f t="shared" si="35"/>
        <v>#DIV/0!</v>
      </c>
      <c r="V50" s="21" t="e">
        <f t="shared" si="35"/>
        <v>#DIV/0!</v>
      </c>
      <c r="W50" s="21" t="e">
        <f t="shared" si="35"/>
        <v>#DIV/0!</v>
      </c>
      <c r="X50" s="21" t="e">
        <f t="shared" si="35"/>
        <v>#DIV/0!</v>
      </c>
      <c r="Y50" s="21" t="e">
        <f t="shared" si="35"/>
        <v>#DIV/0!</v>
      </c>
      <c r="Z50" s="21" t="e">
        <f t="shared" si="35"/>
        <v>#DIV/0!</v>
      </c>
      <c r="AA50" s="21" t="e">
        <f t="shared" si="35"/>
        <v>#DIV/0!</v>
      </c>
      <c r="AB50" s="21" t="e">
        <f t="shared" si="35"/>
        <v>#DIV/0!</v>
      </c>
      <c r="AC50" s="21" t="e">
        <f t="shared" si="35"/>
        <v>#DIV/0!</v>
      </c>
      <c r="AD50" s="21" t="e">
        <f t="shared" si="35"/>
        <v>#DIV/0!</v>
      </c>
      <c r="AE50" s="21" t="e">
        <f t="shared" si="35"/>
        <v>#DIV/0!</v>
      </c>
      <c r="AF50" s="21" t="e">
        <f t="shared" si="35"/>
        <v>#DIV/0!</v>
      </c>
      <c r="AG50" s="21" t="e">
        <f t="shared" si="35"/>
        <v>#DIV/0!</v>
      </c>
      <c r="AH50" s="216" t="e">
        <f>AH49/AH44</f>
        <v>#DIV/0!</v>
      </c>
      <c r="AI50" s="216" t="e">
        <f>AI49/AI44</f>
        <v>#DIV/0!</v>
      </c>
      <c r="AJ50" s="16">
        <f>AJ49/AJ44</f>
        <v>0.11505113712865647</v>
      </c>
      <c r="AK50" s="16">
        <f>AK49/AK44</f>
        <v>0.26021455098194746</v>
      </c>
    </row>
    <row r="51" spans="1:679" s="51" customFormat="1" x14ac:dyDescent="0.3">
      <c r="B51" s="24" t="s">
        <v>59</v>
      </c>
      <c r="C51" s="59" t="s">
        <v>51</v>
      </c>
      <c r="D51" s="59" t="s">
        <v>55</v>
      </c>
      <c r="E51" s="52">
        <v>0</v>
      </c>
      <c r="F51" s="52">
        <v>652</v>
      </c>
      <c r="G51" s="52">
        <v>629</v>
      </c>
      <c r="H51" s="52">
        <v>710</v>
      </c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11">
        <f t="shared" ref="AJ51:AJ53" si="36">SUM(E51:AI51)</f>
        <v>1991</v>
      </c>
      <c r="AK51" s="12">
        <f>AJ51+'Jul-24'!AK51</f>
        <v>45285.148000000001</v>
      </c>
      <c r="AL51" s="62">
        <f>AJ53/AJ44</f>
        <v>0.34513854576448588</v>
      </c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62"/>
      <c r="BJ51" s="62"/>
      <c r="BK51" s="62"/>
      <c r="BL51" s="62"/>
      <c r="BM51" s="62"/>
      <c r="BN51" s="62"/>
      <c r="BO51" s="62"/>
      <c r="BP51" s="62"/>
      <c r="BQ51" s="62"/>
      <c r="BR51" s="62"/>
      <c r="BS51" s="62"/>
      <c r="BT51" s="62"/>
      <c r="BU51" s="62"/>
      <c r="BV51" s="62"/>
      <c r="BW51" s="62"/>
      <c r="BX51" s="62"/>
      <c r="BY51" s="62"/>
      <c r="BZ51" s="62"/>
      <c r="CA51" s="62"/>
      <c r="CB51" s="62"/>
      <c r="CC51" s="62"/>
      <c r="CD51" s="62"/>
      <c r="CE51" s="62"/>
      <c r="CF51" s="62"/>
      <c r="CG51" s="62"/>
      <c r="CH51" s="62"/>
      <c r="CI51" s="62"/>
      <c r="CJ51" s="62"/>
      <c r="CK51" s="62"/>
      <c r="CL51" s="62"/>
      <c r="CM51" s="62"/>
      <c r="CN51" s="62"/>
      <c r="CO51" s="62"/>
      <c r="CP51" s="62"/>
      <c r="CQ51" s="62"/>
      <c r="CR51" s="62"/>
      <c r="CS51" s="62"/>
      <c r="CT51" s="62"/>
      <c r="CU51" s="62"/>
      <c r="CV51" s="62"/>
      <c r="CW51" s="62"/>
      <c r="CX51" s="62"/>
      <c r="CY51" s="62"/>
      <c r="CZ51" s="62"/>
      <c r="DA51" s="62"/>
      <c r="DB51" s="62"/>
      <c r="DC51" s="62"/>
      <c r="DD51" s="62"/>
      <c r="DE51" s="62"/>
      <c r="DF51" s="62"/>
      <c r="DG51" s="62"/>
      <c r="DH51" s="62"/>
      <c r="DI51" s="62"/>
      <c r="DJ51" s="62"/>
      <c r="DK51" s="62"/>
      <c r="DL51" s="62"/>
      <c r="DM51" s="62"/>
      <c r="DN51" s="62"/>
      <c r="DO51" s="62"/>
      <c r="DP51" s="62"/>
      <c r="DQ51" s="62"/>
      <c r="DR51" s="62"/>
      <c r="DS51" s="62"/>
      <c r="DT51" s="62"/>
      <c r="DU51" s="62"/>
      <c r="DV51" s="62"/>
      <c r="DW51" s="62"/>
      <c r="DX51" s="62"/>
      <c r="DY51" s="62"/>
      <c r="DZ51" s="62"/>
      <c r="EA51" s="62"/>
      <c r="EB51" s="62"/>
      <c r="EC51" s="62"/>
      <c r="ED51" s="62"/>
      <c r="EE51" s="62"/>
      <c r="EF51" s="62"/>
      <c r="EG51" s="62"/>
      <c r="EH51" s="62"/>
      <c r="EI51" s="62"/>
      <c r="EJ51" s="62"/>
      <c r="EK51" s="62"/>
      <c r="EL51" s="62"/>
      <c r="EM51" s="62"/>
      <c r="EN51" s="62"/>
      <c r="EO51" s="62"/>
      <c r="EP51" s="62"/>
      <c r="EQ51" s="62"/>
      <c r="ER51" s="62"/>
      <c r="ES51" s="62"/>
      <c r="ET51" s="62"/>
      <c r="EU51" s="62"/>
      <c r="EV51" s="62"/>
      <c r="EW51" s="62"/>
      <c r="EX51" s="62"/>
      <c r="EY51" s="62"/>
      <c r="EZ51" s="62"/>
      <c r="FA51" s="62"/>
      <c r="FB51" s="62"/>
      <c r="FC51" s="62"/>
      <c r="FD51" s="62"/>
      <c r="FE51" s="62"/>
      <c r="FF51" s="62"/>
      <c r="FG51" s="62"/>
      <c r="FH51" s="62"/>
      <c r="FI51" s="62"/>
      <c r="FJ51" s="62"/>
      <c r="FK51" s="62"/>
      <c r="FL51" s="62"/>
      <c r="FM51" s="62"/>
      <c r="FN51" s="62"/>
      <c r="FO51" s="62"/>
      <c r="FP51" s="62"/>
      <c r="FQ51" s="62"/>
      <c r="FR51" s="62"/>
      <c r="FS51" s="62"/>
      <c r="FT51" s="62"/>
      <c r="FU51" s="62"/>
      <c r="FV51" s="62"/>
      <c r="FW51" s="62"/>
      <c r="FX51" s="62"/>
      <c r="FY51" s="62"/>
      <c r="FZ51" s="62"/>
      <c r="GA51" s="62"/>
      <c r="GB51" s="62"/>
      <c r="GC51" s="62"/>
      <c r="GD51" s="62"/>
      <c r="GE51" s="62"/>
      <c r="GF51" s="62"/>
      <c r="GG51" s="62"/>
      <c r="GH51" s="62"/>
      <c r="GI51" s="62"/>
      <c r="GJ51" s="62"/>
      <c r="GK51" s="62"/>
      <c r="GL51" s="62"/>
      <c r="GM51" s="62"/>
      <c r="GN51" s="62"/>
      <c r="GO51" s="62"/>
      <c r="GP51" s="62"/>
      <c r="GQ51" s="62"/>
      <c r="GR51" s="62"/>
      <c r="GS51" s="62"/>
      <c r="GT51" s="62"/>
      <c r="GU51" s="62"/>
      <c r="GV51" s="62"/>
      <c r="GW51" s="62"/>
      <c r="GX51" s="62"/>
      <c r="GY51" s="62"/>
      <c r="GZ51" s="62"/>
      <c r="HA51" s="62"/>
      <c r="HB51" s="62"/>
      <c r="HC51" s="62"/>
      <c r="HD51" s="62"/>
      <c r="HE51" s="62"/>
      <c r="HF51" s="62"/>
      <c r="HG51" s="62"/>
      <c r="HH51" s="62"/>
      <c r="HI51" s="62"/>
      <c r="HJ51" s="62"/>
      <c r="HK51" s="62"/>
      <c r="HL51" s="62"/>
      <c r="HM51" s="62"/>
      <c r="HN51" s="62"/>
      <c r="HO51" s="62"/>
      <c r="HP51" s="62"/>
      <c r="HQ51" s="62"/>
      <c r="HR51" s="62"/>
      <c r="HS51" s="62"/>
      <c r="HT51" s="62"/>
      <c r="HU51" s="62"/>
      <c r="HV51" s="62"/>
      <c r="HW51" s="62"/>
      <c r="HX51" s="62"/>
      <c r="HY51" s="62"/>
      <c r="HZ51" s="62"/>
      <c r="IA51" s="62"/>
      <c r="IB51" s="62"/>
      <c r="IC51" s="62"/>
      <c r="ID51" s="62"/>
      <c r="IE51" s="62"/>
      <c r="IF51" s="62"/>
      <c r="IG51" s="62"/>
      <c r="IH51" s="62"/>
      <c r="II51" s="62"/>
      <c r="IJ51" s="62"/>
      <c r="IK51" s="62"/>
      <c r="IL51" s="62"/>
      <c r="IM51" s="62"/>
      <c r="IN51" s="62"/>
      <c r="IO51" s="62"/>
      <c r="IP51" s="62"/>
      <c r="IQ51" s="62"/>
      <c r="IR51" s="62"/>
      <c r="IS51" s="62"/>
    </row>
    <row r="52" spans="1:679" s="51" customFormat="1" x14ac:dyDescent="0.3">
      <c r="B52" s="24" t="s">
        <v>60</v>
      </c>
      <c r="C52" s="59" t="s">
        <v>51</v>
      </c>
      <c r="D52" s="59" t="s">
        <v>55</v>
      </c>
      <c r="E52" s="60">
        <v>0</v>
      </c>
      <c r="F52" s="60">
        <v>4509</v>
      </c>
      <c r="G52" s="60">
        <v>4412</v>
      </c>
      <c r="H52" s="60">
        <v>3919</v>
      </c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11">
        <f t="shared" si="36"/>
        <v>12840</v>
      </c>
      <c r="AK52" s="12">
        <f>AJ52+'Jul-24'!AK52</f>
        <v>501898.52800000005</v>
      </c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2"/>
      <c r="BJ52" s="62"/>
      <c r="BK52" s="62"/>
      <c r="BL52" s="62"/>
      <c r="BM52" s="62"/>
      <c r="BN52" s="62"/>
      <c r="BO52" s="62"/>
      <c r="BP52" s="62"/>
      <c r="BQ52" s="62"/>
      <c r="BR52" s="62"/>
      <c r="BS52" s="62"/>
      <c r="BT52" s="62"/>
      <c r="BU52" s="62"/>
      <c r="BV52" s="62"/>
      <c r="BW52" s="62"/>
      <c r="BX52" s="62"/>
      <c r="BY52" s="62"/>
      <c r="BZ52" s="62"/>
      <c r="CA52" s="62"/>
      <c r="CB52" s="62"/>
      <c r="CC52" s="62"/>
      <c r="CD52" s="62"/>
      <c r="CE52" s="62"/>
      <c r="CF52" s="62"/>
      <c r="CG52" s="62"/>
      <c r="CH52" s="62"/>
      <c r="CI52" s="62"/>
      <c r="CJ52" s="62"/>
      <c r="CK52" s="62"/>
      <c r="CL52" s="62"/>
      <c r="CM52" s="62"/>
      <c r="CN52" s="62"/>
      <c r="CO52" s="62"/>
      <c r="CP52" s="62"/>
      <c r="CQ52" s="62"/>
      <c r="CR52" s="62"/>
      <c r="CS52" s="62"/>
      <c r="CT52" s="62"/>
      <c r="CU52" s="62"/>
      <c r="CV52" s="62"/>
      <c r="CW52" s="62"/>
      <c r="CX52" s="62"/>
      <c r="CY52" s="62"/>
      <c r="CZ52" s="62"/>
      <c r="DA52" s="62"/>
      <c r="DB52" s="62"/>
      <c r="DC52" s="62"/>
      <c r="DD52" s="62"/>
      <c r="DE52" s="62"/>
      <c r="DF52" s="62"/>
      <c r="DG52" s="62"/>
      <c r="DH52" s="62"/>
      <c r="DI52" s="62"/>
      <c r="DJ52" s="62"/>
      <c r="DK52" s="62"/>
      <c r="DL52" s="62"/>
      <c r="DM52" s="62"/>
      <c r="DN52" s="62"/>
      <c r="DO52" s="62"/>
      <c r="DP52" s="62"/>
      <c r="DQ52" s="62"/>
      <c r="DR52" s="62"/>
      <c r="DS52" s="62"/>
      <c r="DT52" s="62"/>
      <c r="DU52" s="62"/>
      <c r="DV52" s="62"/>
      <c r="DW52" s="62"/>
      <c r="DX52" s="62"/>
      <c r="DY52" s="62"/>
      <c r="DZ52" s="62"/>
      <c r="EA52" s="62"/>
      <c r="EB52" s="62"/>
      <c r="EC52" s="62"/>
      <c r="ED52" s="62"/>
      <c r="EE52" s="62"/>
      <c r="EF52" s="62"/>
      <c r="EG52" s="62"/>
      <c r="EH52" s="62"/>
      <c r="EI52" s="62"/>
      <c r="EJ52" s="62"/>
      <c r="EK52" s="62"/>
      <c r="EL52" s="62"/>
      <c r="EM52" s="62"/>
      <c r="EN52" s="62"/>
      <c r="EO52" s="62"/>
      <c r="EP52" s="62"/>
      <c r="EQ52" s="62"/>
      <c r="ER52" s="62"/>
      <c r="ES52" s="62"/>
      <c r="ET52" s="62"/>
      <c r="EU52" s="62"/>
      <c r="EV52" s="62"/>
      <c r="EW52" s="62"/>
      <c r="EX52" s="62"/>
      <c r="EY52" s="62"/>
      <c r="EZ52" s="62"/>
      <c r="FA52" s="62"/>
      <c r="FB52" s="62"/>
      <c r="FC52" s="62"/>
      <c r="FD52" s="62"/>
      <c r="FE52" s="62"/>
      <c r="FF52" s="62"/>
      <c r="FG52" s="62"/>
      <c r="FH52" s="62"/>
      <c r="FI52" s="62"/>
      <c r="FJ52" s="62"/>
      <c r="FK52" s="62"/>
      <c r="FL52" s="62"/>
      <c r="FM52" s="62"/>
      <c r="FN52" s="62"/>
      <c r="FO52" s="62"/>
      <c r="FP52" s="62"/>
      <c r="FQ52" s="62"/>
      <c r="FR52" s="62"/>
      <c r="FS52" s="62"/>
      <c r="FT52" s="62"/>
      <c r="FU52" s="62"/>
      <c r="FV52" s="62"/>
      <c r="FW52" s="62"/>
      <c r="FX52" s="62"/>
      <c r="FY52" s="62"/>
      <c r="FZ52" s="62"/>
      <c r="GA52" s="62"/>
      <c r="GB52" s="62"/>
      <c r="GC52" s="62"/>
      <c r="GD52" s="62"/>
      <c r="GE52" s="62"/>
      <c r="GF52" s="62"/>
      <c r="GG52" s="62"/>
      <c r="GH52" s="62"/>
      <c r="GI52" s="62"/>
      <c r="GJ52" s="62"/>
      <c r="GK52" s="62"/>
      <c r="GL52" s="62"/>
      <c r="GM52" s="62"/>
      <c r="GN52" s="62"/>
      <c r="GO52" s="62"/>
      <c r="GP52" s="62"/>
      <c r="GQ52" s="62"/>
      <c r="GR52" s="62"/>
      <c r="GS52" s="62"/>
      <c r="GT52" s="62"/>
      <c r="GU52" s="62"/>
      <c r="GV52" s="62"/>
      <c r="GW52" s="62"/>
      <c r="GX52" s="62"/>
      <c r="GY52" s="62"/>
      <c r="GZ52" s="62"/>
      <c r="HA52" s="62"/>
      <c r="HB52" s="62"/>
      <c r="HC52" s="62"/>
      <c r="HD52" s="62"/>
      <c r="HE52" s="62"/>
      <c r="HF52" s="62"/>
      <c r="HG52" s="62"/>
      <c r="HH52" s="62"/>
      <c r="HI52" s="62"/>
      <c r="HJ52" s="62"/>
      <c r="HK52" s="62"/>
      <c r="HL52" s="62"/>
      <c r="HM52" s="62"/>
      <c r="HN52" s="62"/>
      <c r="HO52" s="62"/>
      <c r="HP52" s="62"/>
      <c r="HQ52" s="62"/>
      <c r="HR52" s="62"/>
      <c r="HS52" s="62"/>
      <c r="HT52" s="62"/>
      <c r="HU52" s="62"/>
      <c r="HV52" s="62"/>
      <c r="HW52" s="62"/>
      <c r="HX52" s="62"/>
      <c r="HY52" s="62"/>
      <c r="HZ52" s="62"/>
      <c r="IA52" s="62"/>
      <c r="IB52" s="62"/>
      <c r="IC52" s="62"/>
      <c r="ID52" s="62"/>
      <c r="IE52" s="62"/>
      <c r="IF52" s="62"/>
      <c r="IG52" s="62"/>
      <c r="IH52" s="62"/>
      <c r="II52" s="62"/>
      <c r="IJ52" s="62"/>
      <c r="IK52" s="62"/>
      <c r="IL52" s="62"/>
      <c r="IM52" s="62"/>
      <c r="IN52" s="62"/>
      <c r="IO52" s="62"/>
      <c r="IP52" s="62"/>
      <c r="IQ52" s="62"/>
      <c r="IR52" s="62"/>
      <c r="IS52" s="62"/>
    </row>
    <row r="53" spans="1:679" s="51" customFormat="1" x14ac:dyDescent="0.3">
      <c r="B53" s="24" t="s">
        <v>61</v>
      </c>
      <c r="C53" s="59" t="s">
        <v>51</v>
      </c>
      <c r="D53" s="59" t="s">
        <v>55</v>
      </c>
      <c r="E53" s="63">
        <f>E51*E52</f>
        <v>0</v>
      </c>
      <c r="F53" s="63">
        <f>F51*F52</f>
        <v>2939868</v>
      </c>
      <c r="G53" s="63">
        <f t="shared" ref="G53:AI53" si="37">G51*G52</f>
        <v>2775148</v>
      </c>
      <c r="H53" s="63">
        <f t="shared" si="37"/>
        <v>2782490</v>
      </c>
      <c r="I53" s="63">
        <f t="shared" si="37"/>
        <v>0</v>
      </c>
      <c r="J53" s="63">
        <f t="shared" si="37"/>
        <v>0</v>
      </c>
      <c r="K53" s="63">
        <f t="shared" si="37"/>
        <v>0</v>
      </c>
      <c r="L53" s="63">
        <f t="shared" si="37"/>
        <v>0</v>
      </c>
      <c r="M53" s="64">
        <f t="shared" si="37"/>
        <v>0</v>
      </c>
      <c r="N53" s="63">
        <f t="shared" si="37"/>
        <v>0</v>
      </c>
      <c r="O53" s="63">
        <f t="shared" si="37"/>
        <v>0</v>
      </c>
      <c r="P53" s="63">
        <f t="shared" si="37"/>
        <v>0</v>
      </c>
      <c r="Q53" s="63">
        <f t="shared" si="37"/>
        <v>0</v>
      </c>
      <c r="R53" s="63">
        <f>R51*R52</f>
        <v>0</v>
      </c>
      <c r="S53" s="63">
        <f>S51*S52</f>
        <v>0</v>
      </c>
      <c r="T53" s="63">
        <f>T51*T52</f>
        <v>0</v>
      </c>
      <c r="U53" s="63">
        <f>U51*U52</f>
        <v>0</v>
      </c>
      <c r="V53" s="63">
        <f t="shared" si="37"/>
        <v>0</v>
      </c>
      <c r="W53" s="63">
        <f t="shared" si="37"/>
        <v>0</v>
      </c>
      <c r="X53" s="63">
        <f t="shared" si="37"/>
        <v>0</v>
      </c>
      <c r="Y53" s="63">
        <f t="shared" si="37"/>
        <v>0</v>
      </c>
      <c r="Z53" s="63">
        <f t="shared" si="37"/>
        <v>0</v>
      </c>
      <c r="AA53" s="63">
        <f t="shared" si="37"/>
        <v>0</v>
      </c>
      <c r="AB53" s="63">
        <f t="shared" si="37"/>
        <v>0</v>
      </c>
      <c r="AC53" s="63">
        <f t="shared" si="37"/>
        <v>0</v>
      </c>
      <c r="AD53" s="63">
        <f t="shared" si="37"/>
        <v>0</v>
      </c>
      <c r="AE53" s="63">
        <f t="shared" si="37"/>
        <v>0</v>
      </c>
      <c r="AF53" s="63">
        <f t="shared" si="37"/>
        <v>0</v>
      </c>
      <c r="AG53" s="63">
        <f t="shared" si="37"/>
        <v>0</v>
      </c>
      <c r="AH53" s="63">
        <f t="shared" si="37"/>
        <v>0</v>
      </c>
      <c r="AI53" s="63">
        <f t="shared" si="37"/>
        <v>0</v>
      </c>
      <c r="AJ53" s="11">
        <f t="shared" si="36"/>
        <v>8497506</v>
      </c>
      <c r="AK53" s="12">
        <f>AJ53+'Jul-24'!AK53</f>
        <v>207976186.24000001</v>
      </c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2"/>
      <c r="BH53" s="62"/>
      <c r="BI53" s="62"/>
      <c r="BJ53" s="62"/>
      <c r="BK53" s="62"/>
      <c r="BL53" s="62"/>
      <c r="BM53" s="62"/>
      <c r="BN53" s="62"/>
      <c r="BO53" s="62"/>
      <c r="BP53" s="62"/>
      <c r="BQ53" s="62"/>
      <c r="BR53" s="62"/>
      <c r="BS53" s="62"/>
      <c r="BT53" s="62"/>
      <c r="BU53" s="62"/>
      <c r="BV53" s="62"/>
      <c r="BW53" s="62"/>
      <c r="BX53" s="62"/>
      <c r="BY53" s="62"/>
      <c r="BZ53" s="62"/>
      <c r="CA53" s="62"/>
      <c r="CB53" s="62"/>
      <c r="CC53" s="62"/>
      <c r="CD53" s="62"/>
      <c r="CE53" s="62"/>
      <c r="CF53" s="62"/>
      <c r="CG53" s="62"/>
      <c r="CH53" s="62"/>
      <c r="CI53" s="62"/>
      <c r="CJ53" s="62"/>
      <c r="CK53" s="62"/>
      <c r="CL53" s="62"/>
      <c r="CM53" s="62"/>
      <c r="CN53" s="62"/>
      <c r="CO53" s="62"/>
      <c r="CP53" s="62"/>
      <c r="CQ53" s="62"/>
      <c r="CR53" s="62"/>
      <c r="CS53" s="62"/>
      <c r="CT53" s="62"/>
      <c r="CU53" s="62"/>
      <c r="CV53" s="62"/>
      <c r="CW53" s="62"/>
      <c r="CX53" s="62"/>
      <c r="CY53" s="62"/>
      <c r="CZ53" s="62"/>
      <c r="DA53" s="62"/>
      <c r="DB53" s="62"/>
      <c r="DC53" s="62"/>
      <c r="DD53" s="62"/>
      <c r="DE53" s="62"/>
      <c r="DF53" s="62"/>
      <c r="DG53" s="62"/>
      <c r="DH53" s="62"/>
      <c r="DI53" s="62"/>
      <c r="DJ53" s="62"/>
      <c r="DK53" s="62"/>
      <c r="DL53" s="62"/>
      <c r="DM53" s="62"/>
      <c r="DN53" s="62"/>
      <c r="DO53" s="62"/>
      <c r="DP53" s="62"/>
      <c r="DQ53" s="62"/>
      <c r="DR53" s="62"/>
      <c r="DS53" s="62"/>
      <c r="DT53" s="62"/>
      <c r="DU53" s="62"/>
      <c r="DV53" s="62"/>
      <c r="DW53" s="62"/>
      <c r="DX53" s="62"/>
      <c r="DY53" s="62"/>
      <c r="DZ53" s="62"/>
      <c r="EA53" s="62"/>
      <c r="EB53" s="62"/>
      <c r="EC53" s="62"/>
      <c r="ED53" s="62"/>
      <c r="EE53" s="62"/>
      <c r="EF53" s="62"/>
      <c r="EG53" s="62"/>
      <c r="EH53" s="62"/>
      <c r="EI53" s="62"/>
      <c r="EJ53" s="62"/>
      <c r="EK53" s="62"/>
      <c r="EL53" s="62"/>
      <c r="EM53" s="62"/>
      <c r="EN53" s="62"/>
      <c r="EO53" s="62"/>
      <c r="EP53" s="62"/>
      <c r="EQ53" s="62"/>
      <c r="ER53" s="62"/>
      <c r="ES53" s="62"/>
      <c r="ET53" s="62"/>
      <c r="EU53" s="62"/>
      <c r="EV53" s="62"/>
      <c r="EW53" s="62"/>
      <c r="EX53" s="62"/>
      <c r="EY53" s="62"/>
      <c r="EZ53" s="62"/>
      <c r="FA53" s="62"/>
      <c r="FB53" s="62"/>
      <c r="FC53" s="62"/>
      <c r="FD53" s="62"/>
      <c r="FE53" s="62"/>
      <c r="FF53" s="62"/>
      <c r="FG53" s="62"/>
      <c r="FH53" s="62"/>
      <c r="FI53" s="62"/>
      <c r="FJ53" s="62"/>
      <c r="FK53" s="62"/>
      <c r="FL53" s="62"/>
      <c r="FM53" s="62"/>
      <c r="FN53" s="62"/>
      <c r="FO53" s="62"/>
      <c r="FP53" s="62"/>
      <c r="FQ53" s="62"/>
      <c r="FR53" s="62"/>
      <c r="FS53" s="62"/>
      <c r="FT53" s="62"/>
      <c r="FU53" s="62"/>
      <c r="FV53" s="62"/>
      <c r="FW53" s="62"/>
      <c r="FX53" s="62"/>
      <c r="FY53" s="62"/>
      <c r="FZ53" s="62"/>
      <c r="GA53" s="62"/>
      <c r="GB53" s="62"/>
      <c r="GC53" s="62"/>
      <c r="GD53" s="62"/>
      <c r="GE53" s="62"/>
      <c r="GF53" s="62"/>
      <c r="GG53" s="62"/>
      <c r="GH53" s="62"/>
      <c r="GI53" s="62"/>
      <c r="GJ53" s="62"/>
      <c r="GK53" s="62"/>
      <c r="GL53" s="62"/>
      <c r="GM53" s="62"/>
      <c r="GN53" s="62"/>
      <c r="GO53" s="62"/>
      <c r="GP53" s="62"/>
      <c r="GQ53" s="62"/>
      <c r="GR53" s="62"/>
      <c r="GS53" s="62"/>
      <c r="GT53" s="62"/>
      <c r="GU53" s="62"/>
      <c r="GV53" s="62"/>
      <c r="GW53" s="62"/>
      <c r="GX53" s="62"/>
      <c r="GY53" s="62"/>
      <c r="GZ53" s="62"/>
      <c r="HA53" s="62"/>
      <c r="HB53" s="62"/>
      <c r="HC53" s="62"/>
      <c r="HD53" s="62"/>
      <c r="HE53" s="62"/>
      <c r="HF53" s="62"/>
      <c r="HG53" s="62"/>
      <c r="HH53" s="62"/>
      <c r="HI53" s="62"/>
      <c r="HJ53" s="62"/>
      <c r="HK53" s="62"/>
      <c r="HL53" s="62"/>
      <c r="HM53" s="62"/>
      <c r="HN53" s="62"/>
      <c r="HO53" s="62"/>
      <c r="HP53" s="62"/>
      <c r="HQ53" s="62"/>
      <c r="HR53" s="62"/>
      <c r="HS53" s="62"/>
      <c r="HT53" s="62"/>
      <c r="HU53" s="62"/>
      <c r="HV53" s="62"/>
      <c r="HW53" s="62"/>
      <c r="HX53" s="62"/>
      <c r="HY53" s="62"/>
      <c r="HZ53" s="62"/>
      <c r="IA53" s="62"/>
      <c r="IB53" s="62"/>
      <c r="IC53" s="62"/>
      <c r="ID53" s="62"/>
      <c r="IE53" s="62"/>
      <c r="IF53" s="62"/>
      <c r="IG53" s="62"/>
      <c r="IH53" s="62"/>
      <c r="II53" s="62"/>
      <c r="IJ53" s="62"/>
      <c r="IK53" s="62"/>
      <c r="IL53" s="62"/>
      <c r="IM53" s="62"/>
      <c r="IN53" s="62"/>
      <c r="IO53" s="62"/>
      <c r="IP53" s="62"/>
      <c r="IQ53" s="62"/>
      <c r="IR53" s="62"/>
      <c r="IS53" s="62"/>
    </row>
    <row r="54" spans="1:679" x14ac:dyDescent="0.3">
      <c r="A54" s="19">
        <v>14</v>
      </c>
      <c r="B54" s="44" t="s">
        <v>62</v>
      </c>
      <c r="C54" s="15"/>
      <c r="D54" s="15"/>
      <c r="E54" s="21">
        <f>E53/E44</f>
        <v>0</v>
      </c>
      <c r="F54" s="21">
        <f>F53/F44</f>
        <v>0.47353535301471134</v>
      </c>
      <c r="G54" s="21">
        <f>G53/G44</f>
        <v>0.45988309815088796</v>
      </c>
      <c r="H54" s="21">
        <f>H53/H44</f>
        <v>0.45090498129851703</v>
      </c>
      <c r="I54" s="21" t="e">
        <f t="shared" ref="I54:AI54" si="38">I53/I44</f>
        <v>#DIV/0!</v>
      </c>
      <c r="J54" s="21" t="e">
        <f t="shared" si="38"/>
        <v>#DIV/0!</v>
      </c>
      <c r="K54" s="21" t="e">
        <f t="shared" si="38"/>
        <v>#DIV/0!</v>
      </c>
      <c r="L54" s="21" t="e">
        <f t="shared" si="38"/>
        <v>#DIV/0!</v>
      </c>
      <c r="M54" s="21" t="e">
        <f t="shared" si="38"/>
        <v>#DIV/0!</v>
      </c>
      <c r="N54" s="21" t="e">
        <f t="shared" si="38"/>
        <v>#DIV/0!</v>
      </c>
      <c r="O54" s="21" t="e">
        <f t="shared" si="38"/>
        <v>#DIV/0!</v>
      </c>
      <c r="P54" s="21" t="e">
        <f t="shared" si="38"/>
        <v>#DIV/0!</v>
      </c>
      <c r="Q54" s="21" t="e">
        <f t="shared" si="38"/>
        <v>#DIV/0!</v>
      </c>
      <c r="R54" s="21" t="e">
        <f t="shared" si="38"/>
        <v>#DIV/0!</v>
      </c>
      <c r="S54" s="21" t="e">
        <f t="shared" si="38"/>
        <v>#DIV/0!</v>
      </c>
      <c r="T54" s="21" t="e">
        <f t="shared" si="38"/>
        <v>#DIV/0!</v>
      </c>
      <c r="U54" s="21" t="e">
        <f t="shared" si="38"/>
        <v>#DIV/0!</v>
      </c>
      <c r="V54" s="21" t="e">
        <f t="shared" si="38"/>
        <v>#DIV/0!</v>
      </c>
      <c r="W54" s="21" t="e">
        <f t="shared" si="38"/>
        <v>#DIV/0!</v>
      </c>
      <c r="X54" s="21" t="e">
        <f t="shared" si="38"/>
        <v>#DIV/0!</v>
      </c>
      <c r="Y54" s="21" t="e">
        <f t="shared" si="38"/>
        <v>#DIV/0!</v>
      </c>
      <c r="Z54" s="21" t="e">
        <f t="shared" si="38"/>
        <v>#DIV/0!</v>
      </c>
      <c r="AA54" s="21" t="e">
        <f t="shared" si="38"/>
        <v>#DIV/0!</v>
      </c>
      <c r="AB54" s="21" t="e">
        <f t="shared" si="38"/>
        <v>#DIV/0!</v>
      </c>
      <c r="AC54" s="21" t="e">
        <f t="shared" si="38"/>
        <v>#DIV/0!</v>
      </c>
      <c r="AD54" s="21" t="e">
        <f t="shared" si="38"/>
        <v>#DIV/0!</v>
      </c>
      <c r="AE54" s="21" t="e">
        <f t="shared" si="38"/>
        <v>#DIV/0!</v>
      </c>
      <c r="AF54" s="21" t="e">
        <f t="shared" si="38"/>
        <v>#DIV/0!</v>
      </c>
      <c r="AG54" s="21" t="e">
        <f t="shared" si="38"/>
        <v>#DIV/0!</v>
      </c>
      <c r="AH54" s="21" t="e">
        <f t="shared" si="38"/>
        <v>#DIV/0!</v>
      </c>
      <c r="AI54" s="21" t="e">
        <f t="shared" si="38"/>
        <v>#DIV/0!</v>
      </c>
      <c r="AJ54" s="16">
        <f>AJ53/AJ44</f>
        <v>0.34513854576448588</v>
      </c>
      <c r="AK54" s="16">
        <f>AK53/AK44</f>
        <v>0.2966620664055814</v>
      </c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2"/>
      <c r="BH54" s="62"/>
      <c r="BI54" s="62"/>
      <c r="BJ54" s="62"/>
      <c r="BK54" s="62"/>
      <c r="BL54" s="62"/>
      <c r="BM54" s="62"/>
      <c r="BN54" s="62"/>
      <c r="BO54" s="62"/>
      <c r="BP54" s="62"/>
      <c r="BQ54" s="62"/>
      <c r="BR54" s="62"/>
      <c r="BS54" s="62"/>
      <c r="BT54" s="62"/>
      <c r="BU54" s="62"/>
      <c r="BV54" s="62"/>
      <c r="BW54" s="62"/>
      <c r="BX54" s="62"/>
      <c r="BY54" s="62"/>
      <c r="BZ54" s="62"/>
      <c r="CA54" s="62"/>
      <c r="CB54" s="62"/>
      <c r="CC54" s="62"/>
      <c r="CD54" s="62"/>
      <c r="CE54" s="62"/>
      <c r="CF54" s="62"/>
      <c r="CG54" s="62"/>
      <c r="CH54" s="62"/>
      <c r="CI54" s="62"/>
      <c r="CJ54" s="62"/>
      <c r="CK54" s="62"/>
      <c r="CL54" s="62"/>
      <c r="CM54" s="62"/>
      <c r="CN54" s="62"/>
      <c r="CO54" s="62"/>
      <c r="CP54" s="62"/>
      <c r="CQ54" s="62"/>
      <c r="CR54" s="62"/>
      <c r="CS54" s="62"/>
      <c r="CT54" s="62"/>
      <c r="CU54" s="62"/>
      <c r="CV54" s="62"/>
      <c r="CW54" s="62"/>
      <c r="CX54" s="62"/>
      <c r="CY54" s="62"/>
      <c r="CZ54" s="62"/>
      <c r="DA54" s="62"/>
      <c r="DB54" s="62"/>
      <c r="DC54" s="62"/>
      <c r="DD54" s="62"/>
      <c r="DE54" s="62"/>
      <c r="DF54" s="62"/>
      <c r="DG54" s="62"/>
      <c r="DH54" s="62"/>
      <c r="DI54" s="62"/>
      <c r="DJ54" s="62"/>
      <c r="DK54" s="62"/>
      <c r="DL54" s="62"/>
      <c r="DM54" s="62"/>
      <c r="DN54" s="62"/>
      <c r="DO54" s="62"/>
      <c r="DP54" s="62"/>
      <c r="DQ54" s="62"/>
      <c r="DR54" s="62"/>
      <c r="DS54" s="62"/>
      <c r="DT54" s="62"/>
      <c r="DU54" s="62"/>
      <c r="DV54" s="62"/>
      <c r="DW54" s="62"/>
      <c r="DX54" s="62"/>
      <c r="DY54" s="62"/>
      <c r="DZ54" s="62"/>
      <c r="EA54" s="62"/>
      <c r="EB54" s="62"/>
      <c r="EC54" s="62"/>
      <c r="ED54" s="62"/>
      <c r="EE54" s="62"/>
      <c r="EF54" s="62"/>
      <c r="EG54" s="62"/>
      <c r="EH54" s="62"/>
      <c r="EI54" s="62"/>
      <c r="EJ54" s="62"/>
      <c r="EK54" s="62"/>
      <c r="EL54" s="62"/>
      <c r="EM54" s="62"/>
      <c r="EN54" s="62"/>
      <c r="EO54" s="62"/>
      <c r="EP54" s="62"/>
      <c r="EQ54" s="62"/>
      <c r="ER54" s="62"/>
      <c r="ES54" s="62"/>
      <c r="ET54" s="62"/>
      <c r="EU54" s="62"/>
      <c r="EV54" s="62"/>
      <c r="EW54" s="62"/>
      <c r="EX54" s="62"/>
      <c r="EY54" s="62"/>
      <c r="EZ54" s="62"/>
      <c r="FA54" s="62"/>
      <c r="FB54" s="62"/>
      <c r="FC54" s="62"/>
      <c r="FD54" s="62"/>
      <c r="FE54" s="62"/>
      <c r="FF54" s="62"/>
      <c r="FG54" s="62"/>
      <c r="FH54" s="62"/>
      <c r="FI54" s="62"/>
      <c r="FJ54" s="62"/>
      <c r="FK54" s="62"/>
      <c r="FL54" s="62"/>
      <c r="FM54" s="62"/>
      <c r="FN54" s="62"/>
      <c r="FO54" s="62"/>
      <c r="FP54" s="62"/>
      <c r="FQ54" s="62"/>
      <c r="FR54" s="62"/>
      <c r="FS54" s="62"/>
      <c r="FT54" s="62"/>
      <c r="FU54" s="62"/>
      <c r="FV54" s="62"/>
      <c r="FW54" s="62"/>
      <c r="FX54" s="62"/>
      <c r="FY54" s="62"/>
      <c r="FZ54" s="62"/>
      <c r="GA54" s="62"/>
      <c r="GB54" s="62"/>
      <c r="GC54" s="62"/>
      <c r="GD54" s="62"/>
      <c r="GE54" s="62"/>
      <c r="GF54" s="62"/>
      <c r="GG54" s="62"/>
      <c r="GH54" s="62"/>
      <c r="GI54" s="62"/>
      <c r="GJ54" s="62"/>
      <c r="GK54" s="62"/>
      <c r="GL54" s="62"/>
      <c r="GM54" s="62"/>
      <c r="GN54" s="62"/>
      <c r="GO54" s="62"/>
      <c r="GP54" s="62"/>
      <c r="GQ54" s="62"/>
      <c r="GR54" s="62"/>
      <c r="GS54" s="62"/>
      <c r="GT54" s="62"/>
      <c r="GU54" s="62"/>
      <c r="GV54" s="62"/>
      <c r="GW54" s="62"/>
      <c r="GX54" s="62"/>
      <c r="GY54" s="62"/>
      <c r="GZ54" s="62"/>
      <c r="HA54" s="62"/>
      <c r="HB54" s="62"/>
      <c r="HC54" s="62"/>
      <c r="HD54" s="62"/>
      <c r="HE54" s="62"/>
      <c r="HF54" s="62"/>
      <c r="HG54" s="62"/>
      <c r="HH54" s="62"/>
      <c r="HI54" s="62"/>
      <c r="HJ54" s="62"/>
      <c r="HK54" s="62"/>
      <c r="HL54" s="62"/>
      <c r="HM54" s="62"/>
      <c r="HN54" s="62"/>
      <c r="HO54" s="62"/>
      <c r="HP54" s="62"/>
      <c r="HQ54" s="62"/>
      <c r="HR54" s="62"/>
      <c r="HS54" s="62"/>
      <c r="HT54" s="62"/>
      <c r="HU54" s="62"/>
      <c r="HV54" s="62"/>
      <c r="HW54" s="62"/>
      <c r="HX54" s="62"/>
      <c r="HY54" s="62"/>
      <c r="HZ54" s="62"/>
      <c r="IA54" s="62"/>
      <c r="IB54" s="62"/>
      <c r="IC54" s="62"/>
      <c r="ID54" s="62"/>
      <c r="IE54" s="62"/>
      <c r="IF54" s="62"/>
      <c r="IG54" s="62"/>
      <c r="IH54" s="62"/>
      <c r="II54" s="62"/>
      <c r="IJ54" s="62"/>
      <c r="IK54" s="62"/>
      <c r="IL54" s="62"/>
      <c r="IM54" s="62"/>
      <c r="IN54" s="62"/>
      <c r="IO54" s="62"/>
      <c r="IP54" s="62"/>
      <c r="IQ54" s="62"/>
      <c r="IR54" s="62"/>
      <c r="IS54" s="62"/>
    </row>
    <row r="55" spans="1:679" x14ac:dyDescent="0.3">
      <c r="A55" s="24"/>
      <c r="B55" s="24" t="s">
        <v>50</v>
      </c>
      <c r="C55" s="10" t="s">
        <v>51</v>
      </c>
      <c r="D55" s="10" t="s">
        <v>7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/>
      <c r="K55" s="10"/>
      <c r="L55" s="10"/>
      <c r="M55" s="10"/>
      <c r="N55" s="10"/>
      <c r="O55" s="10"/>
      <c r="P55" s="55"/>
      <c r="Q55" s="55"/>
      <c r="R55" s="55"/>
      <c r="S55" s="55"/>
      <c r="T55" s="10"/>
      <c r="U55" s="10"/>
      <c r="V55" s="10"/>
      <c r="W55" s="10"/>
      <c r="X55" s="10"/>
      <c r="Y55" s="10"/>
      <c r="Z55" s="10"/>
      <c r="AA55" s="22"/>
      <c r="AB55" s="22"/>
      <c r="AC55" s="22"/>
      <c r="AD55" s="53"/>
      <c r="AE55" s="53"/>
      <c r="AF55" s="22"/>
      <c r="AG55" s="22"/>
      <c r="AH55" s="22"/>
      <c r="AI55" s="22"/>
      <c r="AJ55" s="11">
        <f t="shared" ref="AJ55:AJ58" si="39">SUM(E55:AI55)</f>
        <v>0</v>
      </c>
      <c r="AK55" s="12">
        <f>AJ55+'Jul-24'!AK55</f>
        <v>6729.201</v>
      </c>
    </row>
    <row r="56" spans="1:679" x14ac:dyDescent="0.3">
      <c r="A56" s="24"/>
      <c r="B56" s="24" t="s">
        <v>52</v>
      </c>
      <c r="C56" s="10" t="s">
        <v>51</v>
      </c>
      <c r="D56" s="10"/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/>
      <c r="K56" s="23"/>
      <c r="L56" s="23"/>
      <c r="M56" s="23"/>
      <c r="N56" s="23"/>
      <c r="O56" s="23"/>
      <c r="P56" s="55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2"/>
      <c r="AC56" s="22"/>
      <c r="AD56" s="53"/>
      <c r="AE56" s="53"/>
      <c r="AF56" s="22"/>
      <c r="AG56" s="22"/>
      <c r="AH56" s="22"/>
      <c r="AI56" s="22"/>
      <c r="AJ56" s="11">
        <f t="shared" si="39"/>
        <v>0</v>
      </c>
      <c r="AK56" s="12">
        <f>AJ56+'Jul-24'!AK56</f>
        <v>393974.83999999997</v>
      </c>
    </row>
    <row r="57" spans="1:679" x14ac:dyDescent="0.3">
      <c r="A57" s="24"/>
      <c r="B57" s="24" t="s">
        <v>53</v>
      </c>
      <c r="C57" s="10" t="s">
        <v>51</v>
      </c>
      <c r="D57" s="10"/>
      <c r="E57" s="23">
        <f>E68*E72</f>
        <v>0</v>
      </c>
      <c r="F57" s="23">
        <f t="shared" ref="F57:AI57" si="40">F68*F72</f>
        <v>0</v>
      </c>
      <c r="G57" s="23">
        <f t="shared" si="40"/>
        <v>0</v>
      </c>
      <c r="H57" s="23">
        <f t="shared" si="40"/>
        <v>0</v>
      </c>
      <c r="I57" s="23">
        <f t="shared" si="40"/>
        <v>0</v>
      </c>
      <c r="J57" s="23">
        <f t="shared" si="40"/>
        <v>0</v>
      </c>
      <c r="K57" s="23">
        <f t="shared" si="40"/>
        <v>0</v>
      </c>
      <c r="L57" s="23">
        <f t="shared" si="40"/>
        <v>0</v>
      </c>
      <c r="M57" s="42">
        <f t="shared" si="40"/>
        <v>0</v>
      </c>
      <c r="N57" s="23">
        <f>N68*N72</f>
        <v>0</v>
      </c>
      <c r="O57" s="23">
        <f t="shared" si="40"/>
        <v>0</v>
      </c>
      <c r="P57" s="23">
        <f t="shared" si="40"/>
        <v>0</v>
      </c>
      <c r="Q57" s="23">
        <f t="shared" si="40"/>
        <v>0</v>
      </c>
      <c r="R57" s="23">
        <f t="shared" si="40"/>
        <v>0</v>
      </c>
      <c r="S57" s="23">
        <f t="shared" si="40"/>
        <v>0</v>
      </c>
      <c r="T57" s="23">
        <f t="shared" si="40"/>
        <v>0</v>
      </c>
      <c r="U57" s="23">
        <f t="shared" si="40"/>
        <v>0</v>
      </c>
      <c r="V57" s="23">
        <f t="shared" si="40"/>
        <v>0</v>
      </c>
      <c r="W57" s="23">
        <f t="shared" si="40"/>
        <v>0</v>
      </c>
      <c r="X57" s="23">
        <f>X68*X72</f>
        <v>0</v>
      </c>
      <c r="Y57" s="23">
        <f t="shared" si="40"/>
        <v>0</v>
      </c>
      <c r="Z57" s="23">
        <f t="shared" si="40"/>
        <v>0</v>
      </c>
      <c r="AA57" s="23">
        <f>AA68*AA72</f>
        <v>0</v>
      </c>
      <c r="AB57" s="23">
        <f t="shared" si="40"/>
        <v>0</v>
      </c>
      <c r="AC57" s="23">
        <f t="shared" si="40"/>
        <v>0</v>
      </c>
      <c r="AD57" s="23">
        <f t="shared" si="40"/>
        <v>0</v>
      </c>
      <c r="AE57" s="23">
        <f t="shared" si="40"/>
        <v>0</v>
      </c>
      <c r="AF57" s="23">
        <f>AF68*AF72</f>
        <v>0</v>
      </c>
      <c r="AG57" s="22">
        <f>AG68*AG72</f>
        <v>0</v>
      </c>
      <c r="AH57" s="23">
        <f t="shared" si="40"/>
        <v>0</v>
      </c>
      <c r="AI57" s="23">
        <f t="shared" si="40"/>
        <v>0</v>
      </c>
      <c r="AJ57" s="11">
        <f t="shared" si="39"/>
        <v>0</v>
      </c>
      <c r="AK57" s="12">
        <f>AJ57+'Jul-24'!AK57</f>
        <v>582290729.89999998</v>
      </c>
    </row>
    <row r="58" spans="1:679" s="51" customFormat="1" x14ac:dyDescent="0.3">
      <c r="A58" s="58"/>
      <c r="B58" s="58" t="s">
        <v>54</v>
      </c>
      <c r="C58" s="59" t="s">
        <v>51</v>
      </c>
      <c r="D58" s="59"/>
      <c r="E58" s="67">
        <f>E56*E55</f>
        <v>0</v>
      </c>
      <c r="F58" s="67">
        <f t="shared" ref="F58:AI58" si="41">F56*F55</f>
        <v>0</v>
      </c>
      <c r="G58" s="67">
        <f t="shared" si="41"/>
        <v>0</v>
      </c>
      <c r="H58" s="67">
        <f>H56*H55</f>
        <v>0</v>
      </c>
      <c r="I58" s="67">
        <f t="shared" si="41"/>
        <v>0</v>
      </c>
      <c r="J58" s="67">
        <f t="shared" si="41"/>
        <v>0</v>
      </c>
      <c r="K58" s="67">
        <f t="shared" si="41"/>
        <v>0</v>
      </c>
      <c r="L58" s="67">
        <f t="shared" si="41"/>
        <v>0</v>
      </c>
      <c r="M58" s="68">
        <f t="shared" si="41"/>
        <v>0</v>
      </c>
      <c r="N58" s="68">
        <f t="shared" si="41"/>
        <v>0</v>
      </c>
      <c r="O58" s="68">
        <f t="shared" si="41"/>
        <v>0</v>
      </c>
      <c r="P58" s="68">
        <f t="shared" si="41"/>
        <v>0</v>
      </c>
      <c r="Q58" s="68">
        <f t="shared" si="41"/>
        <v>0</v>
      </c>
      <c r="R58" s="68">
        <f t="shared" si="41"/>
        <v>0</v>
      </c>
      <c r="S58" s="68">
        <f t="shared" si="41"/>
        <v>0</v>
      </c>
      <c r="T58" s="68">
        <f t="shared" si="41"/>
        <v>0</v>
      </c>
      <c r="U58" s="68">
        <f t="shared" si="41"/>
        <v>0</v>
      </c>
      <c r="V58" s="67">
        <f t="shared" si="41"/>
        <v>0</v>
      </c>
      <c r="W58" s="67">
        <f t="shared" si="41"/>
        <v>0</v>
      </c>
      <c r="X58" s="67">
        <f t="shared" si="41"/>
        <v>0</v>
      </c>
      <c r="Y58" s="67">
        <f t="shared" si="41"/>
        <v>0</v>
      </c>
      <c r="Z58" s="67">
        <f t="shared" si="41"/>
        <v>0</v>
      </c>
      <c r="AA58" s="67">
        <f t="shared" si="41"/>
        <v>0</v>
      </c>
      <c r="AB58" s="67">
        <f t="shared" si="41"/>
        <v>0</v>
      </c>
      <c r="AC58" s="67">
        <f t="shared" si="41"/>
        <v>0</v>
      </c>
      <c r="AD58" s="67">
        <f t="shared" si="41"/>
        <v>0</v>
      </c>
      <c r="AE58" s="67">
        <f t="shared" si="41"/>
        <v>0</v>
      </c>
      <c r="AF58" s="67">
        <f t="shared" si="41"/>
        <v>0</v>
      </c>
      <c r="AG58" s="67">
        <f t="shared" si="41"/>
        <v>0</v>
      </c>
      <c r="AH58" s="67">
        <f t="shared" si="41"/>
        <v>0</v>
      </c>
      <c r="AI58" s="67">
        <f t="shared" si="41"/>
        <v>0</v>
      </c>
      <c r="AJ58" s="11">
        <f t="shared" si="39"/>
        <v>0</v>
      </c>
      <c r="AK58" s="12">
        <f>AJ58+'Jul-24'!AK58</f>
        <v>54216968.809</v>
      </c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</row>
    <row r="59" spans="1:679" s="19" customFormat="1" x14ac:dyDescent="0.3">
      <c r="A59" s="44"/>
      <c r="B59" s="44" t="s">
        <v>222</v>
      </c>
      <c r="C59" s="15" t="s">
        <v>51</v>
      </c>
      <c r="D59" s="15" t="s">
        <v>7</v>
      </c>
      <c r="E59" s="56" t="e">
        <f>E58/E57</f>
        <v>#DIV/0!</v>
      </c>
      <c r="F59" s="56" t="e">
        <f>F58/F57</f>
        <v>#DIV/0!</v>
      </c>
      <c r="G59" s="56" t="e">
        <f t="shared" ref="G59:AI59" si="42">G58/G57</f>
        <v>#DIV/0!</v>
      </c>
      <c r="H59" s="56" t="e">
        <f t="shared" si="42"/>
        <v>#DIV/0!</v>
      </c>
      <c r="I59" s="56" t="e">
        <f t="shared" si="42"/>
        <v>#DIV/0!</v>
      </c>
      <c r="J59" s="56" t="e">
        <f t="shared" si="42"/>
        <v>#DIV/0!</v>
      </c>
      <c r="K59" s="56" t="e">
        <f t="shared" si="42"/>
        <v>#DIV/0!</v>
      </c>
      <c r="L59" s="56" t="e">
        <f t="shared" si="42"/>
        <v>#DIV/0!</v>
      </c>
      <c r="M59" s="56" t="e">
        <f t="shared" si="42"/>
        <v>#DIV/0!</v>
      </c>
      <c r="N59" s="56" t="e">
        <f t="shared" si="42"/>
        <v>#DIV/0!</v>
      </c>
      <c r="O59" s="56" t="e">
        <f t="shared" si="42"/>
        <v>#DIV/0!</v>
      </c>
      <c r="P59" s="56" t="e">
        <f t="shared" si="42"/>
        <v>#DIV/0!</v>
      </c>
      <c r="Q59" s="56" t="e">
        <f t="shared" si="42"/>
        <v>#DIV/0!</v>
      </c>
      <c r="R59" s="56" t="e">
        <f t="shared" si="42"/>
        <v>#DIV/0!</v>
      </c>
      <c r="S59" s="56" t="e">
        <f t="shared" si="42"/>
        <v>#DIV/0!</v>
      </c>
      <c r="T59" s="56" t="e">
        <f t="shared" si="42"/>
        <v>#DIV/0!</v>
      </c>
      <c r="U59" s="56" t="e">
        <f t="shared" si="42"/>
        <v>#DIV/0!</v>
      </c>
      <c r="V59" s="56" t="e">
        <f t="shared" si="42"/>
        <v>#DIV/0!</v>
      </c>
      <c r="W59" s="56" t="e">
        <f t="shared" si="42"/>
        <v>#DIV/0!</v>
      </c>
      <c r="X59" s="56" t="e">
        <f t="shared" si="42"/>
        <v>#DIV/0!</v>
      </c>
      <c r="Y59" s="56" t="e">
        <f t="shared" si="42"/>
        <v>#DIV/0!</v>
      </c>
      <c r="Z59" s="56" t="e">
        <f t="shared" si="42"/>
        <v>#DIV/0!</v>
      </c>
      <c r="AA59" s="56" t="e">
        <f>AA58/AA57</f>
        <v>#DIV/0!</v>
      </c>
      <c r="AB59" s="56" t="e">
        <f t="shared" si="42"/>
        <v>#DIV/0!</v>
      </c>
      <c r="AC59" s="56" t="e">
        <f t="shared" si="42"/>
        <v>#DIV/0!</v>
      </c>
      <c r="AD59" s="56" t="e">
        <f t="shared" si="42"/>
        <v>#DIV/0!</v>
      </c>
      <c r="AE59" s="56" t="e">
        <f t="shared" si="42"/>
        <v>#DIV/0!</v>
      </c>
      <c r="AF59" s="56" t="e">
        <f t="shared" si="42"/>
        <v>#DIV/0!</v>
      </c>
      <c r="AG59" s="56" t="e">
        <f t="shared" si="42"/>
        <v>#DIV/0!</v>
      </c>
      <c r="AH59" s="56" t="e">
        <f t="shared" si="42"/>
        <v>#DIV/0!</v>
      </c>
      <c r="AI59" s="56" t="e">
        <f t="shared" si="42"/>
        <v>#DIV/0!</v>
      </c>
      <c r="AJ59" s="16" t="e">
        <f>AJ58/AJ57</f>
        <v>#DIV/0!</v>
      </c>
      <c r="AK59" s="16">
        <f>AK58/AK57</f>
        <v>9.3109792110739914E-2</v>
      </c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</row>
    <row r="60" spans="1:679" x14ac:dyDescent="0.3">
      <c r="A60" s="24"/>
      <c r="B60" s="24" t="s">
        <v>213</v>
      </c>
      <c r="C60" s="10" t="s">
        <v>51</v>
      </c>
      <c r="D60" s="10"/>
      <c r="E60" s="55">
        <v>0</v>
      </c>
      <c r="F60" s="55">
        <v>0</v>
      </c>
      <c r="G60" s="55">
        <v>0</v>
      </c>
      <c r="H60" s="55">
        <v>0</v>
      </c>
      <c r="I60" s="55">
        <v>0</v>
      </c>
      <c r="J60" s="55"/>
      <c r="K60" s="55"/>
      <c r="L60" s="55"/>
      <c r="M60" s="55"/>
      <c r="N60" s="55"/>
      <c r="O60" s="55"/>
      <c r="P60" s="42"/>
      <c r="Q60" s="42"/>
      <c r="R60" s="42"/>
      <c r="S60" s="55"/>
      <c r="T60" s="55"/>
      <c r="U60" s="55"/>
      <c r="V60" s="10"/>
      <c r="W60" s="10"/>
      <c r="X60" s="10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11">
        <f t="shared" ref="AJ60:AJ62" si="43">SUM(E60:AI60)</f>
        <v>0</v>
      </c>
      <c r="AK60" s="12">
        <f>AJ60+'Jul-24'!AK60</f>
        <v>24420</v>
      </c>
    </row>
    <row r="61" spans="1:679" x14ac:dyDescent="0.3">
      <c r="A61" s="24"/>
      <c r="B61" s="24" t="s">
        <v>224</v>
      </c>
      <c r="C61" s="10" t="s">
        <v>51</v>
      </c>
      <c r="D61" s="10"/>
      <c r="E61" s="55">
        <v>0</v>
      </c>
      <c r="F61" s="55">
        <v>0</v>
      </c>
      <c r="G61" s="55">
        <v>0</v>
      </c>
      <c r="H61" s="55">
        <v>0</v>
      </c>
      <c r="I61" s="55">
        <v>0</v>
      </c>
      <c r="J61" s="55"/>
      <c r="K61" s="55"/>
      <c r="L61" s="55"/>
      <c r="M61" s="55"/>
      <c r="N61" s="55"/>
      <c r="O61" s="55"/>
      <c r="P61" s="42"/>
      <c r="Q61" s="42"/>
      <c r="R61" s="42"/>
      <c r="S61" s="55"/>
      <c r="T61" s="55"/>
      <c r="U61" s="55"/>
      <c r="V61" s="23"/>
      <c r="W61" s="23"/>
      <c r="X61" s="23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11">
        <f t="shared" si="43"/>
        <v>0</v>
      </c>
      <c r="AK61" s="12">
        <f>AJ61+'Jul-24'!AK61</f>
        <v>342945.05200000003</v>
      </c>
    </row>
    <row r="62" spans="1:679" x14ac:dyDescent="0.3">
      <c r="A62" s="24"/>
      <c r="B62" s="24" t="s">
        <v>214</v>
      </c>
      <c r="C62" s="10" t="s">
        <v>51</v>
      </c>
      <c r="D62" s="10"/>
      <c r="E62" s="55">
        <f t="shared" ref="E62:AI62" si="44">E61*E60</f>
        <v>0</v>
      </c>
      <c r="F62" s="55">
        <f t="shared" si="44"/>
        <v>0</v>
      </c>
      <c r="G62" s="55">
        <f t="shared" si="44"/>
        <v>0</v>
      </c>
      <c r="H62" s="55">
        <f t="shared" si="44"/>
        <v>0</v>
      </c>
      <c r="I62" s="55">
        <f t="shared" si="44"/>
        <v>0</v>
      </c>
      <c r="J62" s="55">
        <f t="shared" si="44"/>
        <v>0</v>
      </c>
      <c r="K62" s="55">
        <f>K61*K60</f>
        <v>0</v>
      </c>
      <c r="L62" s="55">
        <f t="shared" si="44"/>
        <v>0</v>
      </c>
      <c r="M62" s="55">
        <f t="shared" si="44"/>
        <v>0</v>
      </c>
      <c r="N62" s="55">
        <f t="shared" si="44"/>
        <v>0</v>
      </c>
      <c r="O62" s="55">
        <f t="shared" si="44"/>
        <v>0</v>
      </c>
      <c r="P62" s="55">
        <f t="shared" si="44"/>
        <v>0</v>
      </c>
      <c r="Q62" s="55">
        <f t="shared" si="44"/>
        <v>0</v>
      </c>
      <c r="R62" s="55">
        <f t="shared" si="44"/>
        <v>0</v>
      </c>
      <c r="S62" s="55">
        <f t="shared" si="44"/>
        <v>0</v>
      </c>
      <c r="T62" s="55">
        <f t="shared" si="44"/>
        <v>0</v>
      </c>
      <c r="U62" s="55">
        <f t="shared" si="44"/>
        <v>0</v>
      </c>
      <c r="V62" s="55">
        <f t="shared" si="44"/>
        <v>0</v>
      </c>
      <c r="W62" s="55">
        <f t="shared" si="44"/>
        <v>0</v>
      </c>
      <c r="X62" s="55">
        <f t="shared" si="44"/>
        <v>0</v>
      </c>
      <c r="Y62" s="55">
        <f t="shared" si="44"/>
        <v>0</v>
      </c>
      <c r="Z62" s="55">
        <f t="shared" si="44"/>
        <v>0</v>
      </c>
      <c r="AA62" s="55">
        <f t="shared" si="44"/>
        <v>0</v>
      </c>
      <c r="AB62" s="55">
        <f t="shared" si="44"/>
        <v>0</v>
      </c>
      <c r="AC62" s="55">
        <f t="shared" si="44"/>
        <v>0</v>
      </c>
      <c r="AD62" s="55">
        <f t="shared" si="44"/>
        <v>0</v>
      </c>
      <c r="AE62" s="55">
        <f t="shared" si="44"/>
        <v>0</v>
      </c>
      <c r="AF62" s="55">
        <f t="shared" si="44"/>
        <v>0</v>
      </c>
      <c r="AG62" s="55">
        <f t="shared" si="44"/>
        <v>0</v>
      </c>
      <c r="AH62" s="55">
        <f t="shared" si="44"/>
        <v>0</v>
      </c>
      <c r="AI62" s="55">
        <f t="shared" si="44"/>
        <v>0</v>
      </c>
      <c r="AJ62" s="11">
        <f t="shared" si="43"/>
        <v>0</v>
      </c>
      <c r="AK62" s="12">
        <f>AJ62+'Jul-24'!AK62</f>
        <v>116345206.54800001</v>
      </c>
    </row>
    <row r="63" spans="1:679" x14ac:dyDescent="0.3">
      <c r="A63" s="44">
        <v>12</v>
      </c>
      <c r="B63" s="44" t="s">
        <v>223</v>
      </c>
      <c r="C63" s="15" t="s">
        <v>51</v>
      </c>
      <c r="D63" s="15" t="s">
        <v>55</v>
      </c>
      <c r="E63" s="21" t="e">
        <f>E62/E57</f>
        <v>#DIV/0!</v>
      </c>
      <c r="F63" s="21" t="e">
        <f t="shared" ref="F63:AI63" si="45">F62/F57</f>
        <v>#DIV/0!</v>
      </c>
      <c r="G63" s="21" t="e">
        <f t="shared" si="45"/>
        <v>#DIV/0!</v>
      </c>
      <c r="H63" s="21" t="e">
        <f t="shared" si="45"/>
        <v>#DIV/0!</v>
      </c>
      <c r="I63" s="21" t="e">
        <f t="shared" si="45"/>
        <v>#DIV/0!</v>
      </c>
      <c r="J63" s="21" t="e">
        <f t="shared" si="45"/>
        <v>#DIV/0!</v>
      </c>
      <c r="K63" s="21" t="e">
        <f t="shared" si="45"/>
        <v>#DIV/0!</v>
      </c>
      <c r="L63" s="21" t="e">
        <f t="shared" si="45"/>
        <v>#DIV/0!</v>
      </c>
      <c r="M63" s="21" t="e">
        <f t="shared" si="45"/>
        <v>#DIV/0!</v>
      </c>
      <c r="N63" s="21" t="e">
        <f t="shared" si="45"/>
        <v>#DIV/0!</v>
      </c>
      <c r="O63" s="21" t="e">
        <f t="shared" si="45"/>
        <v>#DIV/0!</v>
      </c>
      <c r="P63" s="21" t="e">
        <f t="shared" si="45"/>
        <v>#DIV/0!</v>
      </c>
      <c r="Q63" s="21" t="e">
        <f t="shared" si="45"/>
        <v>#DIV/0!</v>
      </c>
      <c r="R63" s="21" t="e">
        <f t="shared" si="45"/>
        <v>#DIV/0!</v>
      </c>
      <c r="S63" s="21" t="e">
        <f t="shared" si="45"/>
        <v>#DIV/0!</v>
      </c>
      <c r="T63" s="21" t="e">
        <f t="shared" si="45"/>
        <v>#DIV/0!</v>
      </c>
      <c r="U63" s="21" t="e">
        <f t="shared" si="45"/>
        <v>#DIV/0!</v>
      </c>
      <c r="V63" s="21" t="e">
        <f t="shared" si="45"/>
        <v>#DIV/0!</v>
      </c>
      <c r="W63" s="21" t="e">
        <f t="shared" si="45"/>
        <v>#DIV/0!</v>
      </c>
      <c r="X63" s="21" t="e">
        <f t="shared" si="45"/>
        <v>#DIV/0!</v>
      </c>
      <c r="Y63" s="21" t="e">
        <f t="shared" si="45"/>
        <v>#DIV/0!</v>
      </c>
      <c r="Z63" s="21" t="e">
        <f t="shared" si="45"/>
        <v>#DIV/0!</v>
      </c>
      <c r="AA63" s="21" t="e">
        <f t="shared" si="45"/>
        <v>#DIV/0!</v>
      </c>
      <c r="AB63" s="21" t="e">
        <f t="shared" si="45"/>
        <v>#DIV/0!</v>
      </c>
      <c r="AC63" s="21" t="e">
        <f t="shared" si="45"/>
        <v>#DIV/0!</v>
      </c>
      <c r="AD63" s="21" t="e">
        <f t="shared" si="45"/>
        <v>#DIV/0!</v>
      </c>
      <c r="AE63" s="21" t="e">
        <f t="shared" si="45"/>
        <v>#DIV/0!</v>
      </c>
      <c r="AF63" s="21" t="e">
        <f t="shared" si="45"/>
        <v>#DIV/0!</v>
      </c>
      <c r="AG63" s="21" t="e">
        <f t="shared" si="45"/>
        <v>#DIV/0!</v>
      </c>
      <c r="AH63" s="21" t="e">
        <f t="shared" si="45"/>
        <v>#DIV/0!</v>
      </c>
      <c r="AI63" s="21" t="e">
        <f t="shared" si="45"/>
        <v>#DIV/0!</v>
      </c>
      <c r="AJ63" s="16" t="e">
        <f>AJ62/AJ57</f>
        <v>#DIV/0!</v>
      </c>
      <c r="AK63" s="16">
        <f>AK62/AK57</f>
        <v>0.19980604288167289</v>
      </c>
    </row>
    <row r="64" spans="1:679" x14ac:dyDescent="0.3">
      <c r="B64" s="24" t="s">
        <v>59</v>
      </c>
      <c r="C64" s="10" t="s">
        <v>51</v>
      </c>
      <c r="D64" s="10" t="s">
        <v>55</v>
      </c>
      <c r="E64" s="22">
        <v>0</v>
      </c>
      <c r="F64" s="22">
        <v>0</v>
      </c>
      <c r="G64" s="23">
        <v>0</v>
      </c>
      <c r="H64" s="22">
        <v>0</v>
      </c>
      <c r="I64" s="22">
        <v>0</v>
      </c>
      <c r="J64" s="22"/>
      <c r="K64" s="22"/>
      <c r="L64" s="22"/>
      <c r="M64" s="10"/>
      <c r="N64" s="42"/>
      <c r="O64" s="42"/>
      <c r="P64" s="42"/>
      <c r="Q64" s="69"/>
      <c r="R64" s="69"/>
      <c r="S64" s="69"/>
      <c r="T64" s="69"/>
      <c r="U64" s="69"/>
      <c r="V64" s="10"/>
      <c r="W64" s="10"/>
      <c r="X64" s="10"/>
      <c r="Y64" s="10"/>
      <c r="Z64" s="10"/>
      <c r="AA64" s="10"/>
      <c r="AB64" s="22"/>
      <c r="AC64" s="22"/>
      <c r="AD64" s="53"/>
      <c r="AE64" s="53"/>
      <c r="AF64" s="53"/>
      <c r="AG64" s="53"/>
      <c r="AH64" s="53"/>
      <c r="AI64" s="53"/>
      <c r="AJ64" s="11">
        <f t="shared" ref="AJ64:AJ66" si="46">SUM(E64:AI64)</f>
        <v>0</v>
      </c>
      <c r="AK64" s="12">
        <f>AJ64+'Jul-24'!AK64</f>
        <v>86263.798999999999</v>
      </c>
    </row>
    <row r="65" spans="1:253" x14ac:dyDescent="0.3">
      <c r="B65" s="24" t="s">
        <v>60</v>
      </c>
      <c r="C65" s="10" t="s">
        <v>51</v>
      </c>
      <c r="D65" s="10" t="s">
        <v>55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/>
      <c r="K65" s="23"/>
      <c r="L65" s="23"/>
      <c r="M65" s="23"/>
      <c r="N65" s="42"/>
      <c r="O65" s="42"/>
      <c r="P65" s="42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53"/>
      <c r="AC65" s="53"/>
      <c r="AD65" s="53"/>
      <c r="AE65" s="53"/>
      <c r="AF65" s="53"/>
      <c r="AG65" s="53"/>
      <c r="AH65" s="53"/>
      <c r="AI65" s="53"/>
      <c r="AJ65" s="11">
        <f t="shared" si="46"/>
        <v>0</v>
      </c>
      <c r="AK65" s="12">
        <f>AJ65+'Jul-24'!AK65</f>
        <v>560183.05200000003</v>
      </c>
    </row>
    <row r="66" spans="1:253" x14ac:dyDescent="0.3">
      <c r="B66" s="24" t="s">
        <v>61</v>
      </c>
      <c r="C66" s="10" t="s">
        <v>51</v>
      </c>
      <c r="D66" s="10" t="s">
        <v>55</v>
      </c>
      <c r="E66" s="70">
        <f>E65*E64</f>
        <v>0</v>
      </c>
      <c r="F66" s="70">
        <f>F65*F64</f>
        <v>0</v>
      </c>
      <c r="G66" s="70">
        <f t="shared" ref="G66:AI66" si="47">G65*G64</f>
        <v>0</v>
      </c>
      <c r="H66" s="70">
        <f t="shared" si="47"/>
        <v>0</v>
      </c>
      <c r="I66" s="70">
        <f t="shared" si="47"/>
        <v>0</v>
      </c>
      <c r="J66" s="70">
        <f t="shared" si="47"/>
        <v>0</v>
      </c>
      <c r="K66" s="70">
        <f t="shared" si="47"/>
        <v>0</v>
      </c>
      <c r="L66" s="70">
        <f t="shared" si="47"/>
        <v>0</v>
      </c>
      <c r="M66" s="71">
        <f t="shared" si="47"/>
        <v>0</v>
      </c>
      <c r="N66" s="70">
        <f t="shared" si="47"/>
        <v>0</v>
      </c>
      <c r="O66" s="70">
        <f t="shared" si="47"/>
        <v>0</v>
      </c>
      <c r="P66" s="70">
        <f t="shared" si="47"/>
        <v>0</v>
      </c>
      <c r="Q66" s="70">
        <f t="shared" si="47"/>
        <v>0</v>
      </c>
      <c r="R66" s="70">
        <f>R65*R64</f>
        <v>0</v>
      </c>
      <c r="S66" s="70">
        <f>S65*S64</f>
        <v>0</v>
      </c>
      <c r="T66" s="70">
        <f>T65*T64</f>
        <v>0</v>
      </c>
      <c r="U66" s="70">
        <f>U65*U64</f>
        <v>0</v>
      </c>
      <c r="V66" s="70">
        <f t="shared" si="47"/>
        <v>0</v>
      </c>
      <c r="W66" s="70">
        <f t="shared" si="47"/>
        <v>0</v>
      </c>
      <c r="X66" s="70">
        <f t="shared" si="47"/>
        <v>0</v>
      </c>
      <c r="Y66" s="70">
        <f t="shared" si="47"/>
        <v>0</v>
      </c>
      <c r="Z66" s="70">
        <f t="shared" si="47"/>
        <v>0</v>
      </c>
      <c r="AA66" s="70">
        <f t="shared" si="47"/>
        <v>0</v>
      </c>
      <c r="AB66" s="70">
        <f t="shared" si="47"/>
        <v>0</v>
      </c>
      <c r="AC66" s="70">
        <f t="shared" si="47"/>
        <v>0</v>
      </c>
      <c r="AD66" s="70">
        <f t="shared" si="47"/>
        <v>0</v>
      </c>
      <c r="AE66" s="70">
        <f t="shared" si="47"/>
        <v>0</v>
      </c>
      <c r="AF66" s="70">
        <f t="shared" si="47"/>
        <v>0</v>
      </c>
      <c r="AG66" s="70">
        <f t="shared" si="47"/>
        <v>0</v>
      </c>
      <c r="AH66" s="70">
        <f t="shared" si="47"/>
        <v>0</v>
      </c>
      <c r="AI66" s="70">
        <f t="shared" si="47"/>
        <v>0</v>
      </c>
      <c r="AJ66" s="11">
        <f t="shared" si="46"/>
        <v>0</v>
      </c>
      <c r="AK66" s="12">
        <f>AJ66+'Jul-24'!AK66</f>
        <v>409119404.89899999</v>
      </c>
    </row>
    <row r="67" spans="1:253" x14ac:dyDescent="0.3">
      <c r="A67" s="19">
        <v>14</v>
      </c>
      <c r="B67" s="44" t="s">
        <v>63</v>
      </c>
      <c r="C67" s="15" t="s">
        <v>51</v>
      </c>
      <c r="D67" s="15" t="s">
        <v>55</v>
      </c>
      <c r="E67" s="21" t="e">
        <f t="shared" ref="E67:AI67" si="48">E66/(E57)</f>
        <v>#DIV/0!</v>
      </c>
      <c r="F67" s="21" t="e">
        <f t="shared" si="48"/>
        <v>#DIV/0!</v>
      </c>
      <c r="G67" s="21" t="e">
        <f t="shared" si="48"/>
        <v>#DIV/0!</v>
      </c>
      <c r="H67" s="21" t="e">
        <f t="shared" si="48"/>
        <v>#DIV/0!</v>
      </c>
      <c r="I67" s="21" t="e">
        <f t="shared" si="48"/>
        <v>#DIV/0!</v>
      </c>
      <c r="J67" s="21" t="e">
        <f t="shared" si="48"/>
        <v>#DIV/0!</v>
      </c>
      <c r="K67" s="21" t="e">
        <f t="shared" si="48"/>
        <v>#DIV/0!</v>
      </c>
      <c r="L67" s="21" t="e">
        <f t="shared" si="48"/>
        <v>#DIV/0!</v>
      </c>
      <c r="M67" s="21" t="e">
        <f t="shared" si="48"/>
        <v>#DIV/0!</v>
      </c>
      <c r="N67" s="21" t="e">
        <f t="shared" si="48"/>
        <v>#DIV/0!</v>
      </c>
      <c r="O67" s="21" t="e">
        <f>O66/(O57)</f>
        <v>#DIV/0!</v>
      </c>
      <c r="P67" s="21" t="e">
        <f t="shared" si="48"/>
        <v>#DIV/0!</v>
      </c>
      <c r="Q67" s="21" t="e">
        <f t="shared" si="48"/>
        <v>#DIV/0!</v>
      </c>
      <c r="R67" s="21" t="e">
        <f t="shared" si="48"/>
        <v>#DIV/0!</v>
      </c>
      <c r="S67" s="21" t="e">
        <f t="shared" si="48"/>
        <v>#DIV/0!</v>
      </c>
      <c r="T67" s="21" t="e">
        <f t="shared" si="48"/>
        <v>#DIV/0!</v>
      </c>
      <c r="U67" s="21" t="e">
        <f t="shared" si="48"/>
        <v>#DIV/0!</v>
      </c>
      <c r="V67" s="21" t="e">
        <f t="shared" si="48"/>
        <v>#DIV/0!</v>
      </c>
      <c r="W67" s="21" t="e">
        <f t="shared" si="48"/>
        <v>#DIV/0!</v>
      </c>
      <c r="X67" s="21" t="e">
        <f t="shared" si="48"/>
        <v>#DIV/0!</v>
      </c>
      <c r="Y67" s="21" t="e">
        <f t="shared" si="48"/>
        <v>#DIV/0!</v>
      </c>
      <c r="Z67" s="21" t="e">
        <f t="shared" si="48"/>
        <v>#DIV/0!</v>
      </c>
      <c r="AA67" s="21" t="e">
        <f>AA66/(AA57)</f>
        <v>#DIV/0!</v>
      </c>
      <c r="AB67" s="21" t="e">
        <f t="shared" si="48"/>
        <v>#DIV/0!</v>
      </c>
      <c r="AC67" s="21" t="e">
        <f t="shared" si="48"/>
        <v>#DIV/0!</v>
      </c>
      <c r="AD67" s="21" t="e">
        <f t="shared" si="48"/>
        <v>#DIV/0!</v>
      </c>
      <c r="AE67" s="21" t="e">
        <f t="shared" si="48"/>
        <v>#DIV/0!</v>
      </c>
      <c r="AF67" s="21" t="e">
        <f t="shared" si="48"/>
        <v>#DIV/0!</v>
      </c>
      <c r="AG67" s="21" t="e">
        <f t="shared" si="48"/>
        <v>#DIV/0!</v>
      </c>
      <c r="AH67" s="21" t="e">
        <f t="shared" si="48"/>
        <v>#DIV/0!</v>
      </c>
      <c r="AI67" s="21" t="e">
        <f t="shared" si="48"/>
        <v>#DIV/0!</v>
      </c>
      <c r="AJ67" s="16" t="e">
        <f>AJ66/(AJ57)</f>
        <v>#DIV/0!</v>
      </c>
      <c r="AK67" s="16">
        <f>AK66/(AK57)</f>
        <v>0.70260332835671335</v>
      </c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62"/>
      <c r="BN67" s="62"/>
      <c r="BO67" s="62"/>
      <c r="BP67" s="62"/>
      <c r="BQ67" s="62"/>
      <c r="BR67" s="62"/>
      <c r="BS67" s="62"/>
      <c r="BT67" s="62"/>
      <c r="BU67" s="62"/>
      <c r="BV67" s="62"/>
      <c r="BW67" s="62"/>
      <c r="BX67" s="62"/>
      <c r="BY67" s="62"/>
      <c r="BZ67" s="62"/>
      <c r="CA67" s="62"/>
      <c r="CB67" s="62"/>
      <c r="CC67" s="62"/>
      <c r="CD67" s="62"/>
      <c r="CE67" s="62"/>
      <c r="CF67" s="62"/>
      <c r="CG67" s="62"/>
      <c r="CH67" s="62"/>
      <c r="CI67" s="62"/>
      <c r="CJ67" s="62"/>
      <c r="CK67" s="62"/>
      <c r="CL67" s="62"/>
      <c r="CM67" s="62"/>
      <c r="CN67" s="62"/>
      <c r="CO67" s="62"/>
      <c r="CP67" s="62"/>
      <c r="CQ67" s="62"/>
      <c r="CR67" s="62"/>
      <c r="CS67" s="62"/>
      <c r="CT67" s="62"/>
      <c r="CU67" s="62"/>
      <c r="CV67" s="62"/>
      <c r="CW67" s="62"/>
      <c r="CX67" s="62"/>
      <c r="CY67" s="62"/>
      <c r="CZ67" s="62"/>
      <c r="DA67" s="62"/>
      <c r="DB67" s="62"/>
      <c r="DC67" s="62"/>
      <c r="DD67" s="62"/>
      <c r="DE67" s="62"/>
      <c r="DF67" s="62"/>
      <c r="DG67" s="62"/>
      <c r="DH67" s="62"/>
      <c r="DI67" s="62"/>
      <c r="DJ67" s="62"/>
      <c r="DK67" s="62"/>
      <c r="DL67" s="62"/>
      <c r="DM67" s="62"/>
      <c r="DN67" s="62"/>
      <c r="DO67" s="62"/>
      <c r="DP67" s="62"/>
      <c r="DQ67" s="62"/>
      <c r="DR67" s="62"/>
      <c r="DS67" s="62"/>
      <c r="DT67" s="62"/>
      <c r="DU67" s="62"/>
      <c r="DV67" s="62"/>
      <c r="DW67" s="62"/>
      <c r="DX67" s="62"/>
      <c r="DY67" s="62"/>
      <c r="DZ67" s="62"/>
      <c r="EA67" s="62"/>
      <c r="EB67" s="62"/>
      <c r="EC67" s="62"/>
      <c r="ED67" s="62"/>
      <c r="EE67" s="62"/>
      <c r="EF67" s="62"/>
      <c r="EG67" s="62"/>
      <c r="EH67" s="62"/>
      <c r="EI67" s="62"/>
      <c r="EJ67" s="62"/>
      <c r="EK67" s="62"/>
      <c r="EL67" s="62"/>
      <c r="EM67" s="62"/>
      <c r="EN67" s="62"/>
      <c r="EO67" s="62"/>
      <c r="EP67" s="62"/>
      <c r="EQ67" s="62"/>
      <c r="ER67" s="62"/>
      <c r="ES67" s="62"/>
      <c r="ET67" s="62"/>
      <c r="EU67" s="62"/>
      <c r="EV67" s="62"/>
      <c r="EW67" s="62"/>
      <c r="EX67" s="62"/>
      <c r="EY67" s="62"/>
      <c r="EZ67" s="62"/>
      <c r="FA67" s="62"/>
      <c r="FB67" s="62"/>
      <c r="FC67" s="62"/>
      <c r="FD67" s="62"/>
      <c r="FE67" s="62"/>
      <c r="FF67" s="62"/>
      <c r="FG67" s="62"/>
      <c r="FH67" s="62"/>
      <c r="FI67" s="62"/>
      <c r="FJ67" s="62"/>
      <c r="FK67" s="62"/>
      <c r="FL67" s="62"/>
      <c r="FM67" s="62"/>
      <c r="FN67" s="62"/>
      <c r="FO67" s="62"/>
      <c r="FP67" s="62"/>
      <c r="FQ67" s="62"/>
      <c r="FR67" s="62"/>
      <c r="FS67" s="62"/>
      <c r="FT67" s="62"/>
      <c r="FU67" s="62"/>
      <c r="FV67" s="62"/>
      <c r="FW67" s="62"/>
      <c r="FX67" s="62"/>
      <c r="FY67" s="62"/>
      <c r="FZ67" s="62"/>
      <c r="GA67" s="62"/>
      <c r="GB67" s="62"/>
      <c r="GC67" s="62"/>
      <c r="GD67" s="62"/>
      <c r="GE67" s="62"/>
      <c r="GF67" s="62"/>
      <c r="GG67" s="62"/>
      <c r="GH67" s="62"/>
      <c r="GI67" s="62"/>
      <c r="GJ67" s="62"/>
      <c r="GK67" s="62"/>
      <c r="GL67" s="62"/>
      <c r="GM67" s="62"/>
      <c r="GN67" s="62"/>
      <c r="GO67" s="62"/>
      <c r="GP67" s="62"/>
      <c r="GQ67" s="62"/>
      <c r="GR67" s="62"/>
      <c r="GS67" s="62"/>
      <c r="GT67" s="62"/>
      <c r="GU67" s="62"/>
      <c r="GV67" s="62"/>
      <c r="GW67" s="62"/>
      <c r="GX67" s="62"/>
      <c r="GY67" s="62"/>
      <c r="GZ67" s="62"/>
      <c r="HA67" s="62"/>
      <c r="HB67" s="62"/>
      <c r="HC67" s="62"/>
      <c r="HD67" s="62"/>
      <c r="HE67" s="62"/>
      <c r="HF67" s="62"/>
      <c r="HG67" s="62"/>
      <c r="HH67" s="62"/>
      <c r="HI67" s="62"/>
      <c r="HJ67" s="62"/>
      <c r="HK67" s="62"/>
      <c r="HL67" s="62"/>
      <c r="HM67" s="62"/>
      <c r="HN67" s="62"/>
      <c r="HO67" s="62"/>
      <c r="HP67" s="62"/>
      <c r="HQ67" s="62"/>
      <c r="HR67" s="62"/>
      <c r="HS67" s="62"/>
      <c r="HT67" s="62"/>
      <c r="HU67" s="62"/>
      <c r="HV67" s="62"/>
      <c r="HW67" s="62"/>
      <c r="HX67" s="62"/>
      <c r="HY67" s="62"/>
      <c r="HZ67" s="62"/>
      <c r="IA67" s="62"/>
      <c r="IB67" s="62"/>
      <c r="IC67" s="62"/>
      <c r="ID67" s="62"/>
      <c r="IE67" s="62"/>
      <c r="IF67" s="62"/>
      <c r="IG67" s="62"/>
      <c r="IH67" s="62"/>
      <c r="II67" s="62"/>
      <c r="IJ67" s="62"/>
      <c r="IK67" s="62"/>
      <c r="IL67" s="62"/>
      <c r="IM67" s="62"/>
      <c r="IN67" s="62"/>
      <c r="IO67" s="62"/>
      <c r="IP67" s="62"/>
      <c r="IQ67" s="62"/>
      <c r="IR67" s="62"/>
      <c r="IS67" s="62"/>
    </row>
    <row r="68" spans="1:253" x14ac:dyDescent="0.3">
      <c r="B68" s="58" t="s">
        <v>71</v>
      </c>
      <c r="C68" s="59"/>
      <c r="D68" s="59"/>
      <c r="E68" s="89">
        <v>0</v>
      </c>
      <c r="F68" s="89">
        <v>0</v>
      </c>
      <c r="G68" s="290">
        <v>0</v>
      </c>
      <c r="H68" s="89">
        <v>0</v>
      </c>
      <c r="I68" s="291">
        <v>0</v>
      </c>
      <c r="J68" s="292"/>
      <c r="K68" s="292"/>
      <c r="L68" s="292"/>
      <c r="M68" s="64"/>
      <c r="N68" s="74"/>
      <c r="O68" s="74"/>
      <c r="P68" s="74"/>
      <c r="Q68" s="73"/>
      <c r="R68" s="74"/>
      <c r="S68" s="74"/>
      <c r="T68" s="74"/>
      <c r="U68" s="74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327"/>
      <c r="AH68" s="73"/>
      <c r="AI68" s="73"/>
      <c r="AJ68" s="327" t="str">
        <f>IFERROR((AJ57/AJ15)=0,"0")</f>
        <v>0</v>
      </c>
      <c r="AK68" s="63">
        <f>AK57/AK15</f>
        <v>725.14050976084798</v>
      </c>
      <c r="AL68" s="75">
        <f>(AJ57+AJ44)/(AJ72+AJ73)</f>
        <v>737.7611470693995</v>
      </c>
    </row>
    <row r="69" spans="1:253" x14ac:dyDescent="0.3">
      <c r="B69" s="58" t="s">
        <v>72</v>
      </c>
      <c r="C69" s="59"/>
      <c r="D69" s="59"/>
      <c r="E69" s="326">
        <v>739</v>
      </c>
      <c r="F69" s="292">
        <v>739</v>
      </c>
      <c r="G69" s="292">
        <v>736</v>
      </c>
      <c r="H69" s="292">
        <v>737</v>
      </c>
      <c r="I69" s="89">
        <v>738</v>
      </c>
      <c r="J69" s="89"/>
      <c r="K69" s="89"/>
      <c r="L69" s="89"/>
      <c r="M69" s="73"/>
      <c r="N69" s="73"/>
      <c r="O69" s="73"/>
      <c r="P69" s="73"/>
      <c r="Q69" s="73"/>
      <c r="R69" s="74"/>
      <c r="S69" s="74"/>
      <c r="T69" s="74"/>
      <c r="U69" s="74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73"/>
      <c r="AH69" s="73"/>
      <c r="AI69" s="73"/>
      <c r="AJ69" s="76">
        <f>AJ44/AJ21</f>
        <v>737.7611470693995</v>
      </c>
      <c r="AK69" s="76">
        <f>AK44/AK21</f>
        <v>737.27426827767738</v>
      </c>
      <c r="AL69" s="3"/>
    </row>
    <row r="70" spans="1:253" x14ac:dyDescent="0.3">
      <c r="AK70" s="63"/>
    </row>
    <row r="72" spans="1:253" x14ac:dyDescent="0.3">
      <c r="B72" s="81" t="s">
        <v>81</v>
      </c>
      <c r="C72" s="10"/>
      <c r="D72" s="10"/>
      <c r="E72" s="34">
        <v>0</v>
      </c>
      <c r="F72" s="34">
        <v>0</v>
      </c>
      <c r="G72" s="34">
        <v>0</v>
      </c>
      <c r="H72" s="34">
        <v>0</v>
      </c>
      <c r="I72" s="34">
        <v>0</v>
      </c>
      <c r="J72" s="34"/>
      <c r="K72" s="34"/>
      <c r="L72" s="34"/>
      <c r="M72" s="78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>
        <f>SUM(E72:AI72)</f>
        <v>0</v>
      </c>
      <c r="AK72" s="12" t="e">
        <f>AJ72/COUNTIF(E72:AI72,"&gt;0")</f>
        <v>#DIV/0!</v>
      </c>
      <c r="AL72" s="282"/>
    </row>
    <row r="73" spans="1:253" x14ac:dyDescent="0.3">
      <c r="B73" s="81" t="s">
        <v>82</v>
      </c>
      <c r="C73" s="10"/>
      <c r="D73" s="10"/>
      <c r="E73" s="34">
        <v>8399</v>
      </c>
      <c r="F73" s="34">
        <v>8401</v>
      </c>
      <c r="G73" s="34">
        <v>8199</v>
      </c>
      <c r="H73" s="34">
        <v>8373</v>
      </c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>
        <f>SUM(E73:AI73)</f>
        <v>33372</v>
      </c>
      <c r="AK73" s="12">
        <f>AJ73/COUNTIF(E73:AI73,"&gt;0")</f>
        <v>8343</v>
      </c>
      <c r="AL73" s="282"/>
    </row>
    <row r="74" spans="1:253" x14ac:dyDescent="0.3">
      <c r="R74"/>
      <c r="S74"/>
      <c r="T74"/>
      <c r="U74"/>
      <c r="AJ74" s="82"/>
      <c r="AK74" s="12"/>
    </row>
    <row r="75" spans="1:253" x14ac:dyDescent="0.3">
      <c r="B75" s="81" t="s">
        <v>83</v>
      </c>
      <c r="C75" s="10"/>
      <c r="D75" s="10" t="s">
        <v>7</v>
      </c>
      <c r="E75" s="42">
        <v>185</v>
      </c>
      <c r="F75" s="42">
        <v>215</v>
      </c>
      <c r="G75" s="42">
        <v>130</v>
      </c>
      <c r="H75" s="42">
        <v>144</v>
      </c>
      <c r="I75" s="42">
        <v>100</v>
      </c>
      <c r="J75" s="42"/>
      <c r="K75" s="42"/>
      <c r="L75" s="42"/>
      <c r="M75" s="42"/>
      <c r="N75" s="42"/>
      <c r="O75" s="42"/>
      <c r="P75" s="42"/>
      <c r="Q75" s="55"/>
      <c r="R75" s="55"/>
      <c r="S75" s="55"/>
      <c r="T75" s="55"/>
      <c r="U75" s="55"/>
      <c r="V75" s="55"/>
      <c r="W75" s="42"/>
      <c r="X75" s="23"/>
      <c r="Y75" s="23"/>
      <c r="Z75" s="23"/>
      <c r="AA75" s="55"/>
      <c r="AB75" s="45"/>
      <c r="AC75" s="45"/>
      <c r="AD75" s="45"/>
      <c r="AE75" s="45"/>
      <c r="AF75" s="45"/>
      <c r="AG75" s="45"/>
      <c r="AH75" s="22"/>
      <c r="AI75" s="22"/>
      <c r="AJ75" s="34">
        <f>SUM(E75:AI75)</f>
        <v>774</v>
      </c>
      <c r="AK75" s="83">
        <f>AJ75/COUNTIF(E75:AI75,"&gt;0")</f>
        <v>154.80000000000001</v>
      </c>
    </row>
    <row r="76" spans="1:253" x14ac:dyDescent="0.3">
      <c r="B76" s="81" t="s">
        <v>290</v>
      </c>
      <c r="C76" s="10"/>
      <c r="D76" s="10" t="s">
        <v>87</v>
      </c>
      <c r="E76" s="23">
        <v>2447</v>
      </c>
      <c r="F76" s="23">
        <v>2441</v>
      </c>
      <c r="G76" s="23">
        <v>2575</v>
      </c>
      <c r="H76" s="23">
        <v>2409</v>
      </c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2"/>
      <c r="AC76" s="22"/>
      <c r="AD76" s="23"/>
      <c r="AE76" s="23"/>
      <c r="AF76" s="23"/>
      <c r="AG76" s="23"/>
      <c r="AH76" s="23"/>
      <c r="AI76" s="23"/>
      <c r="AJ76" s="38">
        <f>IFERROR(SUMPRODUCT(E76:AH76,E75:AH75)/AJ75,0)</f>
        <v>2143.6124031007753</v>
      </c>
    </row>
    <row r="77" spans="1:253" x14ac:dyDescent="0.3">
      <c r="B77" s="81" t="s">
        <v>287</v>
      </c>
      <c r="C77" s="10"/>
      <c r="D77" s="10" t="s">
        <v>7</v>
      </c>
      <c r="E77" s="23"/>
      <c r="F77" s="23"/>
      <c r="G77" s="23">
        <v>70</v>
      </c>
      <c r="H77" s="23">
        <v>80</v>
      </c>
      <c r="I77" s="23">
        <v>90</v>
      </c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2"/>
      <c r="AC77" s="22"/>
      <c r="AD77" s="23"/>
      <c r="AE77" s="23"/>
      <c r="AF77" s="23"/>
      <c r="AG77" s="23"/>
      <c r="AH77" s="23"/>
      <c r="AI77" s="23"/>
      <c r="AJ77" s="34">
        <f>SUM(E77:AI77)</f>
        <v>240</v>
      </c>
      <c r="AK77" s="83">
        <f>AJ77/COUNTIF(E77:AI77,"&gt;0")</f>
        <v>80</v>
      </c>
    </row>
    <row r="78" spans="1:253" x14ac:dyDescent="0.3">
      <c r="B78" s="81" t="s">
        <v>290</v>
      </c>
      <c r="C78" s="10"/>
      <c r="D78" s="10" t="s">
        <v>87</v>
      </c>
      <c r="E78" s="23"/>
      <c r="F78" s="23"/>
      <c r="G78" s="23">
        <v>3211</v>
      </c>
      <c r="H78" s="23">
        <v>3205</v>
      </c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2"/>
      <c r="AC78" s="22"/>
      <c r="AD78" s="23"/>
      <c r="AE78" s="23"/>
      <c r="AF78" s="23"/>
      <c r="AG78" s="23"/>
      <c r="AH78" s="23"/>
      <c r="AI78" s="23"/>
      <c r="AJ78" s="38">
        <f>IFERROR(SUMPRODUCT(E78:AH78,E77:AH77)/AJ77,0)</f>
        <v>2004.875</v>
      </c>
    </row>
    <row r="79" spans="1:253" x14ac:dyDescent="0.3">
      <c r="E79" s="84"/>
      <c r="F79" s="84"/>
      <c r="G79" s="84"/>
      <c r="H79" s="84"/>
      <c r="I79" s="84"/>
      <c r="J79" s="84"/>
      <c r="K79" s="84"/>
      <c r="L79" s="84"/>
      <c r="M79" s="85"/>
      <c r="N79" s="84"/>
      <c r="O79" s="84"/>
      <c r="P79" s="84"/>
      <c r="Q79" s="84"/>
      <c r="R79" s="84"/>
      <c r="S79" s="84"/>
      <c r="T79" s="84"/>
      <c r="U79" s="86"/>
      <c r="V79" s="86"/>
      <c r="W79" s="86"/>
    </row>
    <row r="80" spans="1:253" x14ac:dyDescent="0.3">
      <c r="B80" s="81" t="s">
        <v>88</v>
      </c>
      <c r="C80" s="10"/>
      <c r="D80" s="10"/>
      <c r="E80" s="22">
        <v>2370</v>
      </c>
      <c r="F80" s="22">
        <v>0</v>
      </c>
      <c r="G80" s="22">
        <v>0</v>
      </c>
      <c r="H80" s="22">
        <v>2555</v>
      </c>
      <c r="I80" s="22">
        <v>2110</v>
      </c>
      <c r="J80" s="22"/>
      <c r="K80" s="22"/>
      <c r="L80" s="10"/>
      <c r="M80" s="10"/>
      <c r="N80" s="22"/>
      <c r="O80" s="23"/>
      <c r="P80" s="22"/>
      <c r="Q80" s="22"/>
      <c r="R80" s="22"/>
      <c r="S80" s="22"/>
      <c r="T80" s="22"/>
      <c r="U80" s="10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87"/>
      <c r="AI80" s="87"/>
      <c r="AJ80" s="88">
        <f t="shared" ref="AJ80:AJ87" si="49">SUM(E80:AI80)</f>
        <v>7035</v>
      </c>
      <c r="AK80" s="89">
        <v>28881</v>
      </c>
      <c r="AL80" s="24">
        <f>AJ80-AK80</f>
        <v>-21846</v>
      </c>
      <c r="AM80">
        <f>AL84/SUM(AL80:AL84)</f>
        <v>0.21850357895637845</v>
      </c>
      <c r="AN80" s="90">
        <f>(AJ80+AJ85)/$AJ$88</f>
        <v>0.48132546686332844</v>
      </c>
      <c r="AO80" s="90"/>
    </row>
    <row r="81" spans="2:41" x14ac:dyDescent="0.3">
      <c r="B81" s="81" t="s">
        <v>89</v>
      </c>
      <c r="C81" s="10"/>
      <c r="D81" s="10"/>
      <c r="E81" s="22">
        <v>1190</v>
      </c>
      <c r="F81" s="22">
        <v>2595</v>
      </c>
      <c r="G81" s="22">
        <v>1965</v>
      </c>
      <c r="H81" s="22">
        <v>1900</v>
      </c>
      <c r="I81" s="22">
        <v>1210</v>
      </c>
      <c r="J81" s="22"/>
      <c r="K81" s="91"/>
      <c r="L81" s="10"/>
      <c r="M81" s="10"/>
      <c r="N81" s="22"/>
      <c r="O81" s="22"/>
      <c r="P81" s="22"/>
      <c r="Q81" s="22"/>
      <c r="R81" s="22"/>
      <c r="S81" s="22"/>
      <c r="T81" s="22"/>
      <c r="U81" s="10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87"/>
      <c r="AI81" s="87"/>
      <c r="AJ81" s="88">
        <f t="shared" si="49"/>
        <v>8860</v>
      </c>
      <c r="AK81" s="89">
        <v>37685</v>
      </c>
      <c r="AL81" s="24">
        <f t="shared" ref="AL81:AL86" si="50">AJ81-AK81</f>
        <v>-28825</v>
      </c>
      <c r="AM81">
        <f>AL81/SUM(AL80:AL84)</f>
        <v>0.30841081497490985</v>
      </c>
      <c r="AN81" s="90">
        <f>(AJ81+AJ86)/$AJ$88</f>
        <v>0.27555561110972226</v>
      </c>
      <c r="AO81" s="90"/>
    </row>
    <row r="82" spans="2:41" x14ac:dyDescent="0.3">
      <c r="B82" s="81" t="s">
        <v>90</v>
      </c>
      <c r="C82" s="10"/>
      <c r="D82" s="10"/>
      <c r="E82" s="22">
        <v>1100</v>
      </c>
      <c r="F82" s="22">
        <v>0</v>
      </c>
      <c r="G82" s="22">
        <v>0</v>
      </c>
      <c r="H82" s="22">
        <v>0</v>
      </c>
      <c r="I82" s="22">
        <v>1045</v>
      </c>
      <c r="J82" s="22"/>
      <c r="K82" s="22"/>
      <c r="L82" s="10"/>
      <c r="M82" s="10"/>
      <c r="N82" s="22"/>
      <c r="O82" s="22"/>
      <c r="P82" s="22"/>
      <c r="Q82" s="22"/>
      <c r="R82" s="22"/>
      <c r="S82" s="22"/>
      <c r="T82" s="22"/>
      <c r="U82" s="10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87"/>
      <c r="AI82" s="87"/>
      <c r="AJ82" s="88">
        <f t="shared" si="49"/>
        <v>2145</v>
      </c>
      <c r="AK82" s="92">
        <v>10076</v>
      </c>
      <c r="AL82" s="24">
        <f t="shared" si="50"/>
        <v>-7931</v>
      </c>
      <c r="AM82">
        <f>AL82/SUM(AL80:AL84)</f>
        <v>8.4857109230390637E-2</v>
      </c>
      <c r="AN82" s="90">
        <f>(AJ82)/$AJ$88</f>
        <v>2.6811829704257394E-2</v>
      </c>
      <c r="AO82" s="90"/>
    </row>
    <row r="83" spans="2:41" x14ac:dyDescent="0.3">
      <c r="B83" s="81" t="s">
        <v>91</v>
      </c>
      <c r="C83" s="10"/>
      <c r="D83" s="10"/>
      <c r="E83" s="22">
        <v>0</v>
      </c>
      <c r="F83" s="22">
        <v>1945</v>
      </c>
      <c r="G83" s="22">
        <v>0</v>
      </c>
      <c r="H83" s="22">
        <v>0</v>
      </c>
      <c r="I83" s="22">
        <v>2220</v>
      </c>
      <c r="J83" s="22"/>
      <c r="K83" s="22"/>
      <c r="L83" s="10"/>
      <c r="M83" s="10"/>
      <c r="N83" s="22"/>
      <c r="O83" s="22"/>
      <c r="P83" s="22"/>
      <c r="Q83" s="22"/>
      <c r="R83" s="22"/>
      <c r="S83" s="22"/>
      <c r="T83" s="22"/>
      <c r="U83" s="10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88">
        <f t="shared" si="49"/>
        <v>4165</v>
      </c>
      <c r="AK83" s="92">
        <v>18604</v>
      </c>
      <c r="AL83" s="24">
        <f>AJ83-AK83</f>
        <v>-14439</v>
      </c>
      <c r="AM83">
        <f>AL87/SUM(AL83:AL87)</f>
        <v>0.13637183325003735</v>
      </c>
      <c r="AN83" s="90">
        <f>(AJ83)/$AJ$88</f>
        <v>5.2061198470038247E-2</v>
      </c>
      <c r="AO83" s="90"/>
    </row>
    <row r="84" spans="2:41" x14ac:dyDescent="0.3">
      <c r="B84" s="81" t="s">
        <v>92</v>
      </c>
      <c r="C84" s="10"/>
      <c r="D84" s="10"/>
      <c r="E84" s="22">
        <v>0</v>
      </c>
      <c r="F84" s="22">
        <v>0</v>
      </c>
      <c r="G84" s="22">
        <v>2315</v>
      </c>
      <c r="H84" s="22">
        <v>850</v>
      </c>
      <c r="I84" s="22">
        <v>1330</v>
      </c>
      <c r="J84" s="22"/>
      <c r="K84" s="22"/>
      <c r="L84" s="10"/>
      <c r="M84" s="10"/>
      <c r="N84" s="22"/>
      <c r="O84" s="22"/>
      <c r="P84" s="22"/>
      <c r="Q84" s="22"/>
      <c r="R84" s="22"/>
      <c r="S84" s="22"/>
      <c r="T84" s="22"/>
      <c r="U84" s="10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G84" s="22"/>
      <c r="AH84" s="87"/>
      <c r="AI84" s="87"/>
      <c r="AJ84" s="88">
        <f t="shared" si="49"/>
        <v>4495</v>
      </c>
      <c r="AK84" s="92">
        <v>24917</v>
      </c>
      <c r="AL84" s="24">
        <f t="shared" si="50"/>
        <v>-20422</v>
      </c>
      <c r="AM84">
        <f>AL88/SUM(AL84:AL88)</f>
        <v>0</v>
      </c>
      <c r="AN84" s="90">
        <f>(AJ84+AJ89)/$AJ$88</f>
        <v>5.6198595035124123E-2</v>
      </c>
      <c r="AO84" s="90"/>
    </row>
    <row r="85" spans="2:41" x14ac:dyDescent="0.3">
      <c r="B85" s="81" t="s">
        <v>93</v>
      </c>
      <c r="C85" s="10"/>
      <c r="D85" s="10"/>
      <c r="E85" s="22">
        <v>6735</v>
      </c>
      <c r="F85" s="22">
        <v>6899</v>
      </c>
      <c r="G85" s="22">
        <v>3915</v>
      </c>
      <c r="H85" s="22">
        <v>6745</v>
      </c>
      <c r="I85" s="22">
        <v>7178</v>
      </c>
      <c r="J85" s="22"/>
      <c r="K85" s="22"/>
      <c r="L85" s="22"/>
      <c r="M85" s="10"/>
      <c r="N85" s="22"/>
      <c r="O85" s="22"/>
      <c r="P85" s="22"/>
      <c r="Q85" s="22"/>
      <c r="R85" s="22"/>
      <c r="S85" s="22"/>
      <c r="T85" s="22"/>
      <c r="U85" s="10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87"/>
      <c r="AI85" s="87"/>
      <c r="AJ85" s="88">
        <f t="shared" si="49"/>
        <v>31472</v>
      </c>
      <c r="AK85" s="89">
        <v>124841</v>
      </c>
      <c r="AL85" s="24">
        <f t="shared" si="50"/>
        <v>-93369</v>
      </c>
      <c r="AN85" s="90">
        <f>(AJ84+AJ87)/$AJ$88</f>
        <v>0.16424589385265367</v>
      </c>
    </row>
    <row r="86" spans="2:41" x14ac:dyDescent="0.3">
      <c r="B86" s="81" t="s">
        <v>94</v>
      </c>
      <c r="C86" s="10"/>
      <c r="D86" s="10"/>
      <c r="E86" s="22">
        <v>895</v>
      </c>
      <c r="F86" s="22">
        <v>2285</v>
      </c>
      <c r="G86" s="22">
        <v>3630</v>
      </c>
      <c r="H86" s="22">
        <v>2360</v>
      </c>
      <c r="I86" s="22">
        <v>4015</v>
      </c>
      <c r="J86" s="22"/>
      <c r="K86" s="22"/>
      <c r="L86" s="22"/>
      <c r="M86" s="10"/>
      <c r="N86" s="22"/>
      <c r="O86" s="22"/>
      <c r="P86" s="22"/>
      <c r="Q86" s="22"/>
      <c r="R86" s="22"/>
      <c r="S86" s="22"/>
      <c r="T86" s="22"/>
      <c r="U86" s="10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87"/>
      <c r="AI86" s="87"/>
      <c r="AJ86" s="88">
        <f t="shared" si="49"/>
        <v>13185</v>
      </c>
      <c r="AK86" s="89">
        <v>52574</v>
      </c>
      <c r="AL86" s="24">
        <f t="shared" si="50"/>
        <v>-39389</v>
      </c>
      <c r="AN86" s="90">
        <f>(AL84+AL87)/AJ88</f>
        <v>-0.58611034724131894</v>
      </c>
    </row>
    <row r="87" spans="2:41" x14ac:dyDescent="0.3">
      <c r="B87" s="81" t="s">
        <v>95</v>
      </c>
      <c r="C87" s="10"/>
      <c r="D87" s="10"/>
      <c r="E87" s="22">
        <v>2585</v>
      </c>
      <c r="F87" s="22">
        <v>0</v>
      </c>
      <c r="G87" s="22">
        <v>2525</v>
      </c>
      <c r="H87" s="22">
        <v>1815</v>
      </c>
      <c r="I87" s="22">
        <v>1720</v>
      </c>
      <c r="J87" s="22"/>
      <c r="K87" s="22"/>
      <c r="L87" s="22"/>
      <c r="M87" s="10"/>
      <c r="N87" s="22"/>
      <c r="O87" s="22"/>
      <c r="P87" s="22"/>
      <c r="Q87" s="22"/>
      <c r="R87" s="22"/>
      <c r="S87" s="22"/>
      <c r="T87" s="22"/>
      <c r="U87" s="10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87"/>
      <c r="AI87" s="87"/>
      <c r="AJ87" s="88">
        <f t="shared" si="49"/>
        <v>8645</v>
      </c>
      <c r="AK87" s="89">
        <v>35113</v>
      </c>
      <c r="AL87" s="24">
        <f>AJ87-AK87</f>
        <v>-26468</v>
      </c>
      <c r="AN87" s="90"/>
      <c r="AO87" s="90"/>
    </row>
    <row r="88" spans="2:41" x14ac:dyDescent="0.3">
      <c r="B88" s="93" t="s">
        <v>96</v>
      </c>
      <c r="C88" s="94"/>
      <c r="D88" s="94"/>
      <c r="E88" s="95">
        <f>SUM(E80:E87)</f>
        <v>14875</v>
      </c>
      <c r="F88" s="95">
        <f t="shared" ref="F88:AI88" si="51">SUM(F80:F87)</f>
        <v>13724</v>
      </c>
      <c r="G88" s="95">
        <f t="shared" si="51"/>
        <v>14350</v>
      </c>
      <c r="H88" s="95">
        <f t="shared" si="51"/>
        <v>16225</v>
      </c>
      <c r="I88" s="95">
        <f t="shared" si="51"/>
        <v>20828</v>
      </c>
      <c r="J88" s="95">
        <f t="shared" si="51"/>
        <v>0</v>
      </c>
      <c r="K88" s="95">
        <f>SUM(K80:K87)</f>
        <v>0</v>
      </c>
      <c r="L88" s="95">
        <f t="shared" si="51"/>
        <v>0</v>
      </c>
      <c r="M88" s="95">
        <f>SUM(M80:M87)</f>
        <v>0</v>
      </c>
      <c r="N88" s="95">
        <f t="shared" si="51"/>
        <v>0</v>
      </c>
      <c r="O88" s="95">
        <f t="shared" si="51"/>
        <v>0</v>
      </c>
      <c r="P88" s="95">
        <f>SUM(P80:P87)</f>
        <v>0</v>
      </c>
      <c r="Q88" s="95">
        <f t="shared" si="51"/>
        <v>0</v>
      </c>
      <c r="R88" s="95">
        <f t="shared" si="51"/>
        <v>0</v>
      </c>
      <c r="S88" s="95">
        <f t="shared" si="51"/>
        <v>0</v>
      </c>
      <c r="T88" s="95">
        <f t="shared" si="51"/>
        <v>0</v>
      </c>
      <c r="U88" s="95">
        <f t="shared" si="51"/>
        <v>0</v>
      </c>
      <c r="V88" s="95">
        <f t="shared" si="51"/>
        <v>0</v>
      </c>
      <c r="W88" s="95">
        <f t="shared" si="51"/>
        <v>0</v>
      </c>
      <c r="X88" s="95">
        <f t="shared" si="51"/>
        <v>0</v>
      </c>
      <c r="Y88" s="95">
        <f t="shared" si="51"/>
        <v>0</v>
      </c>
      <c r="Z88" s="95">
        <f t="shared" si="51"/>
        <v>0</v>
      </c>
      <c r="AA88" s="95">
        <f t="shared" si="51"/>
        <v>0</v>
      </c>
      <c r="AB88" s="95">
        <f t="shared" si="51"/>
        <v>0</v>
      </c>
      <c r="AC88" s="95">
        <f t="shared" si="51"/>
        <v>0</v>
      </c>
      <c r="AD88" s="95">
        <f t="shared" si="51"/>
        <v>0</v>
      </c>
      <c r="AE88" s="95">
        <f t="shared" si="51"/>
        <v>0</v>
      </c>
      <c r="AF88" s="95">
        <f t="shared" si="51"/>
        <v>0</v>
      </c>
      <c r="AG88" s="95">
        <f t="shared" si="51"/>
        <v>0</v>
      </c>
      <c r="AH88" s="95">
        <f t="shared" si="51"/>
        <v>0</v>
      </c>
      <c r="AI88" s="95">
        <f t="shared" si="51"/>
        <v>0</v>
      </c>
      <c r="AJ88" s="88">
        <f>SUM(E88:AI88)</f>
        <v>80002</v>
      </c>
      <c r="AK88" s="96"/>
      <c r="AL88" s="24"/>
    </row>
    <row r="89" spans="2:41" x14ac:dyDescent="0.3">
      <c r="E89" s="22" t="b">
        <f>IF(SUM(E3,E7,E39,E83)=E88, TRUE, FALSE)</f>
        <v>1</v>
      </c>
      <c r="F89" s="22" t="b">
        <f>IF(SUM(F3,F7,F39,F83)=F88, TRUE, FALSE)</f>
        <v>1</v>
      </c>
      <c r="G89" s="22" t="b">
        <f>IF(SUM(G3,G7,G39,G83)=G88, TRUE, FALSE)</f>
        <v>1</v>
      </c>
      <c r="H89" s="22" t="b">
        <f>IF(SUM(H3,H7,H39,H83)=H88, TRUE, FALSE)</f>
        <v>1</v>
      </c>
      <c r="I89" s="22" t="b">
        <f t="shared" ref="I89:R89" si="52">IF((I3+I7+I39+I83)=I88,TRUE,FALSE)</f>
        <v>1</v>
      </c>
      <c r="J89" s="22" t="b">
        <f t="shared" si="52"/>
        <v>1</v>
      </c>
      <c r="K89" s="22" t="b">
        <f t="shared" si="52"/>
        <v>1</v>
      </c>
      <c r="L89" s="22" t="b">
        <f t="shared" si="52"/>
        <v>1</v>
      </c>
      <c r="M89" s="10" t="b">
        <f t="shared" si="52"/>
        <v>1</v>
      </c>
      <c r="N89" s="22" t="b">
        <f t="shared" si="52"/>
        <v>1</v>
      </c>
      <c r="O89" s="22" t="b">
        <f t="shared" si="52"/>
        <v>1</v>
      </c>
      <c r="P89" s="22" t="b">
        <f t="shared" si="52"/>
        <v>1</v>
      </c>
      <c r="Q89" s="22" t="b">
        <f t="shared" si="52"/>
        <v>1</v>
      </c>
      <c r="R89" s="22" t="b">
        <f t="shared" si="52"/>
        <v>1</v>
      </c>
      <c r="S89" s="22" t="b">
        <v>1</v>
      </c>
      <c r="T89" s="22" t="b">
        <v>1</v>
      </c>
      <c r="U89" s="22" t="b">
        <v>1</v>
      </c>
      <c r="V89" s="22" t="b">
        <f t="shared" ref="V89:AJ89" si="53">IF((V3+V7+V39+V83)=V88,TRUE,FALSE)</f>
        <v>1</v>
      </c>
      <c r="W89" s="22" t="b">
        <f t="shared" si="53"/>
        <v>1</v>
      </c>
      <c r="X89" s="22" t="b">
        <f t="shared" si="53"/>
        <v>1</v>
      </c>
      <c r="Y89" s="22" t="b">
        <f t="shared" si="53"/>
        <v>1</v>
      </c>
      <c r="Z89" s="22" t="b">
        <f t="shared" si="53"/>
        <v>1</v>
      </c>
      <c r="AA89" s="22" t="b">
        <f t="shared" si="53"/>
        <v>1</v>
      </c>
      <c r="AB89" s="22" t="b">
        <f t="shared" si="53"/>
        <v>1</v>
      </c>
      <c r="AC89" s="22" t="b">
        <f t="shared" si="53"/>
        <v>1</v>
      </c>
      <c r="AD89" s="22" t="b">
        <f t="shared" si="53"/>
        <v>1</v>
      </c>
      <c r="AE89" s="22" t="b">
        <f t="shared" si="53"/>
        <v>1</v>
      </c>
      <c r="AF89" s="22" t="b">
        <f t="shared" si="53"/>
        <v>1</v>
      </c>
      <c r="AG89" s="22" t="b">
        <f t="shared" si="53"/>
        <v>1</v>
      </c>
      <c r="AH89" s="22" t="b">
        <f t="shared" si="53"/>
        <v>1</v>
      </c>
      <c r="AI89" s="22" t="b">
        <f t="shared" si="53"/>
        <v>1</v>
      </c>
      <c r="AJ89" s="22" t="b">
        <f t="shared" si="53"/>
        <v>1</v>
      </c>
      <c r="AK89" s="24"/>
      <c r="AL89" s="24"/>
    </row>
    <row r="90" spans="2:41" ht="15.6" x14ac:dyDescent="0.3">
      <c r="B90" s="97" t="s">
        <v>97</v>
      </c>
      <c r="E90" s="22"/>
      <c r="F90" s="22"/>
      <c r="G90" s="22"/>
      <c r="H90" s="22"/>
      <c r="I90" s="22"/>
      <c r="J90" s="22"/>
      <c r="K90" s="22"/>
      <c r="L90" s="22"/>
      <c r="M90" s="10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87"/>
      <c r="AI90" s="87"/>
      <c r="AJ90" s="22"/>
      <c r="AK90" s="24"/>
      <c r="AL90" s="24"/>
    </row>
    <row r="91" spans="2:41" x14ac:dyDescent="0.3">
      <c r="B91" s="81" t="s">
        <v>88</v>
      </c>
      <c r="C91" s="10"/>
      <c r="D91" s="10"/>
      <c r="E91" s="22">
        <v>795</v>
      </c>
      <c r="F91" s="22">
        <v>0</v>
      </c>
      <c r="G91" s="22">
        <v>0</v>
      </c>
      <c r="H91" s="22">
        <v>829</v>
      </c>
      <c r="I91" s="22">
        <v>716</v>
      </c>
      <c r="J91" s="22"/>
      <c r="K91" s="22"/>
      <c r="L91" s="22"/>
      <c r="M91" s="10"/>
      <c r="N91" s="22"/>
      <c r="O91" s="23"/>
      <c r="P91" s="22"/>
      <c r="Q91" s="22"/>
      <c r="R91" s="22"/>
      <c r="S91" s="22"/>
      <c r="T91" s="22"/>
      <c r="U91" s="10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87"/>
      <c r="AI91" s="87"/>
      <c r="AJ91" s="88">
        <f t="shared" ref="AJ91:AJ98" si="54">SUM(E91:AI91)</f>
        <v>2340</v>
      </c>
      <c r="AK91" s="89">
        <v>9177</v>
      </c>
      <c r="AL91" s="24">
        <f t="shared" ref="AL91:AL98" si="55">AJ91-AK91</f>
        <v>-6837</v>
      </c>
      <c r="AN91" s="90"/>
      <c r="AO91" s="54"/>
    </row>
    <row r="92" spans="2:41" x14ac:dyDescent="0.3">
      <c r="B92" s="81" t="s">
        <v>89</v>
      </c>
      <c r="C92" s="10"/>
      <c r="D92" s="10"/>
      <c r="E92" s="22">
        <v>399</v>
      </c>
      <c r="F92" s="22">
        <v>883</v>
      </c>
      <c r="G92" s="22">
        <v>664</v>
      </c>
      <c r="H92" s="22">
        <v>617</v>
      </c>
      <c r="I92" s="22">
        <v>411</v>
      </c>
      <c r="J92" s="22"/>
      <c r="K92" s="22"/>
      <c r="L92" s="22"/>
      <c r="M92" s="10"/>
      <c r="N92" s="22"/>
      <c r="O92" s="22"/>
      <c r="P92" s="22"/>
      <c r="Q92" s="22"/>
      <c r="R92" s="22"/>
      <c r="S92" s="22"/>
      <c r="T92" s="22"/>
      <c r="U92" s="10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87"/>
      <c r="AI92" s="87"/>
      <c r="AJ92" s="88">
        <f t="shared" si="54"/>
        <v>2974</v>
      </c>
      <c r="AK92" s="89">
        <v>11918</v>
      </c>
      <c r="AL92" s="24">
        <f t="shared" si="55"/>
        <v>-8944</v>
      </c>
      <c r="AN92" s="90"/>
      <c r="AO92" s="54"/>
    </row>
    <row r="93" spans="2:41" x14ac:dyDescent="0.3">
      <c r="B93" s="81" t="s">
        <v>90</v>
      </c>
      <c r="C93" s="10"/>
      <c r="D93" s="10"/>
      <c r="E93" s="22">
        <v>309</v>
      </c>
      <c r="F93" s="22">
        <v>0</v>
      </c>
      <c r="G93" s="22">
        <v>0</v>
      </c>
      <c r="H93" s="22">
        <v>0</v>
      </c>
      <c r="I93" s="22">
        <v>294</v>
      </c>
      <c r="J93" s="22"/>
      <c r="K93" s="22"/>
      <c r="L93" s="22"/>
      <c r="M93" s="10"/>
      <c r="N93" s="22"/>
      <c r="O93" s="22"/>
      <c r="P93" s="22"/>
      <c r="Q93" s="22"/>
      <c r="R93" s="22"/>
      <c r="S93" s="22"/>
      <c r="T93" s="22"/>
      <c r="U93" s="10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87"/>
      <c r="AI93" s="87"/>
      <c r="AJ93" s="88">
        <f t="shared" si="54"/>
        <v>603</v>
      </c>
      <c r="AK93" s="89">
        <v>2768</v>
      </c>
      <c r="AL93" s="24">
        <f t="shared" si="55"/>
        <v>-2165</v>
      </c>
      <c r="AN93" s="90"/>
      <c r="AO93" s="54"/>
    </row>
    <row r="94" spans="2:41" x14ac:dyDescent="0.3">
      <c r="B94" s="81" t="s">
        <v>91</v>
      </c>
      <c r="C94" s="10"/>
      <c r="D94" s="10"/>
      <c r="E94" s="22">
        <v>0</v>
      </c>
      <c r="F94" s="22">
        <v>603</v>
      </c>
      <c r="G94" s="22">
        <v>0</v>
      </c>
      <c r="H94" s="22">
        <v>0</v>
      </c>
      <c r="I94" s="22">
        <v>668</v>
      </c>
      <c r="J94" s="22"/>
      <c r="K94" s="22"/>
      <c r="L94" s="22"/>
      <c r="M94" s="10"/>
      <c r="N94" s="22"/>
      <c r="O94" s="22"/>
      <c r="P94" s="22"/>
      <c r="Q94" s="22"/>
      <c r="R94" s="22"/>
      <c r="S94" s="22"/>
      <c r="T94" s="22"/>
      <c r="U94" s="10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88">
        <f t="shared" si="54"/>
        <v>1271</v>
      </c>
      <c r="AK94" s="89">
        <v>5582</v>
      </c>
      <c r="AL94" s="24">
        <f t="shared" si="55"/>
        <v>-4311</v>
      </c>
      <c r="AN94" s="90"/>
      <c r="AO94" s="54"/>
    </row>
    <row r="95" spans="2:41" x14ac:dyDescent="0.3">
      <c r="B95" s="81" t="s">
        <v>93</v>
      </c>
      <c r="C95" s="10"/>
      <c r="D95" s="10"/>
      <c r="E95" s="22">
        <v>2226</v>
      </c>
      <c r="F95" s="22">
        <v>2201</v>
      </c>
      <c r="G95" s="22">
        <v>1312</v>
      </c>
      <c r="H95" s="22">
        <v>2167</v>
      </c>
      <c r="I95" s="22">
        <v>2336</v>
      </c>
      <c r="J95" s="22"/>
      <c r="K95" s="22"/>
      <c r="L95" s="22"/>
      <c r="M95" s="10"/>
      <c r="N95" s="22"/>
      <c r="O95" s="22"/>
      <c r="P95" s="22"/>
      <c r="Q95" s="22"/>
      <c r="R95" s="22"/>
      <c r="S95" s="22"/>
      <c r="T95" s="22"/>
      <c r="U95" s="10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87"/>
      <c r="AI95" s="87"/>
      <c r="AJ95" s="88">
        <f t="shared" si="54"/>
        <v>10242</v>
      </c>
      <c r="AK95" s="89">
        <v>36964</v>
      </c>
      <c r="AL95" s="24">
        <f t="shared" si="55"/>
        <v>-26722</v>
      </c>
      <c r="AN95" s="90"/>
      <c r="AO95" s="54"/>
    </row>
    <row r="96" spans="2:41" x14ac:dyDescent="0.3">
      <c r="B96" s="81" t="s">
        <v>94</v>
      </c>
      <c r="C96" s="10"/>
      <c r="D96" s="10"/>
      <c r="E96" s="22">
        <v>296</v>
      </c>
      <c r="F96" s="22">
        <v>729</v>
      </c>
      <c r="G96" s="22">
        <v>1217</v>
      </c>
      <c r="H96" s="22">
        <v>758</v>
      </c>
      <c r="I96" s="22">
        <v>1307</v>
      </c>
      <c r="J96" s="22"/>
      <c r="K96" s="22"/>
      <c r="L96" s="22"/>
      <c r="M96" s="10"/>
      <c r="N96" s="22"/>
      <c r="O96" s="22"/>
      <c r="P96" s="22"/>
      <c r="Q96" s="22"/>
      <c r="R96" s="22"/>
      <c r="S96" s="22"/>
      <c r="T96" s="22"/>
      <c r="U96" s="10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87"/>
      <c r="AI96" s="87"/>
      <c r="AJ96" s="88">
        <f t="shared" si="54"/>
        <v>4307</v>
      </c>
      <c r="AK96" s="89">
        <v>16795</v>
      </c>
      <c r="AL96" s="24">
        <f t="shared" si="55"/>
        <v>-12488</v>
      </c>
      <c r="AN96" s="90"/>
      <c r="AO96" s="54"/>
    </row>
    <row r="97" spans="1:41" s="19" customFormat="1" x14ac:dyDescent="0.3">
      <c r="B97" s="44" t="s">
        <v>98</v>
      </c>
      <c r="C97" s="15"/>
      <c r="D97" s="15"/>
      <c r="E97" s="88">
        <v>0</v>
      </c>
      <c r="F97" s="88">
        <v>0</v>
      </c>
      <c r="G97" s="88">
        <v>0</v>
      </c>
      <c r="H97" s="88">
        <v>0</v>
      </c>
      <c r="I97" s="88">
        <v>0</v>
      </c>
      <c r="J97" s="88"/>
      <c r="K97" s="88"/>
      <c r="L97" s="88"/>
      <c r="M97" s="15"/>
      <c r="N97" s="88"/>
      <c r="O97" s="88"/>
      <c r="P97" s="88"/>
      <c r="Q97" s="88"/>
      <c r="R97" s="88"/>
      <c r="S97" s="88"/>
      <c r="T97" s="88"/>
      <c r="U97" s="15"/>
      <c r="V97" s="88"/>
      <c r="W97" s="88"/>
      <c r="X97" s="88"/>
      <c r="Y97" s="88"/>
      <c r="Z97" s="88"/>
      <c r="AA97" s="88"/>
      <c r="AB97" s="88"/>
      <c r="AC97" s="88"/>
      <c r="AD97" s="88"/>
      <c r="AE97" s="88"/>
      <c r="AF97" s="88"/>
      <c r="AG97" s="88"/>
      <c r="AH97" s="98"/>
      <c r="AI97" s="98"/>
      <c r="AJ97" s="88">
        <f t="shared" si="54"/>
        <v>0</v>
      </c>
      <c r="AK97" s="92">
        <v>910</v>
      </c>
      <c r="AL97" s="44">
        <f t="shared" si="55"/>
        <v>-910</v>
      </c>
      <c r="AN97" s="99"/>
      <c r="AO97" s="100"/>
    </row>
    <row r="98" spans="1:41" s="19" customFormat="1" x14ac:dyDescent="0.3">
      <c r="B98" s="44" t="s">
        <v>99</v>
      </c>
      <c r="C98" s="15"/>
      <c r="D98" s="15"/>
      <c r="E98" s="88">
        <v>127</v>
      </c>
      <c r="F98" s="88">
        <v>0</v>
      </c>
      <c r="G98" s="88">
        <v>124</v>
      </c>
      <c r="H98" s="88">
        <v>89</v>
      </c>
      <c r="I98" s="88">
        <v>84</v>
      </c>
      <c r="J98" s="88"/>
      <c r="K98" s="88"/>
      <c r="L98" s="88"/>
      <c r="M98" s="15"/>
      <c r="N98" s="88"/>
      <c r="O98" s="88"/>
      <c r="P98" s="88"/>
      <c r="Q98" s="88"/>
      <c r="R98" s="88"/>
      <c r="S98" s="88"/>
      <c r="T98" s="88"/>
      <c r="U98" s="15"/>
      <c r="V98" s="88"/>
      <c r="W98" s="88"/>
      <c r="X98" s="88"/>
      <c r="Y98" s="88"/>
      <c r="Z98" s="88"/>
      <c r="AA98" s="88"/>
      <c r="AB98" s="88"/>
      <c r="AC98" s="88"/>
      <c r="AD98" s="88"/>
      <c r="AE98" s="88"/>
      <c r="AF98" s="88"/>
      <c r="AG98" s="88"/>
      <c r="AH98" s="98"/>
      <c r="AI98" s="98"/>
      <c r="AJ98" s="88">
        <f t="shared" si="54"/>
        <v>424</v>
      </c>
      <c r="AK98" s="92">
        <v>1639</v>
      </c>
      <c r="AL98" s="44">
        <f t="shared" si="55"/>
        <v>-1215</v>
      </c>
      <c r="AN98" s="99"/>
      <c r="AO98" s="100"/>
    </row>
    <row r="99" spans="1:41" x14ac:dyDescent="0.3">
      <c r="E99" s="3" t="b">
        <f t="shared" ref="E99:AH99" si="56">IF((SUM(E91:E96)=(E124+E125+E126+E127)), TRUE, FALSE)</f>
        <v>1</v>
      </c>
      <c r="F99" s="3" t="b">
        <f t="shared" si="56"/>
        <v>1</v>
      </c>
      <c r="G99" s="3" t="b">
        <f>IF((SUM(G91:G96)=(G124+G125+G126+G127)), TRUE, FALSE)</f>
        <v>1</v>
      </c>
      <c r="H99" s="3" t="b">
        <f t="shared" si="56"/>
        <v>1</v>
      </c>
      <c r="I99" s="3" t="b">
        <f>IF((SUM(I91:I96)=(I124+I125+I126+I127)), TRUE, FALSE)</f>
        <v>1</v>
      </c>
      <c r="J99" s="3" t="b">
        <f t="shared" si="56"/>
        <v>1</v>
      </c>
      <c r="K99" s="3" t="b">
        <f t="shared" si="56"/>
        <v>1</v>
      </c>
      <c r="L99" s="3" t="b">
        <f t="shared" si="56"/>
        <v>1</v>
      </c>
      <c r="M99" s="3" t="b">
        <f t="shared" si="56"/>
        <v>1</v>
      </c>
      <c r="N99" s="3" t="b">
        <f t="shared" si="56"/>
        <v>1</v>
      </c>
      <c r="O99" s="3" t="b">
        <f>IF((SUM(O91:O96)=(O124+O125+O126+O127)), TRUE, FALSE)</f>
        <v>1</v>
      </c>
      <c r="P99" s="3" t="b">
        <f>IF((SUM(P91:P96)=(P124+P125+P126+P127)), TRUE, FALSE)</f>
        <v>1</v>
      </c>
      <c r="Q99" s="3" t="b">
        <f>IF((SUM(Q91:Q96)=(Q124+Q125+Q126+Q127)), TRUE, FALSE)</f>
        <v>1</v>
      </c>
      <c r="R99" s="3" t="b">
        <f>IF((SUM(R91:R96)=(R124+R125+R126+R127)), TRUE, FALSE)</f>
        <v>1</v>
      </c>
      <c r="S99" s="3" t="b">
        <f>IF((SUM(S91:S96)=(S124+S125+S126+S127)), TRUE, FALSE)</f>
        <v>1</v>
      </c>
      <c r="T99" s="3" t="b">
        <f t="shared" si="56"/>
        <v>1</v>
      </c>
      <c r="U99" s="3" t="b">
        <f t="shared" si="56"/>
        <v>1</v>
      </c>
      <c r="V99" s="3" t="b">
        <f t="shared" si="56"/>
        <v>1</v>
      </c>
      <c r="W99" s="3" t="b">
        <f t="shared" si="56"/>
        <v>1</v>
      </c>
      <c r="X99" s="3" t="b">
        <f t="shared" si="56"/>
        <v>1</v>
      </c>
      <c r="Y99" s="3" t="b">
        <f t="shared" si="56"/>
        <v>1</v>
      </c>
      <c r="Z99" s="3" t="b">
        <f t="shared" si="56"/>
        <v>1</v>
      </c>
      <c r="AA99" s="3" t="b">
        <f t="shared" si="56"/>
        <v>1</v>
      </c>
      <c r="AB99" s="3" t="b">
        <f t="shared" si="56"/>
        <v>1</v>
      </c>
      <c r="AC99" s="3" t="b">
        <f t="shared" si="56"/>
        <v>1</v>
      </c>
      <c r="AD99" s="3" t="b">
        <f t="shared" si="56"/>
        <v>1</v>
      </c>
      <c r="AE99" s="3" t="b">
        <f t="shared" si="56"/>
        <v>1</v>
      </c>
      <c r="AF99" s="3" t="b">
        <f>IF((SUM(AF91:AF96)=(AF124+AF125+AF126+AF127)), TRUE, FALSE)</f>
        <v>1</v>
      </c>
      <c r="AG99" s="3" t="b">
        <f t="shared" si="56"/>
        <v>1</v>
      </c>
      <c r="AH99" s="3" t="b">
        <f t="shared" si="56"/>
        <v>1</v>
      </c>
      <c r="AI99" s="3" t="b">
        <f t="shared" ref="AI99" si="57">IF((SUM(AI91:AI96)=(AI124+AI125+AI126+AI127)), TRUE, FALSE)</f>
        <v>1</v>
      </c>
      <c r="AJ99" s="3" t="b">
        <f>IF((SUM(AJ91:AJ96)=(AJ124+AJ125+AJ126+AJ127)), TRUE, FALSE)</f>
        <v>1</v>
      </c>
    </row>
    <row r="100" spans="1:41" x14ac:dyDescent="0.3">
      <c r="A100" s="101" t="s">
        <v>100</v>
      </c>
      <c r="B100" s="102"/>
      <c r="C100" s="103"/>
      <c r="D100" s="103"/>
      <c r="E100" s="104"/>
      <c r="F100" s="104"/>
      <c r="G100" s="262">
        <f>G98/G88</f>
        <v>8.6411149825783972E-3</v>
      </c>
      <c r="H100" s="104"/>
      <c r="I100" s="104"/>
      <c r="J100" s="104"/>
      <c r="K100" s="104"/>
      <c r="L100" s="104"/>
      <c r="M100" s="103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/>
      <c r="AD100" s="104"/>
      <c r="AE100" s="104"/>
      <c r="AF100" s="104"/>
      <c r="AG100" s="104"/>
      <c r="AH100" s="104"/>
      <c r="AI100" s="104"/>
      <c r="AJ100" s="104"/>
      <c r="AK100" s="102"/>
      <c r="AL100" s="102"/>
    </row>
    <row r="101" spans="1:41" x14ac:dyDescent="0.3">
      <c r="A101" s="24"/>
      <c r="B101" s="105" t="s">
        <v>101</v>
      </c>
      <c r="C101" s="106"/>
      <c r="D101" s="106"/>
      <c r="E101" s="107"/>
      <c r="F101" s="107"/>
      <c r="G101" s="107"/>
      <c r="H101" s="107"/>
      <c r="I101" s="107"/>
      <c r="J101" s="107"/>
      <c r="K101" s="107"/>
      <c r="L101" s="107"/>
      <c r="M101" s="107"/>
      <c r="N101" s="106"/>
      <c r="O101" s="106"/>
      <c r="P101" s="106"/>
      <c r="Q101" s="106"/>
      <c r="R101" s="106"/>
      <c r="S101" s="106"/>
      <c r="T101" s="106"/>
      <c r="U101" s="106"/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107"/>
      <c r="AF101" s="107"/>
      <c r="AG101" s="107"/>
      <c r="AH101" s="107"/>
      <c r="AI101" s="107"/>
      <c r="AJ101" s="108">
        <f>SUM(E101:AH101)</f>
        <v>0</v>
      </c>
      <c r="AK101" s="109"/>
      <c r="AL101" s="109"/>
    </row>
    <row r="102" spans="1:41" x14ac:dyDescent="0.3">
      <c r="A102" s="24"/>
      <c r="B102" s="81" t="s">
        <v>102</v>
      </c>
      <c r="C102" s="10"/>
      <c r="D102" s="10"/>
      <c r="E102" s="107">
        <v>0</v>
      </c>
      <c r="F102" s="107">
        <v>0</v>
      </c>
      <c r="G102" s="107">
        <v>0</v>
      </c>
      <c r="H102" s="107">
        <v>0</v>
      </c>
      <c r="I102" s="107">
        <v>0</v>
      </c>
      <c r="J102" s="107"/>
      <c r="K102" s="107"/>
      <c r="L102" s="22"/>
      <c r="M102" s="22"/>
      <c r="N102" s="22"/>
      <c r="O102" s="22"/>
      <c r="P102" s="22"/>
      <c r="Q102" s="22"/>
      <c r="R102" s="10"/>
      <c r="S102" s="10"/>
      <c r="T102" s="10"/>
      <c r="U102" s="10"/>
      <c r="V102" s="10"/>
      <c r="W102" s="10"/>
      <c r="X102" s="10"/>
      <c r="Y102" s="10"/>
      <c r="Z102" s="10"/>
      <c r="AA102" s="112"/>
      <c r="AB102" s="10"/>
      <c r="AC102" s="10"/>
      <c r="AD102" s="10"/>
      <c r="AE102" s="10"/>
      <c r="AF102" s="22"/>
      <c r="AG102" s="22"/>
      <c r="AH102" s="22"/>
      <c r="AI102" s="22"/>
      <c r="AJ102" s="38">
        <f>SUM(E102:AI102)</f>
        <v>0</v>
      </c>
      <c r="AK102" s="24" t="s">
        <v>103</v>
      </c>
      <c r="AL102" s="113">
        <f>AJ102/COUNTIF(E102:AI102,"&gt;-1")</f>
        <v>0</v>
      </c>
    </row>
    <row r="103" spans="1:41" x14ac:dyDescent="0.3">
      <c r="A103" s="24"/>
      <c r="B103" s="81" t="s">
        <v>104</v>
      </c>
      <c r="C103" s="10"/>
      <c r="D103" s="10"/>
      <c r="E103" s="22">
        <v>0</v>
      </c>
      <c r="F103" s="22">
        <v>0</v>
      </c>
      <c r="G103" s="22">
        <v>0</v>
      </c>
      <c r="H103" s="22">
        <v>0</v>
      </c>
      <c r="I103" s="22">
        <v>0</v>
      </c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115"/>
      <c r="AB103" s="22"/>
      <c r="AC103" s="22"/>
      <c r="AD103" s="22"/>
      <c r="AE103" s="22"/>
      <c r="AF103" s="22"/>
      <c r="AG103" s="22"/>
      <c r="AH103" s="22"/>
      <c r="AI103" s="22"/>
      <c r="AJ103" s="38" t="e">
        <f>SUMPRODUCT(E103:AH103,E102:AH102)/AJ102</f>
        <v>#DIV/0!</v>
      </c>
      <c r="AK103" s="24"/>
      <c r="AL103" s="24"/>
    </row>
    <row r="104" spans="1:41" x14ac:dyDescent="0.3">
      <c r="A104" s="116" t="s">
        <v>105</v>
      </c>
      <c r="R104"/>
      <c r="S104"/>
      <c r="T104"/>
      <c r="U104"/>
      <c r="AJ104" s="117"/>
      <c r="AN104" s="83"/>
      <c r="AO104" s="83"/>
    </row>
    <row r="105" spans="1:41" x14ac:dyDescent="0.3">
      <c r="A105" s="24"/>
      <c r="B105" s="81" t="s">
        <v>101</v>
      </c>
      <c r="C105" s="10"/>
      <c r="D105" s="10"/>
      <c r="E105" s="22"/>
      <c r="F105" s="22"/>
      <c r="G105" s="22"/>
      <c r="H105" s="22"/>
      <c r="I105" s="22"/>
      <c r="J105" s="22"/>
      <c r="K105" s="22"/>
      <c r="L105" s="22"/>
      <c r="M105" s="22"/>
      <c r="N105" s="10"/>
      <c r="O105" s="10"/>
      <c r="P105" s="10"/>
      <c r="Q105" s="10"/>
      <c r="R105" s="10"/>
      <c r="S105" s="10"/>
      <c r="T105" s="10"/>
      <c r="U105" s="10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38">
        <f>SUM(E105:AH105)</f>
        <v>0</v>
      </c>
      <c r="AK105" s="24"/>
      <c r="AL105" s="24"/>
    </row>
    <row r="106" spans="1:41" x14ac:dyDescent="0.3">
      <c r="A106" s="24"/>
      <c r="B106" s="81" t="s">
        <v>102</v>
      </c>
      <c r="C106" s="10"/>
      <c r="D106" s="10"/>
      <c r="E106" s="22">
        <v>0</v>
      </c>
      <c r="F106" s="22">
        <v>57.115000000000002</v>
      </c>
      <c r="G106" s="22">
        <v>0</v>
      </c>
      <c r="H106" s="22">
        <v>0</v>
      </c>
      <c r="I106" s="22"/>
      <c r="J106" s="22"/>
      <c r="K106" s="22"/>
      <c r="L106" s="22"/>
      <c r="M106" s="22"/>
      <c r="N106" s="22"/>
      <c r="O106" s="22"/>
      <c r="P106" s="22"/>
      <c r="Q106" s="111"/>
      <c r="R106" s="110"/>
      <c r="S106" s="110"/>
      <c r="T106" s="110"/>
      <c r="U106" s="110"/>
      <c r="V106" s="110"/>
      <c r="W106" s="110"/>
      <c r="X106" s="22"/>
      <c r="Y106" s="22"/>
      <c r="Z106" s="22"/>
      <c r="AA106" s="10"/>
      <c r="AB106" s="10"/>
      <c r="AC106" s="10"/>
      <c r="AD106" s="10"/>
      <c r="AE106" s="23"/>
      <c r="AF106" s="22"/>
      <c r="AG106" s="22"/>
      <c r="AH106" s="22"/>
      <c r="AI106" s="22"/>
      <c r="AJ106" s="23">
        <f>SUM(E106:AI106)</f>
        <v>57.115000000000002</v>
      </c>
      <c r="AK106" s="24" t="s">
        <v>103</v>
      </c>
      <c r="AL106" s="113">
        <f>AJ106/COUNTIF(E106:AI106,"&gt;-1")</f>
        <v>14.27875</v>
      </c>
    </row>
    <row r="107" spans="1:41" x14ac:dyDescent="0.3">
      <c r="A107" s="24"/>
      <c r="B107" s="81" t="s">
        <v>106</v>
      </c>
      <c r="C107" s="10"/>
      <c r="D107" s="10"/>
      <c r="E107" s="22">
        <v>0</v>
      </c>
      <c r="F107" s="22">
        <v>1245</v>
      </c>
      <c r="G107" s="22">
        <v>0</v>
      </c>
      <c r="H107" s="22">
        <v>0</v>
      </c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118"/>
      <c r="V107" s="118"/>
      <c r="W107" s="114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38">
        <f>IFERROR(SUMPRODUCT(E107:AH107,E106:AH106)/AJ106,0)</f>
        <v>1245</v>
      </c>
      <c r="AK107" s="24"/>
      <c r="AL107" s="24"/>
    </row>
    <row r="108" spans="1:41" x14ac:dyDescent="0.3">
      <c r="N108" s="119"/>
      <c r="O108"/>
      <c r="P108"/>
      <c r="Q108"/>
      <c r="R108"/>
      <c r="S108"/>
      <c r="T108"/>
      <c r="U108"/>
    </row>
    <row r="109" spans="1:41" x14ac:dyDescent="0.3">
      <c r="B109" s="120" t="s">
        <v>107</v>
      </c>
      <c r="N109" s="121"/>
      <c r="O109" s="86"/>
      <c r="P109"/>
      <c r="R109"/>
      <c r="S109"/>
      <c r="T109"/>
      <c r="U109"/>
    </row>
    <row r="110" spans="1:41" x14ac:dyDescent="0.3">
      <c r="B110" s="122" t="s">
        <v>108</v>
      </c>
      <c r="C110" s="2" t="s">
        <v>109</v>
      </c>
      <c r="E110" s="123">
        <v>0.18</v>
      </c>
      <c r="F110" s="123">
        <v>0.21</v>
      </c>
      <c r="G110" s="123">
        <v>0.16</v>
      </c>
      <c r="H110" s="123">
        <v>0.2</v>
      </c>
      <c r="I110" s="123">
        <v>0.17</v>
      </c>
      <c r="J110" s="123"/>
      <c r="K110" s="123"/>
      <c r="L110" s="123"/>
      <c r="M110" s="124"/>
      <c r="N110" s="123"/>
      <c r="O110" s="123"/>
      <c r="P110" s="123"/>
      <c r="Q110" s="123"/>
      <c r="R110" s="123"/>
      <c r="S110" s="123"/>
      <c r="T110" s="123"/>
      <c r="U110" s="123"/>
      <c r="V110" s="123"/>
      <c r="W110" s="123"/>
      <c r="X110" s="123"/>
      <c r="Y110" s="123"/>
      <c r="Z110" s="123"/>
      <c r="AA110" s="123"/>
      <c r="AB110" s="123"/>
      <c r="AC110" s="123"/>
      <c r="AD110" s="123"/>
      <c r="AE110" s="123"/>
      <c r="AF110" s="123"/>
      <c r="AG110" s="123"/>
      <c r="AH110" s="123"/>
      <c r="AI110" s="123"/>
      <c r="AJ110" s="123">
        <f>SUMPRODUCT(E110:AH110,$E$114:$AH$114)/SUM($E$114:$AH$114)</f>
        <v>0.18154859225089731</v>
      </c>
    </row>
    <row r="111" spans="1:41" x14ac:dyDescent="0.3">
      <c r="B111" s="122" t="s">
        <v>110</v>
      </c>
      <c r="C111" s="2" t="s">
        <v>109</v>
      </c>
      <c r="E111" s="123">
        <v>0</v>
      </c>
      <c r="F111" s="123">
        <v>0.17</v>
      </c>
      <c r="G111" s="123">
        <v>0.05</v>
      </c>
      <c r="H111" s="123">
        <v>0.22</v>
      </c>
      <c r="I111" s="123">
        <v>0.06</v>
      </c>
      <c r="J111" s="123"/>
      <c r="K111" s="123"/>
      <c r="L111" s="123"/>
      <c r="M111" s="124"/>
      <c r="N111" s="123"/>
      <c r="O111" s="123"/>
      <c r="P111" s="123"/>
      <c r="Q111" s="123"/>
      <c r="R111" s="123"/>
      <c r="S111" s="123"/>
      <c r="T111" s="123"/>
      <c r="U111" s="123"/>
      <c r="V111" s="123"/>
      <c r="W111" s="123"/>
      <c r="X111" s="123"/>
      <c r="Y111" s="123"/>
      <c r="Z111" s="123"/>
      <c r="AA111" s="123"/>
      <c r="AB111" s="123"/>
      <c r="AC111" s="123"/>
      <c r="AD111" s="123"/>
      <c r="AE111" s="123"/>
      <c r="AF111" s="123"/>
      <c r="AG111" s="123"/>
      <c r="AH111" s="123"/>
      <c r="AI111" s="123"/>
      <c r="AJ111" s="123">
        <f>SUMPRODUCT(E111:AH111,$E$114:$AH$114)/SUM($E$114:$AH$114)</f>
        <v>8.9481118556630684E-2</v>
      </c>
      <c r="AK111" t="s">
        <v>284</v>
      </c>
    </row>
    <row r="112" spans="1:41" x14ac:dyDescent="0.3">
      <c r="B112" s="122" t="s">
        <v>111</v>
      </c>
      <c r="C112" s="2" t="s">
        <v>109</v>
      </c>
      <c r="E112" s="123">
        <v>0</v>
      </c>
      <c r="F112" s="123">
        <v>0</v>
      </c>
      <c r="G112" s="123">
        <v>0</v>
      </c>
      <c r="H112" s="123">
        <v>0</v>
      </c>
      <c r="I112" s="123">
        <v>0</v>
      </c>
      <c r="J112" s="123"/>
      <c r="K112" s="123"/>
      <c r="L112" s="123"/>
      <c r="M112" s="124"/>
      <c r="N112" s="123"/>
      <c r="O112" s="123"/>
      <c r="P112" s="123"/>
      <c r="Q112" s="123"/>
      <c r="R112" s="123"/>
      <c r="S112" s="123"/>
      <c r="T112" s="123"/>
      <c r="U112" s="123"/>
      <c r="V112" s="123"/>
      <c r="W112" s="123"/>
      <c r="X112" s="123"/>
      <c r="Y112" s="123"/>
      <c r="Z112" s="123"/>
      <c r="AA112" s="123"/>
      <c r="AB112" s="123"/>
      <c r="AC112" s="123"/>
      <c r="AD112" s="123"/>
      <c r="AE112" s="123"/>
      <c r="AF112" s="123"/>
      <c r="AG112" s="123"/>
      <c r="AH112" s="123"/>
      <c r="AI112" s="123"/>
      <c r="AJ112" s="123">
        <f>SUMPRODUCT(E112:AH112,$E$114:$AH$114)/SUM($E$114:$AH$114)</f>
        <v>0</v>
      </c>
    </row>
    <row r="113" spans="1:37" x14ac:dyDescent="0.3">
      <c r="B113" s="122" t="s">
        <v>112</v>
      </c>
      <c r="C113" s="2" t="s">
        <v>109</v>
      </c>
      <c r="E113" s="34">
        <v>12828</v>
      </c>
      <c r="F113" s="34">
        <v>11830</v>
      </c>
      <c r="G113" s="34">
        <v>17448</v>
      </c>
      <c r="H113" s="34">
        <v>9396</v>
      </c>
      <c r="I113" s="34">
        <v>14936</v>
      </c>
      <c r="J113" s="34"/>
      <c r="K113" s="34"/>
      <c r="L113" s="34"/>
      <c r="M113" s="78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22"/>
    </row>
    <row r="114" spans="1:37" x14ac:dyDescent="0.3">
      <c r="B114" s="122" t="s">
        <v>113</v>
      </c>
      <c r="C114" s="2" t="s">
        <v>109</v>
      </c>
      <c r="E114" s="34">
        <v>13231</v>
      </c>
      <c r="F114" s="34">
        <v>16129</v>
      </c>
      <c r="G114" s="34">
        <v>18768</v>
      </c>
      <c r="H114" s="34">
        <v>8547</v>
      </c>
      <c r="I114" s="34">
        <v>16598</v>
      </c>
      <c r="J114" s="34"/>
      <c r="K114" s="34"/>
      <c r="L114" s="34"/>
      <c r="M114" s="78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22"/>
    </row>
    <row r="115" spans="1:37" x14ac:dyDescent="0.3">
      <c r="B115" s="125"/>
      <c r="E115" s="82"/>
      <c r="F115" s="82"/>
      <c r="G115" s="82"/>
      <c r="H115" s="82"/>
      <c r="I115" s="82"/>
      <c r="J115" s="82"/>
      <c r="K115" s="82"/>
      <c r="L115" s="82"/>
      <c r="M115" s="126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  <c r="AA115" s="82"/>
      <c r="AB115" s="82"/>
      <c r="AC115" s="82"/>
      <c r="AD115" s="82"/>
      <c r="AE115" s="82"/>
      <c r="AF115" s="82"/>
      <c r="AG115" s="82"/>
      <c r="AH115" s="82"/>
      <c r="AI115" s="82"/>
    </row>
    <row r="116" spans="1:37" x14ac:dyDescent="0.3">
      <c r="B116" s="122" t="s">
        <v>114</v>
      </c>
      <c r="C116" s="10" t="s">
        <v>115</v>
      </c>
      <c r="E116" s="34"/>
      <c r="F116" s="34"/>
      <c r="G116" s="34"/>
      <c r="H116" s="34"/>
      <c r="I116" s="34"/>
      <c r="J116" s="34"/>
      <c r="K116" s="34"/>
      <c r="L116" s="34"/>
      <c r="M116" s="78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22"/>
    </row>
    <row r="117" spans="1:37" x14ac:dyDescent="0.3">
      <c r="B117" s="122" t="s">
        <v>116</v>
      </c>
      <c r="C117" s="10" t="s">
        <v>115</v>
      </c>
      <c r="E117" s="34"/>
      <c r="F117" s="34"/>
      <c r="G117" s="34"/>
      <c r="H117" s="34"/>
      <c r="I117" s="34"/>
      <c r="J117" s="34"/>
      <c r="K117" s="34"/>
      <c r="L117" s="34"/>
      <c r="M117" s="78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22"/>
    </row>
    <row r="119" spans="1:37" x14ac:dyDescent="0.3">
      <c r="A119" s="346" t="s">
        <v>117</v>
      </c>
      <c r="B119" s="127" t="s">
        <v>39</v>
      </c>
      <c r="C119" s="10" t="s">
        <v>36</v>
      </c>
      <c r="E119" s="22">
        <f>232-E120</f>
        <v>200</v>
      </c>
      <c r="F119" s="22">
        <f>0</f>
        <v>0</v>
      </c>
      <c r="G119" s="22">
        <f>0</f>
        <v>0</v>
      </c>
      <c r="H119" s="22">
        <v>0</v>
      </c>
      <c r="I119" s="22">
        <v>0</v>
      </c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>
        <f>SUM(E119:AI119)</f>
        <v>200</v>
      </c>
      <c r="AK119" s="96"/>
    </row>
    <row r="120" spans="1:37" x14ac:dyDescent="0.3">
      <c r="A120" s="346"/>
      <c r="B120" s="127" t="s">
        <v>40</v>
      </c>
      <c r="C120" s="10" t="s">
        <v>36</v>
      </c>
      <c r="E120" s="22">
        <v>32</v>
      </c>
      <c r="F120" s="22">
        <v>0</v>
      </c>
      <c r="G120" s="22">
        <v>0</v>
      </c>
      <c r="H120" s="22">
        <v>0</v>
      </c>
      <c r="I120" s="22">
        <v>0</v>
      </c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>
        <f>SUM(E120:AI120)</f>
        <v>32</v>
      </c>
      <c r="AK120" s="96"/>
    </row>
    <row r="121" spans="1:37" x14ac:dyDescent="0.3">
      <c r="A121" s="346" t="s">
        <v>118</v>
      </c>
      <c r="B121" s="127" t="s">
        <v>39</v>
      </c>
      <c r="C121" s="10" t="s">
        <v>36</v>
      </c>
      <c r="E121" s="22">
        <f>346-E122</f>
        <v>155</v>
      </c>
      <c r="F121" s="22">
        <f>418-F122</f>
        <v>188</v>
      </c>
      <c r="G121" s="22">
        <f>344-G122</f>
        <v>155</v>
      </c>
      <c r="H121" s="22">
        <f>414-H122</f>
        <v>186</v>
      </c>
      <c r="I121" s="22">
        <f>509-I122</f>
        <v>229</v>
      </c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>
        <f>SUM(E121:AI121)</f>
        <v>913</v>
      </c>
    </row>
    <row r="122" spans="1:37" x14ac:dyDescent="0.3">
      <c r="A122" s="346"/>
      <c r="B122" s="127" t="s">
        <v>40</v>
      </c>
      <c r="C122" s="10" t="s">
        <v>36</v>
      </c>
      <c r="E122" s="22">
        <v>191</v>
      </c>
      <c r="F122" s="22">
        <v>230</v>
      </c>
      <c r="G122" s="22">
        <v>189</v>
      </c>
      <c r="H122" s="22">
        <v>228</v>
      </c>
      <c r="I122" s="22">
        <v>280</v>
      </c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>
        <f>SUM(E122:AI122)</f>
        <v>1118</v>
      </c>
      <c r="AK122" s="283"/>
    </row>
    <row r="124" spans="1:37" x14ac:dyDescent="0.3">
      <c r="A124" s="347" t="s">
        <v>117</v>
      </c>
      <c r="B124" s="127" t="s">
        <v>119</v>
      </c>
      <c r="C124" s="10" t="s">
        <v>36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AJ124" s="22">
        <f>SUM(E124:AI124)</f>
        <v>0</v>
      </c>
      <c r="AK124" s="3"/>
    </row>
    <row r="125" spans="1:37" x14ac:dyDescent="0.3">
      <c r="A125" s="347"/>
      <c r="B125" s="127" t="s">
        <v>120</v>
      </c>
      <c r="C125" s="10" t="s">
        <v>36</v>
      </c>
      <c r="E125" s="3">
        <f t="shared" ref="E125:AI125" si="58">E91+E92+E93+E94-E124</f>
        <v>1503</v>
      </c>
      <c r="F125" s="3">
        <f t="shared" si="58"/>
        <v>1486</v>
      </c>
      <c r="G125" s="3">
        <f t="shared" si="58"/>
        <v>664</v>
      </c>
      <c r="H125" s="3">
        <f t="shared" si="58"/>
        <v>1446</v>
      </c>
      <c r="I125" s="3">
        <f t="shared" si="58"/>
        <v>2089</v>
      </c>
      <c r="J125" s="3">
        <f t="shared" si="58"/>
        <v>0</v>
      </c>
      <c r="K125" s="3">
        <f t="shared" si="58"/>
        <v>0</v>
      </c>
      <c r="L125" s="3">
        <f t="shared" si="58"/>
        <v>0</v>
      </c>
      <c r="M125" s="3">
        <f t="shared" si="58"/>
        <v>0</v>
      </c>
      <c r="N125" s="3">
        <f t="shared" si="58"/>
        <v>0</v>
      </c>
      <c r="O125" s="3">
        <f t="shared" si="58"/>
        <v>0</v>
      </c>
      <c r="P125" s="3">
        <f t="shared" si="58"/>
        <v>0</v>
      </c>
      <c r="Q125" s="3">
        <f t="shared" si="58"/>
        <v>0</v>
      </c>
      <c r="R125" s="3">
        <f t="shared" si="58"/>
        <v>0</v>
      </c>
      <c r="S125" s="3">
        <f t="shared" si="58"/>
        <v>0</v>
      </c>
      <c r="T125" s="3">
        <f t="shared" si="58"/>
        <v>0</v>
      </c>
      <c r="U125" s="3">
        <f t="shared" si="58"/>
        <v>0</v>
      </c>
      <c r="V125" s="3">
        <f t="shared" si="58"/>
        <v>0</v>
      </c>
      <c r="W125" s="3">
        <f t="shared" si="58"/>
        <v>0</v>
      </c>
      <c r="X125" s="3">
        <f t="shared" si="58"/>
        <v>0</v>
      </c>
      <c r="Y125" s="3">
        <f t="shared" si="58"/>
        <v>0</v>
      </c>
      <c r="Z125" s="3">
        <f t="shared" si="58"/>
        <v>0</v>
      </c>
      <c r="AA125" s="3">
        <f t="shared" si="58"/>
        <v>0</v>
      </c>
      <c r="AB125" s="3">
        <f t="shared" si="58"/>
        <v>0</v>
      </c>
      <c r="AC125" s="3">
        <f t="shared" si="58"/>
        <v>0</v>
      </c>
      <c r="AD125" s="3">
        <f t="shared" si="58"/>
        <v>0</v>
      </c>
      <c r="AE125" s="3">
        <f t="shared" si="58"/>
        <v>0</v>
      </c>
      <c r="AF125" s="3">
        <f t="shared" si="58"/>
        <v>0</v>
      </c>
      <c r="AG125" s="3">
        <f t="shared" si="58"/>
        <v>0</v>
      </c>
      <c r="AH125" s="3">
        <f t="shared" si="58"/>
        <v>0</v>
      </c>
      <c r="AI125" s="3">
        <f t="shared" si="58"/>
        <v>0</v>
      </c>
      <c r="AJ125" s="22">
        <f>SUM(E125:AI125)</f>
        <v>7188</v>
      </c>
      <c r="AK125" s="3">
        <f>9177+11918+2768+5582</f>
        <v>29445</v>
      </c>
    </row>
    <row r="126" spans="1:37" x14ac:dyDescent="0.3">
      <c r="A126" s="347" t="s">
        <v>118</v>
      </c>
      <c r="B126" s="127" t="s">
        <v>119</v>
      </c>
      <c r="C126" s="10" t="s">
        <v>36</v>
      </c>
      <c r="E126" s="3">
        <v>0</v>
      </c>
      <c r="F126" s="3">
        <v>0</v>
      </c>
      <c r="G126" s="3">
        <v>0</v>
      </c>
      <c r="H126" s="3">
        <v>0</v>
      </c>
      <c r="AJ126" s="22">
        <f>SUM(E126:AI126)</f>
        <v>0</v>
      </c>
      <c r="AK126" s="3"/>
    </row>
    <row r="127" spans="1:37" x14ac:dyDescent="0.3">
      <c r="A127" s="347"/>
      <c r="B127" s="127" t="s">
        <v>120</v>
      </c>
      <c r="C127" s="10" t="s">
        <v>36</v>
      </c>
      <c r="E127" s="3">
        <f t="shared" ref="E127:AH127" si="59">E95+E96-E126</f>
        <v>2522</v>
      </c>
      <c r="F127" s="3">
        <f t="shared" si="59"/>
        <v>2930</v>
      </c>
      <c r="G127" s="3">
        <f t="shared" si="59"/>
        <v>2529</v>
      </c>
      <c r="H127" s="3">
        <f t="shared" si="59"/>
        <v>2925</v>
      </c>
      <c r="I127" s="3">
        <f t="shared" si="59"/>
        <v>3643</v>
      </c>
      <c r="J127" s="3">
        <f t="shared" si="59"/>
        <v>0</v>
      </c>
      <c r="K127" s="3">
        <f>K95+K96-K126</f>
        <v>0</v>
      </c>
      <c r="L127" s="3">
        <f>L95+L96-L126</f>
        <v>0</v>
      </c>
      <c r="M127" s="3">
        <f t="shared" si="59"/>
        <v>0</v>
      </c>
      <c r="N127" s="3">
        <f t="shared" si="59"/>
        <v>0</v>
      </c>
      <c r="O127" s="3">
        <f t="shared" si="59"/>
        <v>0</v>
      </c>
      <c r="P127" s="3">
        <f t="shared" si="59"/>
        <v>0</v>
      </c>
      <c r="Q127" s="3">
        <f t="shared" si="59"/>
        <v>0</v>
      </c>
      <c r="R127" s="3">
        <f t="shared" si="59"/>
        <v>0</v>
      </c>
      <c r="S127" s="3">
        <f t="shared" si="59"/>
        <v>0</v>
      </c>
      <c r="T127" s="3">
        <f t="shared" si="59"/>
        <v>0</v>
      </c>
      <c r="U127" s="3">
        <f t="shared" si="59"/>
        <v>0</v>
      </c>
      <c r="V127" s="3">
        <f t="shared" si="59"/>
        <v>0</v>
      </c>
      <c r="W127" s="3">
        <f t="shared" si="59"/>
        <v>0</v>
      </c>
      <c r="X127" s="3">
        <f t="shared" si="59"/>
        <v>0</v>
      </c>
      <c r="Y127" s="3">
        <f t="shared" si="59"/>
        <v>0</v>
      </c>
      <c r="Z127" s="3">
        <f t="shared" si="59"/>
        <v>0</v>
      </c>
      <c r="AA127" s="3">
        <f t="shared" si="59"/>
        <v>0</v>
      </c>
      <c r="AB127" s="3">
        <f t="shared" si="59"/>
        <v>0</v>
      </c>
      <c r="AC127" s="3">
        <f t="shared" si="59"/>
        <v>0</v>
      </c>
      <c r="AD127" s="3">
        <f t="shared" si="59"/>
        <v>0</v>
      </c>
      <c r="AE127" s="3">
        <f t="shared" si="59"/>
        <v>0</v>
      </c>
      <c r="AF127" s="3">
        <f t="shared" si="59"/>
        <v>0</v>
      </c>
      <c r="AG127" s="3">
        <f t="shared" si="59"/>
        <v>0</v>
      </c>
      <c r="AH127" s="3">
        <f t="shared" si="59"/>
        <v>0</v>
      </c>
      <c r="AI127" s="3">
        <f>AI95+AI96-AI126</f>
        <v>0</v>
      </c>
      <c r="AJ127" s="22">
        <f>SUM(E127:AI127)</f>
        <v>14549</v>
      </c>
      <c r="AK127" s="3">
        <f>39694+16795-AJ126</f>
        <v>56489</v>
      </c>
    </row>
    <row r="128" spans="1:37" x14ac:dyDescent="0.3">
      <c r="A128" s="2"/>
      <c r="B128" s="128"/>
      <c r="C128" s="129"/>
      <c r="P128" s="130"/>
      <c r="Q128" s="130"/>
      <c r="R128" s="130"/>
      <c r="S128" s="130"/>
      <c r="T128" s="130"/>
      <c r="U128" s="130"/>
      <c r="V128" s="130"/>
    </row>
    <row r="129" spans="1:37" x14ac:dyDescent="0.3">
      <c r="B129" s="128" t="s">
        <v>121</v>
      </c>
      <c r="P129" s="130"/>
      <c r="Q129" s="130"/>
      <c r="R129" s="130"/>
      <c r="S129" s="130"/>
      <c r="T129" s="130"/>
      <c r="U129" s="130"/>
      <c r="V129" s="130"/>
    </row>
    <row r="130" spans="1:37" x14ac:dyDescent="0.3">
      <c r="A130" s="24"/>
      <c r="B130" s="345" t="s">
        <v>122</v>
      </c>
      <c r="C130" s="10" t="s">
        <v>117</v>
      </c>
      <c r="D130" s="10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>
        <f>SUM(E130:AH130)</f>
        <v>0</v>
      </c>
    </row>
    <row r="131" spans="1:37" x14ac:dyDescent="0.3">
      <c r="A131" s="24"/>
      <c r="B131" s="345"/>
      <c r="C131" s="10" t="s">
        <v>118</v>
      </c>
      <c r="D131" s="10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>
        <f>SUM(E131:AH131)</f>
        <v>0</v>
      </c>
    </row>
    <row r="132" spans="1:37" x14ac:dyDescent="0.3">
      <c r="A132" s="24"/>
      <c r="B132" s="345" t="s">
        <v>123</v>
      </c>
      <c r="C132" s="10" t="s">
        <v>117</v>
      </c>
      <c r="D132" s="10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>
        <f>SUM(E132:AH132)</f>
        <v>0</v>
      </c>
    </row>
    <row r="133" spans="1:37" x14ac:dyDescent="0.3">
      <c r="A133" s="24"/>
      <c r="B133" s="345"/>
      <c r="C133" s="10" t="s">
        <v>118</v>
      </c>
      <c r="D133" s="10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>
        <f>SUM(E133:AH133)</f>
        <v>0</v>
      </c>
    </row>
    <row r="134" spans="1:37" x14ac:dyDescent="0.3">
      <c r="B134" s="275"/>
      <c r="M134" s="3"/>
    </row>
    <row r="135" spans="1:37" x14ac:dyDescent="0.3">
      <c r="B135" s="44" t="s">
        <v>256</v>
      </c>
      <c r="E135" s="84">
        <f t="shared" ref="E135:AJ135" si="60">E44+E57</f>
        <v>6206861</v>
      </c>
      <c r="F135" s="84">
        <f t="shared" si="60"/>
        <v>6208339</v>
      </c>
      <c r="G135" s="84">
        <f t="shared" si="60"/>
        <v>6034464</v>
      </c>
      <c r="H135" s="84">
        <f t="shared" si="60"/>
        <v>6170901</v>
      </c>
      <c r="I135" s="84">
        <f t="shared" si="60"/>
        <v>0</v>
      </c>
      <c r="J135" s="84">
        <f t="shared" si="60"/>
        <v>0</v>
      </c>
      <c r="K135" s="84">
        <f t="shared" si="60"/>
        <v>0</v>
      </c>
      <c r="L135" s="84">
        <f t="shared" si="60"/>
        <v>0</v>
      </c>
      <c r="M135" s="84">
        <f t="shared" si="60"/>
        <v>0</v>
      </c>
      <c r="N135" s="84">
        <f t="shared" si="60"/>
        <v>0</v>
      </c>
      <c r="O135" s="84">
        <f t="shared" si="60"/>
        <v>0</v>
      </c>
      <c r="P135" s="84">
        <f t="shared" si="60"/>
        <v>0</v>
      </c>
      <c r="Q135" s="84">
        <f t="shared" si="60"/>
        <v>0</v>
      </c>
      <c r="R135" s="84">
        <f t="shared" si="60"/>
        <v>0</v>
      </c>
      <c r="S135" s="84">
        <f t="shared" si="60"/>
        <v>0</v>
      </c>
      <c r="T135" s="84">
        <f t="shared" si="60"/>
        <v>0</v>
      </c>
      <c r="U135" s="84">
        <f t="shared" si="60"/>
        <v>0</v>
      </c>
      <c r="V135" s="84">
        <f t="shared" si="60"/>
        <v>0</v>
      </c>
      <c r="W135" s="84">
        <f t="shared" si="60"/>
        <v>0</v>
      </c>
      <c r="X135" s="84">
        <f t="shared" si="60"/>
        <v>0</v>
      </c>
      <c r="Y135" s="84">
        <f t="shared" si="60"/>
        <v>0</v>
      </c>
      <c r="Z135" s="84">
        <f t="shared" si="60"/>
        <v>0</v>
      </c>
      <c r="AA135" s="84">
        <f t="shared" si="60"/>
        <v>0</v>
      </c>
      <c r="AB135" s="84">
        <f t="shared" si="60"/>
        <v>0</v>
      </c>
      <c r="AC135" s="84">
        <f t="shared" si="60"/>
        <v>0</v>
      </c>
      <c r="AD135" s="84">
        <f t="shared" si="60"/>
        <v>0</v>
      </c>
      <c r="AE135" s="84">
        <f t="shared" si="60"/>
        <v>0</v>
      </c>
      <c r="AF135" s="84">
        <f t="shared" si="60"/>
        <v>0</v>
      </c>
      <c r="AG135" s="84">
        <f t="shared" si="60"/>
        <v>0</v>
      </c>
      <c r="AH135" s="84">
        <f t="shared" si="60"/>
        <v>0</v>
      </c>
      <c r="AI135" s="84">
        <f t="shared" si="60"/>
        <v>0</v>
      </c>
      <c r="AJ135" s="84">
        <f t="shared" si="60"/>
        <v>24620565</v>
      </c>
      <c r="AK135" s="117">
        <f>AJ135/(AJ72+AJ73)</f>
        <v>737.7611470693995</v>
      </c>
    </row>
    <row r="136" spans="1:37" x14ac:dyDescent="0.3">
      <c r="B136" s="44" t="s">
        <v>250</v>
      </c>
      <c r="E136" s="276">
        <f t="shared" ref="E136:AJ136" si="61">(E49+E62)/E135</f>
        <v>0.45636981398487897</v>
      </c>
      <c r="F136" s="276">
        <f t="shared" si="61"/>
        <v>0</v>
      </c>
      <c r="G136" s="276">
        <f t="shared" si="61"/>
        <v>0</v>
      </c>
      <c r="H136" s="276">
        <f t="shared" si="61"/>
        <v>0</v>
      </c>
      <c r="I136" s="276" t="e">
        <f t="shared" si="61"/>
        <v>#DIV/0!</v>
      </c>
      <c r="J136" s="276" t="e">
        <f t="shared" si="61"/>
        <v>#DIV/0!</v>
      </c>
      <c r="K136" s="276" t="e">
        <f t="shared" si="61"/>
        <v>#DIV/0!</v>
      </c>
      <c r="L136" s="276" t="e">
        <f t="shared" si="61"/>
        <v>#DIV/0!</v>
      </c>
      <c r="M136" s="276" t="e">
        <f t="shared" si="61"/>
        <v>#DIV/0!</v>
      </c>
      <c r="N136" s="276" t="e">
        <f t="shared" si="61"/>
        <v>#DIV/0!</v>
      </c>
      <c r="O136" s="276" t="e">
        <f t="shared" si="61"/>
        <v>#DIV/0!</v>
      </c>
      <c r="P136" s="276" t="e">
        <f t="shared" si="61"/>
        <v>#DIV/0!</v>
      </c>
      <c r="Q136" s="276" t="e">
        <f t="shared" si="61"/>
        <v>#DIV/0!</v>
      </c>
      <c r="R136" s="276" t="e">
        <f t="shared" si="61"/>
        <v>#DIV/0!</v>
      </c>
      <c r="S136" s="276" t="e">
        <f t="shared" si="61"/>
        <v>#DIV/0!</v>
      </c>
      <c r="T136" s="276" t="e">
        <f t="shared" si="61"/>
        <v>#DIV/0!</v>
      </c>
      <c r="U136" s="276" t="e">
        <f t="shared" si="61"/>
        <v>#DIV/0!</v>
      </c>
      <c r="V136" s="276" t="e">
        <f t="shared" si="61"/>
        <v>#DIV/0!</v>
      </c>
      <c r="W136" s="276" t="e">
        <f t="shared" si="61"/>
        <v>#DIV/0!</v>
      </c>
      <c r="X136" s="276" t="e">
        <f t="shared" si="61"/>
        <v>#DIV/0!</v>
      </c>
      <c r="Y136" s="276" t="e">
        <f t="shared" si="61"/>
        <v>#DIV/0!</v>
      </c>
      <c r="Z136" s="276" t="e">
        <f t="shared" si="61"/>
        <v>#DIV/0!</v>
      </c>
      <c r="AA136" s="276" t="e">
        <f t="shared" si="61"/>
        <v>#DIV/0!</v>
      </c>
      <c r="AB136" s="276" t="e">
        <f t="shared" si="61"/>
        <v>#DIV/0!</v>
      </c>
      <c r="AC136" s="276" t="e">
        <f t="shared" si="61"/>
        <v>#DIV/0!</v>
      </c>
      <c r="AD136" s="276" t="e">
        <f t="shared" si="61"/>
        <v>#DIV/0!</v>
      </c>
      <c r="AE136" s="276" t="e">
        <f t="shared" si="61"/>
        <v>#DIV/0!</v>
      </c>
      <c r="AF136" s="276" t="e">
        <f t="shared" si="61"/>
        <v>#DIV/0!</v>
      </c>
      <c r="AG136" s="276" t="e">
        <f t="shared" si="61"/>
        <v>#DIV/0!</v>
      </c>
      <c r="AH136" s="276" t="e">
        <f t="shared" si="61"/>
        <v>#DIV/0!</v>
      </c>
      <c r="AI136" s="276" t="e">
        <f t="shared" si="61"/>
        <v>#DIV/0!</v>
      </c>
      <c r="AJ136" s="276">
        <f t="shared" si="61"/>
        <v>0.11505113712865647</v>
      </c>
    </row>
    <row r="137" spans="1:37" x14ac:dyDescent="0.3">
      <c r="B137" s="44" t="s">
        <v>251</v>
      </c>
      <c r="E137" s="276">
        <f t="shared" ref="E137:AJ137" si="62">(E53+E66)/E135</f>
        <v>0</v>
      </c>
      <c r="F137" s="276">
        <f t="shared" si="62"/>
        <v>0.47353535301471134</v>
      </c>
      <c r="G137" s="276">
        <f t="shared" si="62"/>
        <v>0.45988309815088796</v>
      </c>
      <c r="H137" s="276">
        <f t="shared" si="62"/>
        <v>0.45090498129851703</v>
      </c>
      <c r="I137" s="276" t="e">
        <f t="shared" si="62"/>
        <v>#DIV/0!</v>
      </c>
      <c r="J137" s="276" t="e">
        <f t="shared" si="62"/>
        <v>#DIV/0!</v>
      </c>
      <c r="K137" s="276" t="e">
        <f t="shared" si="62"/>
        <v>#DIV/0!</v>
      </c>
      <c r="L137" s="276" t="e">
        <f t="shared" si="62"/>
        <v>#DIV/0!</v>
      </c>
      <c r="M137" s="276" t="e">
        <f t="shared" si="62"/>
        <v>#DIV/0!</v>
      </c>
      <c r="N137" s="276" t="e">
        <f t="shared" si="62"/>
        <v>#DIV/0!</v>
      </c>
      <c r="O137" s="276" t="e">
        <f t="shared" si="62"/>
        <v>#DIV/0!</v>
      </c>
      <c r="P137" s="276" t="e">
        <f t="shared" si="62"/>
        <v>#DIV/0!</v>
      </c>
      <c r="Q137" s="276" t="e">
        <f t="shared" si="62"/>
        <v>#DIV/0!</v>
      </c>
      <c r="R137" s="276" t="e">
        <f t="shared" si="62"/>
        <v>#DIV/0!</v>
      </c>
      <c r="S137" s="276" t="e">
        <f t="shared" si="62"/>
        <v>#DIV/0!</v>
      </c>
      <c r="T137" s="276" t="e">
        <f t="shared" si="62"/>
        <v>#DIV/0!</v>
      </c>
      <c r="U137" s="276" t="e">
        <f t="shared" si="62"/>
        <v>#DIV/0!</v>
      </c>
      <c r="V137" s="276" t="e">
        <f t="shared" si="62"/>
        <v>#DIV/0!</v>
      </c>
      <c r="W137" s="276" t="e">
        <f t="shared" si="62"/>
        <v>#DIV/0!</v>
      </c>
      <c r="X137" s="276" t="e">
        <f t="shared" si="62"/>
        <v>#DIV/0!</v>
      </c>
      <c r="Y137" s="276" t="e">
        <f t="shared" si="62"/>
        <v>#DIV/0!</v>
      </c>
      <c r="Z137" s="276" t="e">
        <f t="shared" si="62"/>
        <v>#DIV/0!</v>
      </c>
      <c r="AA137" s="276" t="e">
        <f t="shared" si="62"/>
        <v>#DIV/0!</v>
      </c>
      <c r="AB137" s="276" t="e">
        <f t="shared" si="62"/>
        <v>#DIV/0!</v>
      </c>
      <c r="AC137" s="276" t="e">
        <f t="shared" si="62"/>
        <v>#DIV/0!</v>
      </c>
      <c r="AD137" s="276" t="e">
        <f t="shared" si="62"/>
        <v>#DIV/0!</v>
      </c>
      <c r="AE137" s="276" t="e">
        <f t="shared" si="62"/>
        <v>#DIV/0!</v>
      </c>
      <c r="AF137" s="276" t="e">
        <f t="shared" si="62"/>
        <v>#DIV/0!</v>
      </c>
      <c r="AG137" s="276" t="e">
        <f t="shared" si="62"/>
        <v>#DIV/0!</v>
      </c>
      <c r="AH137" s="276" t="e">
        <f t="shared" si="62"/>
        <v>#DIV/0!</v>
      </c>
      <c r="AI137" s="276" t="e">
        <f t="shared" si="62"/>
        <v>#DIV/0!</v>
      </c>
      <c r="AJ137" s="276">
        <f t="shared" si="62"/>
        <v>0.34513854576448588</v>
      </c>
    </row>
    <row r="138" spans="1:37" x14ac:dyDescent="0.3">
      <c r="B138" s="44" t="s">
        <v>270</v>
      </c>
      <c r="E138" s="276">
        <f t="shared" ref="E138:AI138" si="63">(E45+E58)/E135</f>
        <v>0.47101457564459714</v>
      </c>
      <c r="F138" s="276">
        <f t="shared" si="63"/>
        <v>0.43085533827969125</v>
      </c>
      <c r="G138" s="276">
        <f t="shared" si="63"/>
        <v>0.4477893976996134</v>
      </c>
      <c r="H138" s="276">
        <f t="shared" si="63"/>
        <v>0.45181408679218804</v>
      </c>
      <c r="I138" s="276" t="e">
        <f t="shared" si="63"/>
        <v>#DIV/0!</v>
      </c>
      <c r="J138" s="276" t="e">
        <f t="shared" si="63"/>
        <v>#DIV/0!</v>
      </c>
      <c r="K138" s="276" t="e">
        <f t="shared" si="63"/>
        <v>#DIV/0!</v>
      </c>
      <c r="L138" s="276" t="e">
        <f t="shared" si="63"/>
        <v>#DIV/0!</v>
      </c>
      <c r="M138" s="276" t="e">
        <f t="shared" si="63"/>
        <v>#DIV/0!</v>
      </c>
      <c r="N138" s="276" t="e">
        <f t="shared" si="63"/>
        <v>#DIV/0!</v>
      </c>
      <c r="O138" s="276" t="e">
        <f t="shared" si="63"/>
        <v>#DIV/0!</v>
      </c>
      <c r="P138" s="276" t="e">
        <f t="shared" si="63"/>
        <v>#DIV/0!</v>
      </c>
      <c r="Q138" s="276" t="e">
        <f t="shared" si="63"/>
        <v>#DIV/0!</v>
      </c>
      <c r="R138" s="276" t="e">
        <f t="shared" si="63"/>
        <v>#DIV/0!</v>
      </c>
      <c r="S138" s="276" t="e">
        <f t="shared" si="63"/>
        <v>#DIV/0!</v>
      </c>
      <c r="T138" s="276" t="e">
        <f t="shared" si="63"/>
        <v>#DIV/0!</v>
      </c>
      <c r="U138" s="276" t="e">
        <f t="shared" si="63"/>
        <v>#DIV/0!</v>
      </c>
      <c r="V138" s="276" t="e">
        <f t="shared" si="63"/>
        <v>#DIV/0!</v>
      </c>
      <c r="W138" s="276" t="e">
        <f t="shared" si="63"/>
        <v>#DIV/0!</v>
      </c>
      <c r="X138" s="276" t="e">
        <f t="shared" si="63"/>
        <v>#DIV/0!</v>
      </c>
      <c r="Y138" s="276" t="e">
        <f t="shared" si="63"/>
        <v>#DIV/0!</v>
      </c>
      <c r="Z138" s="276" t="e">
        <f t="shared" si="63"/>
        <v>#DIV/0!</v>
      </c>
      <c r="AA138" s="276" t="e">
        <f t="shared" si="63"/>
        <v>#DIV/0!</v>
      </c>
      <c r="AB138" s="276" t="e">
        <f t="shared" si="63"/>
        <v>#DIV/0!</v>
      </c>
      <c r="AC138" s="276" t="e">
        <f t="shared" si="63"/>
        <v>#DIV/0!</v>
      </c>
      <c r="AD138" s="276" t="e">
        <f t="shared" si="63"/>
        <v>#DIV/0!</v>
      </c>
      <c r="AE138" s="276" t="e">
        <f t="shared" si="63"/>
        <v>#DIV/0!</v>
      </c>
      <c r="AF138" s="276" t="e">
        <f t="shared" si="63"/>
        <v>#DIV/0!</v>
      </c>
      <c r="AG138" s="276" t="e">
        <f t="shared" si="63"/>
        <v>#DIV/0!</v>
      </c>
      <c r="AH138" s="276" t="e">
        <f t="shared" si="63"/>
        <v>#DIV/0!</v>
      </c>
      <c r="AI138" s="276" t="e">
        <f t="shared" si="63"/>
        <v>#DIV/0!</v>
      </c>
      <c r="AJ138" s="276">
        <f>(AJ58+AJ45)/AJ135</f>
        <v>0.45038312483893039</v>
      </c>
    </row>
    <row r="139" spans="1:37" x14ac:dyDescent="0.3">
      <c r="B139" s="44" t="s">
        <v>254</v>
      </c>
      <c r="E139" s="276">
        <f>((E102*E103)+(E106*E107))/E135</f>
        <v>0</v>
      </c>
      <c r="F139" s="276">
        <f t="shared" ref="F139:AI139" si="64">((F102*F103)+(F106*F107))/F135</f>
        <v>1.1453655317468973E-2</v>
      </c>
      <c r="G139" s="276">
        <f t="shared" si="64"/>
        <v>0</v>
      </c>
      <c r="H139" s="276">
        <f t="shared" si="64"/>
        <v>0</v>
      </c>
      <c r="I139" s="276" t="e">
        <f t="shared" si="64"/>
        <v>#DIV/0!</v>
      </c>
      <c r="J139" s="276" t="e">
        <f t="shared" si="64"/>
        <v>#DIV/0!</v>
      </c>
      <c r="K139" s="276" t="e">
        <f t="shared" si="64"/>
        <v>#DIV/0!</v>
      </c>
      <c r="L139" s="276" t="e">
        <f t="shared" si="64"/>
        <v>#DIV/0!</v>
      </c>
      <c r="M139" s="276" t="e">
        <f t="shared" si="64"/>
        <v>#DIV/0!</v>
      </c>
      <c r="N139" s="276" t="e">
        <f t="shared" si="64"/>
        <v>#DIV/0!</v>
      </c>
      <c r="O139" s="276" t="e">
        <f t="shared" si="64"/>
        <v>#DIV/0!</v>
      </c>
      <c r="P139" s="276" t="e">
        <f t="shared" si="64"/>
        <v>#DIV/0!</v>
      </c>
      <c r="Q139" s="276" t="e">
        <f t="shared" si="64"/>
        <v>#DIV/0!</v>
      </c>
      <c r="R139" s="276" t="e">
        <f t="shared" si="64"/>
        <v>#DIV/0!</v>
      </c>
      <c r="S139" s="276" t="e">
        <f t="shared" si="64"/>
        <v>#DIV/0!</v>
      </c>
      <c r="T139" s="276" t="e">
        <f t="shared" si="64"/>
        <v>#DIV/0!</v>
      </c>
      <c r="U139" s="276" t="e">
        <f t="shared" si="64"/>
        <v>#DIV/0!</v>
      </c>
      <c r="V139" s="276" t="e">
        <f t="shared" si="64"/>
        <v>#DIV/0!</v>
      </c>
      <c r="W139" s="276" t="e">
        <f t="shared" si="64"/>
        <v>#DIV/0!</v>
      </c>
      <c r="X139" s="276" t="e">
        <f t="shared" si="64"/>
        <v>#DIV/0!</v>
      </c>
      <c r="Y139" s="276" t="e">
        <f t="shared" si="64"/>
        <v>#DIV/0!</v>
      </c>
      <c r="Z139" s="276" t="e">
        <f t="shared" si="64"/>
        <v>#DIV/0!</v>
      </c>
      <c r="AA139" s="276" t="e">
        <f t="shared" si="64"/>
        <v>#DIV/0!</v>
      </c>
      <c r="AB139" s="276" t="e">
        <f t="shared" si="64"/>
        <v>#DIV/0!</v>
      </c>
      <c r="AC139" s="276" t="e">
        <f t="shared" si="64"/>
        <v>#DIV/0!</v>
      </c>
      <c r="AD139" s="276" t="e">
        <f t="shared" si="64"/>
        <v>#DIV/0!</v>
      </c>
      <c r="AE139" s="276" t="e">
        <f t="shared" si="64"/>
        <v>#DIV/0!</v>
      </c>
      <c r="AF139" s="276" t="e">
        <f t="shared" si="64"/>
        <v>#DIV/0!</v>
      </c>
      <c r="AG139" s="276" t="e">
        <f t="shared" si="64"/>
        <v>#DIV/0!</v>
      </c>
      <c r="AH139" s="276" t="e">
        <f t="shared" si="64"/>
        <v>#DIV/0!</v>
      </c>
      <c r="AI139" s="276" t="e">
        <f t="shared" si="64"/>
        <v>#DIV/0!</v>
      </c>
      <c r="AJ139" s="276" t="e">
        <f>((AJ102*AJ103)+(AJ106*AJ107))/AJ135</f>
        <v>#DIV/0!</v>
      </c>
    </row>
    <row r="140" spans="1:37" x14ac:dyDescent="0.3">
      <c r="B140" s="44" t="s">
        <v>255</v>
      </c>
      <c r="E140" s="276">
        <f t="shared" ref="E140:AJ140" si="65">(E75*E76)/E135</f>
        <v>7.2934612197695425E-2</v>
      </c>
      <c r="F140" s="276">
        <f t="shared" si="65"/>
        <v>8.4533882573100474E-2</v>
      </c>
      <c r="G140" s="276">
        <f t="shared" si="65"/>
        <v>5.5473029584731964E-2</v>
      </c>
      <c r="H140" s="276">
        <f t="shared" si="65"/>
        <v>5.6214805585116337E-2</v>
      </c>
      <c r="I140" s="276" t="e">
        <f t="shared" si="65"/>
        <v>#DIV/0!</v>
      </c>
      <c r="J140" s="276" t="e">
        <f t="shared" si="65"/>
        <v>#DIV/0!</v>
      </c>
      <c r="K140" s="276" t="e">
        <f t="shared" si="65"/>
        <v>#DIV/0!</v>
      </c>
      <c r="L140" s="276" t="e">
        <f t="shared" si="65"/>
        <v>#DIV/0!</v>
      </c>
      <c r="M140" s="276" t="e">
        <f t="shared" si="65"/>
        <v>#DIV/0!</v>
      </c>
      <c r="N140" s="276" t="e">
        <f t="shared" si="65"/>
        <v>#DIV/0!</v>
      </c>
      <c r="O140" s="276" t="e">
        <f t="shared" si="65"/>
        <v>#DIV/0!</v>
      </c>
      <c r="P140" s="276" t="e">
        <f t="shared" si="65"/>
        <v>#DIV/0!</v>
      </c>
      <c r="Q140" s="276" t="e">
        <f t="shared" si="65"/>
        <v>#DIV/0!</v>
      </c>
      <c r="R140" s="276" t="e">
        <f t="shared" si="65"/>
        <v>#DIV/0!</v>
      </c>
      <c r="S140" s="276" t="e">
        <f t="shared" si="65"/>
        <v>#DIV/0!</v>
      </c>
      <c r="T140" s="276" t="e">
        <f t="shared" si="65"/>
        <v>#DIV/0!</v>
      </c>
      <c r="U140" s="276" t="e">
        <f t="shared" si="65"/>
        <v>#DIV/0!</v>
      </c>
      <c r="V140" s="276" t="e">
        <f t="shared" si="65"/>
        <v>#DIV/0!</v>
      </c>
      <c r="W140" s="276" t="e">
        <f t="shared" si="65"/>
        <v>#DIV/0!</v>
      </c>
      <c r="X140" s="276" t="e">
        <f t="shared" si="65"/>
        <v>#DIV/0!</v>
      </c>
      <c r="Y140" s="276" t="e">
        <f t="shared" si="65"/>
        <v>#DIV/0!</v>
      </c>
      <c r="Z140" s="276" t="e">
        <f t="shared" si="65"/>
        <v>#DIV/0!</v>
      </c>
      <c r="AA140" s="276" t="e">
        <f t="shared" si="65"/>
        <v>#DIV/0!</v>
      </c>
      <c r="AB140" s="276" t="e">
        <f t="shared" si="65"/>
        <v>#DIV/0!</v>
      </c>
      <c r="AC140" s="276" t="e">
        <f t="shared" si="65"/>
        <v>#DIV/0!</v>
      </c>
      <c r="AD140" s="276" t="e">
        <f t="shared" si="65"/>
        <v>#DIV/0!</v>
      </c>
      <c r="AE140" s="276" t="e">
        <f t="shared" si="65"/>
        <v>#DIV/0!</v>
      </c>
      <c r="AF140" s="276" t="e">
        <f t="shared" si="65"/>
        <v>#DIV/0!</v>
      </c>
      <c r="AG140" s="276" t="e">
        <f t="shared" si="65"/>
        <v>#DIV/0!</v>
      </c>
      <c r="AH140" s="276" t="e">
        <f t="shared" si="65"/>
        <v>#DIV/0!</v>
      </c>
      <c r="AI140" s="276" t="e">
        <f t="shared" si="65"/>
        <v>#DIV/0!</v>
      </c>
      <c r="AJ140" s="276">
        <f t="shared" si="65"/>
        <v>6.7389030267989383E-2</v>
      </c>
    </row>
  </sheetData>
  <mergeCells count="6">
    <mergeCell ref="B132:B133"/>
    <mergeCell ref="A119:A120"/>
    <mergeCell ref="A121:A122"/>
    <mergeCell ref="A124:A125"/>
    <mergeCell ref="A126:A127"/>
    <mergeCell ref="B130:B13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N34"/>
  <sheetViews>
    <sheetView showGridLines="0" zoomScale="66" zoomScaleNormal="70" workbookViewId="0">
      <pane xSplit="34" ySplit="1" topLeftCell="DZ2" activePane="bottomRight" state="frozen"/>
      <selection pane="topRight" activeCell="AI1" sqref="AI1"/>
      <selection pane="bottomLeft" activeCell="A2" sqref="A2"/>
      <selection pane="bottomRight" activeCell="FK24" sqref="FK24"/>
    </sheetView>
  </sheetViews>
  <sheetFormatPr defaultColWidth="8.6640625" defaultRowHeight="18" x14ac:dyDescent="0.35"/>
  <cols>
    <col min="1" max="1" width="45" style="135" bestFit="1" customWidth="1"/>
    <col min="2" max="2" width="24.88671875" style="135" bestFit="1" customWidth="1"/>
    <col min="3" max="3" width="18.33203125" style="135" bestFit="1" customWidth="1"/>
    <col min="4" max="4" width="16.44140625" style="135" bestFit="1" customWidth="1"/>
    <col min="5" max="5" width="11.77734375" style="135" hidden="1" customWidth="1"/>
    <col min="6" max="9" width="11.6640625" style="135" hidden="1" customWidth="1"/>
    <col min="10" max="11" width="12" style="135" hidden="1" customWidth="1"/>
    <col min="12" max="14" width="11.6640625" style="135" hidden="1" customWidth="1"/>
    <col min="15" max="33" width="12" style="135" hidden="1" customWidth="1"/>
    <col min="34" max="34" width="6.88671875" style="135" hidden="1" customWidth="1"/>
    <col min="35" max="35" width="16.6640625" style="135" customWidth="1"/>
    <col min="36" max="66" width="16.6640625" style="135" hidden="1" customWidth="1"/>
    <col min="67" max="67" width="16.6640625" style="135" customWidth="1"/>
    <col min="68" max="72" width="16.6640625" style="135" hidden="1" customWidth="1"/>
    <col min="73" max="73" width="15.5546875" style="135" hidden="1" customWidth="1"/>
    <col min="74" max="74" width="14.88671875" style="135" hidden="1" customWidth="1"/>
    <col min="75" max="75" width="14.44140625" style="135" hidden="1" customWidth="1"/>
    <col min="76" max="76" width="14.5546875" style="135" hidden="1" customWidth="1"/>
    <col min="77" max="97" width="14.77734375" style="135" hidden="1" customWidth="1"/>
    <col min="98" max="98" width="14.5546875" style="135" customWidth="1"/>
    <col min="99" max="129" width="14.77734375" style="135" hidden="1" customWidth="1"/>
    <col min="130" max="130" width="14.77734375" style="135" customWidth="1"/>
    <col min="131" max="131" width="16" style="135" hidden="1" customWidth="1"/>
    <col min="132" max="161" width="14.77734375" style="135" hidden="1" customWidth="1"/>
    <col min="162" max="167" width="14.77734375" style="135" customWidth="1"/>
    <col min="168" max="168" width="38.109375" style="214" customWidth="1"/>
    <col min="169" max="169" width="8.6640625" style="135"/>
    <col min="170" max="170" width="13.6640625" style="135" bestFit="1" customWidth="1"/>
    <col min="171" max="171" width="8.6640625" style="135"/>
    <col min="172" max="172" width="17.44140625" style="135" bestFit="1" customWidth="1"/>
    <col min="173" max="16384" width="8.6640625" style="135"/>
  </cols>
  <sheetData>
    <row r="1" spans="1:170" s="131" customFormat="1" ht="22.2" x14ac:dyDescent="0.45">
      <c r="A1" s="147" t="s">
        <v>124</v>
      </c>
      <c r="B1" s="147" t="s">
        <v>125</v>
      </c>
      <c r="C1" s="298" t="s">
        <v>225</v>
      </c>
      <c r="D1" s="299" t="s">
        <v>126</v>
      </c>
      <c r="E1" s="300">
        <v>45383</v>
      </c>
      <c r="F1" s="300">
        <v>45384</v>
      </c>
      <c r="G1" s="300">
        <v>45385</v>
      </c>
      <c r="H1" s="300">
        <v>45386</v>
      </c>
      <c r="I1" s="300">
        <v>45387</v>
      </c>
      <c r="J1" s="300">
        <v>45388</v>
      </c>
      <c r="K1" s="300">
        <v>45389</v>
      </c>
      <c r="L1" s="300">
        <v>45390</v>
      </c>
      <c r="M1" s="300">
        <v>45391</v>
      </c>
      <c r="N1" s="300">
        <v>45392</v>
      </c>
      <c r="O1" s="300">
        <v>45393</v>
      </c>
      <c r="P1" s="300">
        <v>45394</v>
      </c>
      <c r="Q1" s="300">
        <v>45395</v>
      </c>
      <c r="R1" s="300">
        <v>45396</v>
      </c>
      <c r="S1" s="300">
        <v>45397</v>
      </c>
      <c r="T1" s="300">
        <v>45398</v>
      </c>
      <c r="U1" s="300">
        <v>45399</v>
      </c>
      <c r="V1" s="300">
        <v>45400</v>
      </c>
      <c r="W1" s="300">
        <v>45401</v>
      </c>
      <c r="X1" s="300">
        <v>45402</v>
      </c>
      <c r="Y1" s="300">
        <v>45403</v>
      </c>
      <c r="Z1" s="300">
        <v>45404</v>
      </c>
      <c r="AA1" s="300">
        <v>45405</v>
      </c>
      <c r="AB1" s="300">
        <v>45406</v>
      </c>
      <c r="AC1" s="300">
        <v>45407</v>
      </c>
      <c r="AD1" s="300">
        <v>45408</v>
      </c>
      <c r="AE1" s="300">
        <v>45409</v>
      </c>
      <c r="AF1" s="300">
        <v>45410</v>
      </c>
      <c r="AG1" s="300">
        <v>45411</v>
      </c>
      <c r="AH1" s="300">
        <v>45412</v>
      </c>
      <c r="AI1" s="301">
        <v>45386</v>
      </c>
      <c r="AJ1" s="300">
        <v>45413</v>
      </c>
      <c r="AK1" s="300">
        <v>45414</v>
      </c>
      <c r="AL1" s="300">
        <v>45415</v>
      </c>
      <c r="AM1" s="300">
        <v>45416</v>
      </c>
      <c r="AN1" s="300">
        <v>45417</v>
      </c>
      <c r="AO1" s="300">
        <v>45418</v>
      </c>
      <c r="AP1" s="300">
        <v>45419</v>
      </c>
      <c r="AQ1" s="300">
        <v>45420</v>
      </c>
      <c r="AR1" s="300">
        <v>45421</v>
      </c>
      <c r="AS1" s="300">
        <v>45422</v>
      </c>
      <c r="AT1" s="300">
        <v>45423</v>
      </c>
      <c r="AU1" s="300">
        <v>45424</v>
      </c>
      <c r="AV1" s="300">
        <v>45425</v>
      </c>
      <c r="AW1" s="300">
        <v>45426</v>
      </c>
      <c r="AX1" s="300">
        <v>45427</v>
      </c>
      <c r="AY1" s="300">
        <v>45428</v>
      </c>
      <c r="AZ1" s="300">
        <v>45429</v>
      </c>
      <c r="BA1" s="300">
        <v>45430</v>
      </c>
      <c r="BB1" s="300">
        <v>45431</v>
      </c>
      <c r="BC1" s="300">
        <v>45432</v>
      </c>
      <c r="BD1" s="300">
        <v>45433</v>
      </c>
      <c r="BE1" s="300">
        <v>45434</v>
      </c>
      <c r="BF1" s="300">
        <v>45435</v>
      </c>
      <c r="BG1" s="300">
        <v>45436</v>
      </c>
      <c r="BH1" s="300">
        <v>45437</v>
      </c>
      <c r="BI1" s="300">
        <v>45438</v>
      </c>
      <c r="BJ1" s="300">
        <v>45439</v>
      </c>
      <c r="BK1" s="300">
        <v>45440</v>
      </c>
      <c r="BL1" s="300">
        <v>45441</v>
      </c>
      <c r="BM1" s="300">
        <v>45442</v>
      </c>
      <c r="BN1" s="300">
        <v>45443</v>
      </c>
      <c r="BO1" s="301">
        <v>45416</v>
      </c>
      <c r="BP1" s="300">
        <v>45444</v>
      </c>
      <c r="BQ1" s="300">
        <v>45445</v>
      </c>
      <c r="BR1" s="300">
        <v>45446</v>
      </c>
      <c r="BS1" s="300">
        <v>45447</v>
      </c>
      <c r="BT1" s="300">
        <v>45448</v>
      </c>
      <c r="BU1" s="300">
        <v>45449</v>
      </c>
      <c r="BV1" s="300">
        <v>45450</v>
      </c>
      <c r="BW1" s="300">
        <v>45451</v>
      </c>
      <c r="BX1" s="300">
        <v>45452</v>
      </c>
      <c r="BY1" s="300">
        <v>45453</v>
      </c>
      <c r="BZ1" s="300">
        <v>45454</v>
      </c>
      <c r="CA1" s="300">
        <v>45455</v>
      </c>
      <c r="CB1" s="300">
        <v>45456</v>
      </c>
      <c r="CC1" s="300">
        <v>45457</v>
      </c>
      <c r="CD1" s="300">
        <v>45458</v>
      </c>
      <c r="CE1" s="300">
        <v>45459</v>
      </c>
      <c r="CF1" s="300">
        <v>45460</v>
      </c>
      <c r="CG1" s="300">
        <v>45461</v>
      </c>
      <c r="CH1" s="300">
        <v>45462</v>
      </c>
      <c r="CI1" s="300">
        <v>45463</v>
      </c>
      <c r="CJ1" s="300">
        <v>45464</v>
      </c>
      <c r="CK1" s="300">
        <v>45465</v>
      </c>
      <c r="CL1" s="300">
        <v>45466</v>
      </c>
      <c r="CM1" s="300">
        <v>45467</v>
      </c>
      <c r="CN1" s="300">
        <v>45468</v>
      </c>
      <c r="CO1" s="300">
        <v>45469</v>
      </c>
      <c r="CP1" s="300">
        <v>45470</v>
      </c>
      <c r="CQ1" s="300">
        <v>45471</v>
      </c>
      <c r="CR1" s="300">
        <v>45472</v>
      </c>
      <c r="CS1" s="300">
        <v>45473</v>
      </c>
      <c r="CT1" s="301">
        <v>45447</v>
      </c>
      <c r="CU1" s="300">
        <v>45474</v>
      </c>
      <c r="CV1" s="300">
        <v>45475</v>
      </c>
      <c r="CW1" s="300">
        <v>45476</v>
      </c>
      <c r="CX1" s="300">
        <v>45477</v>
      </c>
      <c r="CY1" s="300">
        <v>45478</v>
      </c>
      <c r="CZ1" s="300">
        <v>45479</v>
      </c>
      <c r="DA1" s="300">
        <v>45480</v>
      </c>
      <c r="DB1" s="300">
        <v>45481</v>
      </c>
      <c r="DC1" s="300">
        <v>45482</v>
      </c>
      <c r="DD1" s="300">
        <v>45483</v>
      </c>
      <c r="DE1" s="300">
        <v>45484</v>
      </c>
      <c r="DF1" s="300">
        <v>45485</v>
      </c>
      <c r="DG1" s="300">
        <v>45486</v>
      </c>
      <c r="DH1" s="300">
        <v>45487</v>
      </c>
      <c r="DI1" s="300">
        <v>45488</v>
      </c>
      <c r="DJ1" s="300">
        <v>45489</v>
      </c>
      <c r="DK1" s="300">
        <v>45490</v>
      </c>
      <c r="DL1" s="300">
        <v>45491</v>
      </c>
      <c r="DM1" s="300">
        <v>45492</v>
      </c>
      <c r="DN1" s="300">
        <v>45493</v>
      </c>
      <c r="DO1" s="300">
        <v>45494</v>
      </c>
      <c r="DP1" s="300">
        <v>45495</v>
      </c>
      <c r="DQ1" s="300">
        <v>45496</v>
      </c>
      <c r="DR1" s="300">
        <v>45497</v>
      </c>
      <c r="DS1" s="300">
        <v>45498</v>
      </c>
      <c r="DT1" s="300">
        <v>45499</v>
      </c>
      <c r="DU1" s="300">
        <v>45500</v>
      </c>
      <c r="DV1" s="300">
        <v>45501</v>
      </c>
      <c r="DW1" s="300">
        <v>45502</v>
      </c>
      <c r="DX1" s="300">
        <v>45503</v>
      </c>
      <c r="DY1" s="300">
        <v>45504</v>
      </c>
      <c r="DZ1" s="301">
        <v>45477</v>
      </c>
      <c r="EA1" s="300">
        <v>45505</v>
      </c>
      <c r="EB1" s="300">
        <v>45506</v>
      </c>
      <c r="EC1" s="300">
        <v>45507</v>
      </c>
      <c r="ED1" s="300">
        <v>45508</v>
      </c>
      <c r="EE1" s="300">
        <v>45509</v>
      </c>
      <c r="EF1" s="300">
        <v>45510</v>
      </c>
      <c r="EG1" s="300">
        <v>45511</v>
      </c>
      <c r="EH1" s="300">
        <v>45512</v>
      </c>
      <c r="EI1" s="300">
        <v>45513</v>
      </c>
      <c r="EJ1" s="300">
        <v>45514</v>
      </c>
      <c r="EK1" s="300">
        <v>45515</v>
      </c>
      <c r="EL1" s="300">
        <v>45516</v>
      </c>
      <c r="EM1" s="300">
        <v>45517</v>
      </c>
      <c r="EN1" s="300">
        <v>45518</v>
      </c>
      <c r="EO1" s="300">
        <v>45519</v>
      </c>
      <c r="EP1" s="300">
        <v>45520</v>
      </c>
      <c r="EQ1" s="300">
        <v>45521</v>
      </c>
      <c r="ER1" s="300">
        <v>45522</v>
      </c>
      <c r="ES1" s="300">
        <v>45523</v>
      </c>
      <c r="ET1" s="300">
        <v>45524</v>
      </c>
      <c r="EU1" s="300">
        <v>45525</v>
      </c>
      <c r="EV1" s="300">
        <v>45526</v>
      </c>
      <c r="EW1" s="300">
        <v>45527</v>
      </c>
      <c r="EX1" s="300">
        <v>45528</v>
      </c>
      <c r="EY1" s="300">
        <v>45529</v>
      </c>
      <c r="EZ1" s="300">
        <v>45530</v>
      </c>
      <c r="FA1" s="300">
        <v>45531</v>
      </c>
      <c r="FB1" s="300">
        <v>45532</v>
      </c>
      <c r="FC1" s="300">
        <v>45533</v>
      </c>
      <c r="FD1" s="300">
        <v>45534</v>
      </c>
      <c r="FE1" s="300">
        <v>45535</v>
      </c>
      <c r="FF1" s="301">
        <v>45505</v>
      </c>
      <c r="FG1" s="300">
        <v>45536</v>
      </c>
      <c r="FH1" s="300">
        <v>45537</v>
      </c>
      <c r="FI1" s="300">
        <v>45538</v>
      </c>
      <c r="FJ1" s="300">
        <v>45539</v>
      </c>
      <c r="FK1" s="301">
        <v>45536</v>
      </c>
      <c r="FL1" s="147" t="s">
        <v>238</v>
      </c>
    </row>
    <row r="2" spans="1:170" s="131" customFormat="1" ht="25.2" customHeight="1" x14ac:dyDescent="0.45">
      <c r="A2" s="157" t="s">
        <v>127</v>
      </c>
      <c r="B2" s="157" t="s">
        <v>128</v>
      </c>
      <c r="C2" s="302">
        <v>0.32574884348030236</v>
      </c>
      <c r="D2" s="303">
        <f>'Day Wise 24-25'!M4</f>
        <v>0.32100000000000006</v>
      </c>
      <c r="E2" s="304">
        <f>'Apr-24'!E5</f>
        <v>0.3354916067146283</v>
      </c>
      <c r="F2" s="304">
        <f>'Apr-24'!F5</f>
        <v>0.32537380049096182</v>
      </c>
      <c r="G2" s="304">
        <f>'Apr-24'!G5</f>
        <v>0.33527615875659172</v>
      </c>
      <c r="H2" s="304">
        <f>'Apr-24'!H5</f>
        <v>0.32262929680135738</v>
      </c>
      <c r="I2" s="304">
        <f>'Apr-24'!I5</f>
        <v>0.32290264692687304</v>
      </c>
      <c r="J2" s="304">
        <f>'Apr-24'!J5</f>
        <v>0.33878657567542303</v>
      </c>
      <c r="K2" s="304">
        <f>'Apr-24'!K5</f>
        <v>0.33291506548506</v>
      </c>
      <c r="L2" s="304">
        <f>'Apr-24'!L5</f>
        <v>0.3263236483543831</v>
      </c>
      <c r="M2" s="304">
        <f>'Apr-24'!M5</f>
        <v>0.32732924204989239</v>
      </c>
      <c r="N2" s="304">
        <f>'Apr-24'!N5</f>
        <v>0.3367531003382187</v>
      </c>
      <c r="O2" s="304">
        <f>'Apr-24'!O5</f>
        <v>0.33619073131529603</v>
      </c>
      <c r="P2" s="304">
        <f>'Apr-24'!P5</f>
        <v>0.33197863446353926</v>
      </c>
      <c r="Q2" s="304">
        <f>'Apr-24'!Q5</f>
        <v>0.32081325500033003</v>
      </c>
      <c r="R2" s="304">
        <f>'Apr-24'!R5</f>
        <v>0.3366269930384011</v>
      </c>
      <c r="S2" s="304">
        <f>'Apr-24'!S5</f>
        <v>0.33333333333333331</v>
      </c>
      <c r="T2" s="304">
        <f>'Apr-24'!T5</f>
        <v>0.32839562443026438</v>
      </c>
      <c r="U2" s="304">
        <f>'Apr-24'!U5</f>
        <v>0.32727413366336633</v>
      </c>
      <c r="V2" s="304">
        <f>'Apr-24'!V5</f>
        <v>0.3126021505376344</v>
      </c>
      <c r="W2" s="304">
        <f>'Apr-24'!W5</f>
        <v>0.30471287128712871</v>
      </c>
      <c r="X2" s="304">
        <f>'Apr-24'!X5</f>
        <v>0.30572711959573273</v>
      </c>
      <c r="Y2" s="304">
        <f>'Apr-24'!Y5</f>
        <v>0.30397022332506202</v>
      </c>
      <c r="Z2" s="304">
        <f>'Apr-24'!Z5</f>
        <v>0.32756132756132755</v>
      </c>
      <c r="AA2" s="304">
        <f>'Apr-24'!AA5</f>
        <v>0.31581709145427284</v>
      </c>
      <c r="AB2" s="304">
        <f>'Apr-24'!AB5</f>
        <v>0.30877561744613768</v>
      </c>
      <c r="AC2" s="304">
        <f>'Apr-24'!AC5</f>
        <v>0.31248817407757806</v>
      </c>
      <c r="AD2" s="304">
        <f>'Apr-24'!AD5</f>
        <v>0.30923407301360056</v>
      </c>
      <c r="AE2" s="304">
        <f>'Apr-24'!AE5</f>
        <v>0.3260321100917431</v>
      </c>
      <c r="AF2" s="304">
        <f>'Apr-24'!AF5</f>
        <v>0.31548117154811717</v>
      </c>
      <c r="AG2" s="304">
        <f>'Apr-24'!AG5</f>
        <v>0.31987075928917608</v>
      </c>
      <c r="AH2" s="304">
        <f>'Apr-24'!AH5</f>
        <v>0.30724137931034484</v>
      </c>
      <c r="AI2" s="304">
        <f>'Apr-24'!AI5</f>
        <v>0.32254785908386863</v>
      </c>
      <c r="AJ2" s="304">
        <f>'May-24'!E5</f>
        <v>0.31822971548998946</v>
      </c>
      <c r="AK2" s="304">
        <f>'May-24'!F5</f>
        <v>0.30227774815266245</v>
      </c>
      <c r="AL2" s="304">
        <f>'May-24'!G5</f>
        <v>0.31034145386948442</v>
      </c>
      <c r="AM2" s="304">
        <f>'May-24'!H5</f>
        <v>0.31780385009682194</v>
      </c>
      <c r="AN2" s="304">
        <f>'May-24'!I5</f>
        <v>0.31514685792349728</v>
      </c>
      <c r="AO2" s="304">
        <f>'May-24'!J5</f>
        <v>0.30717924965261695</v>
      </c>
      <c r="AP2" s="304">
        <f>'May-24'!K5</f>
        <v>0.31940324550689236</v>
      </c>
      <c r="AQ2" s="304">
        <f>'May-24'!L5</f>
        <v>0.32098625156232247</v>
      </c>
      <c r="AR2" s="304">
        <f>'May-24'!M5</f>
        <v>0.31473759884974839</v>
      </c>
      <c r="AS2" s="304">
        <f>'May-24'!N5</f>
        <v>0.31129592588693544</v>
      </c>
      <c r="AT2" s="304">
        <f>'May-24'!O5</f>
        <v>0.31204283236558328</v>
      </c>
      <c r="AU2" s="304">
        <f>'May-24'!P5</f>
        <v>0.31412786108918705</v>
      </c>
      <c r="AV2" s="304">
        <f>'May-24'!Q5</f>
        <v>0.31838074398249455</v>
      </c>
      <c r="AW2" s="304">
        <f>'May-24'!R5</f>
        <v>0.32441266598569968</v>
      </c>
      <c r="AX2" s="304">
        <f>'May-24'!S5</f>
        <v>0.31930970149253729</v>
      </c>
      <c r="AY2" s="304">
        <f>'May-24'!T5</f>
        <v>0.31649189704480457</v>
      </c>
      <c r="AZ2" s="304">
        <f>'May-24'!U5</f>
        <v>0.31058586576624608</v>
      </c>
      <c r="BA2" s="304">
        <f>'May-24'!V5</f>
        <v>0.31128956069910252</v>
      </c>
      <c r="BB2" s="304">
        <f>'May-24'!W5</f>
        <v>0.31762024709127984</v>
      </c>
      <c r="BC2" s="304">
        <f>'May-24'!X5</f>
        <v>0.30790165165165168</v>
      </c>
      <c r="BD2" s="304">
        <f>'May-24'!Y5</f>
        <v>0.32383053839364517</v>
      </c>
      <c r="BE2" s="304">
        <f>'May-24'!Z5</f>
        <v>0.30365822460987463</v>
      </c>
      <c r="BF2" s="304">
        <f>'May-24'!AA5</f>
        <v>0.3164132795532113</v>
      </c>
      <c r="BG2" s="304">
        <f>'May-24'!AB5</f>
        <v>0.33248478140564469</v>
      </c>
      <c r="BH2" s="304">
        <f>'May-24'!AC5</f>
        <v>0.31703824913070155</v>
      </c>
      <c r="BI2" s="304">
        <f>'May-24'!AD5</f>
        <v>0.33833060556464811</v>
      </c>
      <c r="BJ2" s="304">
        <f>'May-24'!AE5</f>
        <v>0.33724587648638282</v>
      </c>
      <c r="BK2" s="304">
        <f>'May-24'!AF5</f>
        <v>0.31626964014191589</v>
      </c>
      <c r="BL2" s="304">
        <f>'May-24'!AG5</f>
        <v>0.32271334792122536</v>
      </c>
      <c r="BM2" s="304">
        <f>'May-24'!AH5</f>
        <v>0.31792245793708851</v>
      </c>
      <c r="BN2" s="304">
        <f>'May-24'!AI5</f>
        <v>0.33552932564736021</v>
      </c>
      <c r="BO2" s="304">
        <f>'May-24'!AJ5</f>
        <v>0.31787302041997006</v>
      </c>
      <c r="BP2" s="304">
        <f>'Jun-24'!E5</f>
        <v>0.34041302270889984</v>
      </c>
      <c r="BQ2" s="304">
        <f>'Jun-24'!F5</f>
        <v>0.33698430083972253</v>
      </c>
      <c r="BR2" s="304">
        <f>'Jun-24'!G5</f>
        <v>0.3193840713180579</v>
      </c>
      <c r="BS2" s="304">
        <f>'Jun-24'!H5</f>
        <v>0.33796698523023455</v>
      </c>
      <c r="BT2" s="304">
        <f>'Jun-24'!I5</f>
        <v>0.31669701188818677</v>
      </c>
      <c r="BU2" s="304">
        <f>'Jun-24'!J5</f>
        <v>0.32315123033744536</v>
      </c>
      <c r="BV2" s="304">
        <f>'Jun-24'!K5</f>
        <v>0.33903201084713791</v>
      </c>
      <c r="BW2" s="304">
        <f>'Jun-24'!L5</f>
        <v>0.32206486980356325</v>
      </c>
      <c r="BX2" s="304">
        <f>'Jun-24'!M5</f>
        <v>0.33051869722557298</v>
      </c>
      <c r="BY2" s="304">
        <f>'Jun-24'!N5</f>
        <v>0.33314025052494389</v>
      </c>
      <c r="BZ2" s="304">
        <f>'Jun-24'!O5</f>
        <v>0.33296532017145086</v>
      </c>
      <c r="CA2" s="304">
        <f>'Jun-24'!P5</f>
        <v>0.34153493115757266</v>
      </c>
      <c r="CB2" s="304">
        <f>'Jun-24'!Q5</f>
        <v>0.33234148069429686</v>
      </c>
      <c r="CC2" s="304">
        <f>'Jun-24'!R5</f>
        <v>0.33872948531874514</v>
      </c>
      <c r="CD2" s="304">
        <f>'Jun-24'!S5</f>
        <v>0.33201160541586072</v>
      </c>
      <c r="CE2" s="304">
        <f>'Jun-24'!T5</f>
        <v>0.33197389885807504</v>
      </c>
      <c r="CF2" s="304">
        <f>'Jun-24'!U5</f>
        <v>0.32156122511112462</v>
      </c>
      <c r="CG2" s="304">
        <f>'Jun-24'!V5</f>
        <v>0.34084995663486556</v>
      </c>
      <c r="CH2" s="304">
        <f>'Jun-24'!W5</f>
        <v>0.32821614983113295</v>
      </c>
      <c r="CI2" s="304">
        <f>'Jun-24'!X5</f>
        <v>0.33876888324156429</v>
      </c>
      <c r="CJ2" s="304">
        <f>'Jun-24'!Y5</f>
        <v>0.33012738853503187</v>
      </c>
      <c r="CK2" s="304">
        <f>'Jun-24'!Z5</f>
        <v>0.34297173167734007</v>
      </c>
      <c r="CL2" s="304">
        <f>'Jun-24'!AA5</f>
        <v>0.31588197206548885</v>
      </c>
      <c r="CM2" s="304">
        <f>'Jun-24'!AB5</f>
        <v>0.32059659799471241</v>
      </c>
      <c r="CN2" s="304">
        <f>'Jun-24'!AC5</f>
        <v>0.32714334124025751</v>
      </c>
      <c r="CO2" s="304">
        <f>'Jun-24'!AD5</f>
        <v>0.33567909922589728</v>
      </c>
      <c r="CP2" s="304">
        <f>'Jun-24'!AE5</f>
        <v>0.34560803434975618</v>
      </c>
      <c r="CQ2" s="304">
        <f>'Jun-24'!AF5</f>
        <v>0.34040197581331971</v>
      </c>
      <c r="CR2" s="304">
        <f>'Jun-24'!AG5</f>
        <v>0.3403578092415761</v>
      </c>
      <c r="CS2" s="304">
        <f>'Jun-24'!AH5</f>
        <v>0.34126341364648716</v>
      </c>
      <c r="CT2" s="304">
        <f>'Jun-24'!AJ5</f>
        <v>0.33253121302788213</v>
      </c>
      <c r="CU2" s="304">
        <f>'Jul-24'!E5</f>
        <v>0.34111980734497288</v>
      </c>
      <c r="CV2" s="304">
        <f>'Jul-24'!F5</f>
        <v>0.34069328452122183</v>
      </c>
      <c r="CW2" s="304">
        <f>'Jul-24'!G5</f>
        <v>0.31094527363184077</v>
      </c>
      <c r="CX2" s="304">
        <f>'Jul-24'!H5</f>
        <v>0.31707578518597923</v>
      </c>
      <c r="CY2" s="304">
        <f>'Jul-24'!I5</f>
        <v>0.34101775956284153</v>
      </c>
      <c r="CZ2" s="304">
        <f>'Jul-24'!J5</f>
        <v>0.34537481728962205</v>
      </c>
      <c r="DA2" s="304">
        <f>'Jul-24'!K5</f>
        <v>0.33783911522828247</v>
      </c>
      <c r="DB2" s="304">
        <f>'Jul-24'!L5</f>
        <v>0.34223471539002109</v>
      </c>
      <c r="DC2" s="304">
        <f>'Jul-24'!M5</f>
        <v>0.34088417975886004</v>
      </c>
      <c r="DD2" s="304">
        <f>'Jul-24'!N5</f>
        <v>0.34075552825552824</v>
      </c>
      <c r="DE2" s="304">
        <f>'Jul-24'!O5</f>
        <v>0.3406393799951562</v>
      </c>
      <c r="DF2" s="304">
        <f>'Jul-24'!P5</f>
        <v>0.34025091972455429</v>
      </c>
      <c r="DG2" s="304">
        <f>'Jul-24'!Q5</f>
        <v>0.33025048169556842</v>
      </c>
      <c r="DH2" s="304">
        <f>'Jul-24'!R5</f>
        <v>0.3421119592875318</v>
      </c>
      <c r="DI2" s="304">
        <f>'Jul-24'!S5</f>
        <v>0.33767912940415906</v>
      </c>
      <c r="DJ2" s="304">
        <f>'Jul-24'!T5</f>
        <v>0.34172185430463575</v>
      </c>
      <c r="DK2" s="304">
        <f>'Jul-24'!U5</f>
        <v>0.34188376753507016</v>
      </c>
      <c r="DL2" s="304">
        <f>'Jul-24'!V5</f>
        <v>0.34162115550445532</v>
      </c>
      <c r="DM2" s="304">
        <f>'Jul-24'!W5</f>
        <v>0.34084329767149152</v>
      </c>
      <c r="DN2" s="304">
        <f>'Jul-24'!X5</f>
        <v>0.34134366925064602</v>
      </c>
      <c r="DO2" s="304">
        <f>'Jul-24'!Y5</f>
        <v>0.33951571354971666</v>
      </c>
      <c r="DP2" s="304">
        <f>'Jul-24'!Z5</f>
        <v>0.33828745144401284</v>
      </c>
      <c r="DQ2" s="304">
        <f>'Jul-24'!AA5</f>
        <v>0.3360951008645533</v>
      </c>
      <c r="DR2" s="304">
        <f>'Jul-24'!AB5</f>
        <v>0.34376053962900505</v>
      </c>
      <c r="DS2" s="304">
        <f>'Jul-24'!AC5</f>
        <v>0.33714967203339297</v>
      </c>
      <c r="DT2" s="304">
        <f>'Jul-24'!AD5</f>
        <v>0.34029720279720282</v>
      </c>
      <c r="DU2" s="304">
        <f>'Jul-24'!AE5</f>
        <v>0.33383116421307163</v>
      </c>
      <c r="DV2" s="304">
        <f>'Jul-24'!AF5</f>
        <v>0.32250796363918888</v>
      </c>
      <c r="DW2" s="304">
        <f>'Jul-24'!AG5</f>
        <v>0.32630393996247653</v>
      </c>
      <c r="DX2" s="304">
        <f>'Jul-24'!AH5</f>
        <v>0.33846153846153848</v>
      </c>
      <c r="DY2" s="304">
        <f>'Jul-24'!AI5</f>
        <v>0.34104560622914348</v>
      </c>
      <c r="DZ2" s="304">
        <f>'Jul-24'!AJ5</f>
        <v>0.33659521939176301</v>
      </c>
      <c r="EA2" s="304">
        <f>'Aug-24'!E5</f>
        <v>0.34058277027027029</v>
      </c>
      <c r="EB2" s="304">
        <f>'Aug-24'!F5</f>
        <v>0.31552273385461915</v>
      </c>
      <c r="EC2" s="304">
        <f>'Aug-24'!G5</f>
        <v>0.32155677309654263</v>
      </c>
      <c r="ED2" s="304">
        <f>'Aug-24'!H5</f>
        <v>0.32046600591201529</v>
      </c>
      <c r="EE2" s="304">
        <f>'Aug-24'!I5</f>
        <v>0.31391186273299593</v>
      </c>
      <c r="EF2" s="304">
        <f>'Aug-24'!J5</f>
        <v>0.31623831775700934</v>
      </c>
      <c r="EG2" s="304">
        <f>'Aug-24'!K5</f>
        <v>0.3119846069268829</v>
      </c>
      <c r="EH2" s="304">
        <f>'Aug-24'!L5</f>
        <v>0.29286640726329444</v>
      </c>
      <c r="EI2" s="304">
        <f>'Aug-24'!M5</f>
        <v>0.30217627856365614</v>
      </c>
      <c r="EJ2" s="304">
        <f>'Aug-24'!N5</f>
        <v>0.31405279503105588</v>
      </c>
      <c r="EK2" s="304">
        <f>'Aug-24'!O5</f>
        <v>0.33010122535961639</v>
      </c>
      <c r="EL2" s="304">
        <f>'Aug-24'!P5</f>
        <v>0.31386470194239785</v>
      </c>
      <c r="EM2" s="304">
        <f>'Aug-24'!Q5</f>
        <v>0.32114208021753909</v>
      </c>
      <c r="EN2" s="304">
        <f>'Aug-24'!R5</f>
        <v>0.3213588110403397</v>
      </c>
      <c r="EO2" s="304">
        <f>'Aug-24'!S5</f>
        <v>0.31176470588235294</v>
      </c>
      <c r="EP2" s="304">
        <f>'Aug-24'!T5</f>
        <v>0.31205295185224724</v>
      </c>
      <c r="EQ2" s="304">
        <f>'Aug-24'!U5</f>
        <v>0.31541353383458648</v>
      </c>
      <c r="ER2" s="304">
        <f>'Aug-24'!V5</f>
        <v>0.3216970998925886</v>
      </c>
      <c r="ES2" s="304">
        <f>'Aug-24'!W5</f>
        <v>0.30990658266348031</v>
      </c>
      <c r="ET2" s="304">
        <f>'Aug-24'!X5</f>
        <v>0.3056576047024247</v>
      </c>
      <c r="EU2" s="304">
        <f>'Aug-24'!Y5</f>
        <v>0.30760095011876487</v>
      </c>
      <c r="EV2" s="304">
        <f>'Aug-24'!Z5</f>
        <v>0.30635838150289019</v>
      </c>
      <c r="EW2" s="304">
        <f>'Aug-24'!AA5</f>
        <v>0.32205882352941179</v>
      </c>
      <c r="EX2" s="304">
        <f>'Aug-24'!AB5</f>
        <v>0.31959657303980044</v>
      </c>
      <c r="EY2" s="304">
        <f>'Aug-24'!AC5</f>
        <v>0.34567496723460028</v>
      </c>
      <c r="EZ2" s="304">
        <f>'Aug-24'!AD5</f>
        <v>0.3395856951458312</v>
      </c>
      <c r="FA2" s="304">
        <f>'Aug-24'!AE5</f>
        <v>0.32188194224055855</v>
      </c>
      <c r="FB2" s="304">
        <f>'Aug-24'!AF5</f>
        <v>0.33027692877651199</v>
      </c>
      <c r="FC2" s="304">
        <f>'Aug-24'!AG5</f>
        <v>0.32757475083056481</v>
      </c>
      <c r="FD2" s="304">
        <f>'Aug-24'!AH5</f>
        <v>0.31375367526951975</v>
      </c>
      <c r="FE2" s="304">
        <f>'Aug-24'!AI5</f>
        <v>0.330497286196274</v>
      </c>
      <c r="FF2" s="304">
        <f>'Aug-24'!AJ5</f>
        <v>0.31799197478492175</v>
      </c>
      <c r="FG2" s="304">
        <f>'Sep-24'!E5</f>
        <v>0.33208221626452189</v>
      </c>
      <c r="FH2" s="304">
        <f>'Sep-24'!F5</f>
        <v>0.32371169029628999</v>
      </c>
      <c r="FI2" s="304">
        <f>'Sep-24'!G5</f>
        <v>0.33575184016824394</v>
      </c>
      <c r="FJ2" s="304">
        <f>'Sep-24'!H5</f>
        <v>0.32234513274336285</v>
      </c>
      <c r="FK2" s="304">
        <f>'Sep-24'!AJ5</f>
        <v>0.32803210463733651</v>
      </c>
      <c r="FL2" s="348" t="s">
        <v>257</v>
      </c>
    </row>
    <row r="3" spans="1:170" s="131" customFormat="1" ht="22.2" x14ac:dyDescent="0.45">
      <c r="A3" s="157" t="s">
        <v>129</v>
      </c>
      <c r="B3" s="157" t="s">
        <v>128</v>
      </c>
      <c r="C3" s="302">
        <v>0.27074824420227672</v>
      </c>
      <c r="D3" s="303">
        <f>'Day Wise 24-25'!M5</f>
        <v>0.27</v>
      </c>
      <c r="E3" s="304">
        <f>'Apr-24'!E8</f>
        <v>0.27465437788018432</v>
      </c>
      <c r="F3" s="304" t="str">
        <f>'Apr-24'!F8</f>
        <v>-</v>
      </c>
      <c r="G3" s="304">
        <f>'Apr-24'!G8</f>
        <v>0.279144385026738</v>
      </c>
      <c r="H3" s="304">
        <f>'Apr-24'!H8</f>
        <v>0.27920792079207923</v>
      </c>
      <c r="I3" s="304">
        <f>'Apr-24'!I8</f>
        <v>0.2830336200156372</v>
      </c>
      <c r="J3" s="304" t="str">
        <f>'Apr-24'!J8</f>
        <v>-</v>
      </c>
      <c r="K3" s="304">
        <f>'Apr-24'!K8</f>
        <v>0.27191679049034173</v>
      </c>
      <c r="L3" s="304">
        <f>'Apr-24'!L8</f>
        <v>0.27459807073954984</v>
      </c>
      <c r="M3" s="304">
        <f>'Apr-24'!M8</f>
        <v>0.28042328042328041</v>
      </c>
      <c r="N3" s="304">
        <f>'Apr-24'!N8</f>
        <v>0.28036437246963564</v>
      </c>
      <c r="O3" s="304" t="str">
        <f>'Apr-24'!O8</f>
        <v>-</v>
      </c>
      <c r="P3" s="304" t="str">
        <f>'Apr-24'!P8</f>
        <v>-</v>
      </c>
      <c r="Q3" s="304">
        <f>'Apr-24'!Q8</f>
        <v>0.27703523693803161</v>
      </c>
      <c r="R3" s="304">
        <f>'Apr-24'!R8</f>
        <v>0.27078651685393257</v>
      </c>
      <c r="S3" s="304">
        <f>'Apr-24'!S8</f>
        <v>0.27391304347826084</v>
      </c>
      <c r="T3" s="304" t="str">
        <f>'Apr-24'!T8</f>
        <v>-</v>
      </c>
      <c r="U3" s="304">
        <f>'Apr-24'!U8</f>
        <v>0.2769342010122921</v>
      </c>
      <c r="V3" s="304">
        <f>'Apr-24'!V8</f>
        <v>0.27500000000000002</v>
      </c>
      <c r="W3" s="304" t="str">
        <f>'Apr-24'!W8</f>
        <v>-</v>
      </c>
      <c r="X3" s="304">
        <f>'Apr-24'!X8</f>
        <v>0.27032734952481519</v>
      </c>
      <c r="Y3" s="304" t="str">
        <f>'Apr-24'!Y8</f>
        <v>-</v>
      </c>
      <c r="Z3" s="304">
        <f>'Apr-24'!Z8</f>
        <v>0.26619964973730298</v>
      </c>
      <c r="AA3" s="304" t="str">
        <f>'Apr-24'!AA8</f>
        <v>-</v>
      </c>
      <c r="AB3" s="304" t="str">
        <f>'Apr-24'!AB8</f>
        <v>-</v>
      </c>
      <c r="AC3" s="304" t="str">
        <f>'Apr-24'!AC8</f>
        <v>-</v>
      </c>
      <c r="AD3" s="304">
        <f>'Apr-24'!AD8</f>
        <v>0.28024316109422492</v>
      </c>
      <c r="AE3" s="304">
        <f>'Apr-24'!AE8</f>
        <v>0.28095238095238095</v>
      </c>
      <c r="AF3" s="304" t="str">
        <f>'Apr-24'!AF8</f>
        <v>-</v>
      </c>
      <c r="AG3" s="304">
        <f>'Apr-24'!AG8</f>
        <v>0.27898089171974522</v>
      </c>
      <c r="AH3" s="304">
        <f>'Apr-24'!AH8</f>
        <v>0.255</v>
      </c>
      <c r="AI3" s="304">
        <f>'Apr-24'!AI8</f>
        <v>0.27545501820072804</v>
      </c>
      <c r="AJ3" s="304" t="str">
        <f>'May-24'!E8</f>
        <v>-</v>
      </c>
      <c r="AK3" s="304">
        <f>'May-24'!F8</f>
        <v>0.27004219409282698</v>
      </c>
      <c r="AL3" s="304" t="str">
        <f>'May-24'!G8</f>
        <v>-</v>
      </c>
      <c r="AM3" s="304">
        <f>'May-24'!H8</f>
        <v>0.27272727272727271</v>
      </c>
      <c r="AN3" s="304" t="str">
        <f>'May-24'!I8</f>
        <v>-</v>
      </c>
      <c r="AO3" s="304">
        <f>'May-24'!J8</f>
        <v>0.27033639143730887</v>
      </c>
      <c r="AP3" s="304">
        <f>'May-24'!K8</f>
        <v>0.2711864406779661</v>
      </c>
      <c r="AQ3" s="304" t="str">
        <f>'May-24'!L8</f>
        <v>-</v>
      </c>
      <c r="AR3" s="304">
        <f>'May-24'!M8</f>
        <v>0.27250000000000002</v>
      </c>
      <c r="AS3" s="304">
        <f>'May-24'!N8</f>
        <v>0.2614035087719298</v>
      </c>
      <c r="AT3" s="304" t="str">
        <f>'May-24'!O8</f>
        <v>-</v>
      </c>
      <c r="AU3" s="304">
        <f>'May-24'!P8</f>
        <v>0.270473328324568</v>
      </c>
      <c r="AV3" s="304" t="str">
        <f>'May-24'!Q8</f>
        <v>-</v>
      </c>
      <c r="AW3" s="304" t="str">
        <f>'May-24'!R8</f>
        <v>-</v>
      </c>
      <c r="AX3" s="304" t="str">
        <f>'May-24'!S8</f>
        <v>-</v>
      </c>
      <c r="AY3" s="304">
        <f>'May-24'!T8</f>
        <v>0.27517006802721089</v>
      </c>
      <c r="AZ3" s="304" t="str">
        <f>'May-24'!U8</f>
        <v>-</v>
      </c>
      <c r="BA3" s="304" t="str">
        <f>'May-24'!V8</f>
        <v>-</v>
      </c>
      <c r="BB3" s="304" t="str">
        <f>'May-24'!W8</f>
        <v>-</v>
      </c>
      <c r="BC3" s="304">
        <f>'May-24'!X8</f>
        <v>0.27516778523489932</v>
      </c>
      <c r="BD3" s="304">
        <f>'May-24'!Y8</f>
        <v>0.27524752475247527</v>
      </c>
      <c r="BE3" s="304" t="str">
        <f>'May-24'!Z8</f>
        <v>-</v>
      </c>
      <c r="BF3" s="304" t="str">
        <f>'May-24'!AA8</f>
        <v>-</v>
      </c>
      <c r="BG3" s="304">
        <f>'May-24'!AB8</f>
        <v>0.27061105722599416</v>
      </c>
      <c r="BH3" s="304">
        <f>'May-24'!AC8</f>
        <v>0.27193744569939182</v>
      </c>
      <c r="BI3" s="304" t="str">
        <f>'May-24'!AD8</f>
        <v>-</v>
      </c>
      <c r="BJ3" s="304">
        <f>'May-24'!AE8</f>
        <v>0.2687074829931973</v>
      </c>
      <c r="BK3" s="304" t="str">
        <f>'May-24'!AF8</f>
        <v>-</v>
      </c>
      <c r="BL3" s="304" t="str">
        <f>'May-24'!AG8</f>
        <v>-</v>
      </c>
      <c r="BM3" s="304" t="str">
        <f>'May-24'!AH8</f>
        <v>-</v>
      </c>
      <c r="BN3" s="304">
        <f>'May-24'!AI8</f>
        <v>0.27810026385224274</v>
      </c>
      <c r="BO3" s="304">
        <f>'May-24'!AJ8</f>
        <v>0.27247223845704266</v>
      </c>
      <c r="BP3" s="304" t="str">
        <f>'Jun-24'!E8</f>
        <v>-</v>
      </c>
      <c r="BQ3" s="304" t="str">
        <f>'Jun-24'!F8</f>
        <v>-</v>
      </c>
      <c r="BR3" s="304" t="str">
        <f>'Jun-24'!G8</f>
        <v>-</v>
      </c>
      <c r="BS3" s="304" t="str">
        <f>'Jun-24'!H8</f>
        <v>-</v>
      </c>
      <c r="BT3" s="304">
        <f>'Jun-24'!I8</f>
        <v>0.28321167883211679</v>
      </c>
      <c r="BU3" s="304">
        <f>'Jun-24'!J8</f>
        <v>0.27576470588235297</v>
      </c>
      <c r="BV3" s="304" t="str">
        <f>'Jun-24'!K8</f>
        <v>-</v>
      </c>
      <c r="BW3" s="304">
        <f>'Jun-24'!L8</f>
        <v>0.28214665249734328</v>
      </c>
      <c r="BX3" s="304" t="str">
        <f>'Jun-24'!M8</f>
        <v>-</v>
      </c>
      <c r="BY3" s="304" t="str">
        <f>'Jun-24'!N8</f>
        <v>-</v>
      </c>
      <c r="BZ3" s="304">
        <f>'Jun-24'!O8</f>
        <v>0.26983050847457629</v>
      </c>
      <c r="CA3" s="304" t="str">
        <f>'Jun-24'!P8</f>
        <v>-</v>
      </c>
      <c r="CB3" s="304" t="str">
        <f>'Jun-24'!Q8</f>
        <v>-</v>
      </c>
      <c r="CC3" s="304" t="str">
        <f>'Jun-24'!R8</f>
        <v>-</v>
      </c>
      <c r="CD3" s="304">
        <f>'Jun-24'!S8</f>
        <v>0.28120775123929698</v>
      </c>
      <c r="CE3" s="304" t="str">
        <f>'Jun-24'!T8</f>
        <v>-</v>
      </c>
      <c r="CF3" s="304" t="str">
        <f>'Jun-24'!U8</f>
        <v>-</v>
      </c>
      <c r="CG3" s="304">
        <f>'Jun-24'!V8</f>
        <v>0.27921044253422478</v>
      </c>
      <c r="CH3" s="304" t="str">
        <f>'Jun-24'!W8</f>
        <v>-</v>
      </c>
      <c r="CI3" s="304" t="str">
        <f>'Jun-24'!X8</f>
        <v>-</v>
      </c>
      <c r="CJ3" s="304">
        <f>'Jun-24'!Y8</f>
        <v>0.27531806615776083</v>
      </c>
      <c r="CK3" s="304">
        <f>'Jun-24'!Z8</f>
        <v>0.28351881293057762</v>
      </c>
      <c r="CL3" s="304" t="str">
        <f>'Jun-24'!AA8</f>
        <v>-</v>
      </c>
      <c r="CM3" s="304">
        <f>'Jun-24'!AB8</f>
        <v>0.27516778523489932</v>
      </c>
      <c r="CN3" s="304" t="str">
        <f>'Jun-24'!AC8</f>
        <v>-</v>
      </c>
      <c r="CO3" s="304" t="str">
        <f>'Jun-24'!AD8</f>
        <v>-</v>
      </c>
      <c r="CP3" s="304" t="str">
        <f>'Jun-24'!AE8</f>
        <v>-</v>
      </c>
      <c r="CQ3" s="304" t="str">
        <f>'Jun-24'!AF8</f>
        <v>-</v>
      </c>
      <c r="CR3" s="304">
        <f>'Jun-24'!AG8</f>
        <v>0.28119001919385794</v>
      </c>
      <c r="CS3" s="304" t="str">
        <f>'Jun-24'!AH8</f>
        <v>-</v>
      </c>
      <c r="CT3" s="304">
        <f>'Jun-24'!AJ8</f>
        <v>0.27899221934049651</v>
      </c>
      <c r="CU3" s="304" t="str">
        <f>'Jul-24'!E8</f>
        <v>-</v>
      </c>
      <c r="CV3" s="304" t="str">
        <f>'Jul-24'!F8</f>
        <v>-</v>
      </c>
      <c r="CW3" s="304">
        <f>'Jul-24'!G8</f>
        <v>0.27074235807860264</v>
      </c>
      <c r="CX3" s="304">
        <f>'Jul-24'!H8</f>
        <v>0.2804733727810651</v>
      </c>
      <c r="CY3" s="304">
        <f>'Jul-24'!I8</f>
        <v>0.29039704524469068</v>
      </c>
      <c r="CZ3" s="304" t="str">
        <f>'Jul-24'!J8</f>
        <v>-</v>
      </c>
      <c r="DA3" s="304">
        <f>'Jul-24'!K8</f>
        <v>0.28059071729957807</v>
      </c>
      <c r="DB3" s="304" t="str">
        <f>'Jul-24'!L8</f>
        <v>-</v>
      </c>
      <c r="DC3" s="304">
        <f>'Jul-24'!M8</f>
        <v>0.28085867620751342</v>
      </c>
      <c r="DD3" s="304" t="str">
        <f>'Jul-24'!N8</f>
        <v>-</v>
      </c>
      <c r="DE3" s="304" t="str">
        <f>'Jul-24'!O8</f>
        <v>-</v>
      </c>
      <c r="DF3" s="304">
        <f>'Jul-24'!P8</f>
        <v>0.27990235964198534</v>
      </c>
      <c r="DG3" s="304" t="str">
        <f>'Jul-24'!Q8</f>
        <v>-</v>
      </c>
      <c r="DH3" s="304" t="str">
        <f>'Jul-24'!R8</f>
        <v>-</v>
      </c>
      <c r="DI3" s="304" t="str">
        <f>'Jul-24'!S8</f>
        <v>-</v>
      </c>
      <c r="DJ3" s="304" t="str">
        <f>'Jul-24'!T8</f>
        <v>-</v>
      </c>
      <c r="DK3" s="304" t="str">
        <f>'Jul-24'!U8</f>
        <v>-</v>
      </c>
      <c r="DL3" s="304">
        <f>'Jul-24'!V8</f>
        <v>0.28056872037914693</v>
      </c>
      <c r="DM3" s="304" t="str">
        <f>'Jul-24'!W8</f>
        <v>-</v>
      </c>
      <c r="DN3" s="304" t="str">
        <f>'Jul-24'!X8</f>
        <v>-</v>
      </c>
      <c r="DO3" s="304" t="str">
        <f>'Jul-24'!Y8</f>
        <v>-</v>
      </c>
      <c r="DP3" s="304" t="str">
        <f>'Jul-24'!Z8</f>
        <v>-</v>
      </c>
      <c r="DQ3" s="304">
        <f>'Jul-24'!AA8</f>
        <v>0.29129287598944592</v>
      </c>
      <c r="DR3" s="304">
        <f>'Jul-24'!AB8</f>
        <v>0.29090909090909089</v>
      </c>
      <c r="DS3" s="304" t="str">
        <f>'Jul-24'!AC8</f>
        <v>-</v>
      </c>
      <c r="DT3" s="304" t="str">
        <f>'Jul-24'!AD8</f>
        <v>-</v>
      </c>
      <c r="DU3" s="304">
        <f>'Jul-24'!AE8</f>
        <v>0.28027681660899656</v>
      </c>
      <c r="DV3" s="304">
        <f>'Jul-24'!AF8</f>
        <v>0.28095238095238095</v>
      </c>
      <c r="DW3" s="304">
        <f>'Jul-24'!AG8</f>
        <v>0.27178082191780822</v>
      </c>
      <c r="DX3" s="304" t="str">
        <f>'Jul-24'!AH8</f>
        <v>-</v>
      </c>
      <c r="DY3" s="304" t="str">
        <f>'Jul-24'!AI8</f>
        <v>-</v>
      </c>
      <c r="DZ3" s="304">
        <f>'Jul-24'!AJ8</f>
        <v>0.28119125939849626</v>
      </c>
      <c r="EA3" s="304" t="str">
        <f>'Aug-24'!E8</f>
        <v>-</v>
      </c>
      <c r="EB3" s="304" t="str">
        <f>'Aug-24'!F8</f>
        <v>-</v>
      </c>
      <c r="EC3" s="304" t="str">
        <f>'Aug-24'!G8</f>
        <v>-</v>
      </c>
      <c r="ED3" s="304" t="str">
        <f>'Aug-24'!H8</f>
        <v>-</v>
      </c>
      <c r="EE3" s="304">
        <f>'Aug-24'!I8</f>
        <v>0.27516198704103673</v>
      </c>
      <c r="EF3" s="304" t="str">
        <f>'Aug-24'!J8</f>
        <v>-</v>
      </c>
      <c r="EG3" s="304" t="str">
        <f>'Aug-24'!K8</f>
        <v>-</v>
      </c>
      <c r="EH3" s="304" t="str">
        <f>'Aug-24'!L8</f>
        <v>-</v>
      </c>
      <c r="EI3" s="304" t="str">
        <f>'Aug-24'!M8</f>
        <v>-</v>
      </c>
      <c r="EJ3" s="304" t="str">
        <f>'Aug-24'!N8</f>
        <v>-</v>
      </c>
      <c r="EK3" s="304" t="str">
        <f>'Aug-24'!O8</f>
        <v>-</v>
      </c>
      <c r="EL3" s="304">
        <f>'Aug-24'!P8</f>
        <v>0.26983050847457629</v>
      </c>
      <c r="EM3" s="304" t="str">
        <f>'Aug-24'!Q8</f>
        <v>-</v>
      </c>
      <c r="EN3" s="304" t="str">
        <f>'Aug-24'!R8</f>
        <v>-</v>
      </c>
      <c r="EO3" s="304" t="str">
        <f>'Aug-24'!S8</f>
        <v>-</v>
      </c>
      <c r="EP3" s="304" t="str">
        <f>'Aug-24'!T8</f>
        <v>-</v>
      </c>
      <c r="EQ3" s="304" t="str">
        <f>'Aug-24'!U8</f>
        <v>-</v>
      </c>
      <c r="ER3" s="304">
        <f>'Aug-24'!V8</f>
        <v>0.28008021390374332</v>
      </c>
      <c r="ES3" s="304">
        <f>'Aug-24'!W8</f>
        <v>0.27055067837190744</v>
      </c>
      <c r="ET3" s="304">
        <f>'Aug-24'!X8</f>
        <v>0.26593625498007967</v>
      </c>
      <c r="EU3" s="304" t="str">
        <f>'Aug-24'!Y8</f>
        <v>-</v>
      </c>
      <c r="EV3" s="304" t="str">
        <f>'Aug-24'!Z8</f>
        <v>-</v>
      </c>
      <c r="EW3" s="304">
        <f>'Aug-24'!AA8</f>
        <v>0.28322147651006713</v>
      </c>
      <c r="EX3" s="304" t="str">
        <f>'Aug-24'!AB8</f>
        <v>-</v>
      </c>
      <c r="EY3" s="304" t="str">
        <f>'Aug-24'!AC8</f>
        <v>-</v>
      </c>
      <c r="EZ3" s="304" t="str">
        <f>'Aug-24'!AD8</f>
        <v>-</v>
      </c>
      <c r="FA3" s="304">
        <f>'Aug-24'!AE8</f>
        <v>0.27796420581655479</v>
      </c>
      <c r="FB3" s="304" t="str">
        <f>'Aug-24'!AF8</f>
        <v>-</v>
      </c>
      <c r="FC3" s="304" t="str">
        <f>'Aug-24'!AG8</f>
        <v>-</v>
      </c>
      <c r="FD3" s="304" t="str">
        <f>'Aug-24'!AH8</f>
        <v>-</v>
      </c>
      <c r="FE3" s="304" t="str">
        <f>'Aug-24'!AI8</f>
        <v>-</v>
      </c>
      <c r="FF3" s="304">
        <f>'Aug-24'!AJ8</f>
        <v>0.27471218737594283</v>
      </c>
      <c r="FG3" s="304">
        <f>'Sep-24'!E8</f>
        <v>0.28090909090909089</v>
      </c>
      <c r="FH3" s="304" t="str">
        <f>'Sep-24'!F8</f>
        <v>-</v>
      </c>
      <c r="FI3" s="304" t="str">
        <f>'Sep-24'!G8</f>
        <v>-</v>
      </c>
      <c r="FJ3" s="304" t="str">
        <f>'Sep-24'!H8</f>
        <v>-</v>
      </c>
      <c r="FK3" s="304">
        <f>'Sep-24'!AJ8</f>
        <v>0.28111888111888111</v>
      </c>
      <c r="FL3" s="348"/>
    </row>
    <row r="4" spans="1:170" s="131" customFormat="1" ht="22.2" x14ac:dyDescent="0.45">
      <c r="A4" s="157" t="s">
        <v>208</v>
      </c>
      <c r="B4" s="157" t="s">
        <v>128</v>
      </c>
      <c r="C4" s="305">
        <v>0.29799999999999999</v>
      </c>
      <c r="D4" s="303">
        <f>'Day Wise 24-25'!M6</f>
        <v>0.3</v>
      </c>
      <c r="E4" s="304">
        <f>'Apr-24'!E11</f>
        <v>0.29531249999999998</v>
      </c>
      <c r="F4" s="304" t="str">
        <f>'Apr-24'!F11</f>
        <v>-</v>
      </c>
      <c r="G4" s="304">
        <f>'Apr-24'!G11</f>
        <v>0.30173410404624279</v>
      </c>
      <c r="H4" s="304">
        <f>'Apr-24'!H11</f>
        <v>0.30696378830083565</v>
      </c>
      <c r="I4" s="304" t="str">
        <f>'Apr-24'!I11</f>
        <v>-</v>
      </c>
      <c r="J4" s="304">
        <f>'Apr-24'!J11</f>
        <v>0.3</v>
      </c>
      <c r="K4" s="304">
        <f>'Apr-24'!K11</f>
        <v>0.30392156862745096</v>
      </c>
      <c r="L4" s="304">
        <f>'Apr-24'!L11</f>
        <v>0.30452674897119342</v>
      </c>
      <c r="M4" s="304">
        <f>'Apr-24'!M11</f>
        <v>0.30191972076788831</v>
      </c>
      <c r="N4" s="304">
        <f>'Apr-24'!N11</f>
        <v>0.30125120307988451</v>
      </c>
      <c r="O4" s="304" t="str">
        <f>'Apr-24'!O11</f>
        <v>-</v>
      </c>
      <c r="P4" s="304" t="str">
        <f>'Apr-24'!P11</f>
        <v>-</v>
      </c>
      <c r="Q4" s="304">
        <f>'Apr-24'!Q11</f>
        <v>0.30866540164452877</v>
      </c>
      <c r="R4" s="304">
        <f>'Apr-24'!R11</f>
        <v>0.30720720720720723</v>
      </c>
      <c r="S4" s="304">
        <f>'Apr-24'!S11</f>
        <v>0.3070500927643785</v>
      </c>
      <c r="T4" s="304" t="str">
        <f>'Apr-24'!T11</f>
        <v>-</v>
      </c>
      <c r="U4" s="304" t="str">
        <f>'Apr-24'!U11</f>
        <v>-</v>
      </c>
      <c r="V4" s="304">
        <f>'Apr-24'!V11</f>
        <v>0.30375939849624062</v>
      </c>
      <c r="W4" s="304">
        <f>'Apr-24'!W11</f>
        <v>0.29723674383868559</v>
      </c>
      <c r="X4" s="304" t="str">
        <f>'Apr-24'!X11</f>
        <v>-</v>
      </c>
      <c r="Y4" s="304">
        <f>'Apr-24'!Y11</f>
        <v>0.29523809523809524</v>
      </c>
      <c r="Z4" s="304" t="str">
        <f>'Apr-24'!Z11</f>
        <v>-</v>
      </c>
      <c r="AA4" s="304">
        <f>'Apr-24'!AA11</f>
        <v>0.29575757575757577</v>
      </c>
      <c r="AB4" s="304" t="str">
        <f>'Apr-24'!AB11</f>
        <v>-</v>
      </c>
      <c r="AC4" s="304">
        <f>'Apr-24'!AC11</f>
        <v>0.29527027027027025</v>
      </c>
      <c r="AD4" s="304">
        <f>'Apr-24'!AD11</f>
        <v>0.30214285714285716</v>
      </c>
      <c r="AE4" s="304" t="str">
        <f>'Apr-24'!AE11</f>
        <v>-</v>
      </c>
      <c r="AF4" s="304">
        <f>'Apr-24'!AF11</f>
        <v>0.303886925795053</v>
      </c>
      <c r="AG4" s="304" t="str">
        <f>'Apr-24'!AG11</f>
        <v>-</v>
      </c>
      <c r="AH4" s="304" t="str">
        <f>'Apr-24'!AH11</f>
        <v>-</v>
      </c>
      <c r="AI4" s="304">
        <f>'Apr-24'!AI11</f>
        <v>0.30164010521429674</v>
      </c>
      <c r="AJ4" s="304">
        <f>'May-24'!E11</f>
        <v>0.30063694267515922</v>
      </c>
      <c r="AK4" s="304" t="str">
        <f>'May-24'!F11</f>
        <v>-</v>
      </c>
      <c r="AL4" s="304" t="str">
        <f>'May-24'!G11</f>
        <v>-</v>
      </c>
      <c r="AM4" s="304" t="str">
        <f>'May-24'!H11</f>
        <v>-</v>
      </c>
      <c r="AN4" s="304">
        <f>'May-24'!I11</f>
        <v>0.30534979423868314</v>
      </c>
      <c r="AO4" s="304" t="str">
        <f>'May-24'!J11</f>
        <v>-</v>
      </c>
      <c r="AP4" s="304" t="str">
        <f>'May-24'!K11</f>
        <v>-</v>
      </c>
      <c r="AQ4" s="304" t="str">
        <f>'May-24'!L11</f>
        <v>-</v>
      </c>
      <c r="AR4" s="304">
        <f>'May-24'!M11</f>
        <v>0.30163934426229511</v>
      </c>
      <c r="AS4" s="304" t="str">
        <f>'May-24'!N11</f>
        <v>-</v>
      </c>
      <c r="AT4" s="304">
        <f>'May-24'!O11</f>
        <v>0.30199039121482496</v>
      </c>
      <c r="AU4" s="304">
        <f>'May-24'!P11</f>
        <v>0.30139534883720931</v>
      </c>
      <c r="AV4" s="304" t="str">
        <f>'May-24'!Q11</f>
        <v>-</v>
      </c>
      <c r="AW4" s="304">
        <f>'May-24'!R11</f>
        <v>0.30456273764258557</v>
      </c>
      <c r="AX4" s="304" t="str">
        <f>'May-24'!S11</f>
        <v>-</v>
      </c>
      <c r="AY4" s="304" t="str">
        <f>'May-24'!T11</f>
        <v>-</v>
      </c>
      <c r="AZ4" s="304">
        <f>'May-24'!U11</f>
        <v>0.29796640141467728</v>
      </c>
      <c r="BA4" s="304">
        <f>'May-24'!V11</f>
        <v>0.30210084033613444</v>
      </c>
      <c r="BB4" s="304" t="str">
        <f>'May-24'!W11</f>
        <v>-</v>
      </c>
      <c r="BC4" s="304" t="str">
        <f>'May-24'!X11</f>
        <v>-</v>
      </c>
      <c r="BD4" s="304" t="str">
        <f>'May-24'!Y11</f>
        <v>-</v>
      </c>
      <c r="BE4" s="304">
        <f>'May-24'!Z11</f>
        <v>0.30621468926553674</v>
      </c>
      <c r="BF4" s="304">
        <f>'May-24'!AA11</f>
        <v>0.29365079365079366</v>
      </c>
      <c r="BG4" s="304" t="str">
        <f>'May-24'!AB11</f>
        <v>-</v>
      </c>
      <c r="BH4" s="304">
        <f>'May-24'!AC11</f>
        <v>0.29830605799598048</v>
      </c>
      <c r="BI4" s="304" t="str">
        <f>'May-24'!AD11</f>
        <v>-</v>
      </c>
      <c r="BJ4" s="304" t="str">
        <f>'May-24'!AE11</f>
        <v>-</v>
      </c>
      <c r="BK4" s="304" t="str">
        <f>'May-24'!AF11</f>
        <v>-</v>
      </c>
      <c r="BL4" s="304">
        <f>'May-24'!AG11</f>
        <v>0.28125854993160054</v>
      </c>
      <c r="BM4" s="304" t="str">
        <f>'May-24'!AH11</f>
        <v>-</v>
      </c>
      <c r="BN4" s="304" t="str">
        <f>'May-24'!AI11</f>
        <v>-</v>
      </c>
      <c r="BO4" s="304">
        <f>'May-24'!AJ11</f>
        <v>0.29762577727529677</v>
      </c>
      <c r="BP4" s="304" t="str">
        <f>'Jun-24'!E11</f>
        <v>-</v>
      </c>
      <c r="BQ4" s="304" t="str">
        <f>'Jun-24'!F11</f>
        <v>-</v>
      </c>
      <c r="BR4" s="304" t="str">
        <f>'Jun-24'!G11</f>
        <v>-</v>
      </c>
      <c r="BS4" s="304">
        <f>'Jun-24'!H11</f>
        <v>0.30038709677419356</v>
      </c>
      <c r="BT4" s="304" t="str">
        <f>'Jun-24'!I11</f>
        <v>-</v>
      </c>
      <c r="BU4" s="304" t="str">
        <f>'Jun-24'!J11</f>
        <v>-</v>
      </c>
      <c r="BV4" s="304" t="str">
        <f>'Jun-24'!K11</f>
        <v>-</v>
      </c>
      <c r="BW4" s="304">
        <f>'Jun-24'!L11</f>
        <v>0.30065359477124182</v>
      </c>
      <c r="BX4" s="304" t="str">
        <f>'Jun-24'!M11</f>
        <v>-</v>
      </c>
      <c r="BY4" s="304">
        <f>'Jun-24'!N11</f>
        <v>0.30116175156389635</v>
      </c>
      <c r="BZ4" s="304" t="str">
        <f>'Jun-24'!O11</f>
        <v>-</v>
      </c>
      <c r="CA4" s="304">
        <f>'Jun-24'!P11</f>
        <v>0.30248565965583174</v>
      </c>
      <c r="CB4" s="304" t="str">
        <f>'Jun-24'!Q11</f>
        <v>-</v>
      </c>
      <c r="CC4" s="304" t="str">
        <f>'Jun-24'!R11</f>
        <v>-</v>
      </c>
      <c r="CD4" s="304">
        <f>'Jun-24'!S11</f>
        <v>0.30038314176245212</v>
      </c>
      <c r="CE4" s="304" t="str">
        <f>'Jun-24'!T11</f>
        <v>-</v>
      </c>
      <c r="CF4" s="304">
        <f>'Jun-24'!U11</f>
        <v>0.29563318777292574</v>
      </c>
      <c r="CG4" s="304">
        <f>'Jun-24'!V11</f>
        <v>0.30470219435736678</v>
      </c>
      <c r="CH4" s="304" t="str">
        <f>'Jun-24'!W11</f>
        <v>-</v>
      </c>
      <c r="CI4" s="304">
        <f>'Jun-24'!X11</f>
        <v>0.30184331797235026</v>
      </c>
      <c r="CJ4" s="304" t="str">
        <f>'Jun-24'!Y11</f>
        <v>-</v>
      </c>
      <c r="CK4" s="304">
        <f>'Jun-24'!Z11</f>
        <v>0.30791229742612014</v>
      </c>
      <c r="CL4" s="304">
        <f>'Jun-24'!AA11</f>
        <v>0.30106666666666665</v>
      </c>
      <c r="CM4" s="304" t="str">
        <f>'Jun-24'!AB11</f>
        <v>-</v>
      </c>
      <c r="CN4" s="304" t="str">
        <f>'Jun-24'!AC11</f>
        <v>-</v>
      </c>
      <c r="CO4" s="304">
        <f>'Jun-24'!AD11</f>
        <v>0.30877192982456142</v>
      </c>
      <c r="CP4" s="304" t="str">
        <f>'Jun-24'!AE11</f>
        <v>-</v>
      </c>
      <c r="CQ4" s="304">
        <f>'Jun-24'!AF11</f>
        <v>0.3016741790083709</v>
      </c>
      <c r="CR4" s="304" t="str">
        <f>'Jun-24'!AG11</f>
        <v>-</v>
      </c>
      <c r="CS4" s="304" t="str">
        <f>'Jun-24'!AH11</f>
        <v>-</v>
      </c>
      <c r="CT4" s="304">
        <f>'Jun-24'!AJ11</f>
        <v>0.30184172263380182</v>
      </c>
      <c r="CU4" s="304">
        <f>'Jul-24'!E11</f>
        <v>0.3</v>
      </c>
      <c r="CV4" s="304" t="str">
        <f>'Jul-24'!F11</f>
        <v>-</v>
      </c>
      <c r="CW4" s="304">
        <f>'Jul-24'!G11</f>
        <v>0.29561316051844466</v>
      </c>
      <c r="CX4" s="304" t="str">
        <f>'Jul-24'!H11</f>
        <v>-</v>
      </c>
      <c r="CY4" s="304" t="str">
        <f>'Jul-24'!I11</f>
        <v>-</v>
      </c>
      <c r="CZ4" s="304">
        <f>'Jul-24'!J11</f>
        <v>0.30217391304347824</v>
      </c>
      <c r="DA4" s="304">
        <f>'Jul-24'!K11</f>
        <v>0.30077120822622105</v>
      </c>
      <c r="DB4" s="304" t="str">
        <f>'Jul-24'!L11</f>
        <v>-</v>
      </c>
      <c r="DC4" s="304">
        <f>'Jul-24'!M11</f>
        <v>0.30357995226730311</v>
      </c>
      <c r="DD4" s="304" t="str">
        <f>'Jul-24'!N11</f>
        <v>-</v>
      </c>
      <c r="DE4" s="304" t="str">
        <f>'Jul-24'!O11</f>
        <v>-</v>
      </c>
      <c r="DF4" s="304" t="str">
        <f>'Jul-24'!P11</f>
        <v>-</v>
      </c>
      <c r="DG4" s="304">
        <f>'Jul-24'!Q11</f>
        <v>0.30033557046979864</v>
      </c>
      <c r="DH4" s="304" t="str">
        <f>'Jul-24'!R11</f>
        <v>-</v>
      </c>
      <c r="DI4" s="304">
        <f>'Jul-24'!S11</f>
        <v>0.3013574660633484</v>
      </c>
      <c r="DJ4" s="304" t="str">
        <f>'Jul-24'!T11</f>
        <v>-</v>
      </c>
      <c r="DK4" s="304" t="str">
        <f>'Jul-24'!U11</f>
        <v>-</v>
      </c>
      <c r="DL4" s="304" t="str">
        <f>'Jul-24'!V11</f>
        <v>-</v>
      </c>
      <c r="DM4" s="304">
        <f>'Jul-24'!W11</f>
        <v>0.29509202453987732</v>
      </c>
      <c r="DN4" s="304" t="str">
        <f>'Jul-24'!X11</f>
        <v>-</v>
      </c>
      <c r="DO4" s="304">
        <f>'Jul-24'!Y11</f>
        <v>0.30146627565982403</v>
      </c>
      <c r="DP4" s="304" t="str">
        <f>'Jul-24'!Z11</f>
        <v>-</v>
      </c>
      <c r="DQ4" s="304" t="str">
        <f>'Jul-24'!AA11</f>
        <v>-</v>
      </c>
      <c r="DR4" s="304">
        <f>'Jul-24'!AB11</f>
        <v>0.30099009900990098</v>
      </c>
      <c r="DS4" s="304">
        <f>'Jul-24'!AC11</f>
        <v>0.30787401574803147</v>
      </c>
      <c r="DT4" s="304" t="str">
        <f>'Jul-24'!AD11</f>
        <v>-</v>
      </c>
      <c r="DU4" s="304">
        <f>'Jul-24'!AE11</f>
        <v>0.30020618556701029</v>
      </c>
      <c r="DV4" s="304" t="str">
        <f>'Jul-24'!AF11</f>
        <v>-</v>
      </c>
      <c r="DW4" s="304" t="str">
        <f>'Jul-24'!AG11</f>
        <v>-</v>
      </c>
      <c r="DX4" s="304">
        <f>'Jul-24'!AH11</f>
        <v>0.30030769230769233</v>
      </c>
      <c r="DY4" s="304" t="str">
        <f>'Jul-24'!AI11</f>
        <v>-</v>
      </c>
      <c r="DZ4" s="304">
        <f>'Jul-24'!AJ11</f>
        <v>0.30014179927524814</v>
      </c>
      <c r="EA4" s="304" t="str">
        <f>'Aug-24'!E11</f>
        <v>-</v>
      </c>
      <c r="EB4" s="304">
        <f>'Aug-24'!F11</f>
        <v>0.3015753938484621</v>
      </c>
      <c r="EC4" s="304" t="str">
        <f>'Aug-24'!G11</f>
        <v>-</v>
      </c>
      <c r="ED4" s="304" t="str">
        <f>'Aug-24'!H11</f>
        <v>-</v>
      </c>
      <c r="EE4" s="304" t="str">
        <f>'Aug-24'!I11</f>
        <v>-</v>
      </c>
      <c r="EF4" s="304">
        <f>'Aug-24'!J11</f>
        <v>0.29148514851485147</v>
      </c>
      <c r="EG4" s="304" t="str">
        <f>'Aug-24'!K11</f>
        <v>-</v>
      </c>
      <c r="EH4" s="304" t="str">
        <f>'Aug-24'!L11</f>
        <v>-</v>
      </c>
      <c r="EI4" s="304">
        <f>'Aug-24'!M11</f>
        <v>0.28079999999999999</v>
      </c>
      <c r="EJ4" s="304" t="str">
        <f>'Aug-24'!N11</f>
        <v>-</v>
      </c>
      <c r="EK4" s="304" t="str">
        <f>'Aug-24'!O11</f>
        <v>-</v>
      </c>
      <c r="EL4" s="304" t="str">
        <f>'Aug-24'!P11</f>
        <v>-</v>
      </c>
      <c r="EM4" s="304" t="str">
        <f>'Aug-24'!Q11</f>
        <v>-</v>
      </c>
      <c r="EN4" s="304" t="str">
        <f>'Aug-24'!R11</f>
        <v>-</v>
      </c>
      <c r="EO4" s="304">
        <f>'Aug-24'!S11</f>
        <v>0.3000379794910748</v>
      </c>
      <c r="EP4" s="304" t="str">
        <f>'Aug-24'!T11</f>
        <v>-</v>
      </c>
      <c r="EQ4" s="304">
        <f>'Aug-24'!U11</f>
        <v>0.30111524163568776</v>
      </c>
      <c r="ER4" s="304">
        <f>'Aug-24'!V11</f>
        <v>0.30004418912947417</v>
      </c>
      <c r="ES4" s="304" t="str">
        <f>'Aug-24'!W11</f>
        <v>-</v>
      </c>
      <c r="ET4" s="304" t="str">
        <f>'Aug-24'!X11</f>
        <v>-</v>
      </c>
      <c r="EU4" s="304" t="str">
        <f>'Aug-24'!Y11</f>
        <v>-</v>
      </c>
      <c r="EV4" s="304" t="str">
        <f>'Aug-24'!Z11</f>
        <v>-</v>
      </c>
      <c r="EW4" s="304" t="str">
        <f>'Aug-24'!AA11</f>
        <v>-</v>
      </c>
      <c r="EX4" s="304" t="str">
        <f>'Aug-24'!AB11</f>
        <v>-</v>
      </c>
      <c r="EY4" s="304">
        <f>'Aug-24'!AC11</f>
        <v>0.30625424881033309</v>
      </c>
      <c r="EZ4" s="304">
        <f>'Aug-24'!AD11</f>
        <v>0.30680728667305851</v>
      </c>
      <c r="FA4" s="304" t="str">
        <f>'Aug-24'!AE11</f>
        <v>-</v>
      </c>
      <c r="FB4" s="304">
        <f>'Aug-24'!AF11</f>
        <v>0.30555555555555558</v>
      </c>
      <c r="FC4" s="304" t="str">
        <f>'Aug-24'!AG11</f>
        <v>-</v>
      </c>
      <c r="FD4" s="304" t="str">
        <f>'Aug-24'!AH11</f>
        <v>-</v>
      </c>
      <c r="FE4" s="304">
        <f>'Aug-24'!AI11</f>
        <v>0.30732292917166865</v>
      </c>
      <c r="FF4" s="304">
        <f>'Aug-24'!AJ11</f>
        <v>0.3000430015050527</v>
      </c>
      <c r="FG4" s="304" t="str">
        <f>'Sep-24'!E11</f>
        <v>-</v>
      </c>
      <c r="FH4" s="304">
        <f>'Sep-24'!F11</f>
        <v>0.31002570694087406</v>
      </c>
      <c r="FI4" s="304" t="str">
        <f>'Sep-24'!G11</f>
        <v>-</v>
      </c>
      <c r="FJ4" s="304" t="str">
        <f>'Sep-24'!H11</f>
        <v>-</v>
      </c>
      <c r="FK4" s="333">
        <f>'Sep-24'!AJ11</f>
        <v>0.30516206482593039</v>
      </c>
      <c r="FL4" s="348"/>
    </row>
    <row r="5" spans="1:170" s="131" customFormat="1" ht="22.2" x14ac:dyDescent="0.45">
      <c r="A5" s="157" t="s">
        <v>130</v>
      </c>
      <c r="B5" s="157" t="s">
        <v>131</v>
      </c>
      <c r="C5" s="306">
        <v>0.133096720359137</v>
      </c>
      <c r="D5" s="303">
        <f>'Day Wise 24-25'!M7</f>
        <v>0.12</v>
      </c>
      <c r="E5" s="304">
        <f>'Apr-24'!E37</f>
        <v>0.20240963855421687</v>
      </c>
      <c r="F5" s="304">
        <f>'Apr-24'!F37</f>
        <v>0.28257887517146779</v>
      </c>
      <c r="G5" s="304">
        <f>'Apr-24'!G37</f>
        <v>0.20091654606849976</v>
      </c>
      <c r="H5" s="304">
        <f>'Apr-24'!H37</f>
        <v>0.15242018537590113</v>
      </c>
      <c r="I5" s="304">
        <f>'Apr-24'!I37</f>
        <v>0.22955877815489045</v>
      </c>
      <c r="J5" s="304">
        <f>'Apr-24'!J37</f>
        <v>0.21141098484848486</v>
      </c>
      <c r="K5" s="304">
        <f>'Apr-24'!K37</f>
        <v>0.20826010544815465</v>
      </c>
      <c r="L5" s="304">
        <f>'Apr-24'!L37</f>
        <v>0.22007848266841074</v>
      </c>
      <c r="M5" s="304">
        <f>'Apr-24'!M37</f>
        <v>0.25349724459516743</v>
      </c>
      <c r="N5" s="304">
        <f>'Apr-24'!N37</f>
        <v>7.7120822622107968E-2</v>
      </c>
      <c r="O5" s="304">
        <f>'Apr-24'!O37</f>
        <v>0.18466135458167332</v>
      </c>
      <c r="P5" s="304">
        <f>'Apr-24'!P37</f>
        <v>0.22210563133962924</v>
      </c>
      <c r="Q5" s="304">
        <f>'Apr-24'!Q37</f>
        <v>0.19619799139167862</v>
      </c>
      <c r="R5" s="304">
        <f>'Apr-24'!R37</f>
        <v>0.15126930123004448</v>
      </c>
      <c r="S5" s="304">
        <f>'Apr-24'!S37</f>
        <v>0.29750812567713975</v>
      </c>
      <c r="T5" s="304">
        <f>'Apr-24'!T37</f>
        <v>0.33483691880638444</v>
      </c>
      <c r="U5" s="304">
        <f>'Apr-24'!U37</f>
        <v>0.30125704377980062</v>
      </c>
      <c r="V5" s="304">
        <f>'Apr-24'!V37</f>
        <v>0.27846119436367706</v>
      </c>
      <c r="W5" s="304">
        <f>'Apr-24'!W37</f>
        <v>0.23670040921817789</v>
      </c>
      <c r="X5" s="304">
        <f>'Apr-24'!X37</f>
        <v>0.28640363326710189</v>
      </c>
      <c r="Y5" s="304">
        <f>'Apr-24'!Y37</f>
        <v>0.28191985088536814</v>
      </c>
      <c r="Z5" s="304">
        <f>'Apr-24'!Z37</f>
        <v>0.43317485472794504</v>
      </c>
      <c r="AA5" s="304">
        <f>'Apr-24'!AA37</f>
        <v>0.16849899035225488</v>
      </c>
      <c r="AB5" s="304">
        <f>'Apr-24'!AB37</f>
        <v>8.5091899251191289E-2</v>
      </c>
      <c r="AC5" s="304">
        <f>'Apr-24'!AC37</f>
        <v>0.25</v>
      </c>
      <c r="AD5" s="304">
        <f>'Apr-24'!AD37</f>
        <v>0.27073732718894011</v>
      </c>
      <c r="AE5" s="304">
        <f>'Apr-24'!AE37</f>
        <v>0.25993377483443708</v>
      </c>
      <c r="AF5" s="304">
        <f>'Apr-24'!AF37</f>
        <v>0.29523809523809524</v>
      </c>
      <c r="AG5" s="304">
        <f>'Apr-24'!AG37</f>
        <v>0.44793087767166895</v>
      </c>
      <c r="AH5" s="304">
        <f>'Apr-24'!AH37</f>
        <v>0.27883934890304318</v>
      </c>
      <c r="AI5" s="304">
        <f>'Apr-24'!AI37</f>
        <v>0.23560134686920087</v>
      </c>
      <c r="AJ5" s="304">
        <f>'May-24'!E37</f>
        <v>0.31029263370332999</v>
      </c>
      <c r="AK5" s="304">
        <f>'May-24'!F37</f>
        <v>0.30240384615384613</v>
      </c>
      <c r="AL5" s="304">
        <f>'May-24'!G37</f>
        <v>0.29129886506935687</v>
      </c>
      <c r="AM5" s="304">
        <f>'May-24'!H37</f>
        <v>0.24038134150493701</v>
      </c>
      <c r="AN5" s="304">
        <f>'May-24'!I37</f>
        <v>0.32250123092072869</v>
      </c>
      <c r="AO5" s="304">
        <f>'May-24'!J37</f>
        <v>0.26157530601383716</v>
      </c>
      <c r="AP5" s="304">
        <f>'May-24'!K37</f>
        <v>0.28830486202365307</v>
      </c>
      <c r="AQ5" s="304">
        <f>'May-24'!L37</f>
        <v>0.3327433628318584</v>
      </c>
      <c r="AR5" s="304">
        <f>'May-24'!M37</f>
        <v>0.18184908225696805</v>
      </c>
      <c r="AS5" s="304">
        <f>'May-24'!N37</f>
        <v>0.25756600128783003</v>
      </c>
      <c r="AT5" s="304">
        <f>'May-24'!O37</f>
        <v>0.23678462210572301</v>
      </c>
      <c r="AU5" s="304">
        <f>'May-24'!P37</f>
        <v>0.41136873597606582</v>
      </c>
      <c r="AV5" s="304">
        <f>'May-24'!Q37</f>
        <v>0.12187857961053837</v>
      </c>
      <c r="AW5" s="304">
        <f>'May-24'!R37</f>
        <v>0.31430726678400805</v>
      </c>
      <c r="AX5" s="304">
        <f>'May-24'!S37</f>
        <v>0.24948875255623723</v>
      </c>
      <c r="AY5" s="304">
        <f>'May-24'!T37</f>
        <v>0.19375151368370067</v>
      </c>
      <c r="AZ5" s="304">
        <f>'May-24'!U37</f>
        <v>0.20053763440860214</v>
      </c>
      <c r="BA5" s="304">
        <f>'May-24'!V37</f>
        <v>0.29657228017883758</v>
      </c>
      <c r="BB5" s="304">
        <f>'May-24'!W37</f>
        <v>9.4410876132930519E-2</v>
      </c>
      <c r="BC5" s="304">
        <f>'May-24'!X37</f>
        <v>0.20080321285140562</v>
      </c>
      <c r="BD5" s="304">
        <f>'May-24'!Y37</f>
        <v>0.18621738028882695</v>
      </c>
      <c r="BE5" s="304">
        <f>'May-24'!Z37</f>
        <v>0.26096033402922758</v>
      </c>
      <c r="BF5" s="304">
        <f>'May-24'!AA37</f>
        <v>0.18094289508632139</v>
      </c>
      <c r="BG5" s="304">
        <f>'May-24'!AB37</f>
        <v>0.30977764240024369</v>
      </c>
      <c r="BH5" s="304">
        <f>'May-24'!AC37</f>
        <v>0.16152019002375298</v>
      </c>
      <c r="BI5" s="304">
        <f>'May-24'!AD37</f>
        <v>0.23219814241486067</v>
      </c>
      <c r="BJ5" s="304">
        <f>'May-24'!AE37</f>
        <v>0.18993946983928198</v>
      </c>
      <c r="BK5" s="304">
        <f>'May-24'!AF37</f>
        <v>0.19631410256410256</v>
      </c>
      <c r="BL5" s="304">
        <f>'May-24'!AG37</f>
        <v>0.14846235418875928</v>
      </c>
      <c r="BM5" s="304">
        <f>'May-24'!AH37</f>
        <v>0.21859180855959504</v>
      </c>
      <c r="BN5" s="304">
        <f>'May-24'!AI37</f>
        <v>0.21459227467811159</v>
      </c>
      <c r="BO5" s="304">
        <f>'May-24'!AJ37</f>
        <v>0.22843178750828549</v>
      </c>
      <c r="BP5" s="304">
        <f>'Jun-24'!E38</f>
        <v>0.16537132987910189</v>
      </c>
      <c r="BQ5" s="304">
        <f>'Jun-24'!F38</f>
        <v>0.18147345612134344</v>
      </c>
      <c r="BR5" s="304">
        <f>'Jun-24'!G38</f>
        <v>0.21337946943483277</v>
      </c>
      <c r="BS5" s="304">
        <f>'Jun-24'!H38</f>
        <v>0.1929083226162043</v>
      </c>
      <c r="BT5" s="304">
        <f>'Jun-24'!I38</f>
        <v>0.15336322869955157</v>
      </c>
      <c r="BU5" s="304">
        <f>'Jun-24'!J38</f>
        <v>0.17157305400036121</v>
      </c>
      <c r="BV5" s="304">
        <f>'Jun-24'!K38</f>
        <v>0.19127108328986264</v>
      </c>
      <c r="BW5" s="304">
        <f>'Jun-24'!L38</f>
        <v>0.13030080704328686</v>
      </c>
      <c r="BX5" s="304">
        <f>'Jun-24'!M38</f>
        <v>0.145985401459854</v>
      </c>
      <c r="BY5" s="304">
        <f>'Jun-24'!N38</f>
        <v>0.25860672336978535</v>
      </c>
      <c r="BZ5" s="304">
        <f>'Jun-24'!O38</f>
        <v>0.19728506787330316</v>
      </c>
      <c r="CA5" s="304">
        <f>'Jun-24'!P38</f>
        <v>0.15124410473247682</v>
      </c>
      <c r="CB5" s="304">
        <f>'Jun-24'!Q38</f>
        <v>0.21317416329140909</v>
      </c>
      <c r="CC5" s="304">
        <f>'Jun-24'!R38</f>
        <v>0.18457481872116019</v>
      </c>
      <c r="CD5" s="304">
        <f>'Jun-24'!S38</f>
        <v>0.22371410865523653</v>
      </c>
      <c r="CE5" s="304">
        <f>'Jun-24'!T38</f>
        <v>0.26760851760851762</v>
      </c>
      <c r="CF5" s="304">
        <f>'Jun-24'!U38</f>
        <v>0.19301779120510237</v>
      </c>
      <c r="CG5" s="304">
        <f>'Jun-24'!V38</f>
        <v>0.23616096731532213</v>
      </c>
      <c r="CH5" s="304">
        <f>'Jun-24'!W38</f>
        <v>0.18709073900841908</v>
      </c>
      <c r="CI5" s="304">
        <f>'Jun-24'!X38</f>
        <v>0.132013201320132</v>
      </c>
      <c r="CJ5" s="304">
        <f>'Jun-24'!Y38</f>
        <v>0.14849755415793151</v>
      </c>
      <c r="CK5" s="304">
        <f>'Jun-24'!Z38</f>
        <v>0.18685064935064935</v>
      </c>
      <c r="CL5" s="304">
        <f>'Jun-24'!AA38</f>
        <v>0.14304577464788731</v>
      </c>
      <c r="CM5" s="304">
        <f>'Jun-24'!AB38</f>
        <v>8.7454764776839569E-2</v>
      </c>
      <c r="CN5" s="304">
        <f>'Jun-24'!AC38</f>
        <v>0.20716801325875284</v>
      </c>
      <c r="CO5" s="304">
        <f>'Jun-24'!AD38</f>
        <v>0.32263141328297135</v>
      </c>
      <c r="CP5" s="304">
        <f>'Jun-24'!AE38</f>
        <v>0.21478205938092229</v>
      </c>
      <c r="CQ5" s="304">
        <f>'Jun-24'!AF38</f>
        <v>0.30198621807863801</v>
      </c>
      <c r="CR5" s="304">
        <f>'Jun-24'!AG38</f>
        <v>0.22511526986710062</v>
      </c>
      <c r="CS5" s="304">
        <f>'Jun-24'!AH38</f>
        <v>0.15514684070008899</v>
      </c>
      <c r="CT5" s="304">
        <f>'Jun-24'!AJ38</f>
        <v>0.18830908762047494</v>
      </c>
      <c r="CU5" s="304">
        <f>'Jul-24'!E38</f>
        <v>0.25449101796407186</v>
      </c>
      <c r="CV5" s="304">
        <f>'Jul-24'!F38</f>
        <v>0.24848891873740767</v>
      </c>
      <c r="CW5" s="304">
        <f>'Jul-24'!G38</f>
        <v>0.20079410096426545</v>
      </c>
      <c r="CX5" s="304">
        <f>'Jul-24'!H38</f>
        <v>0.23818466353677623</v>
      </c>
      <c r="CY5" s="304">
        <f>'Jul-24'!I38</f>
        <v>0.26580350342726583</v>
      </c>
      <c r="CZ5" s="304">
        <f>'Jul-24'!J38</f>
        <v>0.2375776397515528</v>
      </c>
      <c r="DA5" s="304">
        <f>'Jul-24'!K38</f>
        <v>0.19541875447387258</v>
      </c>
      <c r="DB5" s="304">
        <f>'Jul-24'!L38</f>
        <v>0.21179231446171898</v>
      </c>
      <c r="DC5" s="304">
        <f>'Jul-24'!M38</f>
        <v>0.317036479879654</v>
      </c>
      <c r="DD5" s="304">
        <f>'Jul-24'!N38</f>
        <v>0.31004957187922488</v>
      </c>
      <c r="DE5" s="304">
        <f>'Jul-24'!O38</f>
        <v>0.18556701030927836</v>
      </c>
      <c r="DF5" s="304">
        <f>'Jul-24'!P38</f>
        <v>0.11743862313338395</v>
      </c>
      <c r="DG5" s="304">
        <f>'Jul-24'!Q38</f>
        <v>0.11627236006924409</v>
      </c>
      <c r="DH5" s="304">
        <f>'Jul-24'!R38</f>
        <v>0</v>
      </c>
      <c r="DI5" s="304">
        <f>'Jul-24'!S38</f>
        <v>2.884338044418806E-2</v>
      </c>
      <c r="DJ5" s="304">
        <f>'Jul-24'!T38</f>
        <v>0</v>
      </c>
      <c r="DK5" s="304">
        <f>'Jul-24'!U38</f>
        <v>0</v>
      </c>
      <c r="DL5" s="304">
        <f>'Jul-24'!V38</f>
        <v>0</v>
      </c>
      <c r="DM5" s="304">
        <f>'Jul-24'!W38</f>
        <v>0</v>
      </c>
      <c r="DN5" s="304">
        <f>'Jul-24'!X38</f>
        <v>0</v>
      </c>
      <c r="DO5" s="304">
        <f>'Jul-24'!Y38</f>
        <v>0</v>
      </c>
      <c r="DP5" s="304">
        <f>'Jul-24'!Z38</f>
        <v>0</v>
      </c>
      <c r="DQ5" s="304">
        <f>'Jul-24'!AA38</f>
        <v>0</v>
      </c>
      <c r="DR5" s="304">
        <f>'Jul-24'!AB38</f>
        <v>0</v>
      </c>
      <c r="DS5" s="304">
        <f>'Jul-24'!AC38</f>
        <v>0</v>
      </c>
      <c r="DT5" s="304">
        <f>'Jul-24'!AD38</f>
        <v>0</v>
      </c>
      <c r="DU5" s="304">
        <f>'Jul-24'!AE38</f>
        <v>0</v>
      </c>
      <c r="DV5" s="304">
        <f>'Jul-24'!AF38</f>
        <v>0</v>
      </c>
      <c r="DW5" s="304">
        <f>'Jul-24'!AG38</f>
        <v>5.1610239471511145E-2</v>
      </c>
      <c r="DX5" s="304">
        <f>'Jul-24'!AH38</f>
        <v>0</v>
      </c>
      <c r="DY5" s="304">
        <f>'Jul-24'!AI38</f>
        <v>3.2615786040443573E-2</v>
      </c>
      <c r="DZ5" s="304">
        <f>'Jul-24'!AJ38</f>
        <v>8.9140435007666843E-2</v>
      </c>
      <c r="EA5" s="304">
        <f>'Aug-24'!E38</f>
        <v>0</v>
      </c>
      <c r="EB5" s="304">
        <f>'Aug-24'!F38</f>
        <v>0</v>
      </c>
      <c r="EC5" s="304">
        <f>'Aug-24'!G38</f>
        <v>0</v>
      </c>
      <c r="ED5" s="304">
        <f>'Aug-24'!H38</f>
        <v>0</v>
      </c>
      <c r="EE5" s="304">
        <f>'Aug-24'!I38</f>
        <v>4.716981132075472E-2</v>
      </c>
      <c r="EF5" s="304">
        <f>'Aug-24'!J38</f>
        <v>2.9044437990124891E-2</v>
      </c>
      <c r="EG5" s="304">
        <f>'Aug-24'!K38</f>
        <v>4.405286343612335E-2</v>
      </c>
      <c r="EH5" s="304">
        <f>'Aug-24'!L38</f>
        <v>2.9524653085326247E-2</v>
      </c>
      <c r="EI5" s="304">
        <f>'Aug-24'!M38</f>
        <v>3.1969309462915603E-2</v>
      </c>
      <c r="EJ5" s="304">
        <f>'Aug-24'!N38</f>
        <v>6.4894932014833123E-2</v>
      </c>
      <c r="EK5" s="304">
        <f>'Aug-24'!O38</f>
        <v>3.2278889606197549E-2</v>
      </c>
      <c r="EL5" s="304">
        <f>'Aug-24'!P38</f>
        <v>3.6483035388544326E-2</v>
      </c>
      <c r="EM5" s="304">
        <f>'Aug-24'!Q38</f>
        <v>4.2337002540220152E-2</v>
      </c>
      <c r="EN5" s="304">
        <f>'Aug-24'!R38</f>
        <v>3.9640591966173359E-2</v>
      </c>
      <c r="EO5" s="304">
        <f>'Aug-24'!S38</f>
        <v>0</v>
      </c>
      <c r="EP5" s="304">
        <f>'Aug-24'!T38</f>
        <v>5.1317139924734863E-2</v>
      </c>
      <c r="EQ5" s="304">
        <f>'Aug-24'!U38</f>
        <v>8.4915084915084912E-2</v>
      </c>
      <c r="ER5" s="304">
        <f>'Aug-24'!V38</f>
        <v>0</v>
      </c>
      <c r="ES5" s="304">
        <f>'Aug-24'!W38</f>
        <v>4.6992481203007516E-2</v>
      </c>
      <c r="ET5" s="304">
        <f>'Aug-24'!X38</f>
        <v>0</v>
      </c>
      <c r="EU5" s="304">
        <f>'Aug-24'!Y38</f>
        <v>0</v>
      </c>
      <c r="EV5" s="304">
        <f>'Aug-24'!Z38</f>
        <v>0</v>
      </c>
      <c r="EW5" s="304">
        <f>'Aug-24'!AA38</f>
        <v>0</v>
      </c>
      <c r="EX5" s="304">
        <f>'Aug-24'!AB38</f>
        <v>0</v>
      </c>
      <c r="EY5" s="304">
        <f>'Aug-24'!AC38</f>
        <v>0</v>
      </c>
      <c r="EZ5" s="304">
        <f>'Aug-24'!AD38</f>
        <v>0</v>
      </c>
      <c r="FA5" s="304">
        <f>'Aug-24'!AE38</f>
        <v>0</v>
      </c>
      <c r="FB5" s="304">
        <f>'Aug-24'!AF38</f>
        <v>0</v>
      </c>
      <c r="FC5" s="304">
        <f>'Aug-24'!AG38</f>
        <v>0</v>
      </c>
      <c r="FD5" s="304">
        <f>'Aug-24'!AH38</f>
        <v>0</v>
      </c>
      <c r="FE5" s="304">
        <f>'Aug-24'!AI38</f>
        <v>0</v>
      </c>
      <c r="FF5" s="304">
        <f>'Aug-24'!AJ38</f>
        <v>1.8328019177508321E-2</v>
      </c>
      <c r="FG5" s="304">
        <f>'Sep-24'!E38</f>
        <v>0</v>
      </c>
      <c r="FH5" s="304">
        <f>'Sep-24'!F38</f>
        <v>0</v>
      </c>
      <c r="FI5" s="304">
        <f>'Sep-24'!G38</f>
        <v>0</v>
      </c>
      <c r="FJ5" s="304">
        <f>'Sep-24'!H38</f>
        <v>0</v>
      </c>
      <c r="FK5" s="304">
        <f>'Sep-24'!AJ38</f>
        <v>0</v>
      </c>
      <c r="FL5" s="348"/>
    </row>
    <row r="6" spans="1:170" s="131" customFormat="1" ht="22.2" x14ac:dyDescent="0.45">
      <c r="A6" s="157" t="s">
        <v>132</v>
      </c>
      <c r="B6" s="157" t="s">
        <v>133</v>
      </c>
      <c r="C6" s="302">
        <v>3.8724924418485081E-2</v>
      </c>
      <c r="D6" s="303">
        <f>'Day Wise 24-25'!M8</f>
        <v>4.4999999999999998E-2</v>
      </c>
      <c r="E6" s="304">
        <f>'Apr-24'!E40</f>
        <v>4.9048625792811842E-2</v>
      </c>
      <c r="F6" s="304">
        <f>'Apr-24'!F40</f>
        <v>4.9028677150786307E-2</v>
      </c>
      <c r="G6" s="304">
        <f>'Apr-24'!G40</f>
        <v>4.9027237354085602E-2</v>
      </c>
      <c r="H6" s="304">
        <f>'Apr-24'!H40</f>
        <v>4.9152542372881358E-2</v>
      </c>
      <c r="I6" s="304">
        <f>'Apr-24'!I40</f>
        <v>4.8961424332344211E-2</v>
      </c>
      <c r="J6" s="304">
        <f>'Apr-24'!J40</f>
        <v>4.905736874113116E-2</v>
      </c>
      <c r="K6" s="304">
        <f>'Apr-24'!K40</f>
        <v>4.8927495124977842E-2</v>
      </c>
      <c r="L6" s="304">
        <f>'Apr-24'!L40</f>
        <v>4.8995983935742969E-2</v>
      </c>
      <c r="M6" s="304">
        <f>'Apr-24'!M40</f>
        <v>4.8791609667122662E-2</v>
      </c>
      <c r="N6" s="304">
        <f>'Apr-24'!N40</f>
        <v>4.8904890489048905E-2</v>
      </c>
      <c r="O6" s="304">
        <f>'Apr-24'!O40</f>
        <v>4.9121974371143809E-2</v>
      </c>
      <c r="P6" s="304">
        <f>'Apr-24'!P40</f>
        <v>4.9081803005008348E-2</v>
      </c>
      <c r="Q6" s="304" t="str">
        <f>'Apr-24'!Q40</f>
        <v>-</v>
      </c>
      <c r="R6" s="304">
        <f>'Apr-24'!R40</f>
        <v>4.8989898989898993E-2</v>
      </c>
      <c r="S6" s="304">
        <f>'Apr-24'!S40</f>
        <v>4.9162011173184354E-2</v>
      </c>
      <c r="T6" s="304">
        <f>'Apr-24'!T40</f>
        <v>4.9090909090909088E-2</v>
      </c>
      <c r="U6" s="304">
        <f>'Apr-24'!U40</f>
        <v>4.9218031278748853E-2</v>
      </c>
      <c r="V6" s="304">
        <f>'Apr-24'!V40</f>
        <v>4.9206349206349205E-2</v>
      </c>
      <c r="W6" s="304">
        <f>'Apr-24'!W40</f>
        <v>4.8879837067209775E-2</v>
      </c>
      <c r="X6" s="304">
        <f>'Apr-24'!X40</f>
        <v>4.8948513415518494E-2</v>
      </c>
      <c r="Y6" s="304">
        <f>'Apr-24'!Y40</f>
        <v>4.9076517150395779E-2</v>
      </c>
      <c r="Z6" s="304">
        <f>'Apr-24'!Z40</f>
        <v>4.9090909090909088E-2</v>
      </c>
      <c r="AA6" s="304">
        <f>'Apr-24'!AA40</f>
        <v>4.9074074074074076E-2</v>
      </c>
      <c r="AB6" s="304">
        <f>'Apr-24'!AB40</f>
        <v>4.89065606361829E-2</v>
      </c>
      <c r="AC6" s="304">
        <f>'Apr-24'!AC40</f>
        <v>4.8958333333333333E-2</v>
      </c>
      <c r="AD6" s="304">
        <f>'Apr-24'!AD40</f>
        <v>4.9011857707509883E-2</v>
      </c>
      <c r="AE6" s="304">
        <f>'Apr-24'!AE40</f>
        <v>4.9190938511326859E-2</v>
      </c>
      <c r="AF6" s="304">
        <f>'Apr-24'!AF40</f>
        <v>4.8891415577032402E-2</v>
      </c>
      <c r="AG6" s="304">
        <f>'Apr-24'!AG40</f>
        <v>4.9067251920363694E-2</v>
      </c>
      <c r="AH6" s="304">
        <f>'Apr-24'!AH40</f>
        <v>4.9065420560747662E-2</v>
      </c>
      <c r="AI6" s="304">
        <f>'Apr-24'!AI40</f>
        <v>4.9024727384426356E-2</v>
      </c>
      <c r="AJ6" s="304">
        <f>'May-24'!E40</f>
        <v>4.8863636363636366E-2</v>
      </c>
      <c r="AK6" s="304">
        <f>'May-24'!F40</f>
        <v>4.9011177987962166E-2</v>
      </c>
      <c r="AL6" s="304">
        <f>'May-24'!G40</f>
        <v>4.9298801973220577E-2</v>
      </c>
      <c r="AM6" s="304">
        <f>'May-24'!H40</f>
        <v>0</v>
      </c>
      <c r="AN6" s="304">
        <f>'May-24'!I40</f>
        <v>4.8868778280542986E-2</v>
      </c>
      <c r="AO6" s="304">
        <f>'May-24'!J40</f>
        <v>1.169248757673195E-2</v>
      </c>
      <c r="AP6" s="304">
        <f>'May-24'!K40</f>
        <v>0</v>
      </c>
      <c r="AQ6" s="304">
        <f>'May-24'!L40</f>
        <v>2.3809523809523808E-2</v>
      </c>
      <c r="AR6" s="304">
        <f>'May-24'!M40</f>
        <v>0</v>
      </c>
      <c r="AS6" s="304" t="str">
        <f>'May-24'!N40</f>
        <v>-</v>
      </c>
      <c r="AT6" s="304">
        <f>'May-24'!O40</f>
        <v>4.9036043587594301E-2</v>
      </c>
      <c r="AU6" s="304">
        <f>'May-24'!P40</f>
        <v>1.3598326359832637E-2</v>
      </c>
      <c r="AV6" s="304">
        <f>'May-24'!Q40</f>
        <v>4.9131513647642677E-2</v>
      </c>
      <c r="AW6" s="304" t="str">
        <f>'May-24'!R40</f>
        <v>-</v>
      </c>
      <c r="AX6" s="304">
        <f>'May-24'!S40</f>
        <v>4.9065420560747662E-2</v>
      </c>
      <c r="AY6" s="304">
        <f>'May-24'!T40</f>
        <v>4.8902821316614421E-2</v>
      </c>
      <c r="AZ6" s="304">
        <f>'May-24'!U40</f>
        <v>4.9253731343283584E-2</v>
      </c>
      <c r="BA6" s="304">
        <f>'May-24'!V40</f>
        <v>4.9039098740888007E-2</v>
      </c>
      <c r="BB6" s="304">
        <f>'May-24'!W40</f>
        <v>4.8994974874371856E-2</v>
      </c>
      <c r="BC6" s="304">
        <f>'May-24'!X40</f>
        <v>4.9048625792811842E-2</v>
      </c>
      <c r="BD6" s="304">
        <f>'May-24'!Y40</f>
        <v>4.8956356736242886E-2</v>
      </c>
      <c r="BE6" s="304">
        <f>'May-24'!Z40</f>
        <v>4.8927038626609444E-2</v>
      </c>
      <c r="BF6" s="304">
        <f>'May-24'!AA40</f>
        <v>4.912280701754386E-2</v>
      </c>
      <c r="BG6" s="304">
        <f>'May-24'!AB40</f>
        <v>4.8987510609918759E-2</v>
      </c>
      <c r="BH6" s="304" t="str">
        <f>'May-24'!AC40</f>
        <v>-</v>
      </c>
      <c r="BI6" s="304">
        <f>'May-24'!AD40</f>
        <v>4.8800000000000003E-2</v>
      </c>
      <c r="BJ6" s="304">
        <f>'May-24'!AE40</f>
        <v>4.9062500000000002E-2</v>
      </c>
      <c r="BK6" s="304">
        <f>'May-24'!AF40</f>
        <v>4.9171270718232046E-2</v>
      </c>
      <c r="BL6" s="304">
        <f>'May-24'!AG40</f>
        <v>4.9130434782608694E-2</v>
      </c>
      <c r="BM6" s="304">
        <f>'May-24'!AH40</f>
        <v>4.8994082840236687E-2</v>
      </c>
      <c r="BN6" s="304">
        <f>'May-24'!AI40</f>
        <v>4.9114215756877432E-2</v>
      </c>
      <c r="BO6" s="304">
        <f>'May-24'!AJ40</f>
        <v>4.2498370163882832E-2</v>
      </c>
      <c r="BP6" s="304">
        <f>'Jun-24'!E41</f>
        <v>4.8919226393629126E-2</v>
      </c>
      <c r="BQ6" s="304">
        <f>'Jun-24'!F41</f>
        <v>4.8999660902000676E-2</v>
      </c>
      <c r="BR6" s="304">
        <f>'Jun-24'!G41</f>
        <v>4.8905109489051093E-2</v>
      </c>
      <c r="BS6" s="304" t="str">
        <f>'Jun-24'!H41</f>
        <v>-</v>
      </c>
      <c r="BT6" s="304">
        <f>'Jun-24'!I41</f>
        <v>4.9174917491749175E-2</v>
      </c>
      <c r="BU6" s="304">
        <f>'Jun-24'!J41</f>
        <v>4.8837209302325581E-2</v>
      </c>
      <c r="BV6" s="304">
        <f>'Jun-24'!K41</f>
        <v>4.8918823112371501E-2</v>
      </c>
      <c r="BW6" s="304">
        <f>'Jun-24'!L41</f>
        <v>4.8714479025710418E-2</v>
      </c>
      <c r="BX6" s="304">
        <f>'Jun-24'!M41</f>
        <v>4.8968363136176064E-2</v>
      </c>
      <c r="BY6" s="304">
        <f>'Jun-24'!N41</f>
        <v>4.9085229808121376E-2</v>
      </c>
      <c r="BZ6" s="304">
        <f>'Jun-24'!O41</f>
        <v>4.8832923832923834E-2</v>
      </c>
      <c r="CA6" s="304">
        <f>'Jun-24'!P41</f>
        <v>4.8888888888888891E-2</v>
      </c>
      <c r="CB6" s="304">
        <f>'Jun-24'!Q41</f>
        <v>4.8888888888888891E-2</v>
      </c>
      <c r="CC6" s="304">
        <f>'Jun-24'!R41</f>
        <v>4.9219687875150062E-2</v>
      </c>
      <c r="CD6" s="304">
        <f>'Jun-24'!S41</f>
        <v>4.9073064340239912E-2</v>
      </c>
      <c r="CE6" s="304">
        <f>'Jun-24'!T41</f>
        <v>4.899568237281772E-2</v>
      </c>
      <c r="CF6" s="304">
        <f>'Jun-24'!U41</f>
        <v>4.9000000000000002E-2</v>
      </c>
      <c r="CG6" s="304">
        <f>'Jun-24'!V41</f>
        <v>4.9004594180704443E-2</v>
      </c>
      <c r="CH6" s="304" t="str">
        <f>'Jun-24'!W41</f>
        <v>-</v>
      </c>
      <c r="CI6" s="304">
        <f>'Jun-24'!X41</f>
        <v>4.9120679199514856E-2</v>
      </c>
      <c r="CJ6" s="304">
        <f>'Jun-24'!Y41</f>
        <v>4.9204052098408106E-2</v>
      </c>
      <c r="CK6" s="304" t="str">
        <f>'Jun-24'!Z41</f>
        <v>-</v>
      </c>
      <c r="CL6" s="304">
        <f>'Jun-24'!AA41</f>
        <v>0</v>
      </c>
      <c r="CM6" s="304" t="str">
        <f>'Jun-24'!AB41</f>
        <v>-</v>
      </c>
      <c r="CN6" s="304">
        <f>'Jun-24'!AC41</f>
        <v>4.9134948096885817E-2</v>
      </c>
      <c r="CO6" s="304">
        <f>'Jun-24'!AD41</f>
        <v>4.8957189901207461E-2</v>
      </c>
      <c r="CP6" s="304">
        <f>'Jun-24'!AE41</f>
        <v>4.8907103825136612E-2</v>
      </c>
      <c r="CQ6" s="304">
        <f>'Jun-24'!AF41</f>
        <v>4.8805815160955349E-2</v>
      </c>
      <c r="CR6" s="304">
        <f>'Jun-24'!AG41</f>
        <v>4.9034869240348694E-2</v>
      </c>
      <c r="CS6" s="304" t="str">
        <f>'Jun-24'!AH41</f>
        <v>-</v>
      </c>
      <c r="CT6" s="304">
        <f>'Jun-24'!AJ41</f>
        <v>4.6625916599181298E-2</v>
      </c>
      <c r="CU6" s="304">
        <f>'Jul-24'!E41</f>
        <v>4.8977853492333905E-2</v>
      </c>
      <c r="CV6" s="304">
        <f>'Jul-24'!F41</f>
        <v>4.9011857707509883E-2</v>
      </c>
      <c r="CW6" s="304" t="str">
        <f>'Jul-24'!G41</f>
        <v>-</v>
      </c>
      <c r="CX6" s="304">
        <f>'Jul-24'!H41</f>
        <v>4.9160671462829736E-2</v>
      </c>
      <c r="CY6" s="304">
        <f>'Jul-24'!I41</f>
        <v>4.8813868613138689E-2</v>
      </c>
      <c r="CZ6" s="304">
        <f>'Jul-24'!J41</f>
        <v>4.8533872598584431E-2</v>
      </c>
      <c r="DA6" s="304">
        <f>'Jul-24'!K41</f>
        <v>4.9107142857142856E-2</v>
      </c>
      <c r="DB6" s="304" t="str">
        <f>'Jul-24'!L41</f>
        <v>-</v>
      </c>
      <c r="DC6" s="304">
        <f>'Jul-24'!M41</f>
        <v>4.9155145929339478E-2</v>
      </c>
      <c r="DD6" s="304">
        <f>'Jul-24'!N41</f>
        <v>4.9090909090909088E-2</v>
      </c>
      <c r="DE6" s="304">
        <f>'Jul-24'!O41</f>
        <v>4.887063655030801E-2</v>
      </c>
      <c r="DF6" s="304">
        <f>'Jul-24'!P41</f>
        <v>4.8878205128205128E-2</v>
      </c>
      <c r="DG6" s="304">
        <f>'Jul-24'!Q41</f>
        <v>4.9411764705882349E-2</v>
      </c>
      <c r="DH6" s="304">
        <f>'Jul-24'!R41</f>
        <v>4.9061032863849767E-2</v>
      </c>
      <c r="DI6" s="304" t="str">
        <f>'Jul-24'!S41</f>
        <v>-</v>
      </c>
      <c r="DJ6" s="304">
        <f>'Jul-24'!T41</f>
        <v>4.9180327868852458E-2</v>
      </c>
      <c r="DK6" s="304">
        <f>'Jul-24'!U41</f>
        <v>4.9187935034802781E-2</v>
      </c>
      <c r="DL6" s="304" t="str">
        <f>'Jul-24'!V41</f>
        <v>-</v>
      </c>
      <c r="DM6" s="304" t="str">
        <f>'Jul-24'!W41</f>
        <v>-</v>
      </c>
      <c r="DN6" s="304">
        <f>'Jul-24'!X41</f>
        <v>4.9271339347675226E-2</v>
      </c>
      <c r="DO6" s="304">
        <f>'Jul-24'!Y41</f>
        <v>4.8901782014090345E-2</v>
      </c>
      <c r="DP6" s="304" t="str">
        <f>'Jul-24'!Z41</f>
        <v>-</v>
      </c>
      <c r="DQ6" s="304">
        <f>'Jul-24'!AA41</f>
        <v>4.9076517150395779E-2</v>
      </c>
      <c r="DR6" s="304" t="str">
        <f>'Jul-24'!AB41</f>
        <v>-</v>
      </c>
      <c r="DS6" s="304">
        <f>'Jul-24'!AC41</f>
        <v>4.8977757807234332E-2</v>
      </c>
      <c r="DT6" s="304">
        <f>'Jul-24'!AD41</f>
        <v>4.9023221525985997E-2</v>
      </c>
      <c r="DU6" s="304">
        <f>'Jul-24'!AE41</f>
        <v>4.9079754601226995E-2</v>
      </c>
      <c r="DV6" s="304">
        <f>'Jul-24'!AF41</f>
        <v>4.8768710767745048E-2</v>
      </c>
      <c r="DW6" s="304">
        <f>'Jul-24'!AG41</f>
        <v>4.920273348519362E-2</v>
      </c>
      <c r="DX6" s="304">
        <f>'Jul-24'!AH41</f>
        <v>4.9171270718232046E-2</v>
      </c>
      <c r="DY6" s="304">
        <f>'Jul-24'!AI41</f>
        <v>4.8813559322033899E-2</v>
      </c>
      <c r="DZ6" s="304">
        <f>'Jul-24'!AJ41</f>
        <v>4.9024127862302133E-2</v>
      </c>
      <c r="EA6" s="304">
        <f>'Aug-24'!E41</f>
        <v>2.1015138023152271E-2</v>
      </c>
      <c r="EB6" s="304">
        <f>'Aug-24'!F41</f>
        <v>0</v>
      </c>
      <c r="EC6" s="304">
        <f>'Aug-24'!G41</f>
        <v>4.8807542983915694E-2</v>
      </c>
      <c r="ED6" s="304">
        <f>'Aug-24'!H41</f>
        <v>4.9159530605772279E-2</v>
      </c>
      <c r="EE6" s="304" t="str">
        <f>'Aug-24'!I41</f>
        <v>-</v>
      </c>
      <c r="EF6" s="304">
        <f>'Aug-24'!J41</f>
        <v>4.8571428571428571E-2</v>
      </c>
      <c r="EG6" s="304">
        <f>'Aug-24'!K41</f>
        <v>4.933920704845815E-2</v>
      </c>
      <c r="EH6" s="304" t="str">
        <f>'Aug-24'!L41</f>
        <v>-</v>
      </c>
      <c r="EI6" s="304" t="str">
        <f>'Aug-24'!M41</f>
        <v>-</v>
      </c>
      <c r="EJ6" s="304">
        <f>'Aug-24'!N41</f>
        <v>4.9008168028004666E-2</v>
      </c>
      <c r="EK6" s="304">
        <f>'Aug-24'!O41</f>
        <v>4.8797250859106529E-2</v>
      </c>
      <c r="EL6" s="304">
        <f>'Aug-24'!P41</f>
        <v>4.9532710280373829E-2</v>
      </c>
      <c r="EM6" s="304">
        <f>'Aug-24'!Q41</f>
        <v>4.891491560454702E-2</v>
      </c>
      <c r="EN6" s="304" t="str">
        <f>'Aug-24'!R41</f>
        <v>-</v>
      </c>
      <c r="EO6" s="304">
        <f>'Aug-24'!S41</f>
        <v>4.9171270718232046E-2</v>
      </c>
      <c r="EP6" s="304">
        <f>'Aug-24'!T41</f>
        <v>4.8979591836734691E-2</v>
      </c>
      <c r="EQ6" s="304">
        <f>'Aug-24'!U41</f>
        <v>4.9132947976878616E-2</v>
      </c>
      <c r="ER6" s="304">
        <f>'Aug-24'!V41</f>
        <v>4.9275362318840582E-2</v>
      </c>
      <c r="ES6" s="304" t="str">
        <f>'Aug-24'!W41</f>
        <v>-</v>
      </c>
      <c r="ET6" s="304">
        <f>'Aug-24'!X41</f>
        <v>4.9136786188579015E-2</v>
      </c>
      <c r="EU6" s="304">
        <f>'Aug-24'!Y41</f>
        <v>4.9152542372881358E-2</v>
      </c>
      <c r="EV6" s="304">
        <f>'Aug-24'!Z41</f>
        <v>0</v>
      </c>
      <c r="EW6" s="304">
        <f>'Aug-24'!AA41</f>
        <v>0</v>
      </c>
      <c r="EX6" s="304">
        <f>'Aug-24'!AB41</f>
        <v>1.0193679918450561E-2</v>
      </c>
      <c r="EY6" s="304">
        <f>'Aug-24'!AC41</f>
        <v>4.8979591836734691E-2</v>
      </c>
      <c r="EZ6" s="304">
        <f>'Aug-24'!AD41</f>
        <v>4.8907103825136612E-2</v>
      </c>
      <c r="FA6" s="304" t="str">
        <f>'Aug-24'!AE41</f>
        <v>-</v>
      </c>
      <c r="FB6" s="304">
        <f>'Aug-24'!AF41</f>
        <v>4.9204406364749084E-2</v>
      </c>
      <c r="FC6" s="304">
        <f>'Aug-24'!AG41</f>
        <v>4.8756218905472638E-2</v>
      </c>
      <c r="FD6" s="304">
        <f>'Aug-24'!AH41</f>
        <v>4.9019607843137254E-2</v>
      </c>
      <c r="FE6" s="304">
        <f>'Aug-24'!AI41</f>
        <v>4.9029493319889088E-2</v>
      </c>
      <c r="FF6" s="304">
        <f>'Aug-24'!AJ41</f>
        <v>4.2462102282192236E-2</v>
      </c>
      <c r="FG6" s="304">
        <f>'Sep-24'!E41</f>
        <v>4.9129593810444877E-2</v>
      </c>
      <c r="FH6" s="304" t="str">
        <f>'Sep-24'!F41</f>
        <v>-</v>
      </c>
      <c r="FI6" s="304">
        <f>'Sep-24'!G41</f>
        <v>2.5619834710743802E-2</v>
      </c>
      <c r="FJ6" s="304">
        <f>'Sep-24'!H41</f>
        <v>3.3395872420262665E-2</v>
      </c>
      <c r="FK6" s="304">
        <f>'Sep-24'!AJ41</f>
        <v>3.2267884322678846E-2</v>
      </c>
      <c r="FL6" s="348"/>
    </row>
    <row r="7" spans="1:170" s="131" customFormat="1" ht="36" x14ac:dyDescent="0.45">
      <c r="A7" s="348" t="s">
        <v>134</v>
      </c>
      <c r="B7" s="132" t="s">
        <v>135</v>
      </c>
      <c r="C7" s="307">
        <v>52.06</v>
      </c>
      <c r="D7" s="252">
        <v>52.36</v>
      </c>
      <c r="E7" s="308">
        <v>49.86</v>
      </c>
      <c r="F7" s="308">
        <v>49.24</v>
      </c>
      <c r="G7" s="308">
        <v>50.093000000000004</v>
      </c>
      <c r="H7" s="308">
        <v>49.994</v>
      </c>
      <c r="I7" s="308">
        <v>49.99</v>
      </c>
      <c r="J7" s="308">
        <v>50.180999999999997</v>
      </c>
      <c r="K7" s="309">
        <v>50.21</v>
      </c>
      <c r="L7" s="308">
        <v>51.03</v>
      </c>
      <c r="M7" s="308">
        <v>51.03</v>
      </c>
      <c r="N7" s="308">
        <v>50.7</v>
      </c>
      <c r="O7" s="308">
        <v>50.39</v>
      </c>
      <c r="P7" s="308">
        <v>49.33</v>
      </c>
      <c r="Q7" s="308">
        <v>48.88</v>
      </c>
      <c r="R7" s="308">
        <v>47.64</v>
      </c>
      <c r="S7" s="308">
        <v>48.09</v>
      </c>
      <c r="T7" s="308">
        <v>47.36</v>
      </c>
      <c r="U7" s="308">
        <v>48.81</v>
      </c>
      <c r="V7" s="308">
        <v>46.67</v>
      </c>
      <c r="W7" s="308">
        <v>46.87</v>
      </c>
      <c r="X7" s="308">
        <v>50.87</v>
      </c>
      <c r="Y7" s="308">
        <v>47.77</v>
      </c>
      <c r="Z7" s="308">
        <v>50.26</v>
      </c>
      <c r="AA7" s="308">
        <v>48.76</v>
      </c>
      <c r="AB7" s="308">
        <v>48.87</v>
      </c>
      <c r="AC7" s="308">
        <v>48.67</v>
      </c>
      <c r="AD7" s="308">
        <v>48.75</v>
      </c>
      <c r="AE7" s="308">
        <v>49.22</v>
      </c>
      <c r="AF7" s="308">
        <v>52.33</v>
      </c>
      <c r="AG7" s="308">
        <v>48.48</v>
      </c>
      <c r="AH7" s="308">
        <v>50.67</v>
      </c>
      <c r="AI7" s="308">
        <v>49.3</v>
      </c>
      <c r="AJ7" s="308">
        <v>49.03</v>
      </c>
      <c r="AK7" s="308">
        <v>49.38</v>
      </c>
      <c r="AL7" s="308">
        <v>46.45</v>
      </c>
      <c r="AM7" s="308">
        <v>48.58</v>
      </c>
      <c r="AN7" s="308">
        <v>48.79</v>
      </c>
      <c r="AO7" s="308">
        <v>48.96</v>
      </c>
      <c r="AP7" s="308">
        <v>48.74</v>
      </c>
      <c r="AQ7" s="308">
        <v>47.81</v>
      </c>
      <c r="AR7" s="308">
        <v>47.96</v>
      </c>
      <c r="AS7" s="308">
        <v>47.34</v>
      </c>
      <c r="AT7" s="308">
        <v>47.29</v>
      </c>
      <c r="AU7" s="308">
        <v>48.11</v>
      </c>
      <c r="AV7" s="308">
        <v>48.88</v>
      </c>
      <c r="AW7" s="308">
        <v>48.62</v>
      </c>
      <c r="AX7" s="308">
        <v>47.42</v>
      </c>
      <c r="AY7" s="308">
        <v>46.43</v>
      </c>
      <c r="AZ7" s="308">
        <v>48.28</v>
      </c>
      <c r="BA7" s="308">
        <v>46.59</v>
      </c>
      <c r="BB7" s="308">
        <v>46.67</v>
      </c>
      <c r="BC7" s="308">
        <v>47.13</v>
      </c>
      <c r="BD7" s="308">
        <v>45.45</v>
      </c>
      <c r="BE7" s="308">
        <v>47.77</v>
      </c>
      <c r="BF7" s="308">
        <v>49.67</v>
      </c>
      <c r="BG7" s="308">
        <v>46.76</v>
      </c>
      <c r="BH7" s="308">
        <v>47.19</v>
      </c>
      <c r="BI7" s="308">
        <v>47.28</v>
      </c>
      <c r="BJ7" s="308">
        <v>48.32</v>
      </c>
      <c r="BK7" s="308">
        <v>47.31</v>
      </c>
      <c r="BL7" s="308">
        <v>47.01</v>
      </c>
      <c r="BM7" s="308">
        <v>47.93</v>
      </c>
      <c r="BN7" s="308">
        <v>47.11</v>
      </c>
      <c r="BO7" s="308">
        <v>47.75</v>
      </c>
      <c r="BP7" s="308">
        <v>46.65</v>
      </c>
      <c r="BQ7" s="308">
        <v>47.49</v>
      </c>
      <c r="BR7" s="308">
        <v>47.87</v>
      </c>
      <c r="BS7" s="308">
        <v>45.25</v>
      </c>
      <c r="BT7" s="308">
        <v>46.69</v>
      </c>
      <c r="BU7" s="308">
        <v>46.63</v>
      </c>
      <c r="BV7" s="308">
        <v>46.1</v>
      </c>
      <c r="BW7" s="308">
        <v>45.88</v>
      </c>
      <c r="BX7" s="308">
        <v>46.6</v>
      </c>
      <c r="BY7" s="308">
        <v>47.26</v>
      </c>
      <c r="BZ7" s="308">
        <v>45.49</v>
      </c>
      <c r="CA7" s="308">
        <v>45.45</v>
      </c>
      <c r="CB7" s="308">
        <v>45.9</v>
      </c>
      <c r="CC7" s="308">
        <v>47.83</v>
      </c>
      <c r="CD7" s="308">
        <v>46.15</v>
      </c>
      <c r="CE7" s="308">
        <v>46.18</v>
      </c>
      <c r="CF7" s="308">
        <v>47.19</v>
      </c>
      <c r="CG7" s="308">
        <v>45.82</v>
      </c>
      <c r="CH7" s="308">
        <v>47.09</v>
      </c>
      <c r="CI7" s="308">
        <v>46.28</v>
      </c>
      <c r="CJ7" s="308">
        <v>47.37</v>
      </c>
      <c r="CK7" s="308">
        <v>46.63</v>
      </c>
      <c r="CL7" s="308">
        <v>46.92</v>
      </c>
      <c r="CM7" s="308">
        <v>48.12</v>
      </c>
      <c r="CN7" s="308">
        <v>46.64</v>
      </c>
      <c r="CO7" s="308">
        <v>48.3</v>
      </c>
      <c r="CP7" s="308">
        <v>47.32</v>
      </c>
      <c r="CQ7" s="308">
        <v>48.39</v>
      </c>
      <c r="CR7" s="308">
        <v>46.92</v>
      </c>
      <c r="CS7" s="308">
        <v>48.64</v>
      </c>
      <c r="CT7" s="308">
        <v>46.76</v>
      </c>
      <c r="CU7" s="308">
        <v>47.99</v>
      </c>
      <c r="CV7" s="308">
        <v>46.16</v>
      </c>
      <c r="CW7" s="308">
        <v>47.36</v>
      </c>
      <c r="CX7" s="308">
        <v>49.8</v>
      </c>
      <c r="CY7" s="308">
        <v>51.39</v>
      </c>
      <c r="CZ7" s="308">
        <v>48.98</v>
      </c>
      <c r="DA7" s="308">
        <v>48.16</v>
      </c>
      <c r="DB7" s="308">
        <v>49.71</v>
      </c>
      <c r="DC7" s="308">
        <v>45.68</v>
      </c>
      <c r="DD7" s="308">
        <v>1.32</v>
      </c>
      <c r="DE7" s="308">
        <v>0</v>
      </c>
      <c r="DF7" s="308">
        <v>0</v>
      </c>
      <c r="DG7" s="308">
        <v>53.32</v>
      </c>
      <c r="DH7" s="308">
        <v>48.11</v>
      </c>
      <c r="DI7" s="308">
        <v>49.59</v>
      </c>
      <c r="DJ7" s="308">
        <v>46.22</v>
      </c>
      <c r="DK7" s="308">
        <v>45.15</v>
      </c>
      <c r="DL7" s="308">
        <v>46.3</v>
      </c>
      <c r="DM7" s="308">
        <v>45.47</v>
      </c>
      <c r="DN7" s="308">
        <v>45.93</v>
      </c>
      <c r="DO7" s="308">
        <v>46.54</v>
      </c>
      <c r="DP7" s="308">
        <v>49.33</v>
      </c>
      <c r="DQ7" s="308">
        <v>48.07</v>
      </c>
      <c r="DR7" s="308">
        <v>47.36</v>
      </c>
      <c r="DS7" s="308">
        <v>47.58</v>
      </c>
      <c r="DT7" s="308">
        <v>45.48</v>
      </c>
      <c r="DU7" s="308">
        <v>45.07</v>
      </c>
      <c r="DV7" s="308">
        <v>1.29</v>
      </c>
      <c r="DW7" s="308">
        <v>1.37</v>
      </c>
      <c r="DX7" s="308">
        <v>1.38</v>
      </c>
      <c r="DY7" s="308">
        <v>55.08</v>
      </c>
      <c r="DZ7" s="308">
        <v>48.6</v>
      </c>
      <c r="EA7" s="308">
        <v>0</v>
      </c>
      <c r="EB7" s="308">
        <v>0</v>
      </c>
      <c r="EC7" s="308">
        <v>65.489999999999995</v>
      </c>
      <c r="ED7" s="308">
        <v>47.54</v>
      </c>
      <c r="EE7" s="308">
        <v>48.24</v>
      </c>
      <c r="EF7" s="308">
        <v>47.66</v>
      </c>
      <c r="EG7" s="308">
        <v>46.86</v>
      </c>
      <c r="EH7" s="308">
        <v>46.25</v>
      </c>
      <c r="EI7" s="308">
        <v>45.63</v>
      </c>
      <c r="EJ7" s="308">
        <v>45.6</v>
      </c>
      <c r="EK7" s="308">
        <v>45.96</v>
      </c>
      <c r="EL7" s="308">
        <v>46.52</v>
      </c>
      <c r="EM7" s="308">
        <v>46.36</v>
      </c>
      <c r="EN7" s="308">
        <v>46.82</v>
      </c>
      <c r="EO7" s="308">
        <v>45.39</v>
      </c>
      <c r="EP7" s="308">
        <v>45.99</v>
      </c>
      <c r="EQ7" s="308">
        <v>0</v>
      </c>
      <c r="ER7" s="308">
        <v>0</v>
      </c>
      <c r="ES7" s="308">
        <v>0</v>
      </c>
      <c r="ET7" s="308">
        <v>0</v>
      </c>
      <c r="EU7" s="308">
        <v>0</v>
      </c>
      <c r="EV7" s="308">
        <v>0</v>
      </c>
      <c r="EW7" s="308">
        <v>0</v>
      </c>
      <c r="EX7" s="308">
        <v>0</v>
      </c>
      <c r="EY7" s="308">
        <v>0</v>
      </c>
      <c r="EZ7" s="308">
        <v>0</v>
      </c>
      <c r="FA7" s="308">
        <v>0</v>
      </c>
      <c r="FB7" s="308">
        <v>0</v>
      </c>
      <c r="FC7" s="308">
        <v>0</v>
      </c>
      <c r="FD7" s="308">
        <v>0</v>
      </c>
      <c r="FE7" s="308">
        <v>0</v>
      </c>
      <c r="FF7" s="308">
        <v>47.55</v>
      </c>
      <c r="FG7" s="308">
        <v>0</v>
      </c>
      <c r="FH7" s="308">
        <v>0</v>
      </c>
      <c r="FI7" s="308">
        <v>0</v>
      </c>
      <c r="FJ7" s="308">
        <v>0</v>
      </c>
      <c r="FK7" s="308">
        <v>0</v>
      </c>
      <c r="FL7" s="134"/>
    </row>
    <row r="8" spans="1:170" s="131" customFormat="1" ht="36" x14ac:dyDescent="0.45">
      <c r="A8" s="348"/>
      <c r="B8" s="132" t="s">
        <v>136</v>
      </c>
      <c r="C8" s="307">
        <v>34.44</v>
      </c>
      <c r="D8" s="252">
        <f>'Day Wise 24-25'!M27</f>
        <v>36.533136460438783</v>
      </c>
      <c r="E8" s="309">
        <f>'Day Wise 24-25'!X27</f>
        <v>37.01</v>
      </c>
      <c r="F8" s="309">
        <f>'Day Wise 24-25'!Y27</f>
        <v>32.830000000000005</v>
      </c>
      <c r="G8" s="309">
        <f>'Day Wise 24-25'!Z27</f>
        <v>32.918999999999997</v>
      </c>
      <c r="H8" s="309">
        <f>'Day Wise 24-25'!AA27</f>
        <v>33.131</v>
      </c>
      <c r="I8" s="309">
        <f>'Day Wise 24-25'!AB27</f>
        <v>33.42</v>
      </c>
      <c r="J8" s="309">
        <f>'Day Wise 24-25'!AC27</f>
        <v>32.488000000000007</v>
      </c>
      <c r="K8" s="309">
        <f>'Day Wise 24-25'!AD27</f>
        <v>33.473999999999997</v>
      </c>
      <c r="L8" s="309">
        <f>'Day Wise 24-25'!AE27</f>
        <v>33.14</v>
      </c>
      <c r="M8" s="309">
        <f>'Day Wise 24-25'!AF27</f>
        <v>35.519999999999996</v>
      </c>
      <c r="N8" s="309">
        <f>'Day Wise 24-25'!AG27</f>
        <v>35.89</v>
      </c>
      <c r="O8" s="309">
        <f>'Day Wise 24-25'!AH27</f>
        <v>33.21</v>
      </c>
      <c r="P8" s="309">
        <f>'Day Wise 24-25'!AI27</f>
        <v>35.789999999999992</v>
      </c>
      <c r="Q8" s="309">
        <f>'Day Wise 24-25'!AJ27</f>
        <v>32.090000000000003</v>
      </c>
      <c r="R8" s="309">
        <f>'Day Wise 24-25'!AK27</f>
        <v>35.11</v>
      </c>
      <c r="S8" s="309">
        <f>'Day Wise 24-25'!AL27</f>
        <v>32.220000000000006</v>
      </c>
      <c r="T8" s="309">
        <f>'Day Wise 24-25'!AM27</f>
        <v>35.300000000000004</v>
      </c>
      <c r="U8" s="309">
        <f>'Day Wise 24-25'!AN27</f>
        <v>33.74</v>
      </c>
      <c r="V8" s="309">
        <f>'Day Wise 24-25'!AO27</f>
        <v>33.950000000000003</v>
      </c>
      <c r="W8" s="309">
        <f>'Day Wise 24-25'!AP27</f>
        <v>35.880000000000003</v>
      </c>
      <c r="X8" s="309">
        <f>'Day Wise 24-25'!AQ27</f>
        <v>34.690000000000005</v>
      </c>
      <c r="Y8" s="309">
        <f>'Day Wise 24-25'!AR27</f>
        <v>35.699999999999996</v>
      </c>
      <c r="Z8" s="309">
        <f>'Day Wise 24-25'!AS27</f>
        <v>38.779999999999994</v>
      </c>
      <c r="AA8" s="309">
        <f>'Day Wise 24-25'!AT27</f>
        <v>32.140000000000008</v>
      </c>
      <c r="AB8" s="309">
        <f>'Day Wise 24-25'!AU27</f>
        <v>33.710000000000008</v>
      </c>
      <c r="AC8" s="309">
        <f>'Day Wise 24-25'!AV27</f>
        <v>32.479999999999997</v>
      </c>
      <c r="AD8" s="309">
        <f>'Day Wise 24-25'!AW27</f>
        <v>35.17</v>
      </c>
      <c r="AE8" s="309">
        <f>'Day Wise 24-25'!AX27</f>
        <v>34.36</v>
      </c>
      <c r="AF8" s="309">
        <f>'Day Wise 24-25'!AY27</f>
        <v>35.04</v>
      </c>
      <c r="AG8" s="309">
        <f>'Day Wise 24-25'!AZ27</f>
        <v>36.4</v>
      </c>
      <c r="AH8" s="309">
        <f>'Day Wise 24-25'!BA27</f>
        <v>35.650000000000006</v>
      </c>
      <c r="AI8" s="309">
        <f>'Day Wise 24-25'!O27</f>
        <v>33.889999999999993</v>
      </c>
      <c r="AJ8" s="309">
        <f>'Day Wise 24-25'!BB27</f>
        <v>35.58</v>
      </c>
      <c r="AK8" s="309">
        <f>'Day Wise 24-25'!BC27</f>
        <v>32.400000000000006</v>
      </c>
      <c r="AL8" s="309">
        <f>'Day Wise 24-25'!BD27</f>
        <v>32.97</v>
      </c>
      <c r="AM8" s="309">
        <f>'Day Wise 24-25'!BE27</f>
        <v>32.92</v>
      </c>
      <c r="AN8" s="309">
        <f>'Day Wise 24-25'!BF27</f>
        <v>34.370000000000005</v>
      </c>
      <c r="AO8" s="309">
        <f>'Day Wise 24-25'!BG27</f>
        <v>36.159999999999997</v>
      </c>
      <c r="AP8" s="309">
        <f>'Day Wise 24-25'!BH27</f>
        <v>34.56</v>
      </c>
      <c r="AQ8" s="309">
        <f>'Day Wise 24-25'!BI27</f>
        <v>37.299999999999997</v>
      </c>
      <c r="AR8" s="309">
        <f>'Day Wise 24-25'!BJ27</f>
        <v>35.510000000000005</v>
      </c>
      <c r="AS8" s="309">
        <f>'Day Wise 24-25'!BK27</f>
        <v>33.669999999999995</v>
      </c>
      <c r="AT8" s="309">
        <f>'Day Wise 24-25'!BL27</f>
        <v>34.760000000000005</v>
      </c>
      <c r="AU8" s="309">
        <f>'Day Wise 24-25'!BM27</f>
        <v>36.229999999999997</v>
      </c>
      <c r="AV8" s="309">
        <f>'Day Wise 24-25'!BN27</f>
        <v>34.92</v>
      </c>
      <c r="AW8" s="309">
        <f>'Day Wise 24-25'!BO27</f>
        <v>36.69</v>
      </c>
      <c r="AX8" s="309">
        <f>'Day Wise 24-25'!BP27</f>
        <v>33.070000000000007</v>
      </c>
      <c r="AY8" s="309">
        <f>'Day Wise 24-25'!BQ27</f>
        <v>37.78</v>
      </c>
      <c r="AZ8" s="309">
        <f>'Day Wise 24-25'!BR27</f>
        <v>32.839999999999996</v>
      </c>
      <c r="BA8" s="309">
        <f>'Day Wise 24-25'!BS27</f>
        <v>37.080000000000005</v>
      </c>
      <c r="BB8" s="309">
        <f>'Day Wise 24-25'!BT27</f>
        <v>31.299999999999997</v>
      </c>
      <c r="BC8" s="309">
        <f>'Day Wise 24-25'!BU27</f>
        <v>34.170000000000009</v>
      </c>
      <c r="BD8" s="309">
        <f>'Day Wise 24-25'!BV27</f>
        <v>30.819999999999997</v>
      </c>
      <c r="BE8" s="309">
        <f>'Day Wise 24-25'!BW27</f>
        <v>35.96</v>
      </c>
      <c r="BF8" s="309">
        <f>'Day Wise 24-25'!BX27</f>
        <v>33.949999999999996</v>
      </c>
      <c r="BG8" s="309">
        <f>'Day Wise 24-25'!BY27</f>
        <v>35.150000000000006</v>
      </c>
      <c r="BH8" s="309">
        <f>'Day Wise 24-25'!BZ27</f>
        <v>35.22</v>
      </c>
      <c r="BI8" s="309">
        <f>'Day Wise 24-25'!CA27</f>
        <v>31.6</v>
      </c>
      <c r="BJ8" s="309">
        <f>'Day Wise 24-25'!CB27</f>
        <v>33.749999999999993</v>
      </c>
      <c r="BK8" s="309">
        <f>'Day Wise 24-25'!CC27</f>
        <v>30.1</v>
      </c>
      <c r="BL8" s="309">
        <f>'Day Wise 24-25'!CD27</f>
        <v>33.35</v>
      </c>
      <c r="BM8" s="309">
        <f>'Day Wise 24-25'!CE27</f>
        <v>32.22</v>
      </c>
      <c r="BN8" s="309">
        <f>'Day Wise 24-25'!CF27</f>
        <v>36.44</v>
      </c>
      <c r="BO8" s="309">
        <f>'Day Wise 24-25'!P27</f>
        <v>34.010000000000005</v>
      </c>
      <c r="BP8" s="309">
        <f>'Day Wise 24-25'!CG27</f>
        <v>32.44</v>
      </c>
      <c r="BQ8" s="309">
        <f>'Day Wise 24-25'!CH27</f>
        <v>33.26</v>
      </c>
      <c r="BR8" s="309">
        <f>'Day Wise 24-25'!CI27</f>
        <v>33.11</v>
      </c>
      <c r="BS8" s="309">
        <f>'Day Wise 24-25'!CJ27</f>
        <v>32.44</v>
      </c>
      <c r="BT8" s="309">
        <f>'Day Wise 24-25'!CK27</f>
        <v>35.160000000000004</v>
      </c>
      <c r="BU8" s="309">
        <f>'Day Wise 24-25'!CL27</f>
        <v>32.290000000000006</v>
      </c>
      <c r="BV8" s="309">
        <f>'Day Wise 24-25'!CM27</f>
        <v>31.64</v>
      </c>
      <c r="BW8" s="309">
        <f>'Day Wise 24-25'!CN27</f>
        <v>32.94</v>
      </c>
      <c r="BX8" s="309">
        <f>'Day Wise 24-25'!CO27</f>
        <v>32.009999999999991</v>
      </c>
      <c r="BY8" s="309">
        <f>'Day Wise 24-25'!CP27</f>
        <v>32.63000000000001</v>
      </c>
      <c r="BZ8" s="309">
        <f>'Day Wise 24-25'!CQ27</f>
        <v>33.25</v>
      </c>
      <c r="CA8" s="309">
        <f>'Day Wise 24-25'!CR27</f>
        <v>30.779999999999998</v>
      </c>
      <c r="CB8" s="309">
        <f>'Day Wise 24-25'!CS27</f>
        <v>30.19</v>
      </c>
      <c r="CC8" s="309">
        <f>'Day Wise 24-25'!CT27</f>
        <v>30.279999999999998</v>
      </c>
      <c r="CD8" s="309">
        <f>'Day Wise 24-25'!CU27</f>
        <v>32.749999999999993</v>
      </c>
      <c r="CE8" s="309">
        <f>'Day Wise 24-25'!CV27</f>
        <v>30.419999999999998</v>
      </c>
      <c r="CF8" s="309">
        <f>'Day Wise 24-25'!CW27</f>
        <v>30.569999999999997</v>
      </c>
      <c r="CG8" s="309">
        <f>'Day Wise 24-25'!CX27</f>
        <v>35.229999999999997</v>
      </c>
      <c r="CH8" s="309">
        <f>'Day Wise 24-25'!CY27</f>
        <v>30.990000000000002</v>
      </c>
      <c r="CI8" s="309">
        <f>'Day Wise 24-25'!CZ27</f>
        <v>30.97</v>
      </c>
      <c r="CJ8" s="309">
        <f>'Day Wise 24-25'!DA27</f>
        <v>32.42</v>
      </c>
      <c r="CK8" s="309">
        <f>'Day Wise 24-25'!DB27</f>
        <v>33.49</v>
      </c>
      <c r="CL8" s="309">
        <f>'Day Wise 24-25'!DC27</f>
        <v>34.42</v>
      </c>
      <c r="CM8" s="309">
        <f>'Day Wise 24-25'!DD27</f>
        <v>30.630000000000003</v>
      </c>
      <c r="CN8" s="309">
        <f>'Day Wise 24-25'!DE27</f>
        <v>41.91</v>
      </c>
      <c r="CO8" s="309">
        <f>'Day Wise 24-25'!DF27</f>
        <v>36.92</v>
      </c>
      <c r="CP8" s="309">
        <f>'Day Wise 24-25'!DG27</f>
        <v>32.049999999999997</v>
      </c>
      <c r="CQ8" s="309">
        <f>'Day Wise 24-25'!DH27</f>
        <v>34.43</v>
      </c>
      <c r="CR8" s="309">
        <f>'Day Wise 24-25'!DI27</f>
        <v>35.720000000000006</v>
      </c>
      <c r="CS8" s="309">
        <f>'Day Wise 24-25'!DJ27</f>
        <v>30.7</v>
      </c>
      <c r="CT8" s="309">
        <f>'Day Wise 24-25'!Q27</f>
        <v>32.54</v>
      </c>
      <c r="CU8" s="309">
        <f>'Day Wise 24-25'!DK27</f>
        <v>34.76</v>
      </c>
      <c r="CV8" s="309">
        <f>'Day Wise 24-25'!DL27</f>
        <v>31.090000000000003</v>
      </c>
      <c r="CW8" s="309">
        <f>'Day Wise 24-25'!DM27</f>
        <v>37.409999999999997</v>
      </c>
      <c r="CX8" s="309">
        <f>'Day Wise 24-25'!DN27</f>
        <v>35.67</v>
      </c>
      <c r="CY8" s="309">
        <f>'Day Wise 24-25'!DO27</f>
        <v>36.19</v>
      </c>
      <c r="CZ8" s="309">
        <f>'Day Wise 24-25'!DP27</f>
        <v>39.529999999999994</v>
      </c>
      <c r="DA8" s="309">
        <f>'Day Wise 24-25'!DQ27</f>
        <v>33.300000000000004</v>
      </c>
      <c r="DB8" s="309">
        <f>'Day Wise 24-25'!DR27</f>
        <v>32.18</v>
      </c>
      <c r="DC8" s="309">
        <f>'Day Wise 24-25'!DS27</f>
        <v>34.08</v>
      </c>
      <c r="DD8" s="309">
        <f>'Day Wise 24-25'!DT27</f>
        <v>29.71</v>
      </c>
      <c r="DE8" s="309">
        <f>'Day Wise 24-25'!DU27</f>
        <v>36.11</v>
      </c>
      <c r="DF8" s="309">
        <f>'Day Wise 24-25'!DV27</f>
        <v>32.950000000000003</v>
      </c>
      <c r="DG8" s="309">
        <f>'Day Wise 24-25'!DW27</f>
        <v>33.779999999999994</v>
      </c>
      <c r="DH8" s="309">
        <f>'Day Wise 24-25'!DX27</f>
        <v>35.260000000000005</v>
      </c>
      <c r="DI8" s="309">
        <f>'Day Wise 24-25'!DY27</f>
        <v>34.159999999999997</v>
      </c>
      <c r="DJ8" s="309">
        <f>'Day Wise 24-25'!DZ27</f>
        <v>34.730000000000004</v>
      </c>
      <c r="DK8" s="309">
        <f>'Day Wise 24-25'!EA27</f>
        <v>37.64</v>
      </c>
      <c r="DL8" s="309">
        <f>'Day Wise 24-25'!EB27</f>
        <v>37.000000000000007</v>
      </c>
      <c r="DM8" s="309">
        <f>'Day Wise 24-25'!EC27</f>
        <v>34.799999999999997</v>
      </c>
      <c r="DN8" s="309">
        <f>'Day Wise 24-25'!ED27</f>
        <v>31.95</v>
      </c>
      <c r="DO8" s="309">
        <f>'Day Wise 24-25'!EE27</f>
        <v>36.440000000000005</v>
      </c>
      <c r="DP8" s="309">
        <f>'Day Wise 24-25'!EF27</f>
        <v>25.79</v>
      </c>
      <c r="DQ8" s="309">
        <f>'Day Wise 24-25'!EG27</f>
        <v>35.619999999999997</v>
      </c>
      <c r="DR8" s="309">
        <f>'Day Wise 24-25'!EH27</f>
        <v>31.740000000000002</v>
      </c>
      <c r="DS8" s="309">
        <f>'Day Wise 24-25'!EI27</f>
        <v>33</v>
      </c>
      <c r="DT8" s="309">
        <f>'Day Wise 24-25'!EJ27</f>
        <v>30.27</v>
      </c>
      <c r="DU8" s="309">
        <f>'Day Wise 24-25'!EK27</f>
        <v>31.5</v>
      </c>
      <c r="DV8" s="309">
        <f>'Day Wise 24-25'!EL27</f>
        <v>35.200000000000003</v>
      </c>
      <c r="DW8" s="309">
        <f>'Day Wise 24-25'!EM27</f>
        <v>31.39</v>
      </c>
      <c r="DX8" s="309">
        <f>'Day Wise 24-25'!EN27</f>
        <v>34.26</v>
      </c>
      <c r="DY8" s="309">
        <f>'Day Wise 24-25'!EO27</f>
        <v>31.650000000000006</v>
      </c>
      <c r="DZ8" s="309">
        <f>'Day Wise 24-25'!R27</f>
        <v>33.360000000000007</v>
      </c>
      <c r="EA8" s="309">
        <f>'Day Wise 24-25'!EP27</f>
        <v>38.479999999999997</v>
      </c>
      <c r="EB8" s="309">
        <f>'Day Wise 24-25'!EQ27</f>
        <v>38.53</v>
      </c>
      <c r="EC8" s="309">
        <f>'Day Wise 24-25'!ER27</f>
        <v>37.250000000000007</v>
      </c>
      <c r="ED8" s="309">
        <f>'Day Wise 24-25'!ES27</f>
        <v>35.139999999999993</v>
      </c>
      <c r="EE8" s="309">
        <f>'Day Wise 24-25'!ET27</f>
        <v>39.01</v>
      </c>
      <c r="EF8" s="309">
        <f>'Day Wise 24-25'!EU27</f>
        <v>34.81</v>
      </c>
      <c r="EG8" s="309">
        <f>'Day Wise 24-25'!EV27</f>
        <v>30.72</v>
      </c>
      <c r="EH8" s="309">
        <f>'Day Wise 24-25'!EW27</f>
        <v>29.969999999999995</v>
      </c>
      <c r="EI8" s="309">
        <f>'Day Wise 24-25'!EX27</f>
        <v>31.41</v>
      </c>
      <c r="EJ8" s="309">
        <f>'Day Wise 24-25'!EY27</f>
        <v>36.369999999999997</v>
      </c>
      <c r="EK8" s="309">
        <f>'Day Wise 24-25'!EZ27</f>
        <v>34.14</v>
      </c>
      <c r="EL8" s="309">
        <f>'Day Wise 24-25'!FA27</f>
        <v>33.879999999999995</v>
      </c>
      <c r="EM8" s="309">
        <f>'Day Wise 24-25'!FB27</f>
        <v>32.96</v>
      </c>
      <c r="EN8" s="309">
        <f>'Day Wise 24-25'!FC27</f>
        <v>30.73</v>
      </c>
      <c r="EO8" s="309">
        <f>'Day Wise 24-25'!FD27</f>
        <v>35.049999999999997</v>
      </c>
      <c r="EP8" s="309">
        <f>'Day Wise 24-25'!FE27</f>
        <v>33.270000000000003</v>
      </c>
      <c r="EQ8" s="309">
        <f>'Day Wise 24-25'!FF27</f>
        <v>38.67</v>
      </c>
      <c r="ER8" s="309">
        <f>'Day Wise 24-25'!FG27</f>
        <v>35.79</v>
      </c>
      <c r="ES8" s="309">
        <f>'Day Wise 24-25'!FH27</f>
        <v>32.369999999999997</v>
      </c>
      <c r="ET8" s="309">
        <f>'Day Wise 24-25'!FI27</f>
        <v>35.01</v>
      </c>
      <c r="EU8" s="309">
        <f>'Day Wise 24-25'!FJ27</f>
        <v>32.28</v>
      </c>
      <c r="EV8" s="309">
        <f>'Day Wise 24-25'!FK27</f>
        <v>30.26</v>
      </c>
      <c r="EW8" s="309">
        <f>'Day Wise 24-25'!FL27</f>
        <v>43.09</v>
      </c>
      <c r="EX8" s="309">
        <f>'Day Wise 24-25'!FM27</f>
        <v>33.19</v>
      </c>
      <c r="EY8" s="309">
        <f>'Day Wise 24-25'!FN27</f>
        <v>37.46</v>
      </c>
      <c r="EZ8" s="309">
        <f>'Day Wise 24-25'!FO27</f>
        <v>32.54</v>
      </c>
      <c r="FA8" s="309">
        <f>'Day Wise 24-25'!FP27</f>
        <v>33.35</v>
      </c>
      <c r="FB8" s="309">
        <f>'Day Wise 24-25'!FQ27</f>
        <v>34.39</v>
      </c>
      <c r="FC8" s="309">
        <f>'Day Wise 24-25'!FR27</f>
        <v>35.22</v>
      </c>
      <c r="FD8" s="309">
        <f>'Day Wise 24-25'!FS27</f>
        <v>31.43</v>
      </c>
      <c r="FE8" s="309">
        <f>'Day Wise 24-25'!FT27</f>
        <v>36.93</v>
      </c>
      <c r="FF8" s="309">
        <f>'Day Wise 24-25'!S27</f>
        <v>34.190000000000005</v>
      </c>
      <c r="FG8" s="309">
        <f>'Day Wise 24-25'!FU27</f>
        <v>31.77</v>
      </c>
      <c r="FH8" s="309">
        <f>'Day Wise 24-25'!FV27</f>
        <v>32.47</v>
      </c>
      <c r="FI8" s="309">
        <f>'Day Wise 24-25'!FW27</f>
        <v>35.020000000000003</v>
      </c>
      <c r="FJ8" s="309">
        <f>'Day Wise 24-25'!FX27</f>
        <v>33.020000000000003</v>
      </c>
      <c r="FK8" s="309">
        <f>'Day Wise 24-25'!T27</f>
        <v>33</v>
      </c>
      <c r="FL8" s="157"/>
    </row>
    <row r="9" spans="1:170" s="131" customFormat="1" ht="22.2" x14ac:dyDescent="0.45">
      <c r="A9" s="348"/>
      <c r="B9" s="307" t="s">
        <v>137</v>
      </c>
      <c r="C9" s="307">
        <v>71.069999999999993</v>
      </c>
      <c r="D9" s="252">
        <f>'Day Wise 24-25'!M28</f>
        <v>71.500679396216199</v>
      </c>
      <c r="E9" s="309">
        <f>'Day Wise 24-25'!X28</f>
        <v>73.41</v>
      </c>
      <c r="F9" s="309">
        <f>'Day Wise 24-25'!Y28</f>
        <v>66.98</v>
      </c>
      <c r="G9" s="309">
        <f>'Day Wise 24-25'!Z28</f>
        <v>64.091999999999999</v>
      </c>
      <c r="H9" s="309">
        <f>'Day Wise 24-25'!AA28</f>
        <v>65.082999999999998</v>
      </c>
      <c r="I9" s="309">
        <f>'Day Wise 24-25'!AB28</f>
        <v>68.5</v>
      </c>
      <c r="J9" s="309">
        <f>'Day Wise 24-25'!AC28</f>
        <v>65.587000000000003</v>
      </c>
      <c r="K9" s="309">
        <f>'Day Wise 24-25'!AD28</f>
        <v>71.540999999999997</v>
      </c>
      <c r="L9" s="309">
        <f>'Day Wise 24-25'!AE28</f>
        <v>67.56</v>
      </c>
      <c r="M9" s="309">
        <f>'Day Wise 24-25'!AF28</f>
        <v>67.91</v>
      </c>
      <c r="N9" s="309">
        <f>'Day Wise 24-25'!AG28</f>
        <v>74.86</v>
      </c>
      <c r="O9" s="309">
        <f>'Day Wise 24-25'!AH28</f>
        <v>67.19</v>
      </c>
      <c r="P9" s="309">
        <f>'Day Wise 24-25'!AI28</f>
        <v>76.959999999999994</v>
      </c>
      <c r="Q9" s="309">
        <f>'Day Wise 24-25'!AJ28</f>
        <v>62.4</v>
      </c>
      <c r="R9" s="309">
        <f>'Day Wise 24-25'!AK28</f>
        <v>72.33</v>
      </c>
      <c r="S9" s="309">
        <f>'Day Wise 24-25'!AL28</f>
        <v>64.150000000000006</v>
      </c>
      <c r="T9" s="309">
        <f>'Day Wise 24-25'!AM28</f>
        <v>72.23</v>
      </c>
      <c r="U9" s="309">
        <f>'Day Wise 24-25'!AN28</f>
        <v>68.31</v>
      </c>
      <c r="V9" s="309">
        <f>'Day Wise 24-25'!AO28</f>
        <v>65.25</v>
      </c>
      <c r="W9" s="309">
        <f>'Day Wise 24-25'!AP28</f>
        <v>65.92</v>
      </c>
      <c r="X9" s="309">
        <f>'Day Wise 24-25'!AQ28</f>
        <v>74.95</v>
      </c>
      <c r="Y9" s="309">
        <f>'Day Wise 24-25'!AR28</f>
        <v>71.52</v>
      </c>
      <c r="Z9" s="309">
        <f>'Day Wise 24-25'!AS28</f>
        <v>80.349999999999994</v>
      </c>
      <c r="AA9" s="309">
        <f>'Day Wise 24-25'!AT28</f>
        <v>65.12</v>
      </c>
      <c r="AB9" s="309">
        <f>'Day Wise 24-25'!AU28</f>
        <v>69.87</v>
      </c>
      <c r="AC9" s="309">
        <f>'Day Wise 24-25'!AV28</f>
        <v>63.16</v>
      </c>
      <c r="AD9" s="309">
        <f>'Day Wise 24-25'!AW28</f>
        <v>68.73</v>
      </c>
      <c r="AE9" s="309">
        <f>'Day Wise 24-25'!AX28</f>
        <v>65.22</v>
      </c>
      <c r="AF9" s="309">
        <f>'Day Wise 24-25'!AY28</f>
        <v>73.08</v>
      </c>
      <c r="AG9" s="309">
        <f>'Day Wise 24-25'!AZ28</f>
        <v>75.64</v>
      </c>
      <c r="AH9" s="309">
        <f>'Day Wise 24-25'!BA28</f>
        <v>67.510000000000005</v>
      </c>
      <c r="AI9" s="309">
        <f>'Day Wise 24-25'!O28</f>
        <v>68.489999999999995</v>
      </c>
      <c r="AJ9" s="309">
        <f>'Day Wise 24-25'!BB28</f>
        <v>71</v>
      </c>
      <c r="AK9" s="309">
        <f>'Day Wise 24-25'!BC28</f>
        <v>63.31</v>
      </c>
      <c r="AL9" s="309">
        <f>'Day Wise 24-25'!BD28</f>
        <v>66.41</v>
      </c>
      <c r="AM9" s="309">
        <f>'Day Wise 24-25'!BE28</f>
        <v>63.24</v>
      </c>
      <c r="AN9" s="309">
        <f>'Day Wise 24-25'!BF28</f>
        <v>70.760000000000005</v>
      </c>
      <c r="AO9" s="309">
        <f>'Day Wise 24-25'!BG28</f>
        <v>70.569999999999993</v>
      </c>
      <c r="AP9" s="309">
        <f>'Day Wise 24-25'!BH28</f>
        <v>65.06</v>
      </c>
      <c r="AQ9" s="309">
        <f>'Day Wise 24-25'!BI28</f>
        <v>74.959999999999994</v>
      </c>
      <c r="AR9" s="309">
        <f>'Day Wise 24-25'!BJ28</f>
        <v>66.290000000000006</v>
      </c>
      <c r="AS9" s="309">
        <f>'Day Wise 24-25'!BK28</f>
        <v>64.02</v>
      </c>
      <c r="AT9" s="309">
        <f>'Day Wise 24-25'!BL28</f>
        <v>68.760000000000005</v>
      </c>
      <c r="AU9" s="309">
        <f>'Day Wise 24-25'!BM28</f>
        <v>71.66</v>
      </c>
      <c r="AV9" s="309">
        <f>'Day Wise 24-25'!BN28</f>
        <v>68.010000000000005</v>
      </c>
      <c r="AW9" s="309">
        <f>'Day Wise 24-25'!BO28</f>
        <v>67.47</v>
      </c>
      <c r="AX9" s="309">
        <f>'Day Wise 24-25'!BP28</f>
        <v>67.930000000000007</v>
      </c>
      <c r="AY9" s="309">
        <f>'Day Wise 24-25'!BQ28</f>
        <v>70.5</v>
      </c>
      <c r="AZ9" s="309">
        <f>'Day Wise 24-25'!BR28</f>
        <v>65.709999999999994</v>
      </c>
      <c r="BA9" s="309">
        <f>'Day Wise 24-25'!BS28</f>
        <v>72.430000000000007</v>
      </c>
      <c r="BB9" s="309">
        <f>'Day Wise 24-25'!BT28</f>
        <v>62.37</v>
      </c>
      <c r="BC9" s="309">
        <f>'Day Wise 24-25'!BU28</f>
        <v>70.930000000000007</v>
      </c>
      <c r="BD9" s="309">
        <f>'Day Wise 24-25'!BV28</f>
        <v>60.16</v>
      </c>
      <c r="BE9" s="309">
        <f>'Day Wise 24-25'!BW28</f>
        <v>74.19</v>
      </c>
      <c r="BF9" s="309">
        <f>'Day Wise 24-25'!BX28</f>
        <v>67.05</v>
      </c>
      <c r="BG9" s="309">
        <f>'Day Wise 24-25'!BY28</f>
        <v>71.400000000000006</v>
      </c>
      <c r="BH9" s="309">
        <f>'Day Wise 24-25'!BZ28</f>
        <v>66.459999999999994</v>
      </c>
      <c r="BI9" s="309">
        <f>'Day Wise 24-25'!CA28</f>
        <v>63.32</v>
      </c>
      <c r="BJ9" s="309">
        <f>'Day Wise 24-25'!CB28</f>
        <v>68.13</v>
      </c>
      <c r="BK9" s="309">
        <f>'Day Wise 24-25'!CC28</f>
        <v>62.54</v>
      </c>
      <c r="BL9" s="309">
        <f>'Day Wise 24-25'!CD28</f>
        <v>64.81</v>
      </c>
      <c r="BM9" s="309">
        <f>'Day Wise 24-25'!CE28</f>
        <v>63.04</v>
      </c>
      <c r="BN9" s="309">
        <f>'Day Wise 24-25'!CF28</f>
        <v>75.989999999999995</v>
      </c>
      <c r="BO9" s="309">
        <f>'Day Wise 24-25'!P28</f>
        <v>67.430000000000007</v>
      </c>
      <c r="BP9" s="309">
        <f>'Day Wise 24-25'!CG28</f>
        <v>64.97</v>
      </c>
      <c r="BQ9" s="309">
        <f>'Day Wise 24-25'!CH28</f>
        <v>69.36</v>
      </c>
      <c r="BR9" s="309">
        <f>'Day Wise 24-25'!CI28</f>
        <v>68.64</v>
      </c>
      <c r="BS9" s="309">
        <f>'Day Wise 24-25'!CJ28</f>
        <v>60.89</v>
      </c>
      <c r="BT9" s="309">
        <f>'Day Wise 24-25'!CK28</f>
        <v>70.290000000000006</v>
      </c>
      <c r="BU9" s="309">
        <f>'Day Wise 24-25'!CL28</f>
        <v>61.63</v>
      </c>
      <c r="BV9" s="309">
        <f>'Day Wise 24-25'!CM28</f>
        <v>62.71</v>
      </c>
      <c r="BW9" s="309">
        <f>'Day Wise 24-25'!CN28</f>
        <v>62.04</v>
      </c>
      <c r="BX9" s="309">
        <f>'Day Wise 24-25'!CO28</f>
        <v>65.569999999999993</v>
      </c>
      <c r="BY9" s="309">
        <f>'Day Wise 24-25'!CP28</f>
        <v>65.790000000000006</v>
      </c>
      <c r="BZ9" s="309">
        <f>'Day Wise 24-25'!CQ28</f>
        <v>63.29</v>
      </c>
      <c r="CA9" s="309">
        <f>'Day Wise 24-25'!CR28</f>
        <v>58.83</v>
      </c>
      <c r="CB9" s="309">
        <f>'Day Wise 24-25'!CS28</f>
        <v>57.89</v>
      </c>
      <c r="CC9" s="309">
        <f>'Day Wise 24-25'!CT28</f>
        <v>60.98</v>
      </c>
      <c r="CD9" s="309">
        <f>'Day Wise 24-25'!CU28</f>
        <v>64.349999999999994</v>
      </c>
      <c r="CE9" s="309">
        <f>'Day Wise 24-25'!CV28</f>
        <v>61.87</v>
      </c>
      <c r="CF9" s="309">
        <f>'Day Wise 24-25'!CW28</f>
        <v>60.16</v>
      </c>
      <c r="CG9" s="309">
        <f>'Day Wise 24-25'!CX28</f>
        <v>69.16</v>
      </c>
      <c r="CH9" s="309">
        <f>'Day Wise 24-25'!CY28</f>
        <v>59.38</v>
      </c>
      <c r="CI9" s="309">
        <f>'Day Wise 24-25'!CZ28</f>
        <v>59.54</v>
      </c>
      <c r="CJ9" s="309">
        <f>'Day Wise 24-25'!DA28</f>
        <v>65.61</v>
      </c>
      <c r="CK9" s="309">
        <f>'Day Wise 24-25'!DB28</f>
        <v>62.99</v>
      </c>
      <c r="CL9" s="309">
        <f>'Day Wise 24-25'!DC28</f>
        <v>64.22</v>
      </c>
      <c r="CM9" s="309">
        <f>'Day Wise 24-25'!DD28</f>
        <v>60.49</v>
      </c>
      <c r="CN9" s="309">
        <f>'Day Wise 24-25'!DE28</f>
        <v>70.069999999999993</v>
      </c>
      <c r="CO9" s="309">
        <f>'Day Wise 24-25'!DF28</f>
        <v>73.97</v>
      </c>
      <c r="CP9" s="309">
        <f>'Day Wise 24-25'!DG28</f>
        <v>64.89</v>
      </c>
      <c r="CQ9" s="309">
        <f>'Day Wise 24-25'!DH28</f>
        <v>66.69</v>
      </c>
      <c r="CR9" s="309">
        <f>'Day Wise 24-25'!DI28</f>
        <v>69.87</v>
      </c>
      <c r="CS9" s="309">
        <f>'Day Wise 24-25'!DJ28</f>
        <v>60.01</v>
      </c>
      <c r="CT9" s="309">
        <f>'Day Wise 24-25'!Q28</f>
        <v>63.86</v>
      </c>
      <c r="CU9" s="309">
        <f>'Day Wise 24-25'!DK28</f>
        <v>70.47</v>
      </c>
      <c r="CV9" s="309">
        <f>'Day Wise 24-25'!DL28</f>
        <v>58.95</v>
      </c>
      <c r="CW9" s="309">
        <f>'Day Wise 24-25'!DM28</f>
        <v>68.72</v>
      </c>
      <c r="CX9" s="309">
        <f>'Day Wise 24-25'!DN28</f>
        <v>72.72</v>
      </c>
      <c r="CY9" s="309">
        <f>'Day Wise 24-25'!DO28</f>
        <v>72.8</v>
      </c>
      <c r="CZ9" s="309">
        <f>'Day Wise 24-25'!DP28</f>
        <v>70.989999999999995</v>
      </c>
      <c r="DA9" s="309">
        <f>'Day Wise 24-25'!DQ28</f>
        <v>66.06</v>
      </c>
      <c r="DB9" s="309">
        <f>'Day Wise 24-25'!DR28</f>
        <v>62.01</v>
      </c>
      <c r="DC9" s="309">
        <f>'Day Wise 24-25'!DS28</f>
        <v>62.75</v>
      </c>
      <c r="DD9" s="309">
        <f>'Day Wise 24-25'!DT28</f>
        <v>30.51</v>
      </c>
      <c r="DE9" s="309">
        <f>'Day Wise 24-25'!DU28</f>
        <v>36.11</v>
      </c>
      <c r="DF9" s="309">
        <f>'Day Wise 24-25'!DV28</f>
        <v>32.950000000000003</v>
      </c>
      <c r="DG9" s="309">
        <f>'Day Wise 24-25'!DW28</f>
        <v>70.459999999999994</v>
      </c>
      <c r="DH9" s="309">
        <f>'Day Wise 24-25'!DX28</f>
        <v>70.09</v>
      </c>
      <c r="DI9" s="309">
        <f>'Day Wise 24-25'!DY28</f>
        <v>64.53</v>
      </c>
      <c r="DJ9" s="309">
        <f>'Day Wise 24-25'!DZ28</f>
        <v>65.22</v>
      </c>
      <c r="DK9" s="309">
        <f>'Day Wise 24-25'!EA28</f>
        <v>64.83</v>
      </c>
      <c r="DL9" s="309">
        <f>'Day Wise 24-25'!EB28</f>
        <v>66.680000000000007</v>
      </c>
      <c r="DM9" s="309">
        <f>'Day Wise 24-25'!EC28</f>
        <v>63.9</v>
      </c>
      <c r="DN9" s="309">
        <f>'Day Wise 24-25'!ED28</f>
        <v>62.9</v>
      </c>
      <c r="DO9" s="309">
        <f>'Day Wise 24-25'!EE28</f>
        <v>73.92</v>
      </c>
      <c r="DP9" s="309">
        <f>'Day Wise 24-25'!EF28</f>
        <v>58.49</v>
      </c>
      <c r="DQ9" s="309">
        <f>'Day Wise 24-25'!EG28</f>
        <v>69.75</v>
      </c>
      <c r="DR9" s="309">
        <f>'Day Wise 24-25'!EH28</f>
        <v>60.78</v>
      </c>
      <c r="DS9" s="309">
        <f>'Day Wise 24-25'!EI28</f>
        <v>68.66</v>
      </c>
      <c r="DT9" s="309">
        <f>'Day Wise 24-25'!EJ28</f>
        <v>59.5</v>
      </c>
      <c r="DU9" s="309">
        <f>'Day Wise 24-25'!EK28</f>
        <v>60.32</v>
      </c>
      <c r="DV9" s="309">
        <f>'Day Wise 24-25'!EL28</f>
        <v>36.21</v>
      </c>
      <c r="DW9" s="309">
        <f>'Day Wise 24-25'!EM28</f>
        <v>32.25</v>
      </c>
      <c r="DX9" s="309">
        <f>'Day Wise 24-25'!EN28</f>
        <v>35.14</v>
      </c>
      <c r="DY9" s="309">
        <f>'Day Wise 24-25'!EO28</f>
        <v>64.59</v>
      </c>
      <c r="DZ9" s="309">
        <f>'Day Wise 24-25'!R28</f>
        <v>65.930000000000007</v>
      </c>
      <c r="EA9" s="309">
        <f>'Day Wise 24-25'!EP28</f>
        <v>38.479999999999997</v>
      </c>
      <c r="EB9" s="309">
        <f>'Day Wise 24-25'!EQ28</f>
        <v>38.53</v>
      </c>
      <c r="EC9" s="309">
        <f>'Day Wise 24-25'!ER28</f>
        <v>76.430000000000007</v>
      </c>
      <c r="ED9" s="309">
        <f>'Day Wise 24-25'!ES28</f>
        <v>69.13</v>
      </c>
      <c r="EE9" s="309">
        <f>'Day Wise 24-25'!ET28</f>
        <v>71.52</v>
      </c>
      <c r="EF9" s="309">
        <f>'Day Wise 24-25'!EU28</f>
        <v>65.12</v>
      </c>
      <c r="EG9" s="309">
        <f>'Day Wise 24-25'!EV28</f>
        <v>60.11</v>
      </c>
      <c r="EH9" s="309">
        <f>'Day Wise 24-25'!EW28</f>
        <v>59.91</v>
      </c>
      <c r="EI9" s="309">
        <f>'Day Wise 24-25'!EX28</f>
        <v>60.78</v>
      </c>
      <c r="EJ9" s="309">
        <f>'Day Wise 24-25'!EY28</f>
        <v>74.77</v>
      </c>
      <c r="EK9" s="309">
        <f>'Day Wise 24-25'!EZ28</f>
        <v>67.8</v>
      </c>
      <c r="EL9" s="309">
        <f>'Day Wise 24-25'!FA28</f>
        <v>65.3</v>
      </c>
      <c r="EM9" s="309">
        <f>'Day Wise 24-25'!FB28</f>
        <v>66</v>
      </c>
      <c r="EN9" s="309">
        <f>'Day Wise 24-25'!FC28</f>
        <v>59.97</v>
      </c>
      <c r="EO9" s="309">
        <f>'Day Wise 24-25'!FD28</f>
        <v>64.069999999999993</v>
      </c>
      <c r="EP9" s="309">
        <f>'Day Wise 24-25'!FE28</f>
        <v>67.03</v>
      </c>
      <c r="EQ9" s="309">
        <f>'Day Wise 24-25'!FF28</f>
        <v>38.67</v>
      </c>
      <c r="ER9" s="309">
        <f>'Day Wise 24-25'!FG28</f>
        <v>35.79</v>
      </c>
      <c r="ES9" s="309">
        <f>'Day Wise 24-25'!FH28</f>
        <v>32.369999999999997</v>
      </c>
      <c r="ET9" s="309">
        <f>'Day Wise 24-25'!FI28</f>
        <v>35.01</v>
      </c>
      <c r="EU9" s="309">
        <f>'Day Wise 24-25'!FJ28</f>
        <v>32.28</v>
      </c>
      <c r="EV9" s="309">
        <f>'Day Wise 24-25'!FK28</f>
        <v>30.26</v>
      </c>
      <c r="EW9" s="309">
        <f>'Day Wise 24-25'!FL28</f>
        <v>43.09</v>
      </c>
      <c r="EX9" s="309">
        <f>'Day Wise 24-25'!FM28</f>
        <v>33.19</v>
      </c>
      <c r="EY9" s="309">
        <f>'Day Wise 24-25'!FN28</f>
        <v>37.46</v>
      </c>
      <c r="EZ9" s="309">
        <f>'Day Wise 24-25'!FO28</f>
        <v>32.54</v>
      </c>
      <c r="FA9" s="309">
        <f>'Day Wise 24-25'!FP28</f>
        <v>33.35</v>
      </c>
      <c r="FB9" s="309">
        <f>'Day Wise 24-25'!FQ28</f>
        <v>34.39</v>
      </c>
      <c r="FC9" s="309">
        <f>'Day Wise 24-25'!FR28</f>
        <v>35.22</v>
      </c>
      <c r="FD9" s="309">
        <f>'Day Wise 24-25'!FS28</f>
        <v>31.43</v>
      </c>
      <c r="FE9" s="309">
        <f>'Day Wise 24-25'!FT28</f>
        <v>36.93</v>
      </c>
      <c r="FF9" s="309">
        <f>'Day Wise 24-25'!S28</f>
        <v>67.37</v>
      </c>
      <c r="FG9" s="309">
        <f>'Day Wise 24-25'!FU28</f>
        <v>31.77</v>
      </c>
      <c r="FH9" s="309">
        <f>'Day Wise 24-25'!FV28</f>
        <v>32.47</v>
      </c>
      <c r="FI9" s="309">
        <f>'Day Wise 24-25'!FW28</f>
        <v>35.020000000000003</v>
      </c>
      <c r="FJ9" s="309">
        <f>'Day Wise 24-25'!FX28</f>
        <v>33.020000000000003</v>
      </c>
      <c r="FK9" s="309">
        <f>'Day Wise 24-25'!T28</f>
        <v>33</v>
      </c>
      <c r="FL9" s="157"/>
    </row>
    <row r="10" spans="1:170" s="131" customFormat="1" ht="36" x14ac:dyDescent="0.45">
      <c r="A10" s="348" t="s">
        <v>138</v>
      </c>
      <c r="B10" s="132" t="s">
        <v>135</v>
      </c>
      <c r="C10" s="307">
        <v>56.98</v>
      </c>
      <c r="D10" s="252">
        <v>58.78</v>
      </c>
      <c r="E10" s="309">
        <v>56.87</v>
      </c>
      <c r="F10" s="309">
        <v>57.6</v>
      </c>
      <c r="G10" s="309">
        <v>57.787999999999997</v>
      </c>
      <c r="H10" s="309">
        <v>54.938000000000002</v>
      </c>
      <c r="I10" s="309">
        <v>57.46</v>
      </c>
      <c r="J10" s="309">
        <v>58.732999999999997</v>
      </c>
      <c r="K10" s="309">
        <v>58.713999999999999</v>
      </c>
      <c r="L10" s="309">
        <v>57.54</v>
      </c>
      <c r="M10" s="309">
        <v>58.83</v>
      </c>
      <c r="N10" s="309">
        <v>58.24</v>
      </c>
      <c r="O10" s="309">
        <v>59.21</v>
      </c>
      <c r="P10" s="309">
        <v>59.66</v>
      </c>
      <c r="Q10" s="309">
        <v>55.43</v>
      </c>
      <c r="R10" s="309">
        <v>66.25</v>
      </c>
      <c r="S10" s="309">
        <v>56.88</v>
      </c>
      <c r="T10" s="309">
        <v>57.66</v>
      </c>
      <c r="U10" s="309">
        <v>57.9</v>
      </c>
      <c r="V10" s="309">
        <v>59.27</v>
      </c>
      <c r="W10" s="310">
        <v>0</v>
      </c>
      <c r="X10" s="309">
        <v>63.03</v>
      </c>
      <c r="Y10" s="309">
        <v>57.56</v>
      </c>
      <c r="Z10" s="309">
        <v>61.04</v>
      </c>
      <c r="AA10" s="309">
        <v>59.63</v>
      </c>
      <c r="AB10" s="309">
        <v>61.32</v>
      </c>
      <c r="AC10" s="309">
        <v>59.63</v>
      </c>
      <c r="AD10" s="309">
        <v>60.13</v>
      </c>
      <c r="AE10" s="309">
        <v>59.01</v>
      </c>
      <c r="AF10" s="309">
        <v>59.73</v>
      </c>
      <c r="AG10" s="309">
        <v>59.49</v>
      </c>
      <c r="AH10" s="309">
        <v>60.13</v>
      </c>
      <c r="AI10" s="309">
        <v>58.85</v>
      </c>
      <c r="AJ10" s="309">
        <v>58.96</v>
      </c>
      <c r="AK10" s="309">
        <v>61.91</v>
      </c>
      <c r="AL10" s="309">
        <v>61.25</v>
      </c>
      <c r="AM10" s="309">
        <v>57.86</v>
      </c>
      <c r="AN10" s="309">
        <v>58.22</v>
      </c>
      <c r="AO10" s="309">
        <v>60.07</v>
      </c>
      <c r="AP10" s="309">
        <v>57.24</v>
      </c>
      <c r="AQ10" s="309">
        <v>57.41</v>
      </c>
      <c r="AR10" s="309">
        <v>58.4</v>
      </c>
      <c r="AS10" s="309">
        <v>56.5</v>
      </c>
      <c r="AT10" s="309">
        <v>58.02</v>
      </c>
      <c r="AU10" s="309">
        <v>57.85</v>
      </c>
      <c r="AV10" s="309">
        <v>55.74</v>
      </c>
      <c r="AW10" s="309">
        <v>0</v>
      </c>
      <c r="AX10" s="309">
        <v>54.72</v>
      </c>
      <c r="AY10" s="309">
        <v>56.93</v>
      </c>
      <c r="AZ10" s="309">
        <v>56.99</v>
      </c>
      <c r="BA10" s="309">
        <v>56.03</v>
      </c>
      <c r="BB10" s="309">
        <v>57.49</v>
      </c>
      <c r="BC10" s="309">
        <v>56.7</v>
      </c>
      <c r="BD10" s="309">
        <v>57.71</v>
      </c>
      <c r="BE10" s="309">
        <v>59.77</v>
      </c>
      <c r="BF10" s="309">
        <v>59.95</v>
      </c>
      <c r="BG10" s="309">
        <v>58.04</v>
      </c>
      <c r="BH10" s="309">
        <v>57.3</v>
      </c>
      <c r="BI10" s="309">
        <v>58.05</v>
      </c>
      <c r="BJ10" s="309">
        <v>56.02</v>
      </c>
      <c r="BK10" s="309">
        <v>55.72</v>
      </c>
      <c r="BL10" s="309">
        <v>55.28</v>
      </c>
      <c r="BM10" s="309">
        <v>56.78</v>
      </c>
      <c r="BN10" s="309">
        <v>55.46</v>
      </c>
      <c r="BO10" s="309">
        <v>57.74</v>
      </c>
      <c r="BP10" s="309">
        <v>55.46</v>
      </c>
      <c r="BQ10" s="309">
        <v>55.7</v>
      </c>
      <c r="BR10" s="309">
        <v>55.39</v>
      </c>
      <c r="BS10" s="309">
        <v>57.28</v>
      </c>
      <c r="BT10" s="309">
        <v>1.46</v>
      </c>
      <c r="BU10" s="309">
        <v>0</v>
      </c>
      <c r="BV10" s="309">
        <v>52.86</v>
      </c>
      <c r="BW10" s="309">
        <v>54.5</v>
      </c>
      <c r="BX10" s="309">
        <v>57.44</v>
      </c>
      <c r="BY10" s="309">
        <v>54.72</v>
      </c>
      <c r="BZ10" s="309">
        <v>54.25</v>
      </c>
      <c r="CA10" s="309">
        <v>54.16</v>
      </c>
      <c r="CB10" s="309">
        <v>53.05</v>
      </c>
      <c r="CC10" s="309">
        <v>52.56</v>
      </c>
      <c r="CD10" s="309">
        <v>53.34</v>
      </c>
      <c r="CE10" s="309">
        <v>53.36</v>
      </c>
      <c r="CF10" s="309">
        <v>55.29</v>
      </c>
      <c r="CG10" s="309">
        <v>53.64</v>
      </c>
      <c r="CH10" s="309">
        <v>55.07</v>
      </c>
      <c r="CI10" s="309">
        <v>54.92</v>
      </c>
      <c r="CJ10" s="309">
        <v>54.09</v>
      </c>
      <c r="CK10" s="309">
        <v>55.93</v>
      </c>
      <c r="CL10" s="309">
        <v>54.31</v>
      </c>
      <c r="CM10" s="309">
        <v>54.88</v>
      </c>
      <c r="CN10" s="309">
        <v>55.68</v>
      </c>
      <c r="CO10" s="309">
        <v>54.8</v>
      </c>
      <c r="CP10" s="309">
        <v>55.04</v>
      </c>
      <c r="CQ10" s="309">
        <v>58.63</v>
      </c>
      <c r="CR10" s="309">
        <v>55.34</v>
      </c>
      <c r="CS10" s="309">
        <v>56.06</v>
      </c>
      <c r="CT10" s="309">
        <v>55.34</v>
      </c>
      <c r="CU10" s="309">
        <v>56.73</v>
      </c>
      <c r="CV10" s="309">
        <v>55.94</v>
      </c>
      <c r="CW10" s="309">
        <v>60.74</v>
      </c>
      <c r="CX10" s="309">
        <v>55.79</v>
      </c>
      <c r="CY10" s="309">
        <v>56.26</v>
      </c>
      <c r="CZ10" s="309">
        <v>56.82</v>
      </c>
      <c r="DA10" s="309">
        <v>56.58</v>
      </c>
      <c r="DB10" s="309">
        <v>57.56</v>
      </c>
      <c r="DC10" s="309">
        <v>56.52</v>
      </c>
      <c r="DD10" s="309">
        <v>58.51</v>
      </c>
      <c r="DE10" s="309">
        <v>55.63</v>
      </c>
      <c r="DF10" s="309">
        <v>57.07</v>
      </c>
      <c r="DG10" s="309">
        <v>56.36</v>
      </c>
      <c r="DH10" s="309">
        <v>56.72</v>
      </c>
      <c r="DI10" s="309">
        <v>55.72</v>
      </c>
      <c r="DJ10" s="309">
        <v>56.46</v>
      </c>
      <c r="DK10" s="309">
        <v>55.11</v>
      </c>
      <c r="DL10" s="309">
        <v>55.11</v>
      </c>
      <c r="DM10" s="309">
        <v>1.42</v>
      </c>
      <c r="DN10" s="309">
        <v>0</v>
      </c>
      <c r="DO10" s="309">
        <v>0</v>
      </c>
      <c r="DP10" s="309">
        <v>0</v>
      </c>
      <c r="DQ10" s="309">
        <v>0</v>
      </c>
      <c r="DR10" s="309">
        <v>0</v>
      </c>
      <c r="DS10" s="309">
        <v>0</v>
      </c>
      <c r="DT10" s="309">
        <v>0</v>
      </c>
      <c r="DU10" s="309">
        <v>0</v>
      </c>
      <c r="DV10" s="309">
        <v>0</v>
      </c>
      <c r="DW10" s="309">
        <v>0</v>
      </c>
      <c r="DX10" s="309">
        <v>0</v>
      </c>
      <c r="DY10" s="309">
        <v>62.84</v>
      </c>
      <c r="DZ10" s="309">
        <v>57.74</v>
      </c>
      <c r="EA10" s="309">
        <v>59.92</v>
      </c>
      <c r="EB10" s="309">
        <v>53.83</v>
      </c>
      <c r="EC10" s="309">
        <v>58.26</v>
      </c>
      <c r="ED10" s="309">
        <v>57.31</v>
      </c>
      <c r="EE10" s="309">
        <v>54.03</v>
      </c>
      <c r="EF10" s="309">
        <v>53.91</v>
      </c>
      <c r="EG10" s="309">
        <v>55.29</v>
      </c>
      <c r="EH10" s="309">
        <v>54.99</v>
      </c>
      <c r="EI10" s="309">
        <v>51.85</v>
      </c>
      <c r="EJ10" s="309">
        <v>51.59</v>
      </c>
      <c r="EK10" s="309">
        <v>51.72</v>
      </c>
      <c r="EL10" s="309">
        <v>54.39</v>
      </c>
      <c r="EM10" s="309">
        <v>54.17</v>
      </c>
      <c r="EN10" s="309">
        <v>53.68</v>
      </c>
      <c r="EO10" s="309">
        <v>51.13</v>
      </c>
      <c r="EP10" s="309">
        <v>51.29</v>
      </c>
      <c r="EQ10" s="309">
        <v>53.72</v>
      </c>
      <c r="ER10" s="309">
        <v>53.95</v>
      </c>
      <c r="ES10" s="309">
        <v>52.93</v>
      </c>
      <c r="ET10" s="309">
        <v>53.99</v>
      </c>
      <c r="EU10" s="309">
        <v>55.02</v>
      </c>
      <c r="EV10" s="309">
        <v>64.209999999999994</v>
      </c>
      <c r="EW10" s="309">
        <v>57.54</v>
      </c>
      <c r="EX10" s="309">
        <v>53.97</v>
      </c>
      <c r="EY10" s="309">
        <v>53.49</v>
      </c>
      <c r="EZ10" s="309">
        <v>55.29</v>
      </c>
      <c r="FA10" s="309">
        <v>54.57</v>
      </c>
      <c r="FB10" s="309">
        <v>54.04</v>
      </c>
      <c r="FC10" s="309">
        <v>53.79</v>
      </c>
      <c r="FD10" s="309">
        <v>56.2</v>
      </c>
      <c r="FE10" s="309">
        <v>55.35</v>
      </c>
      <c r="FF10" s="309">
        <v>54.36</v>
      </c>
      <c r="FG10" s="309">
        <v>56.01</v>
      </c>
      <c r="FH10" s="309">
        <v>55.75</v>
      </c>
      <c r="FI10" s="309">
        <v>56.94</v>
      </c>
      <c r="FJ10" s="309">
        <v>57.38</v>
      </c>
      <c r="FK10" s="309">
        <v>56.54</v>
      </c>
      <c r="FL10" s="134"/>
    </row>
    <row r="11" spans="1:170" s="131" customFormat="1" ht="36" x14ac:dyDescent="0.45">
      <c r="A11" s="348"/>
      <c r="B11" s="132" t="s">
        <v>136</v>
      </c>
      <c r="C11" s="307">
        <v>36.880000000000003</v>
      </c>
      <c r="D11" s="252">
        <f>'Day Wise 24-25'!K30</f>
        <v>37.082875218002421</v>
      </c>
      <c r="E11" s="309">
        <f>'Day Wise 24-25'!X30</f>
        <v>43.83</v>
      </c>
      <c r="F11" s="309">
        <f>'Day Wise 24-25'!Y30</f>
        <v>37.96</v>
      </c>
      <c r="G11" s="309">
        <f>'Day Wise 24-25'!Z30</f>
        <v>39.356000000000002</v>
      </c>
      <c r="H11" s="309">
        <f>'Day Wise 24-25'!AA30</f>
        <v>36.996000000000002</v>
      </c>
      <c r="I11" s="309">
        <f>'Day Wise 24-25'!AB30</f>
        <v>38.419999999999995</v>
      </c>
      <c r="J11" s="309">
        <f>'Day Wise 24-25'!AC30</f>
        <v>40.480000000000004</v>
      </c>
      <c r="K11" s="309">
        <f>'Day Wise 24-25'!AD30</f>
        <v>37.953000000000003</v>
      </c>
      <c r="L11" s="309">
        <f>'Day Wise 24-25'!AE30</f>
        <v>37.11</v>
      </c>
      <c r="M11" s="309">
        <f>'Day Wise 24-25'!AF30</f>
        <v>38.499999999999993</v>
      </c>
      <c r="N11" s="309">
        <f>'Day Wise 24-25'!AG30</f>
        <v>36.099999999999994</v>
      </c>
      <c r="O11" s="309">
        <f>'Day Wise 24-25'!AH30</f>
        <v>35.979999999999997</v>
      </c>
      <c r="P11" s="309">
        <f>'Day Wise 24-25'!AI30</f>
        <v>34.769999999999996</v>
      </c>
      <c r="Q11" s="309">
        <f>'Day Wise 24-25'!AJ30</f>
        <v>42.339999999999996</v>
      </c>
      <c r="R11" s="309">
        <f>'Day Wise 24-25'!AK30</f>
        <v>43.85</v>
      </c>
      <c r="S11" s="309">
        <f>'Day Wise 24-25'!AL30</f>
        <v>44.669999999999995</v>
      </c>
      <c r="T11" s="309">
        <f>'Day Wise 24-25'!AM30</f>
        <v>43.639999999999993</v>
      </c>
      <c r="U11" s="309">
        <f>'Day Wise 24-25'!AN30</f>
        <v>36.15</v>
      </c>
      <c r="V11" s="309">
        <f>'Day Wise 24-25'!AO30</f>
        <v>40.140000000000008</v>
      </c>
      <c r="W11" s="309">
        <f>'Day Wise 24-25'!AP30</f>
        <v>36.659999999999997</v>
      </c>
      <c r="X11" s="309">
        <f>'Day Wise 24-25'!AQ30</f>
        <v>37.35</v>
      </c>
      <c r="Y11" s="309">
        <f>'Day Wise 24-25'!AR30</f>
        <v>36.06</v>
      </c>
      <c r="Z11" s="309">
        <f>'Day Wise 24-25'!AS30</f>
        <v>40.090000000000003</v>
      </c>
      <c r="AA11" s="309">
        <f>'Day Wise 24-25'!AT30</f>
        <v>39.760000000000005</v>
      </c>
      <c r="AB11" s="309">
        <f>'Day Wise 24-25'!AU30</f>
        <v>38.050000000000004</v>
      </c>
      <c r="AC11" s="309">
        <f>'Day Wise 24-25'!AV30</f>
        <v>40.36</v>
      </c>
      <c r="AD11" s="309">
        <f>'Day Wise 24-25'!AW30</f>
        <v>39.459999999999994</v>
      </c>
      <c r="AE11" s="309">
        <f>'Day Wise 24-25'!AX30</f>
        <v>39.750000000000007</v>
      </c>
      <c r="AF11" s="309">
        <f>'Day Wise 24-25'!AY30</f>
        <v>38.239999999999995</v>
      </c>
      <c r="AG11" s="309">
        <f>'Day Wise 24-25'!AZ30</f>
        <v>34.22</v>
      </c>
      <c r="AH11" s="309">
        <f>'Day Wise 24-25'!BA30</f>
        <v>39.550000000000004</v>
      </c>
      <c r="AI11" s="309">
        <f>'Day Wise 24-25'!O30</f>
        <v>38.729999999999997</v>
      </c>
      <c r="AJ11" s="309">
        <f>'Day Wise 24-25'!BB30</f>
        <v>40.339999999999996</v>
      </c>
      <c r="AK11" s="309">
        <f>'Day Wise 24-25'!BC30</f>
        <v>39.82</v>
      </c>
      <c r="AL11" s="309">
        <f>'Day Wise 24-25'!BD30</f>
        <v>39.189999999999991</v>
      </c>
      <c r="AM11" s="309">
        <f>'Day Wise 24-25'!BE30</f>
        <v>41.610000000000007</v>
      </c>
      <c r="AN11" s="309">
        <f>'Day Wise 24-25'!BF30</f>
        <v>37.410000000000004</v>
      </c>
      <c r="AO11" s="309">
        <f>'Day Wise 24-25'!BG30</f>
        <v>38.230000000000004</v>
      </c>
      <c r="AP11" s="309">
        <f>'Day Wise 24-25'!BH30</f>
        <v>38.449999999999996</v>
      </c>
      <c r="AQ11" s="309">
        <f>'Day Wise 24-25'!BI30</f>
        <v>38.729999999999997</v>
      </c>
      <c r="AR11" s="309">
        <f>'Day Wise 24-25'!BJ30</f>
        <v>36.68</v>
      </c>
      <c r="AS11" s="309">
        <f>'Day Wise 24-25'!BK30</f>
        <v>35.889999999999993</v>
      </c>
      <c r="AT11" s="309">
        <f>'Day Wise 24-25'!BL30</f>
        <v>35</v>
      </c>
      <c r="AU11" s="309">
        <f>'Day Wise 24-25'!BM30</f>
        <v>38.470000000000006</v>
      </c>
      <c r="AV11" s="309">
        <f>'Day Wise 24-25'!BN30</f>
        <v>35.65</v>
      </c>
      <c r="AW11" s="309">
        <f>'Day Wise 24-25'!BO30</f>
        <v>35.28</v>
      </c>
      <c r="AX11" s="309">
        <f>'Day Wise 24-25'!BP30</f>
        <v>38.15</v>
      </c>
      <c r="AY11" s="309">
        <f>'Day Wise 24-25'!BQ30</f>
        <v>34.140000000000008</v>
      </c>
      <c r="AZ11" s="309">
        <f>'Day Wise 24-25'!BR30</f>
        <v>35.120000000000005</v>
      </c>
      <c r="BA11" s="309">
        <f>'Day Wise 24-25'!BS30</f>
        <v>34.690000000000005</v>
      </c>
      <c r="BB11" s="309">
        <f>'Day Wise 24-25'!BT30</f>
        <v>35.9</v>
      </c>
      <c r="BC11" s="309">
        <f>'Day Wise 24-25'!BU30</f>
        <v>37.25</v>
      </c>
      <c r="BD11" s="309">
        <f>'Day Wise 24-25'!BV30</f>
        <v>37.889999999999993</v>
      </c>
      <c r="BE11" s="309">
        <f>'Day Wise 24-25'!BW30</f>
        <v>36.92</v>
      </c>
      <c r="BF11" s="309">
        <f>'Day Wise 24-25'!BX30</f>
        <v>36.19</v>
      </c>
      <c r="BG11" s="309">
        <f>'Day Wise 24-25'!BY30</f>
        <v>38.410000000000004</v>
      </c>
      <c r="BH11" s="309">
        <f>'Day Wise 24-25'!BZ30</f>
        <v>34.22</v>
      </c>
      <c r="BI11" s="309">
        <f>'Day Wise 24-25'!CA30</f>
        <v>34.739999999999995</v>
      </c>
      <c r="BJ11" s="309">
        <f>'Day Wise 24-25'!CB30</f>
        <v>35.770000000000003</v>
      </c>
      <c r="BK11" s="309">
        <f>'Day Wise 24-25'!CC30</f>
        <v>33.83</v>
      </c>
      <c r="BL11" s="309">
        <f>'Day Wise 24-25'!CD30</f>
        <v>35.42</v>
      </c>
      <c r="BM11" s="309">
        <f>'Day Wise 24-25'!CE30</f>
        <v>36.609999999999992</v>
      </c>
      <c r="BN11" s="309">
        <f>'Day Wise 24-25'!CF30</f>
        <v>35.619999999999997</v>
      </c>
      <c r="BO11" s="309">
        <f>'Day Wise 24-25'!P30</f>
        <v>36.64</v>
      </c>
      <c r="BP11" s="309">
        <f>'Day Wise 24-25'!CG30</f>
        <v>36.11</v>
      </c>
      <c r="BQ11" s="309">
        <f>'Day Wise 24-25'!CH30</f>
        <v>37.110000000000007</v>
      </c>
      <c r="BR11" s="309">
        <f>'Day Wise 24-25'!CI30</f>
        <v>35.17</v>
      </c>
      <c r="BS11" s="309">
        <f>'Day Wise 24-25'!CJ30</f>
        <v>34.830000000000005</v>
      </c>
      <c r="BT11" s="309">
        <f>'Day Wise 24-25'!CK30</f>
        <v>35.96</v>
      </c>
      <c r="BU11" s="309">
        <f>'Day Wise 24-25'!CL30</f>
        <v>35.909999999999997</v>
      </c>
      <c r="BV11" s="309">
        <f>'Day Wise 24-25'!CM30</f>
        <v>33.460000000000008</v>
      </c>
      <c r="BW11" s="309">
        <f>'Day Wise 24-25'!CN30</f>
        <v>33.760000000000005</v>
      </c>
      <c r="BX11" s="309">
        <f>'Day Wise 24-25'!CO30</f>
        <v>34.58</v>
      </c>
      <c r="BY11" s="309">
        <f>'Day Wise 24-25'!CP30</f>
        <v>35.230000000000004</v>
      </c>
      <c r="BZ11" s="309">
        <f>'Day Wise 24-25'!CQ30</f>
        <v>33.780000000000008</v>
      </c>
      <c r="CA11" s="309">
        <f>'Day Wise 24-25'!CR30</f>
        <v>33.889999999999993</v>
      </c>
      <c r="CB11" s="309">
        <f>'Day Wise 24-25'!CS30</f>
        <v>34.239999999999995</v>
      </c>
      <c r="CC11" s="309">
        <f>'Day Wise 24-25'!CT30</f>
        <v>33.1</v>
      </c>
      <c r="CD11" s="309">
        <f>'Day Wise 24-25'!CU30</f>
        <v>35.15</v>
      </c>
      <c r="CE11" s="309">
        <f>'Day Wise 24-25'!CV30</f>
        <v>35.469999999999992</v>
      </c>
      <c r="CF11" s="309">
        <f>'Day Wise 24-25'!CW30</f>
        <v>34.410000000000004</v>
      </c>
      <c r="CG11" s="309">
        <f>'Day Wise 24-25'!CX30</f>
        <v>40.120000000000005</v>
      </c>
      <c r="CH11" s="309">
        <f>'Day Wise 24-25'!CY30</f>
        <v>34.1</v>
      </c>
      <c r="CI11" s="309">
        <f>'Day Wise 24-25'!CZ30</f>
        <v>36.44</v>
      </c>
      <c r="CJ11" s="309">
        <f>'Day Wise 24-25'!DA30</f>
        <v>34.520000000000003</v>
      </c>
      <c r="CK11" s="309">
        <f>'Day Wise 24-25'!DB30</f>
        <v>33.130000000000003</v>
      </c>
      <c r="CL11" s="309">
        <f>'Day Wise 24-25'!DC30</f>
        <v>35.900000000000006</v>
      </c>
      <c r="CM11" s="309">
        <f>'Day Wise 24-25'!DD30</f>
        <v>33.6</v>
      </c>
      <c r="CN11" s="309">
        <f>'Day Wise 24-25'!DE30</f>
        <v>45.44</v>
      </c>
      <c r="CO11" s="309">
        <f>'Day Wise 24-25'!DF30</f>
        <v>36.700000000000003</v>
      </c>
      <c r="CP11" s="309">
        <f>'Day Wise 24-25'!DG30</f>
        <v>35.839999999999996</v>
      </c>
      <c r="CQ11" s="309">
        <f>'Day Wise 24-25'!DH30</f>
        <v>36.89</v>
      </c>
      <c r="CR11" s="309">
        <f>'Day Wise 24-25'!DI30</f>
        <v>37.480000000000004</v>
      </c>
      <c r="CS11" s="309">
        <f>'Day Wise 24-25'!DJ30</f>
        <v>33.4</v>
      </c>
      <c r="CT11" s="309">
        <f>'Day Wise 24-25'!Q30</f>
        <v>35.010000000000005</v>
      </c>
      <c r="CU11" s="309">
        <f>'Day Wise 24-25'!DK30</f>
        <v>37.519999999999996</v>
      </c>
      <c r="CV11" s="309">
        <f>'Day Wise 24-25'!DL30</f>
        <v>40.669999999999995</v>
      </c>
      <c r="CW11" s="309">
        <f>'Day Wise 24-25'!DM30</f>
        <v>35.44</v>
      </c>
      <c r="CX11" s="309">
        <f>'Day Wise 24-25'!DN30</f>
        <v>38.319999999999993</v>
      </c>
      <c r="CY11" s="309">
        <f>'Day Wise 24-25'!DO30</f>
        <v>38.199999999999996</v>
      </c>
      <c r="CZ11" s="309">
        <f>'Day Wise 24-25'!DP30</f>
        <v>36.689999999999991</v>
      </c>
      <c r="DA11" s="309">
        <f>'Day Wise 24-25'!DQ30</f>
        <v>33.909999999999997</v>
      </c>
      <c r="DB11" s="309">
        <f>'Day Wise 24-25'!DR30</f>
        <v>34.260000000000005</v>
      </c>
      <c r="DC11" s="309">
        <f>'Day Wise 24-25'!DS30</f>
        <v>37.949999999999996</v>
      </c>
      <c r="DD11" s="309">
        <f>'Day Wise 24-25'!DT30</f>
        <v>42.030000000000008</v>
      </c>
      <c r="DE11" s="309">
        <f>'Day Wise 24-25'!DU30</f>
        <v>34.899999999999991</v>
      </c>
      <c r="DF11" s="309">
        <f>'Day Wise 24-25'!DV30</f>
        <v>35.059999999999995</v>
      </c>
      <c r="DG11" s="309">
        <f>'Day Wise 24-25'!DW30</f>
        <v>35.94</v>
      </c>
      <c r="DH11" s="309">
        <f>'Day Wise 24-25'!DX30</f>
        <v>38.67</v>
      </c>
      <c r="DI11" s="309">
        <f>'Day Wise 24-25'!DY30</f>
        <v>37.57</v>
      </c>
      <c r="DJ11" s="309">
        <f>'Day Wise 24-25'!DZ30</f>
        <v>37.720000000000006</v>
      </c>
      <c r="DK11" s="309">
        <f>'Day Wise 24-25'!EA30</f>
        <v>41.38</v>
      </c>
      <c r="DL11" s="309">
        <f>'Day Wise 24-25'!EB30</f>
        <v>35.119999999999997</v>
      </c>
      <c r="DM11" s="309">
        <f>'Day Wise 24-25'!EC30</f>
        <v>34.72</v>
      </c>
      <c r="DN11" s="309">
        <f>'Day Wise 24-25'!ED30</f>
        <v>35.619999999999997</v>
      </c>
      <c r="DO11" s="309">
        <f>'Day Wise 24-25'!EE30</f>
        <v>38.33</v>
      </c>
      <c r="DP11" s="309">
        <f>'Day Wise 24-25'!EF30</f>
        <v>35.840000000000003</v>
      </c>
      <c r="DQ11" s="309">
        <f>'Day Wise 24-25'!EG30</f>
        <v>37.020000000000003</v>
      </c>
      <c r="DR11" s="309">
        <f>'Day Wise 24-25'!EH30</f>
        <v>35.9</v>
      </c>
      <c r="DS11" s="309">
        <f>'Day Wise 24-25'!EI30</f>
        <v>37.43</v>
      </c>
      <c r="DT11" s="309">
        <f>'Day Wise 24-25'!EJ30</f>
        <v>37.15</v>
      </c>
      <c r="DU11" s="309">
        <f>'Day Wise 24-25'!EK30</f>
        <v>36.56</v>
      </c>
      <c r="DV11" s="309">
        <f>'Day Wise 24-25'!EL30</f>
        <v>36.24</v>
      </c>
      <c r="DW11" s="309">
        <f>'Day Wise 24-25'!EM30</f>
        <v>40.89</v>
      </c>
      <c r="DX11" s="309">
        <f>'Day Wise 24-25'!EN30</f>
        <v>38.1</v>
      </c>
      <c r="DY11" s="309">
        <f>'Day Wise 24-25'!EO30</f>
        <v>37.83</v>
      </c>
      <c r="DZ11" s="309">
        <f>'Day Wise 24-25'!R30</f>
        <v>37.069999999999993</v>
      </c>
      <c r="EA11" s="309">
        <f>'Day Wise 24-25'!EP30</f>
        <v>39.75</v>
      </c>
      <c r="EB11" s="309">
        <f>'Day Wise 24-25'!EQ30</f>
        <v>37.19</v>
      </c>
      <c r="EC11" s="309">
        <f>'Day Wise 24-25'!ER30</f>
        <v>40.46</v>
      </c>
      <c r="ED11" s="309">
        <f>'Day Wise 24-25'!ES30</f>
        <v>40.53</v>
      </c>
      <c r="EE11" s="309">
        <f>'Day Wise 24-25'!ET30</f>
        <v>37.160000000000004</v>
      </c>
      <c r="EF11" s="309">
        <f>'Day Wise 24-25'!EU30</f>
        <v>34.4</v>
      </c>
      <c r="EG11" s="309">
        <f>'Day Wise 24-25'!EV30</f>
        <v>38.18</v>
      </c>
      <c r="EH11" s="309">
        <f>'Day Wise 24-25'!EW30</f>
        <v>35.20000000000001</v>
      </c>
      <c r="EI11" s="309">
        <f>'Day Wise 24-25'!EX30</f>
        <v>35.639999999999993</v>
      </c>
      <c r="EJ11" s="309">
        <f>'Day Wise 24-25'!EY30</f>
        <v>39.440000000000005</v>
      </c>
      <c r="EK11" s="309">
        <f>'Day Wise 24-25'!EZ30</f>
        <v>36.019999999999996</v>
      </c>
      <c r="EL11" s="309">
        <f>'Day Wise 24-25'!FA30</f>
        <v>37.11</v>
      </c>
      <c r="EM11" s="309">
        <f>'Day Wise 24-25'!FB30</f>
        <v>38.42</v>
      </c>
      <c r="EN11" s="309">
        <f>'Day Wise 24-25'!FC30</f>
        <v>36.89</v>
      </c>
      <c r="EO11" s="309">
        <f>'Day Wise 24-25'!FD30</f>
        <v>38.980000000000004</v>
      </c>
      <c r="EP11" s="309">
        <f>'Day Wise 24-25'!FE30</f>
        <v>36.299999999999997</v>
      </c>
      <c r="EQ11" s="309">
        <f>'Day Wise 24-25'!FF30</f>
        <v>38.159999999999997</v>
      </c>
      <c r="ER11" s="309">
        <f>'Day Wise 24-25'!FG30</f>
        <v>41.35</v>
      </c>
      <c r="ES11" s="309">
        <f>'Day Wise 24-25'!FH30</f>
        <v>38.689999999999991</v>
      </c>
      <c r="ET11" s="309">
        <f>'Day Wise 24-25'!FI30</f>
        <v>38.49</v>
      </c>
      <c r="EU11" s="309">
        <f>'Day Wise 24-25'!FJ30</f>
        <v>38.269999999999996</v>
      </c>
      <c r="EV11" s="309">
        <f>'Day Wise 24-25'!FK30</f>
        <v>36.730000000000004</v>
      </c>
      <c r="EW11" s="309">
        <f>'Day Wise 24-25'!FL30</f>
        <v>41.37</v>
      </c>
      <c r="EX11" s="309">
        <f>'Day Wise 24-25'!FM30</f>
        <v>35.330000000000005</v>
      </c>
      <c r="EY11" s="309">
        <f>'Day Wise 24-25'!FN30</f>
        <v>36.449999999999996</v>
      </c>
      <c r="EZ11" s="309">
        <f>'Day Wise 24-25'!FO30</f>
        <v>39.06</v>
      </c>
      <c r="FA11" s="309">
        <f>'Day Wise 24-25'!FP30</f>
        <v>37.25</v>
      </c>
      <c r="FB11" s="309">
        <f>'Day Wise 24-25'!FQ30</f>
        <v>37.990000000000009</v>
      </c>
      <c r="FC11" s="309">
        <f>'Day Wise 24-25'!FR30</f>
        <v>36.330000000000005</v>
      </c>
      <c r="FD11" s="309">
        <f>'Day Wise 24-25'!FS30</f>
        <v>37.440000000000005</v>
      </c>
      <c r="FE11" s="309">
        <f>'Day Wise 24-25'!FT30</f>
        <v>38.269999999999996</v>
      </c>
      <c r="FF11" s="309">
        <f>'Day Wise 24-25'!S30</f>
        <v>37.67</v>
      </c>
      <c r="FG11" s="309">
        <f>'Day Wise 24-25'!FU30</f>
        <v>37.67</v>
      </c>
      <c r="FH11" s="309">
        <f>'Day Wise 24-25'!FV30</f>
        <v>34.580000000000005</v>
      </c>
      <c r="FI11" s="309">
        <f>'Day Wise 24-25'!FW30</f>
        <v>37.979999999999997</v>
      </c>
      <c r="FJ11" s="309">
        <f>'Day Wise 24-25'!FX30</f>
        <v>37.059999999999995</v>
      </c>
      <c r="FK11" s="309">
        <f>'Day Wise 24-25'!T30</f>
        <v>36.859999999999992</v>
      </c>
      <c r="FL11" s="134"/>
    </row>
    <row r="12" spans="1:170" s="131" customFormat="1" ht="22.2" x14ac:dyDescent="0.45">
      <c r="A12" s="348"/>
      <c r="B12" s="307" t="s">
        <v>137</v>
      </c>
      <c r="C12" s="307">
        <v>76.02</v>
      </c>
      <c r="D12" s="252">
        <f>'Day Wise 24-25'!M31</f>
        <v>78.287137708136953</v>
      </c>
      <c r="E12" s="309">
        <f>'Day Wise 24-25'!X31</f>
        <v>87.99</v>
      </c>
      <c r="F12" s="309">
        <f>'Day Wise 24-25'!Y31</f>
        <v>73.7</v>
      </c>
      <c r="G12" s="309">
        <f>'Day Wise 24-25'!Z31</f>
        <v>79.622</v>
      </c>
      <c r="H12" s="309">
        <f>'Day Wise 24-25'!AA31</f>
        <v>71.843000000000004</v>
      </c>
      <c r="I12" s="309">
        <f>'Day Wise 24-25'!AB31</f>
        <v>78.77</v>
      </c>
      <c r="J12" s="309">
        <f>'Day Wise 24-25'!AC31</f>
        <v>84.019000000000005</v>
      </c>
      <c r="K12" s="309">
        <f>'Day Wise 24-25'!AD31</f>
        <v>77.75</v>
      </c>
      <c r="L12" s="309">
        <f>'Day Wise 24-25'!AE31</f>
        <v>74.72</v>
      </c>
      <c r="M12" s="309">
        <f>'Day Wise 24-25'!AF31</f>
        <v>78.27</v>
      </c>
      <c r="N12" s="309">
        <f>'Day Wise 24-25'!AG31</f>
        <v>71.63</v>
      </c>
      <c r="O12" s="309">
        <f>'Day Wise 24-25'!AH31</f>
        <v>76.55</v>
      </c>
      <c r="P12" s="309">
        <f>'Day Wise 24-25'!AI31</f>
        <v>71.569999999999993</v>
      </c>
      <c r="Q12" s="309">
        <f>'Day Wise 24-25'!AJ31</f>
        <v>77.91</v>
      </c>
      <c r="R12" s="309">
        <f>'Day Wise 24-25'!AK31</f>
        <v>84.39</v>
      </c>
      <c r="S12" s="309">
        <f>'Day Wise 24-25'!AL31</f>
        <v>82.91</v>
      </c>
      <c r="T12" s="309">
        <f>'Day Wise 24-25'!AM31</f>
        <v>82.27</v>
      </c>
      <c r="U12" s="309">
        <f>'Day Wise 24-25'!AN31</f>
        <v>72.44</v>
      </c>
      <c r="V12" s="309">
        <f>'Day Wise 24-25'!AO31</f>
        <v>80.87</v>
      </c>
      <c r="W12" s="309">
        <f>'Day Wise 24-25'!AP31</f>
        <v>36.659999999999997</v>
      </c>
      <c r="X12" s="309">
        <f>'Day Wise 24-25'!AQ31</f>
        <v>84.34</v>
      </c>
      <c r="Y12" s="309">
        <f>'Day Wise 24-25'!AR31</f>
        <v>75.73</v>
      </c>
      <c r="Z12" s="309">
        <f>'Day Wise 24-25'!AS31</f>
        <v>85.4</v>
      </c>
      <c r="AA12" s="309">
        <f>'Day Wise 24-25'!AT31</f>
        <v>82.26</v>
      </c>
      <c r="AB12" s="309">
        <f>'Day Wise 24-25'!AU31</f>
        <v>79.31</v>
      </c>
      <c r="AC12" s="309">
        <f>'Day Wise 24-25'!AV31</f>
        <v>82.94</v>
      </c>
      <c r="AD12" s="309">
        <f>'Day Wise 24-25'!AW31</f>
        <v>80.63</v>
      </c>
      <c r="AE12" s="309">
        <f>'Day Wise 24-25'!AX31</f>
        <v>79.98</v>
      </c>
      <c r="AF12" s="309">
        <f>'Day Wise 24-25'!AY31</f>
        <v>78.44</v>
      </c>
      <c r="AG12" s="309">
        <f>'Day Wise 24-25'!AZ31</f>
        <v>78.8</v>
      </c>
      <c r="AH12" s="309">
        <f>'Day Wise 24-25'!BA31</f>
        <v>82.59</v>
      </c>
      <c r="AI12" s="309">
        <f>'Day Wise 24-25'!O31</f>
        <v>78.91</v>
      </c>
      <c r="AJ12" s="309">
        <f>'Day Wise 24-25'!BB31</f>
        <v>84.55</v>
      </c>
      <c r="AK12" s="309">
        <f>'Day Wise 24-25'!BC31</f>
        <v>83.69</v>
      </c>
      <c r="AL12" s="309">
        <f>'Day Wise 24-25'!BD31</f>
        <v>81.709999999999994</v>
      </c>
      <c r="AM12" s="309">
        <f>'Day Wise 24-25'!BE31</f>
        <v>82.79</v>
      </c>
      <c r="AN12" s="309">
        <f>'Day Wise 24-25'!BF31</f>
        <v>75.92</v>
      </c>
      <c r="AO12" s="309">
        <f>'Day Wise 24-25'!BG31</f>
        <v>82.37</v>
      </c>
      <c r="AP12" s="309">
        <f>'Day Wise 24-25'!BH31</f>
        <v>78.099999999999994</v>
      </c>
      <c r="AQ12" s="309">
        <f>'Day Wise 24-25'!BI31</f>
        <v>80.88</v>
      </c>
      <c r="AR12" s="309">
        <f>'Day Wise 24-25'!BJ31</f>
        <v>78.31</v>
      </c>
      <c r="AS12" s="309">
        <f>'Day Wise 24-25'!BK31</f>
        <v>73.27</v>
      </c>
      <c r="AT12" s="309">
        <f>'Day Wise 24-25'!BL31</f>
        <v>73.58</v>
      </c>
      <c r="AU12" s="309">
        <f>'Day Wise 24-25'!BM31</f>
        <v>83.45</v>
      </c>
      <c r="AV12" s="309">
        <f>'Day Wise 24-25'!BN31</f>
        <v>72.55</v>
      </c>
      <c r="AW12" s="309">
        <f>'Day Wise 24-25'!BO31</f>
        <v>35.28</v>
      </c>
      <c r="AX12" s="309">
        <f>'Day Wise 24-25'!BP31</f>
        <v>77.47</v>
      </c>
      <c r="AY12" s="309">
        <f>'Day Wise 24-25'!BQ31</f>
        <v>71.680000000000007</v>
      </c>
      <c r="AZ12" s="309">
        <f>'Day Wise 24-25'!BR31</f>
        <v>71.92</v>
      </c>
      <c r="BA12" s="309">
        <f>'Day Wise 24-25'!BS31</f>
        <v>70.31</v>
      </c>
      <c r="BB12" s="309">
        <f>'Day Wise 24-25'!BT31</f>
        <v>76.14</v>
      </c>
      <c r="BC12" s="309">
        <f>'Day Wise 24-25'!BU31</f>
        <v>79.03</v>
      </c>
      <c r="BD12" s="309">
        <f>'Day Wise 24-25'!BV31</f>
        <v>78.599999999999994</v>
      </c>
      <c r="BE12" s="309">
        <f>'Day Wise 24-25'!BW31</f>
        <v>75.53</v>
      </c>
      <c r="BF12" s="309">
        <f>'Day Wise 24-25'!BX31</f>
        <v>74.349999999999994</v>
      </c>
      <c r="BG12" s="309">
        <f>'Day Wise 24-25'!BY31</f>
        <v>81.93</v>
      </c>
      <c r="BH12" s="309">
        <f>'Day Wise 24-25'!BZ31</f>
        <v>70.39</v>
      </c>
      <c r="BI12" s="309">
        <f>'Day Wise 24-25'!CA31</f>
        <v>70.13</v>
      </c>
      <c r="BJ12" s="309">
        <f>'Day Wise 24-25'!CB31</f>
        <v>72.48</v>
      </c>
      <c r="BK12" s="309">
        <f>'Day Wise 24-25'!CC31</f>
        <v>72</v>
      </c>
      <c r="BL12" s="309">
        <f>'Day Wise 24-25'!CD31</f>
        <v>72.92</v>
      </c>
      <c r="BM12" s="309">
        <f>'Day Wise 24-25'!CE31</f>
        <v>77.239999999999995</v>
      </c>
      <c r="BN12" s="309">
        <f>'Day Wise 24-25'!CF31</f>
        <v>73.3</v>
      </c>
      <c r="BO12" s="309">
        <f>'Day Wise 24-25'!P31</f>
        <v>76.22</v>
      </c>
      <c r="BP12" s="309">
        <f>'Day Wise 24-25'!CG31</f>
        <v>73.8</v>
      </c>
      <c r="BQ12" s="309">
        <f>'Day Wise 24-25'!CH31</f>
        <v>76.260000000000005</v>
      </c>
      <c r="BR12" s="309">
        <f>'Day Wise 24-25'!CI31</f>
        <v>70.36</v>
      </c>
      <c r="BS12" s="309">
        <f>'Day Wise 24-25'!CJ31</f>
        <v>69.81</v>
      </c>
      <c r="BT12" s="309">
        <f>'Day Wise 24-25'!CK31</f>
        <v>36.93</v>
      </c>
      <c r="BU12" s="309">
        <f>'Day Wise 24-25'!CL31</f>
        <v>35.909999999999997</v>
      </c>
      <c r="BV12" s="309">
        <f>'Day Wise 24-25'!CM31</f>
        <v>67.430000000000007</v>
      </c>
      <c r="BW12" s="309">
        <f>'Day Wise 24-25'!CN31</f>
        <v>69.790000000000006</v>
      </c>
      <c r="BX12" s="309">
        <f>'Day Wise 24-25'!CO31</f>
        <v>72.63</v>
      </c>
      <c r="BY12" s="309">
        <f>'Day Wise 24-25'!CP31</f>
        <v>72.45</v>
      </c>
      <c r="BZ12" s="309">
        <f>'Day Wise 24-25'!CQ31</f>
        <v>70.290000000000006</v>
      </c>
      <c r="CA12" s="309">
        <f>'Day Wise 24-25'!CR31</f>
        <v>69.099999999999994</v>
      </c>
      <c r="CB12" s="309">
        <f>'Day Wise 24-25'!CS31</f>
        <v>69.55</v>
      </c>
      <c r="CC12" s="309">
        <f>'Day Wise 24-25'!CT31</f>
        <v>65.11</v>
      </c>
      <c r="CD12" s="309">
        <f>'Day Wise 24-25'!CU31</f>
        <v>72.5</v>
      </c>
      <c r="CE12" s="309">
        <f>'Day Wise 24-25'!CV31</f>
        <v>72.849999999999994</v>
      </c>
      <c r="CF12" s="309">
        <f>'Day Wise 24-25'!CW31</f>
        <v>71.37</v>
      </c>
      <c r="CG12" s="309">
        <f>'Day Wise 24-25'!CX31</f>
        <v>75.290000000000006</v>
      </c>
      <c r="CH12" s="309">
        <f>'Day Wise 24-25'!CY31</f>
        <v>68.42</v>
      </c>
      <c r="CI12" s="309">
        <f>'Day Wise 24-25'!CZ31</f>
        <v>74.33</v>
      </c>
      <c r="CJ12" s="309">
        <f>'Day Wise 24-25'!DA31</f>
        <v>69.75</v>
      </c>
      <c r="CK12" s="309">
        <f>'Day Wise 24-25'!DB31</f>
        <v>66.75</v>
      </c>
      <c r="CL12" s="309">
        <f>'Day Wise 24-25'!DC31</f>
        <v>77.12</v>
      </c>
      <c r="CM12" s="309">
        <f>'Day Wise 24-25'!DD31</f>
        <v>68.03</v>
      </c>
      <c r="CN12" s="309">
        <f>'Day Wise 24-25'!DE31</f>
        <v>80.099999999999994</v>
      </c>
      <c r="CO12" s="309">
        <f>'Day Wise 24-25'!DF31</f>
        <v>74.5</v>
      </c>
      <c r="CP12" s="309">
        <f>'Day Wise 24-25'!DG31</f>
        <v>71.94</v>
      </c>
      <c r="CQ12" s="309">
        <f>'Day Wise 24-25'!DH31</f>
        <v>77.89</v>
      </c>
      <c r="CR12" s="309">
        <f>'Day Wise 24-25'!DI31</f>
        <v>77.7</v>
      </c>
      <c r="CS12" s="309">
        <f>'Day Wise 24-25'!DJ31</f>
        <v>67.19</v>
      </c>
      <c r="CT12" s="309">
        <f>'Day Wise 24-25'!Q31</f>
        <v>71.84</v>
      </c>
      <c r="CU12" s="309">
        <f>'Day Wise 24-25'!DK31</f>
        <v>76.58</v>
      </c>
      <c r="CV12" s="309">
        <f>'Day Wise 24-25'!DL31</f>
        <v>81.599999999999994</v>
      </c>
      <c r="CW12" s="309">
        <f>'Day Wise 24-25'!DM31</f>
        <v>73.89</v>
      </c>
      <c r="CX12" s="309">
        <f>'Day Wise 24-25'!DN31</f>
        <v>78.38</v>
      </c>
      <c r="CY12" s="309">
        <f>'Day Wise 24-25'!DO31</f>
        <v>75.55</v>
      </c>
      <c r="CZ12" s="309">
        <f>'Day Wise 24-25'!DP31</f>
        <v>73.819999999999993</v>
      </c>
      <c r="DA12" s="309">
        <f>'Day Wise 24-25'!DQ31</f>
        <v>68.27</v>
      </c>
      <c r="DB12" s="309">
        <f>'Day Wise 24-25'!DR31</f>
        <v>68.92</v>
      </c>
      <c r="DC12" s="309">
        <f>'Day Wise 24-25'!DS31</f>
        <v>76.77</v>
      </c>
      <c r="DD12" s="309">
        <f>'Day Wise 24-25'!DT31</f>
        <v>90.51</v>
      </c>
      <c r="DE12" s="309">
        <f>'Day Wise 24-25'!DU31</f>
        <v>68.459999999999994</v>
      </c>
      <c r="DF12" s="309">
        <f>'Day Wise 24-25'!DV31</f>
        <v>69.52</v>
      </c>
      <c r="DG12" s="309">
        <f>'Day Wise 24-25'!DW31</f>
        <v>70.53</v>
      </c>
      <c r="DH12" s="309">
        <f>'Day Wise 24-25'!DX31</f>
        <v>79</v>
      </c>
      <c r="DI12" s="309">
        <f>'Day Wise 24-25'!DY31</f>
        <v>71.47</v>
      </c>
      <c r="DJ12" s="309">
        <f>'Day Wise 24-25'!DZ31</f>
        <v>71.73</v>
      </c>
      <c r="DK12" s="309">
        <f>'Day Wise 24-25'!EA31</f>
        <v>84.65</v>
      </c>
      <c r="DL12" s="309">
        <f>'Day Wise 24-25'!EB31</f>
        <v>68.3</v>
      </c>
      <c r="DM12" s="309">
        <f>'Day Wise 24-25'!EC31</f>
        <v>35.58</v>
      </c>
      <c r="DN12" s="309">
        <f>'Day Wise 24-25'!ED31</f>
        <v>35.619999999999997</v>
      </c>
      <c r="DO12" s="309">
        <f>'Day Wise 24-25'!EE31</f>
        <v>38.33</v>
      </c>
      <c r="DP12" s="309">
        <f>'Day Wise 24-25'!EF31</f>
        <v>35.840000000000003</v>
      </c>
      <c r="DQ12" s="309">
        <f>'Day Wise 24-25'!EG31</f>
        <v>37.020000000000003</v>
      </c>
      <c r="DR12" s="309">
        <f>'Day Wise 24-25'!EH31</f>
        <v>35.9</v>
      </c>
      <c r="DS12" s="309">
        <f>'Day Wise 24-25'!EI31</f>
        <v>37.43</v>
      </c>
      <c r="DT12" s="309">
        <f>'Day Wise 24-25'!EJ31</f>
        <v>37.15</v>
      </c>
      <c r="DU12" s="309">
        <f>'Day Wise 24-25'!EK31</f>
        <v>36.56</v>
      </c>
      <c r="DV12" s="309">
        <f>'Day Wise 24-25'!EL31</f>
        <v>36.24</v>
      </c>
      <c r="DW12" s="309">
        <f>'Day Wise 24-25'!EM31</f>
        <v>40.89</v>
      </c>
      <c r="DX12" s="309">
        <f>'Day Wise 24-25'!EN31</f>
        <v>38.1</v>
      </c>
      <c r="DY12" s="309">
        <f>'Day Wise 24-25'!EO31</f>
        <v>80.78</v>
      </c>
      <c r="DZ12" s="309">
        <f>'Day Wise 24-25'!R31</f>
        <v>74.91</v>
      </c>
      <c r="EA12" s="309">
        <f>'Day Wise 24-25'!EP31</f>
        <v>82.97</v>
      </c>
      <c r="EB12" s="309">
        <f>'Day Wise 24-25'!EQ31</f>
        <v>70.739999999999995</v>
      </c>
      <c r="EC12" s="309">
        <f>'Day Wise 24-25'!ER31</f>
        <v>81.53</v>
      </c>
      <c r="ED12" s="309">
        <f>'Day Wise 24-25'!ES31</f>
        <v>82.44</v>
      </c>
      <c r="EE12" s="309">
        <f>'Day Wise 24-25'!ET31</f>
        <v>70.930000000000007</v>
      </c>
      <c r="EF12" s="309">
        <f>'Day Wise 24-25'!EU31</f>
        <v>69</v>
      </c>
      <c r="EG12" s="309">
        <f>'Day Wise 24-25'!EV31</f>
        <v>77.33</v>
      </c>
      <c r="EH12" s="309">
        <f>'Day Wise 24-25'!EW31</f>
        <v>70.680000000000007</v>
      </c>
      <c r="EI12" s="309">
        <f>'Day Wise 24-25'!EX31</f>
        <v>68.91</v>
      </c>
      <c r="EJ12" s="309">
        <f>'Day Wise 24-25'!EY31</f>
        <v>76.98</v>
      </c>
      <c r="EK12" s="309">
        <f>'Day Wise 24-25'!EZ31</f>
        <v>67.569999999999993</v>
      </c>
      <c r="EL12" s="309">
        <f>'Day Wise 24-25'!FA31</f>
        <v>73.06</v>
      </c>
      <c r="EM12" s="309">
        <f>'Day Wise 24-25'!FB31</f>
        <v>76.31</v>
      </c>
      <c r="EN12" s="309">
        <f>'Day Wise 24-25'!FC31</f>
        <v>69.97</v>
      </c>
      <c r="EO12" s="309">
        <f>'Day Wise 24-25'!FD31</f>
        <v>76.03</v>
      </c>
      <c r="EP12" s="309">
        <f>'Day Wise 24-25'!FE31</f>
        <v>68.55</v>
      </c>
      <c r="EQ12" s="309">
        <f>'Day Wise 24-25'!FF31</f>
        <v>71.77</v>
      </c>
      <c r="ER12" s="309">
        <f>'Day Wise 24-25'!FG31</f>
        <v>79.56</v>
      </c>
      <c r="ES12" s="309">
        <f>'Day Wise 24-25'!FH31</f>
        <v>71.959999999999994</v>
      </c>
      <c r="ET12" s="309">
        <f>'Day Wise 24-25'!FI31</f>
        <v>72.7</v>
      </c>
      <c r="EU12" s="309">
        <f>'Day Wise 24-25'!FJ31</f>
        <v>77.819999999999993</v>
      </c>
      <c r="EV12" s="309">
        <f>'Day Wise 24-25'!FK31</f>
        <v>82.65</v>
      </c>
      <c r="EW12" s="309">
        <f>'Day Wise 24-25'!FL31</f>
        <v>84.6</v>
      </c>
      <c r="EX12" s="309">
        <f>'Day Wise 24-25'!FM31</f>
        <v>69.540000000000006</v>
      </c>
      <c r="EY12" s="309">
        <f>'Day Wise 24-25'!FN31</f>
        <v>70.16</v>
      </c>
      <c r="EZ12" s="309">
        <f>'Day Wise 24-25'!FO31</f>
        <v>79</v>
      </c>
      <c r="FA12" s="309">
        <f>'Day Wise 24-25'!FP31</f>
        <v>71.33</v>
      </c>
      <c r="FB12" s="309">
        <f>'Day Wise 24-25'!FQ31</f>
        <v>75.650000000000006</v>
      </c>
      <c r="FC12" s="309">
        <f>'Day Wise 24-25'!FR31</f>
        <v>71.930000000000007</v>
      </c>
      <c r="FD12" s="309">
        <f>'Day Wise 24-25'!FS31</f>
        <v>75.510000000000005</v>
      </c>
      <c r="FE12" s="309">
        <f>'Day Wise 24-25'!FT31</f>
        <v>79.77</v>
      </c>
      <c r="FF12" s="309">
        <f>'Day Wise 24-25'!S31</f>
        <v>74.25</v>
      </c>
      <c r="FG12" s="309">
        <f>'Day Wise 24-25'!FU31</f>
        <v>76.260000000000005</v>
      </c>
      <c r="FH12" s="309">
        <f>'Day Wise 24-25'!FV31</f>
        <v>69.260000000000005</v>
      </c>
      <c r="FI12" s="309">
        <f>'Day Wise 24-25'!FW31</f>
        <v>76.959999999999994</v>
      </c>
      <c r="FJ12" s="309">
        <f>'Day Wise 24-25'!FX31</f>
        <v>75.489999999999995</v>
      </c>
      <c r="FK12" s="309">
        <f>'Day Wise 24-25'!T31</f>
        <v>74.599999999999994</v>
      </c>
      <c r="FL12" s="134"/>
    </row>
    <row r="13" spans="1:170" s="131" customFormat="1" ht="22.2" x14ac:dyDescent="0.45">
      <c r="A13" s="157" t="s">
        <v>139</v>
      </c>
      <c r="B13" s="311" t="s">
        <v>140</v>
      </c>
      <c r="C13" s="312">
        <v>22.779599170968421</v>
      </c>
      <c r="D13" s="252">
        <f>'Day Wise 24-25'!M10</f>
        <v>24.859745923685928</v>
      </c>
      <c r="E13" s="252">
        <f>'Apr-24'!E24</f>
        <v>22.555524899986207</v>
      </c>
      <c r="F13" s="252">
        <f>'Apr-24'!F24</f>
        <v>25.952304221720915</v>
      </c>
      <c r="G13" s="252">
        <f>'Apr-24'!G24</f>
        <v>26.83822173030806</v>
      </c>
      <c r="H13" s="252">
        <f>'Apr-24'!H24</f>
        <v>25.342541777147439</v>
      </c>
      <c r="I13" s="252">
        <f>'Apr-24'!I24</f>
        <v>27.978996214433998</v>
      </c>
      <c r="J13" s="252">
        <f>'Apr-24'!J24</f>
        <v>27.346142299609728</v>
      </c>
      <c r="K13" s="252">
        <f>'Apr-24'!K24</f>
        <v>27.915267688175327</v>
      </c>
      <c r="L13" s="252">
        <f>'Apr-24'!L24</f>
        <v>27.116819571865442</v>
      </c>
      <c r="M13" s="252">
        <f>'Apr-24'!M24</f>
        <v>25.48793793187053</v>
      </c>
      <c r="N13" s="252">
        <f>'Apr-24'!N24</f>
        <v>27.104497927364971</v>
      </c>
      <c r="O13" s="252">
        <f>'Apr-24'!O24</f>
        <v>27.058607834749129</v>
      </c>
      <c r="P13" s="252">
        <f>'Apr-24'!P24</f>
        <v>26.953342393062837</v>
      </c>
      <c r="Q13" s="252">
        <f>'Apr-24'!Q24</f>
        <v>24.684404368808739</v>
      </c>
      <c r="R13" s="252">
        <f>'Apr-24'!R24</f>
        <v>26.94442700156986</v>
      </c>
      <c r="S13" s="252">
        <f>'Apr-24'!S24</f>
        <v>27.808744888329663</v>
      </c>
      <c r="T13" s="252">
        <f>'Apr-24'!T24</f>
        <v>26.889142422513785</v>
      </c>
      <c r="U13" s="252">
        <f>'Apr-24'!U24</f>
        <v>28.886460154883839</v>
      </c>
      <c r="V13" s="252">
        <f>'Apr-24'!V24</f>
        <v>26.800471436494732</v>
      </c>
      <c r="W13" s="252">
        <f>'Apr-24'!W24</f>
        <v>25.582117774176123</v>
      </c>
      <c r="X13" s="252">
        <f>'Apr-24'!X24</f>
        <v>22.392556909417209</v>
      </c>
      <c r="Y13" s="252">
        <f>'Apr-24'!Y24</f>
        <v>26.651323360184119</v>
      </c>
      <c r="Z13" s="252">
        <f>'Apr-24'!Z24</f>
        <v>28.00789662598708</v>
      </c>
      <c r="AA13" s="252">
        <f>'Apr-24'!AA24</f>
        <v>28.058223108050974</v>
      </c>
      <c r="AB13" s="252">
        <f>'Apr-24'!AB24</f>
        <v>28.542502845504103</v>
      </c>
      <c r="AC13" s="252">
        <f>'Apr-24'!AC24</f>
        <v>27.727630225663983</v>
      </c>
      <c r="AD13" s="252">
        <f>'Apr-24'!AD24</f>
        <v>27.352959177428239</v>
      </c>
      <c r="AE13" s="252">
        <f>'Apr-24'!AE24</f>
        <v>28.285208473231183</v>
      </c>
      <c r="AF13" s="252">
        <f>'Apr-24'!AF24</f>
        <v>28.29817249118307</v>
      </c>
      <c r="AG13" s="252">
        <f>'Apr-24'!AG24</f>
        <v>28.760019431624968</v>
      </c>
      <c r="AH13" s="252">
        <f>'Apr-24'!AH24</f>
        <v>29.507400970815606</v>
      </c>
      <c r="AI13" s="252">
        <f>'Apr-24'!AI24</f>
        <v>27.06730748728096</v>
      </c>
      <c r="AJ13" s="252">
        <f>'May-24'!E24</f>
        <v>28.919317204961317</v>
      </c>
      <c r="AK13" s="252">
        <f>'May-24'!F24</f>
        <v>29.366635249764375</v>
      </c>
      <c r="AL13" s="252">
        <f>'May-24'!G24</f>
        <v>25.149248203836752</v>
      </c>
      <c r="AM13" s="252">
        <f>'May-24'!H24</f>
        <v>26.033717834960072</v>
      </c>
      <c r="AN13" s="252">
        <f>'May-24'!I24</f>
        <v>27.63742152809677</v>
      </c>
      <c r="AO13" s="252">
        <f>'May-24'!J24</f>
        <v>30.723220704529115</v>
      </c>
      <c r="AP13" s="252">
        <f>'May-24'!K24</f>
        <v>27.914843596943772</v>
      </c>
      <c r="AQ13" s="252">
        <f>'May-24'!L24</f>
        <v>28.302599564604943</v>
      </c>
      <c r="AR13" s="252">
        <f>'May-24'!M24</f>
        <v>28.805671930389945</v>
      </c>
      <c r="AS13" s="252">
        <f>'May-24'!N24</f>
        <v>26.671932263364084</v>
      </c>
      <c r="AT13" s="252">
        <f>'May-24'!O24</f>
        <v>27.595859365429376</v>
      </c>
      <c r="AU13" s="252">
        <f>'May-24'!P24</f>
        <v>25.028361279062519</v>
      </c>
      <c r="AV13" s="252">
        <f>'May-24'!Q24</f>
        <v>23.764994941465531</v>
      </c>
      <c r="AW13" s="252">
        <f>'May-24'!R24</f>
        <v>14.871270944013077</v>
      </c>
      <c r="AX13" s="252">
        <f>'May-24'!S24</f>
        <v>17.289942312515677</v>
      </c>
      <c r="AY13" s="252">
        <f>'May-24'!T24</f>
        <v>27.284731605453874</v>
      </c>
      <c r="AZ13" s="252">
        <f>'May-24'!U24</f>
        <v>27.944479495268141</v>
      </c>
      <c r="BA13" s="252">
        <f>'May-24'!V24</f>
        <v>27.72707244917228</v>
      </c>
      <c r="BB13" s="252">
        <f>'May-24'!W24</f>
        <v>27.801351858805859</v>
      </c>
      <c r="BC13" s="252">
        <f>'May-24'!X24</f>
        <v>28.957227599125819</v>
      </c>
      <c r="BD13" s="252">
        <f>'May-24'!Y24</f>
        <v>27.093008969160831</v>
      </c>
      <c r="BE13" s="252">
        <f>'May-24'!Z24</f>
        <v>26.313948404022739</v>
      </c>
      <c r="BF13" s="252">
        <f>'May-24'!AA24</f>
        <v>24.873876123876123</v>
      </c>
      <c r="BG13" s="252">
        <f>'May-24'!AB24</f>
        <v>25.764908696207382</v>
      </c>
      <c r="BH13" s="252">
        <f>'May-24'!AC24</f>
        <v>28.50369725967812</v>
      </c>
      <c r="BI13" s="252">
        <f>'May-24'!AD24</f>
        <v>26.271144888453051</v>
      </c>
      <c r="BJ13" s="252">
        <f>'May-24'!AE24</f>
        <v>27.553139206290698</v>
      </c>
      <c r="BK13" s="252">
        <f>'May-24'!AF24</f>
        <v>24.247191011235955</v>
      </c>
      <c r="BL13" s="252">
        <f>'May-24'!AG24</f>
        <v>25.947189311822537</v>
      </c>
      <c r="BM13" s="252">
        <f>'May-24'!AH24</f>
        <v>26.083432807689892</v>
      </c>
      <c r="BN13" s="252">
        <f>'May-24'!AI24</f>
        <v>25.913516782582402</v>
      </c>
      <c r="BO13" s="252">
        <f>'May-24'!AJ24</f>
        <v>26.534724197882092</v>
      </c>
      <c r="BP13" s="252">
        <f>'Jun-24'!E24</f>
        <v>26.096286276438761</v>
      </c>
      <c r="BQ13" s="252">
        <f>'Jun-24'!F24</f>
        <v>26.922190551276607</v>
      </c>
      <c r="BR13" s="252">
        <f>'Jun-24'!G24</f>
        <v>25.391982747684892</v>
      </c>
      <c r="BS13" s="252">
        <f>'Jun-24'!H24</f>
        <v>27.227496128728202</v>
      </c>
      <c r="BT13" s="252">
        <f>'Jun-24'!I24</f>
        <v>27.801331702676993</v>
      </c>
      <c r="BU13" s="252">
        <f>'Jun-24'!J24</f>
        <v>26.179928903472792</v>
      </c>
      <c r="BV13" s="252">
        <f>'Jun-24'!K24</f>
        <v>13.780478766767954</v>
      </c>
      <c r="BW13" s="252">
        <f>'Jun-24'!L24</f>
        <v>27.261787819253438</v>
      </c>
      <c r="BX13" s="252">
        <f>'Jun-24'!M24</f>
        <v>27.63059815482373</v>
      </c>
      <c r="BY13" s="252">
        <f>'Jun-24'!N24</f>
        <v>26.72680569995719</v>
      </c>
      <c r="BZ13" s="252">
        <f>'Jun-24'!O24</f>
        <v>24.813662702043306</v>
      </c>
      <c r="CA13" s="252">
        <f>'Jun-24'!P24</f>
        <v>24.691664084288814</v>
      </c>
      <c r="CB13" s="252">
        <f>'Jun-24'!Q24</f>
        <v>23.7270955165692</v>
      </c>
      <c r="CC13" s="252">
        <f>'Jun-24'!R24</f>
        <v>26.776504297994268</v>
      </c>
      <c r="CD13" s="252">
        <f>'Jun-24'!S24</f>
        <v>24.989064550396801</v>
      </c>
      <c r="CE13" s="252">
        <f>'Jun-24'!T24</f>
        <v>24.214329833230391</v>
      </c>
      <c r="CF13" s="252">
        <f>'Jun-24'!U24</f>
        <v>24.209881320949432</v>
      </c>
      <c r="CG13" s="252">
        <f>'Jun-24'!V24</f>
        <v>26.541855619561222</v>
      </c>
      <c r="CH13" s="252">
        <f>'Jun-24'!W24</f>
        <v>26.58288636647125</v>
      </c>
      <c r="CI13" s="252">
        <f>'Jun-24'!X24</f>
        <v>26.436464088397791</v>
      </c>
      <c r="CJ13" s="252">
        <f>'Jun-24'!Y24</f>
        <v>25.901236125126136</v>
      </c>
      <c r="CK13" s="252">
        <f>'Jun-24'!Z24</f>
        <v>24.451017356822465</v>
      </c>
      <c r="CL13" s="252">
        <f>'Jun-24'!AA24</f>
        <v>26.234134319162045</v>
      </c>
      <c r="CM13" s="252">
        <f>'Jun-24'!AB24</f>
        <v>26.597254459844816</v>
      </c>
      <c r="CN13" s="252">
        <f>'Jun-24'!AC24</f>
        <v>27.021780909673286</v>
      </c>
      <c r="CO13" s="252">
        <f>'Jun-24'!AD24</f>
        <v>27.390689379496955</v>
      </c>
      <c r="CP13" s="252">
        <f>'Jun-24'!AE24</f>
        <v>26.209070322541159</v>
      </c>
      <c r="CQ13" s="252">
        <f>'Jun-24'!AF24</f>
        <v>28.052734243626823</v>
      </c>
      <c r="CR13" s="252">
        <f>'Jun-24'!AG24</f>
        <v>27.222290564645096</v>
      </c>
      <c r="CS13" s="252">
        <f>'Jun-24'!AH24</f>
        <v>27.299460264284384</v>
      </c>
      <c r="CT13" s="252">
        <f>'Jun-24'!AJ24</f>
        <v>25.835125822965225</v>
      </c>
      <c r="CU13" s="252">
        <f>'Jul-24'!E24</f>
        <v>28.872539652207148</v>
      </c>
      <c r="CV13" s="252">
        <f>'Jul-24'!F24</f>
        <v>26.33160815613893</v>
      </c>
      <c r="CW13" s="252">
        <f>'Jul-24'!G24</f>
        <v>23.845053294227053</v>
      </c>
      <c r="CX13" s="252">
        <f>'Jul-24'!H24</f>
        <v>26.100460600024896</v>
      </c>
      <c r="CY13" s="252">
        <f>'Jul-24'!I24</f>
        <v>27.552870090634443</v>
      </c>
      <c r="CZ13" s="252">
        <f>'Jul-24'!J24</f>
        <v>26.373804911579079</v>
      </c>
      <c r="DA13" s="252">
        <f>'Jul-24'!K24</f>
        <v>26.306080473068519</v>
      </c>
      <c r="DB13" s="252">
        <f>'Jul-24'!L24</f>
        <v>24.870173102529961</v>
      </c>
      <c r="DC13" s="252">
        <f>'Jul-24'!M24</f>
        <v>18.942963704175384</v>
      </c>
      <c r="DD13" s="252">
        <f>'Jul-24'!N24</f>
        <v>16.64855072463768</v>
      </c>
      <c r="DE13" s="252">
        <f>'Jul-24'!O24</f>
        <v>19.173115189033826</v>
      </c>
      <c r="DF13" s="252">
        <f>'Jul-24'!P24</f>
        <v>17.881729920564872</v>
      </c>
      <c r="DG13" s="252">
        <f>'Jul-24'!Q24</f>
        <v>12.657398529881752</v>
      </c>
      <c r="DH13" s="252">
        <f>'Jul-24'!R24</f>
        <v>22.978307733764485</v>
      </c>
      <c r="DI13" s="252">
        <f>'Jul-24'!S24</f>
        <v>23.905984647782081</v>
      </c>
      <c r="DJ13" s="252">
        <f>'Jul-24'!T24</f>
        <v>19.923996322402697</v>
      </c>
      <c r="DK13" s="252">
        <f>'Jul-24'!U24</f>
        <v>20.774788997510473</v>
      </c>
      <c r="DL13" s="252">
        <f>'Jul-24'!V24</f>
        <v>12.661128963802826</v>
      </c>
      <c r="DM13" s="252">
        <f>'Jul-24'!W24</f>
        <v>24.952156427679935</v>
      </c>
      <c r="DN13" s="252">
        <f>'Jul-24'!X24</f>
        <v>25.14848775147119</v>
      </c>
      <c r="DO13" s="252">
        <f>'Jul-24'!Y24</f>
        <v>26.430629888843146</v>
      </c>
      <c r="DP13" s="252">
        <f>'Jul-24'!Z24</f>
        <v>25.418269915918483</v>
      </c>
      <c r="DQ13" s="252">
        <f>'Jul-24'!AA24</f>
        <v>27.101183765501691</v>
      </c>
      <c r="DR13" s="252">
        <f>'Jul-24'!AB24</f>
        <v>23.313929313929314</v>
      </c>
      <c r="DS13" s="252">
        <f>'Jul-24'!AC24</f>
        <v>25.480472042708627</v>
      </c>
      <c r="DT13" s="252">
        <f>'Jul-24'!AD24</f>
        <v>13.5439675660562</v>
      </c>
      <c r="DU13" s="252">
        <f>'Jul-24'!AE24</f>
        <v>0</v>
      </c>
      <c r="DV13" s="252" t="e">
        <f>'Jul-24'!AF24</f>
        <v>#DIV/0!</v>
      </c>
      <c r="DW13" s="252" t="e">
        <f>'Jul-24'!AG24</f>
        <v>#DIV/0!</v>
      </c>
      <c r="DX13" s="252" t="e">
        <f>'Jul-24'!AH24</f>
        <v>#DIV/0!</v>
      </c>
      <c r="DY13" s="252">
        <f>'Jul-24'!AI24</f>
        <v>0</v>
      </c>
      <c r="DZ13" s="252">
        <f>'Jul-24'!AJ24</f>
        <v>22.141925384816069</v>
      </c>
      <c r="EA13" s="252">
        <f>'Aug-24'!E24</f>
        <v>0</v>
      </c>
      <c r="EB13" s="252">
        <f>'Aug-24'!F24</f>
        <v>6.8103864734299515</v>
      </c>
      <c r="EC13" s="252">
        <f>'Aug-24'!G24</f>
        <v>3.2969016344129147</v>
      </c>
      <c r="ED13" s="252">
        <f>'Aug-24'!H24</f>
        <v>1.6347928819316251</v>
      </c>
      <c r="EE13" s="252">
        <f>'Aug-24'!I24</f>
        <v>11.979444741057128</v>
      </c>
      <c r="EF13" s="252">
        <f>'Aug-24'!J24</f>
        <v>17.533084277844615</v>
      </c>
      <c r="EG13" s="252">
        <f>'Aug-24'!K24</f>
        <v>21.353536600419702</v>
      </c>
      <c r="EH13" s="252">
        <f>'Aug-24'!L24</f>
        <v>20.654517939340437</v>
      </c>
      <c r="EI13" s="252">
        <f>'Aug-24'!M24</f>
        <v>19.752544529262085</v>
      </c>
      <c r="EJ13" s="252">
        <f>'Aug-24'!N24</f>
        <v>21.406682546835768</v>
      </c>
      <c r="EK13" s="252">
        <f>'Aug-24'!O24</f>
        <v>24.229055258467024</v>
      </c>
      <c r="EL13" s="252">
        <f>'Aug-24'!P24</f>
        <v>25.598968407479045</v>
      </c>
      <c r="EM13" s="252">
        <f>'Aug-24'!Q24</f>
        <v>24.446486280970788</v>
      </c>
      <c r="EN13" s="252">
        <f>'Aug-24'!R24</f>
        <v>16.247479018931756</v>
      </c>
      <c r="EO13" s="252">
        <f>'Aug-24'!S24</f>
        <v>12.306718166276198</v>
      </c>
      <c r="EP13" s="252">
        <f>'Aug-24'!T24</f>
        <v>11.486885967670922</v>
      </c>
      <c r="EQ13" s="252">
        <f>'Aug-24'!U24</f>
        <v>14.354930216725291</v>
      </c>
      <c r="ER13" s="252">
        <f>'Aug-24'!V24</f>
        <v>12.451046590141797</v>
      </c>
      <c r="ES13" s="252">
        <f>'Aug-24'!W24</f>
        <v>13.68231046931408</v>
      </c>
      <c r="ET13" s="252">
        <f>'Aug-24'!X24</f>
        <v>15.715256540944614</v>
      </c>
      <c r="EU13" s="252">
        <f>'Aug-24'!Y24</f>
        <v>13.617650684087268</v>
      </c>
      <c r="EV13" s="252">
        <f>'Aug-24'!Z24</f>
        <v>2.885837261733962</v>
      </c>
      <c r="EW13" s="252">
        <f>'Aug-24'!AA24</f>
        <v>2.8832789675223371</v>
      </c>
      <c r="EX13" s="252">
        <f>'Aug-24'!AB24</f>
        <v>15.205926963014818</v>
      </c>
      <c r="EY13" s="252">
        <f>'Aug-24'!AC24</f>
        <v>14.548829882988299</v>
      </c>
      <c r="EZ13" s="252">
        <f>'Aug-24'!AD24</f>
        <v>7.6004901960784315</v>
      </c>
      <c r="FA13" s="252">
        <f>'Aug-24'!AE24</f>
        <v>16.005118659841788</v>
      </c>
      <c r="FB13" s="252">
        <f>'Aug-24'!AF24</f>
        <v>18.300345224395858</v>
      </c>
      <c r="FC13" s="252">
        <f>'Aug-24'!AG24</f>
        <v>14.447337278106509</v>
      </c>
      <c r="FD13" s="252">
        <f>'Aug-24'!AH24</f>
        <v>17.256863941427699</v>
      </c>
      <c r="FE13" s="252">
        <f>'Aug-24'!AI24</f>
        <v>15.879207680155547</v>
      </c>
      <c r="FF13" s="252">
        <f>'Aug-24'!AJ24</f>
        <v>15.249691659202577</v>
      </c>
      <c r="FG13" s="252">
        <f>'Sep-24'!E24</f>
        <v>17.991427550898916</v>
      </c>
      <c r="FH13" s="252">
        <f>'Sep-24'!F24</f>
        <v>20.036900369003689</v>
      </c>
      <c r="FI13" s="252">
        <f>'Sep-24'!G24</f>
        <v>18.430296377607025</v>
      </c>
      <c r="FJ13" s="252">
        <f>'Sep-24'!H24</f>
        <v>19.621402125880806</v>
      </c>
      <c r="FK13" s="252">
        <f>'Sep-24'!AJ24</f>
        <v>23.573654560709578</v>
      </c>
      <c r="FL13" s="134" t="s">
        <v>279</v>
      </c>
    </row>
    <row r="14" spans="1:170" s="131" customFormat="1" ht="22.2" x14ac:dyDescent="0.45">
      <c r="A14" s="157" t="s">
        <v>141</v>
      </c>
      <c r="B14" s="349" t="s">
        <v>15</v>
      </c>
      <c r="C14" s="311">
        <v>6859</v>
      </c>
      <c r="D14" s="313">
        <v>6974</v>
      </c>
      <c r="E14" s="314">
        <f>'Apr-24'!E89</f>
        <v>6913</v>
      </c>
      <c r="F14" s="314">
        <f>'Apr-24'!F89</f>
        <v>7008</v>
      </c>
      <c r="G14" s="314">
        <f>'Apr-24'!G89</f>
        <v>7061</v>
      </c>
      <c r="H14" s="314">
        <f>'Apr-24'!H89</f>
        <v>7030</v>
      </c>
      <c r="I14" s="314">
        <f>'Apr-24'!I89</f>
        <v>7246</v>
      </c>
      <c r="J14" s="314">
        <f>'Apr-24'!J89</f>
        <v>7302</v>
      </c>
      <c r="K14" s="314">
        <f>'Apr-24'!K89</f>
        <v>7028</v>
      </c>
      <c r="L14" s="314">
        <f>'Apr-24'!L89</f>
        <v>7042</v>
      </c>
      <c r="M14" s="314">
        <f>'Apr-24'!M89</f>
        <v>7216</v>
      </c>
      <c r="N14" s="314">
        <f>'Apr-24'!N89</f>
        <v>6990</v>
      </c>
      <c r="O14" s="314">
        <f>'Apr-24'!O89</f>
        <v>7295</v>
      </c>
      <c r="P14" s="314">
        <f>'Apr-24'!P89</f>
        <v>7324</v>
      </c>
      <c r="Q14" s="314">
        <f>'Apr-24'!Q89</f>
        <v>7207</v>
      </c>
      <c r="R14" s="314">
        <f>'Apr-24'!R89</f>
        <v>7336</v>
      </c>
      <c r="S14" s="314">
        <f>'Apr-24'!S89</f>
        <v>7344</v>
      </c>
      <c r="T14" s="314">
        <f>'Apr-24'!T89</f>
        <v>7252</v>
      </c>
      <c r="U14" s="314">
        <f>'Apr-24'!U89</f>
        <v>7207</v>
      </c>
      <c r="V14" s="314">
        <f>'Apr-24'!V89</f>
        <v>7440</v>
      </c>
      <c r="W14" s="314">
        <f>'Apr-24'!W89</f>
        <v>7404</v>
      </c>
      <c r="X14" s="314">
        <f>'Apr-24'!X89</f>
        <v>6163</v>
      </c>
      <c r="Y14" s="314">
        <f>'Apr-24'!Y89</f>
        <v>7210</v>
      </c>
      <c r="Z14" s="314">
        <f>'Apr-24'!Z89</f>
        <v>7265</v>
      </c>
      <c r="AA14" s="314">
        <f>'Apr-24'!AA89</f>
        <v>7334</v>
      </c>
      <c r="AB14" s="314">
        <f>'Apr-24'!AB89</f>
        <v>7342</v>
      </c>
      <c r="AC14" s="314">
        <f>'Apr-24'!AC89</f>
        <v>7314</v>
      </c>
      <c r="AD14" s="314">
        <f>'Apr-24'!AD89</f>
        <v>7211</v>
      </c>
      <c r="AE14" s="314">
        <f>'Apr-24'!AE89</f>
        <v>7054</v>
      </c>
      <c r="AF14" s="314">
        <f>'Apr-24'!AF89</f>
        <v>6246</v>
      </c>
      <c r="AG14" s="314">
        <f>'Apr-24'!AG89</f>
        <v>7213</v>
      </c>
      <c r="AH14" s="314">
        <f>'Apr-24'!AH89</f>
        <v>7318</v>
      </c>
      <c r="AI14" s="314">
        <f>'Apr-24'!AJ89</f>
        <v>7143.833333333333</v>
      </c>
      <c r="AJ14" s="314">
        <f>'May-24'!E89</f>
        <v>6911</v>
      </c>
      <c r="AK14" s="314">
        <f>'May-24'!F89</f>
        <v>7145</v>
      </c>
      <c r="AL14" s="314">
        <f>'May-24'!G89</f>
        <v>6408</v>
      </c>
      <c r="AM14" s="314">
        <f>'May-24'!H89</f>
        <v>6005</v>
      </c>
      <c r="AN14" s="314">
        <f>'May-24'!I89</f>
        <v>6080</v>
      </c>
      <c r="AO14" s="314">
        <f>'May-24'!J89</f>
        <v>6170</v>
      </c>
      <c r="AP14" s="314">
        <f>'May-24'!K89</f>
        <v>6885</v>
      </c>
      <c r="AQ14" s="314">
        <f>'May-24'!L89</f>
        <v>6801</v>
      </c>
      <c r="AR14" s="314">
        <f>'May-24'!M89</f>
        <v>7005</v>
      </c>
      <c r="AS14" s="314">
        <f>'May-24'!N89</f>
        <v>7118</v>
      </c>
      <c r="AT14" s="314">
        <f>'May-24'!O89</f>
        <v>7101</v>
      </c>
      <c r="AU14" s="314">
        <f>'May-24'!P89</f>
        <v>7223</v>
      </c>
      <c r="AV14" s="314">
        <f>'May-24'!Q89</f>
        <v>7013</v>
      </c>
      <c r="AW14" s="314">
        <f>'May-24'!R89</f>
        <v>7341</v>
      </c>
      <c r="AX14" s="314">
        <f>'May-24'!S89</f>
        <v>6846</v>
      </c>
      <c r="AY14" s="314">
        <f>'May-24'!T89</f>
        <v>7244</v>
      </c>
      <c r="AZ14" s="314">
        <f>'May-24'!U89</f>
        <v>6847</v>
      </c>
      <c r="BA14" s="314">
        <f>'May-24'!V89</f>
        <v>6914</v>
      </c>
      <c r="BB14" s="314">
        <f>'May-24'!W89</f>
        <v>6969</v>
      </c>
      <c r="BC14" s="314">
        <f>'May-24'!X89</f>
        <v>7005</v>
      </c>
      <c r="BD14" s="314">
        <f>'May-24'!Y89</f>
        <v>7273</v>
      </c>
      <c r="BE14" s="314">
        <f>'May-24'!Z89</f>
        <v>7007</v>
      </c>
      <c r="BF14" s="314">
        <f>'May-24'!AA89</f>
        <v>7009</v>
      </c>
      <c r="BG14" s="314">
        <f>'May-24'!AB89</f>
        <v>7129</v>
      </c>
      <c r="BH14" s="314">
        <f>'May-24'!AC89</f>
        <v>7203</v>
      </c>
      <c r="BI14" s="314">
        <f>'May-24'!AD89</f>
        <v>7307</v>
      </c>
      <c r="BJ14" s="314">
        <f>'May-24'!AE89</f>
        <v>7156</v>
      </c>
      <c r="BK14" s="314">
        <f>'May-24'!AF89</f>
        <v>6573</v>
      </c>
      <c r="BL14" s="314">
        <f>'May-24'!AG89</f>
        <v>7002</v>
      </c>
      <c r="BM14" s="314">
        <f>'May-24'!AH89</f>
        <v>7183</v>
      </c>
      <c r="BN14" s="314">
        <f>'May-24'!AI89</f>
        <v>7268</v>
      </c>
      <c r="BO14" s="314">
        <f>'May-24'!AK89</f>
        <v>6940.0322580645161</v>
      </c>
      <c r="BP14" s="314">
        <f>'Jun-24'!E72</f>
        <v>7262</v>
      </c>
      <c r="BQ14" s="314">
        <f>'Jun-24'!F72</f>
        <v>7182</v>
      </c>
      <c r="BR14" s="314">
        <f>'Jun-24'!G72</f>
        <v>6595</v>
      </c>
      <c r="BS14" s="314">
        <f>'Jun-24'!H72</f>
        <v>7308</v>
      </c>
      <c r="BT14" s="314">
        <f>'Jun-24'!I72</f>
        <v>7359</v>
      </c>
      <c r="BU14" s="314">
        <f>'Jun-24'!J72</f>
        <v>7314</v>
      </c>
      <c r="BV14" s="314">
        <f>'Jun-24'!K72</f>
        <v>7356</v>
      </c>
      <c r="BW14" s="314">
        <f>'Jun-24'!L72</f>
        <v>7286</v>
      </c>
      <c r="BX14" s="314">
        <f>'Jun-24'!M72</f>
        <v>7220</v>
      </c>
      <c r="BY14" s="314">
        <f>'Jun-24'!N72</f>
        <v>7138</v>
      </c>
      <c r="BZ14" s="314">
        <f>'Jun-24'!O72</f>
        <v>7190</v>
      </c>
      <c r="CA14" s="314">
        <f>'Jun-24'!P72</f>
        <v>7132</v>
      </c>
      <c r="CB14" s="314">
        <f>'Jun-24'!Q72</f>
        <v>7145</v>
      </c>
      <c r="CC14" s="314">
        <f>'Jun-24'!R72</f>
        <v>7014</v>
      </c>
      <c r="CD14" s="314">
        <f>'Jun-24'!S72</f>
        <v>7002</v>
      </c>
      <c r="CE14" s="314">
        <f>'Jun-24'!T72</f>
        <v>7161</v>
      </c>
      <c r="CF14" s="314">
        <f>'Jun-24'!U72</f>
        <v>7001</v>
      </c>
      <c r="CG14" s="314">
        <f>'Jun-24'!V72</f>
        <v>7148</v>
      </c>
      <c r="CH14" s="314">
        <f>'Jun-24'!W72</f>
        <v>7029</v>
      </c>
      <c r="CI14" s="314">
        <f>'Jun-24'!X72</f>
        <v>7088</v>
      </c>
      <c r="CJ14" s="314">
        <f>'Jun-24'!Y72</f>
        <v>7002</v>
      </c>
      <c r="CK14" s="314">
        <f>'Jun-24'!Z72</f>
        <v>7166</v>
      </c>
      <c r="CL14" s="314">
        <f>'Jun-24'!AA72</f>
        <v>7229</v>
      </c>
      <c r="CM14" s="314">
        <f>'Jun-24'!AB72</f>
        <v>7055</v>
      </c>
      <c r="CN14" s="314">
        <f>'Jun-24'!AC72</f>
        <v>7046</v>
      </c>
      <c r="CO14" s="314">
        <f>'Jun-24'!AD72</f>
        <v>7223</v>
      </c>
      <c r="CP14" s="314">
        <f>'Jun-24'!AE72</f>
        <v>7294</v>
      </c>
      <c r="CQ14" s="314">
        <f>'Jun-24'!AF72</f>
        <v>7167</v>
      </c>
      <c r="CR14" s="314">
        <f>'Jun-24'!AG72</f>
        <v>7247</v>
      </c>
      <c r="CS14" s="314">
        <f>'Jun-24'!AH72</f>
        <v>7001</v>
      </c>
      <c r="CT14" s="314">
        <f>'Jun-24'!AK72</f>
        <v>7145.333333333333</v>
      </c>
      <c r="CU14" s="314">
        <f>'Jul-24'!E72</f>
        <v>7014</v>
      </c>
      <c r="CV14" s="314">
        <f>'Jul-24'!F72</f>
        <v>7007</v>
      </c>
      <c r="CW14" s="314">
        <f>'Jul-24'!G72</f>
        <v>6989</v>
      </c>
      <c r="CX14" s="314">
        <f>'Jul-24'!H72</f>
        <v>7002</v>
      </c>
      <c r="CY14" s="314">
        <f>'Jul-24'!I72</f>
        <v>6538</v>
      </c>
      <c r="CZ14" s="314">
        <f>'Jul-24'!J72</f>
        <v>7001</v>
      </c>
      <c r="DA14" s="314">
        <f>'Jul-24'!K72</f>
        <v>7049</v>
      </c>
      <c r="DB14" s="314">
        <f>'Jul-24'!L72</f>
        <v>6717</v>
      </c>
      <c r="DC14" s="314">
        <f>'Jul-24'!M72</f>
        <v>2141</v>
      </c>
      <c r="DD14" s="314">
        <f>'Jul-24'!N72</f>
        <v>0</v>
      </c>
      <c r="DE14" s="314">
        <f>'Jul-24'!O72</f>
        <v>0</v>
      </c>
      <c r="DF14" s="314">
        <f>'Jul-24'!P72</f>
        <v>0</v>
      </c>
      <c r="DG14" s="314">
        <f>'Jul-24'!Q72</f>
        <v>3896</v>
      </c>
      <c r="DH14" s="314">
        <f>'Jul-24'!R72</f>
        <v>6416</v>
      </c>
      <c r="DI14" s="314">
        <f>'Jul-24'!S72</f>
        <v>6160</v>
      </c>
      <c r="DJ14" s="314">
        <f>'Jul-24'!T72</f>
        <v>7206</v>
      </c>
      <c r="DK14" s="314">
        <f>'Jul-24'!U72</f>
        <v>7256</v>
      </c>
      <c r="DL14" s="314">
        <f>'Jul-24'!V72</f>
        <v>7268</v>
      </c>
      <c r="DM14" s="314">
        <f>'Jul-24'!W72</f>
        <v>7211</v>
      </c>
      <c r="DN14" s="314">
        <f>'Jul-24'!X72</f>
        <v>7307</v>
      </c>
      <c r="DO14" s="314">
        <f>'Jul-24'!Y72</f>
        <v>7287</v>
      </c>
      <c r="DP14" s="314">
        <f>'Jul-24'!Z72</f>
        <v>7017</v>
      </c>
      <c r="DQ14" s="314">
        <f>'Jul-24'!AA72</f>
        <v>7096</v>
      </c>
      <c r="DR14" s="314">
        <f>'Jul-24'!AB72</f>
        <v>7215</v>
      </c>
      <c r="DS14" s="314">
        <f>'Jul-24'!AC72</f>
        <v>7118</v>
      </c>
      <c r="DT14" s="314">
        <f>'Jul-24'!AD72</f>
        <v>7153</v>
      </c>
      <c r="DU14" s="314">
        <f>'Jul-24'!AE72</f>
        <v>3501</v>
      </c>
      <c r="DV14" s="314">
        <f>'Jul-24'!AF72</f>
        <v>0</v>
      </c>
      <c r="DW14" s="314">
        <f>'Jul-24'!AG72</f>
        <v>0</v>
      </c>
      <c r="DX14" s="314">
        <f>'Jul-24'!AH72</f>
        <v>0</v>
      </c>
      <c r="DY14" s="314">
        <f>'Jul-24'!AI72</f>
        <v>2623</v>
      </c>
      <c r="DZ14" s="314">
        <f>'Jul-24'!AK72</f>
        <v>6367.52</v>
      </c>
      <c r="EA14" s="314">
        <f>'Aug-24'!E72</f>
        <v>0</v>
      </c>
      <c r="EB14" s="314">
        <f>'Aug-24'!F72</f>
        <v>0</v>
      </c>
      <c r="EC14" s="314">
        <f>'Aug-24'!G72</f>
        <v>3166</v>
      </c>
      <c r="ED14" s="314">
        <f>'Aug-24'!H72</f>
        <v>6809</v>
      </c>
      <c r="EE14" s="314">
        <f>'Aug-24'!I72</f>
        <v>7106</v>
      </c>
      <c r="EF14" s="314">
        <f>'Aug-24'!J72</f>
        <v>7135</v>
      </c>
      <c r="EG14" s="314">
        <f>'Aug-24'!K72</f>
        <v>7201</v>
      </c>
      <c r="EH14" s="314">
        <f>'Aug-24'!L72</f>
        <v>7055</v>
      </c>
      <c r="EI14" s="314">
        <f>'Aug-24'!M72</f>
        <v>7062</v>
      </c>
      <c r="EJ14" s="314">
        <f>'Aug-24'!N72</f>
        <v>7016</v>
      </c>
      <c r="EK14" s="314">
        <f>'Aug-24'!O72</f>
        <v>7010</v>
      </c>
      <c r="EL14" s="314">
        <f>'Aug-24'!P72</f>
        <v>6750</v>
      </c>
      <c r="EM14" s="314">
        <f>'Aug-24'!Q72</f>
        <v>7016</v>
      </c>
      <c r="EN14" s="314">
        <f>'Aug-24'!R72</f>
        <v>6810</v>
      </c>
      <c r="EO14" s="314">
        <f>'Aug-24'!S72</f>
        <v>6895</v>
      </c>
      <c r="EP14" s="314">
        <f>'Aug-24'!T72</f>
        <v>6910</v>
      </c>
      <c r="EQ14" s="314">
        <f>'Aug-24'!U72</f>
        <v>0</v>
      </c>
      <c r="ER14" s="314">
        <f>'Aug-24'!V72</f>
        <v>0</v>
      </c>
      <c r="ES14" s="314">
        <f>'Aug-24'!W72</f>
        <v>0</v>
      </c>
      <c r="ET14" s="314">
        <f>'Aug-24'!X72</f>
        <v>0</v>
      </c>
      <c r="EU14" s="314">
        <f>'Aug-24'!Y72</f>
        <v>0</v>
      </c>
      <c r="EV14" s="314">
        <f>'Aug-24'!Z72</f>
        <v>0</v>
      </c>
      <c r="EW14" s="314">
        <f>'Aug-24'!AA72</f>
        <v>0</v>
      </c>
      <c r="EX14" s="314">
        <f>'Aug-24'!AB72</f>
        <v>0</v>
      </c>
      <c r="EY14" s="314">
        <f>'Aug-24'!AC72</f>
        <v>0</v>
      </c>
      <c r="EZ14" s="314">
        <f>'Aug-24'!AD72</f>
        <v>0</v>
      </c>
      <c r="FA14" s="314">
        <f>'Aug-24'!AE72</f>
        <v>0</v>
      </c>
      <c r="FB14" s="314">
        <f>'Aug-24'!AF72</f>
        <v>0</v>
      </c>
      <c r="FC14" s="314">
        <f>'Aug-24'!AG72</f>
        <v>0</v>
      </c>
      <c r="FD14" s="314">
        <f>'Aug-24'!AH72</f>
        <v>0</v>
      </c>
      <c r="FE14" s="314">
        <f>'Aug-24'!AI72</f>
        <v>0</v>
      </c>
      <c r="FF14" s="314">
        <f>'Aug-24'!AK72</f>
        <v>6710.0714285714284</v>
      </c>
      <c r="FG14" s="314">
        <f>'Sep-24'!E72</f>
        <v>0</v>
      </c>
      <c r="FH14" s="314">
        <f>'Sep-24'!F72</f>
        <v>0</v>
      </c>
      <c r="FI14" s="314">
        <f>'Sep-24'!G72</f>
        <v>0</v>
      </c>
      <c r="FJ14" s="314">
        <f>'Sep-24'!H72</f>
        <v>0</v>
      </c>
      <c r="FK14" s="314">
        <f>'Sep-24'!AM72</f>
        <v>0</v>
      </c>
      <c r="FL14" s="134" t="s">
        <v>239</v>
      </c>
    </row>
    <row r="15" spans="1:170" s="131" customFormat="1" ht="22.2" x14ac:dyDescent="0.45">
      <c r="A15" s="157" t="s">
        <v>142</v>
      </c>
      <c r="B15" s="349"/>
      <c r="C15" s="311">
        <v>8542</v>
      </c>
      <c r="D15" s="313">
        <v>8985</v>
      </c>
      <c r="E15" s="314">
        <f>'Apr-24'!E90</f>
        <v>7585</v>
      </c>
      <c r="F15" s="314">
        <f>'Apr-24'!F90</f>
        <v>8507</v>
      </c>
      <c r="G15" s="314">
        <f>'Apr-24'!G90</f>
        <v>9202</v>
      </c>
      <c r="H15" s="314">
        <f>'Apr-24'!H90</f>
        <v>9187</v>
      </c>
      <c r="I15" s="314">
        <f>'Apr-24'!I90</f>
        <v>9132</v>
      </c>
      <c r="J15" s="314">
        <f>'Apr-24'!J90</f>
        <v>9353</v>
      </c>
      <c r="K15" s="314">
        <f>'Apr-24'!K90</f>
        <v>9353</v>
      </c>
      <c r="L15" s="314">
        <f>'Apr-24'!L90</f>
        <v>9308</v>
      </c>
      <c r="M15" s="314">
        <f>'Apr-24'!M90</f>
        <v>9282</v>
      </c>
      <c r="N15" s="314">
        <f>'Apr-24'!N90</f>
        <v>9173</v>
      </c>
      <c r="O15" s="314">
        <f>'Apr-24'!O90</f>
        <v>9068</v>
      </c>
      <c r="P15" s="314">
        <f>'Apr-24'!P90</f>
        <v>8129</v>
      </c>
      <c r="Q15" s="314">
        <f>'Apr-24'!Q90</f>
        <v>8541</v>
      </c>
      <c r="R15" s="314">
        <f>'Apr-24'!R90</f>
        <v>8589</v>
      </c>
      <c r="S15" s="314">
        <f>'Apr-24'!S90</f>
        <v>8551</v>
      </c>
      <c r="T15" s="314">
        <f>'Apr-24'!T90</f>
        <v>8525</v>
      </c>
      <c r="U15" s="314">
        <f>'Apr-24'!U90</f>
        <v>8805</v>
      </c>
      <c r="V15" s="314">
        <f>'Apr-24'!V90</f>
        <v>6984</v>
      </c>
      <c r="W15" s="314">
        <f>'Apr-24'!W90</f>
        <v>0</v>
      </c>
      <c r="X15" s="314">
        <f>'Apr-24'!X90</f>
        <v>4424</v>
      </c>
      <c r="Y15" s="314">
        <f>'Apr-24'!Y90</f>
        <v>9301</v>
      </c>
      <c r="Z15" s="314">
        <f>'Apr-24'!Z90</f>
        <v>9451</v>
      </c>
      <c r="AA15" s="314">
        <f>'Apr-24'!AA90</f>
        <v>9223</v>
      </c>
      <c r="AB15" s="314">
        <f>'Apr-24'!AB90</f>
        <v>9351</v>
      </c>
      <c r="AC15" s="314">
        <f>'Apr-24'!AC90</f>
        <v>9215</v>
      </c>
      <c r="AD15" s="314">
        <f>'Apr-24'!AD90</f>
        <v>9128</v>
      </c>
      <c r="AE15" s="314">
        <f>'Apr-24'!AE90</f>
        <v>9327</v>
      </c>
      <c r="AF15" s="314">
        <f>'Apr-24'!AF90</f>
        <v>9349</v>
      </c>
      <c r="AG15" s="314">
        <f>'Apr-24'!AG90</f>
        <v>9255</v>
      </c>
      <c r="AH15" s="314">
        <f>'Apr-24'!AH90</f>
        <v>9369</v>
      </c>
      <c r="AI15" s="314">
        <f>'Apr-24'!AJ90</f>
        <v>8781.6206896551721</v>
      </c>
      <c r="AJ15" s="314">
        <f>'May-24'!E90</f>
        <v>9375</v>
      </c>
      <c r="AK15" s="314">
        <f>'May-24'!F90</f>
        <v>8770</v>
      </c>
      <c r="AL15" s="314">
        <f>'May-24'!G90</f>
        <v>7093</v>
      </c>
      <c r="AM15" s="314">
        <f>'May-24'!H90</f>
        <v>7519</v>
      </c>
      <c r="AN15" s="314">
        <f>'May-24'!I90</f>
        <v>6982</v>
      </c>
      <c r="AO15" s="314">
        <f>'May-24'!J90</f>
        <v>7740</v>
      </c>
      <c r="AP15" s="314">
        <f>'May-24'!K90</f>
        <v>8428</v>
      </c>
      <c r="AQ15" s="314">
        <f>'May-24'!L90</f>
        <v>8817</v>
      </c>
      <c r="AR15" s="314">
        <f>'May-24'!M90</f>
        <v>8510</v>
      </c>
      <c r="AS15" s="314">
        <f>'May-24'!N90</f>
        <v>8708</v>
      </c>
      <c r="AT15" s="314">
        <f>'May-24'!O90</f>
        <v>9225</v>
      </c>
      <c r="AU15" s="314">
        <f>'May-24'!P90</f>
        <v>8820</v>
      </c>
      <c r="AV15" s="314">
        <f>'May-24'!Q90</f>
        <v>6825</v>
      </c>
      <c r="AW15" s="314">
        <f>'May-24'!R90</f>
        <v>0</v>
      </c>
      <c r="AX15" s="314">
        <f>'May-24'!S90</f>
        <v>9102</v>
      </c>
      <c r="AY15" s="314">
        <f>'May-24'!T90</f>
        <v>9038</v>
      </c>
      <c r="AZ15" s="314">
        <f>'May-24'!U90</f>
        <v>9003</v>
      </c>
      <c r="BA15" s="314">
        <f>'May-24'!V90</f>
        <v>8973</v>
      </c>
      <c r="BB15" s="314">
        <f>'May-24'!W90</f>
        <v>9009</v>
      </c>
      <c r="BC15" s="314">
        <f>'May-24'!X90</f>
        <v>9010</v>
      </c>
      <c r="BD15" s="314">
        <f>'May-24'!Y90</f>
        <v>9005</v>
      </c>
      <c r="BE15" s="314">
        <f>'May-24'!Z90</f>
        <v>9002</v>
      </c>
      <c r="BF15" s="314">
        <f>'May-24'!AA90</f>
        <v>9007</v>
      </c>
      <c r="BG15" s="314">
        <f>'May-24'!AB90</f>
        <v>8533</v>
      </c>
      <c r="BH15" s="314">
        <f>'May-24'!AC90</f>
        <v>8890</v>
      </c>
      <c r="BI15" s="314">
        <f>'May-24'!AD90</f>
        <v>9009</v>
      </c>
      <c r="BJ15" s="314">
        <f>'May-24'!AE90</f>
        <v>9122</v>
      </c>
      <c r="BK15" s="314">
        <f>'May-24'!AF90</f>
        <v>9002</v>
      </c>
      <c r="BL15" s="314">
        <f>'May-24'!AG90</f>
        <v>8866</v>
      </c>
      <c r="BM15" s="314">
        <f>'May-24'!AH90</f>
        <v>8734</v>
      </c>
      <c r="BN15" s="314">
        <f>'May-24'!AI90</f>
        <v>9267</v>
      </c>
      <c r="BO15" s="314">
        <f>'May-24'!AK90</f>
        <v>8646.1333333333332</v>
      </c>
      <c r="BP15" s="314">
        <f>'Jun-24'!E73</f>
        <v>9002</v>
      </c>
      <c r="BQ15" s="314">
        <f>'Jun-24'!F73</f>
        <v>9307</v>
      </c>
      <c r="BR15" s="314">
        <f>'Jun-24'!G73</f>
        <v>9171</v>
      </c>
      <c r="BS15" s="314">
        <f>'Jun-24'!H73</f>
        <v>7545</v>
      </c>
      <c r="BT15" s="314">
        <f>'Jun-24'!I73</f>
        <v>0</v>
      </c>
      <c r="BU15" s="314">
        <f>'Jun-24'!J73</f>
        <v>0</v>
      </c>
      <c r="BV15" s="314">
        <f>'Jun-24'!K73</f>
        <v>6137</v>
      </c>
      <c r="BW15" s="314">
        <f>'Jun-24'!L73</f>
        <v>9002</v>
      </c>
      <c r="BX15" s="314">
        <f>'Jun-24'!M73</f>
        <v>9147</v>
      </c>
      <c r="BY15" s="314">
        <f>'Jun-24'!N73</f>
        <v>9213</v>
      </c>
      <c r="BZ15" s="314">
        <f>'Jun-24'!O73</f>
        <v>9205</v>
      </c>
      <c r="CA15" s="314">
        <f>'Jun-24'!P73</f>
        <v>9003</v>
      </c>
      <c r="CB15" s="314">
        <f>'Jun-24'!Q73</f>
        <v>8245</v>
      </c>
      <c r="CC15" s="314">
        <f>'Jun-24'!R73</f>
        <v>9040</v>
      </c>
      <c r="CD15" s="314">
        <f>'Jun-24'!S73</f>
        <v>9001</v>
      </c>
      <c r="CE15" s="314">
        <f>'Jun-24'!T73</f>
        <v>9029</v>
      </c>
      <c r="CF15" s="314">
        <f>'Jun-24'!U73</f>
        <v>8503</v>
      </c>
      <c r="CG15" s="314">
        <f>'Jun-24'!V73</f>
        <v>9170</v>
      </c>
      <c r="CH15" s="314">
        <f>'Jun-24'!W73</f>
        <v>9005</v>
      </c>
      <c r="CI15" s="314">
        <f>'Jun-24'!X73</f>
        <v>9202</v>
      </c>
      <c r="CJ15" s="314">
        <f>'Jun-24'!Y73</f>
        <v>8854</v>
      </c>
      <c r="CK15" s="314">
        <f>'Jun-24'!Z73</f>
        <v>8217</v>
      </c>
      <c r="CL15" s="314">
        <f>'Jun-24'!AA73</f>
        <v>9001</v>
      </c>
      <c r="CM15" s="314">
        <f>'Jun-24'!AB73</f>
        <v>8024</v>
      </c>
      <c r="CN15" s="314">
        <f>'Jun-24'!AC73</f>
        <v>8564</v>
      </c>
      <c r="CO15" s="314">
        <f>'Jun-24'!AD73</f>
        <v>9038</v>
      </c>
      <c r="CP15" s="314">
        <f>'Jun-24'!AE73</f>
        <v>9045</v>
      </c>
      <c r="CQ15" s="314">
        <f>'Jun-24'!AF73</f>
        <v>7700</v>
      </c>
      <c r="CR15" s="314">
        <f>'Jun-24'!AG73</f>
        <v>9011</v>
      </c>
      <c r="CS15" s="314">
        <f>'Jun-24'!AH73</f>
        <v>9118</v>
      </c>
      <c r="CT15" s="314">
        <f>'Jun-24'!AK73</f>
        <v>8732.1071428571431</v>
      </c>
      <c r="CU15" s="314">
        <f>'Jul-24'!E73</f>
        <v>8685</v>
      </c>
      <c r="CV15" s="314">
        <f>'Jul-24'!F73</f>
        <v>9030</v>
      </c>
      <c r="CW15" s="314">
        <f>'Jul-24'!G73</f>
        <v>6990</v>
      </c>
      <c r="CX15" s="314">
        <f>'Jul-24'!H73</f>
        <v>9064</v>
      </c>
      <c r="CY15" s="314">
        <f>'Jul-24'!I73</f>
        <v>9019</v>
      </c>
      <c r="CZ15" s="314">
        <f>'Jul-24'!J73</f>
        <v>9002</v>
      </c>
      <c r="DA15" s="314">
        <f>'Jul-24'!K73</f>
        <v>8509</v>
      </c>
      <c r="DB15" s="314">
        <f>'Jul-24'!L73</f>
        <v>8303</v>
      </c>
      <c r="DC15" s="314">
        <f>'Jul-24'!M73</f>
        <v>8852</v>
      </c>
      <c r="DD15" s="314">
        <f>'Jul-24'!N73</f>
        <v>8280</v>
      </c>
      <c r="DE15" s="314">
        <f>'Jul-24'!O73</f>
        <v>9046</v>
      </c>
      <c r="DF15" s="314">
        <f>'Jul-24'!P73</f>
        <v>9064</v>
      </c>
      <c r="DG15" s="314">
        <f>'Jul-24'!Q73</f>
        <v>8620</v>
      </c>
      <c r="DH15" s="314">
        <f>'Jul-24'!R73</f>
        <v>8428</v>
      </c>
      <c r="DI15" s="314">
        <f>'Jul-24'!S73</f>
        <v>8561</v>
      </c>
      <c r="DJ15" s="314">
        <f>'Jul-24'!T73</f>
        <v>9109</v>
      </c>
      <c r="DK15" s="314">
        <f>'Jul-24'!U73</f>
        <v>9213</v>
      </c>
      <c r="DL15" s="314">
        <f>'Jul-24'!V73</f>
        <v>9225</v>
      </c>
      <c r="DM15" s="314">
        <f>'Jul-24'!W73</f>
        <v>0</v>
      </c>
      <c r="DN15" s="314">
        <f>'Jul-24'!X73</f>
        <v>0</v>
      </c>
      <c r="DO15" s="314">
        <f>'Jul-24'!Y73</f>
        <v>0</v>
      </c>
      <c r="DP15" s="314">
        <f>'Jul-24'!Z73</f>
        <v>0</v>
      </c>
      <c r="DQ15" s="314">
        <f>'Jul-24'!AA73</f>
        <v>0</v>
      </c>
      <c r="DR15" s="314">
        <f>'Jul-24'!AB73</f>
        <v>0</v>
      </c>
      <c r="DS15" s="314">
        <f>'Jul-24'!AC73</f>
        <v>0</v>
      </c>
      <c r="DT15" s="314">
        <f>'Jul-24'!AD73</f>
        <v>0</v>
      </c>
      <c r="DU15" s="314">
        <f>'Jul-24'!AE73</f>
        <v>0</v>
      </c>
      <c r="DV15" s="314">
        <f>'Jul-24'!AF73</f>
        <v>0</v>
      </c>
      <c r="DW15" s="314">
        <f>'Jul-24'!AG73</f>
        <v>0</v>
      </c>
      <c r="DX15" s="314">
        <f>'Jul-24'!AH73</f>
        <v>0</v>
      </c>
      <c r="DY15" s="314">
        <f>'Jul-24'!AI73</f>
        <v>1951</v>
      </c>
      <c r="DZ15" s="314">
        <f>'Jul-24'!AK73</f>
        <v>8365.8421052631584</v>
      </c>
      <c r="EA15" s="314">
        <f>'Aug-24'!E73</f>
        <v>6288</v>
      </c>
      <c r="EB15" s="314">
        <f>'Aug-24'!F73</f>
        <v>8280</v>
      </c>
      <c r="EC15" s="314">
        <f>'Aug-24'!G73</f>
        <v>6807</v>
      </c>
      <c r="ED15" s="314">
        <f>'Aug-24'!H73</f>
        <v>6734</v>
      </c>
      <c r="EE15" s="314">
        <f>'Aug-24'!I73</f>
        <v>7878</v>
      </c>
      <c r="EF15" s="314">
        <f>'Aug-24'!J73</f>
        <v>8658</v>
      </c>
      <c r="EG15" s="314">
        <f>'Aug-24'!K73</f>
        <v>9001</v>
      </c>
      <c r="EH15" s="314">
        <f>'Aug-24'!L73</f>
        <v>8804</v>
      </c>
      <c r="EI15" s="314">
        <f>'Aug-24'!M73</f>
        <v>8658</v>
      </c>
      <c r="EJ15" s="314">
        <f>'Aug-24'!N73</f>
        <v>8517</v>
      </c>
      <c r="EK15" s="314">
        <f>'Aug-24'!O73</f>
        <v>8698</v>
      </c>
      <c r="EL15" s="314">
        <f>'Aug-24'!P73</f>
        <v>8760</v>
      </c>
      <c r="EM15" s="314">
        <f>'Aug-24'!Q73</f>
        <v>8765</v>
      </c>
      <c r="EN15" s="314">
        <f>'Aug-24'!R73</f>
        <v>8561</v>
      </c>
      <c r="EO15" s="314">
        <f>'Aug-24'!S73</f>
        <v>8898</v>
      </c>
      <c r="EP15" s="314">
        <f>'Aug-24'!T73</f>
        <v>8989</v>
      </c>
      <c r="EQ15" s="314">
        <f>'Aug-24'!U73</f>
        <v>8813</v>
      </c>
      <c r="ER15" s="314">
        <f>'Aug-24'!V73</f>
        <v>8886</v>
      </c>
      <c r="ES15" s="314">
        <f>'Aug-24'!W73</f>
        <v>8864</v>
      </c>
      <c r="ET15" s="314">
        <f>'Aug-24'!X73</f>
        <v>8829</v>
      </c>
      <c r="EU15" s="314">
        <f>'Aug-24'!Y73</f>
        <v>8113</v>
      </c>
      <c r="EV15" s="314">
        <f>'Aug-24'!Z73</f>
        <v>4879</v>
      </c>
      <c r="EW15" s="314">
        <f>'Aug-24'!AA73</f>
        <v>7051</v>
      </c>
      <c r="EX15" s="314">
        <f>'Aug-24'!AB73</f>
        <v>8571</v>
      </c>
      <c r="EY15" s="314">
        <f>'Aug-24'!AC73</f>
        <v>8888</v>
      </c>
      <c r="EZ15" s="314">
        <f>'Aug-24'!AD73</f>
        <v>8160</v>
      </c>
      <c r="FA15" s="314">
        <f>'Aug-24'!AE73</f>
        <v>8596</v>
      </c>
      <c r="FB15" s="314">
        <f>'Aug-24'!AF73</f>
        <v>8690</v>
      </c>
      <c r="FC15" s="314">
        <f>'Aug-24'!AG73</f>
        <v>8450</v>
      </c>
      <c r="FD15" s="314">
        <f>'Aug-24'!AH73</f>
        <v>8195</v>
      </c>
      <c r="FE15" s="314">
        <f>'Aug-24'!AI73</f>
        <v>8229</v>
      </c>
      <c r="FF15" s="314">
        <f>'Aug-24'!AK73</f>
        <v>8242.2580645161288</v>
      </c>
      <c r="FG15" s="314">
        <f>'Sep-24'!E73</f>
        <v>8399</v>
      </c>
      <c r="FH15" s="314">
        <f>'Sep-24'!F73</f>
        <v>8401</v>
      </c>
      <c r="FI15" s="314">
        <f>'Sep-24'!G73</f>
        <v>8199</v>
      </c>
      <c r="FJ15" s="314">
        <f>'Sep-24'!H73</f>
        <v>8373</v>
      </c>
      <c r="FK15" s="314">
        <f>'Sep-24'!AJ73</f>
        <v>33372</v>
      </c>
      <c r="FL15" s="134" t="s">
        <v>240</v>
      </c>
    </row>
    <row r="16" spans="1:170" s="131" customFormat="1" ht="22.2" x14ac:dyDescent="0.45">
      <c r="A16" s="157" t="s">
        <v>143</v>
      </c>
      <c r="B16" s="311" t="s">
        <v>144</v>
      </c>
      <c r="C16" s="315">
        <v>726</v>
      </c>
      <c r="D16" s="316">
        <f>'Day Wise 24-25'!M21</f>
        <v>719</v>
      </c>
      <c r="E16" s="317">
        <f>'Apr-24'!E77</f>
        <v>722.5</v>
      </c>
      <c r="F16" s="317">
        <f>'Apr-24'!F77</f>
        <v>731</v>
      </c>
      <c r="G16" s="317">
        <f>'Apr-24'!G77</f>
        <v>721.4</v>
      </c>
      <c r="H16" s="317">
        <f>'Apr-24'!H77</f>
        <v>720.4</v>
      </c>
      <c r="I16" s="317">
        <f>'Apr-24'!I77</f>
        <v>722</v>
      </c>
      <c r="J16" s="317">
        <f>'Apr-24'!J77</f>
        <v>722.4</v>
      </c>
      <c r="K16" s="317">
        <f>'Apr-24'!K77</f>
        <v>721.6</v>
      </c>
      <c r="L16" s="317">
        <f>'Apr-24'!L77</f>
        <v>722.4</v>
      </c>
      <c r="M16" s="317">
        <f>'Apr-24'!M77</f>
        <v>721.5</v>
      </c>
      <c r="N16" s="317">
        <f>'Apr-24'!N77</f>
        <v>721.8</v>
      </c>
      <c r="O16" s="317">
        <f>'Apr-24'!O77</f>
        <v>722</v>
      </c>
      <c r="P16" s="317">
        <f>'Apr-24'!P77</f>
        <v>722</v>
      </c>
      <c r="Q16" s="317">
        <f>'Apr-24'!Q77</f>
        <v>722.4</v>
      </c>
      <c r="R16" s="317">
        <f>'Apr-24'!R77</f>
        <v>722.4</v>
      </c>
      <c r="S16" s="317">
        <f>'Apr-24'!S77</f>
        <v>720</v>
      </c>
      <c r="T16" s="317">
        <f>'Apr-24'!T77</f>
        <v>723.4</v>
      </c>
      <c r="U16" s="317">
        <f>'Apr-24'!U77</f>
        <v>722</v>
      </c>
      <c r="V16" s="317">
        <f>'Apr-24'!V77</f>
        <v>721</v>
      </c>
      <c r="W16" s="317">
        <f>'Apr-24'!W77</f>
        <v>720.5</v>
      </c>
      <c r="X16" s="317">
        <f>'Apr-24'!X77</f>
        <v>735</v>
      </c>
      <c r="Y16" s="317">
        <f>'Apr-24'!Y77</f>
        <v>721</v>
      </c>
      <c r="Z16" s="317">
        <f>'Apr-24'!Z77</f>
        <v>723</v>
      </c>
      <c r="AA16" s="317">
        <f>'Apr-24'!AA77</f>
        <v>720.4</v>
      </c>
      <c r="AB16" s="317">
        <f>'Apr-24'!AB77</f>
        <v>720</v>
      </c>
      <c r="AC16" s="317">
        <f>'Apr-24'!AC77</f>
        <v>720</v>
      </c>
      <c r="AD16" s="317">
        <f>'Apr-24'!AD77</f>
        <v>720</v>
      </c>
      <c r="AE16" s="317">
        <f>'Apr-24'!AE77</f>
        <v>721</v>
      </c>
      <c r="AF16" s="317">
        <f>'Apr-24'!AF77</f>
        <v>735</v>
      </c>
      <c r="AG16" s="317">
        <f>'Apr-24'!AG77</f>
        <v>721</v>
      </c>
      <c r="AH16" s="317">
        <f>'Apr-24'!AH77</f>
        <v>723</v>
      </c>
      <c r="AI16" s="317">
        <f>'Apr-24'!AI77</f>
        <v>722.60963954926149</v>
      </c>
      <c r="AJ16" s="317">
        <f>'May-24'!E77</f>
        <v>730</v>
      </c>
      <c r="AK16" s="317">
        <f>'May-24'!F77</f>
        <v>721</v>
      </c>
      <c r="AL16" s="317">
        <f>'May-24'!G77</f>
        <v>731</v>
      </c>
      <c r="AM16" s="317">
        <f>'May-24'!H77</f>
        <v>730</v>
      </c>
      <c r="AN16" s="317">
        <f>'May-24'!I77</f>
        <v>730</v>
      </c>
      <c r="AO16" s="317">
        <f>'May-24'!J77</f>
        <v>728</v>
      </c>
      <c r="AP16" s="317">
        <f>'May-24'!K77</f>
        <v>726</v>
      </c>
      <c r="AQ16" s="317">
        <f>'May-24'!L77</f>
        <v>721</v>
      </c>
      <c r="AR16" s="317">
        <f>'May-24'!M77</f>
        <v>724</v>
      </c>
      <c r="AS16" s="317">
        <f>'May-24'!N77</f>
        <v>724</v>
      </c>
      <c r="AT16" s="317">
        <f>'May-24'!O77</f>
        <v>724</v>
      </c>
      <c r="AU16" s="317">
        <f>'May-24'!P77</f>
        <v>722</v>
      </c>
      <c r="AV16" s="317">
        <f>'May-24'!Q77</f>
        <v>722</v>
      </c>
      <c r="AW16" s="317">
        <f>'May-24'!R77</f>
        <v>723</v>
      </c>
      <c r="AX16" s="317">
        <f>'May-24'!S77</f>
        <v>724</v>
      </c>
      <c r="AY16" s="317">
        <f>'May-24'!T77</f>
        <v>722</v>
      </c>
      <c r="AZ16" s="317">
        <f>'May-24'!U77</f>
        <v>724</v>
      </c>
      <c r="BA16" s="317">
        <f>'May-24'!V77</f>
        <v>724</v>
      </c>
      <c r="BB16" s="317">
        <f>'May-24'!W77</f>
        <v>724</v>
      </c>
      <c r="BC16" s="317">
        <f>'May-24'!X77</f>
        <v>724</v>
      </c>
      <c r="BD16" s="317">
        <f>'May-24'!Y77</f>
        <v>724</v>
      </c>
      <c r="BE16" s="317">
        <f>'May-24'!Z77</f>
        <v>724</v>
      </c>
      <c r="BF16" s="317">
        <f>'May-24'!AA77</f>
        <v>721</v>
      </c>
      <c r="BG16" s="317">
        <f>'May-24'!AB77</f>
        <v>724</v>
      </c>
      <c r="BH16" s="317">
        <f>'May-24'!AC77</f>
        <v>724</v>
      </c>
      <c r="BI16" s="317">
        <f>'May-24'!AD77</f>
        <v>724</v>
      </c>
      <c r="BJ16" s="317">
        <f>'May-24'!AE77</f>
        <v>722</v>
      </c>
      <c r="BK16" s="317">
        <f>'May-24'!AF77</f>
        <v>740</v>
      </c>
      <c r="BL16" s="317">
        <f>'May-24'!AG77</f>
        <v>721</v>
      </c>
      <c r="BM16" s="317">
        <f>'May-24'!AH77</f>
        <v>720</v>
      </c>
      <c r="BN16" s="317">
        <f>'May-24'!AI77</f>
        <v>724</v>
      </c>
      <c r="BO16" s="317">
        <f>'May-24'!AJ77</f>
        <v>724.58210197033577</v>
      </c>
      <c r="BP16" s="317">
        <f>'Jun-24'!E68</f>
        <v>724</v>
      </c>
      <c r="BQ16" s="317">
        <f>'Jun-24'!F68</f>
        <v>724</v>
      </c>
      <c r="BR16" s="317">
        <f>'Jun-24'!G68</f>
        <v>735</v>
      </c>
      <c r="BS16" s="317">
        <f>'Jun-24'!H68</f>
        <v>724</v>
      </c>
      <c r="BT16" s="317">
        <f>'Jun-24'!I68</f>
        <v>724</v>
      </c>
      <c r="BU16" s="317">
        <f>'Jun-24'!J68</f>
        <v>724</v>
      </c>
      <c r="BV16" s="317">
        <f>'Jun-24'!K68</f>
        <v>723</v>
      </c>
      <c r="BW16" s="317">
        <f>'Jun-24'!L68</f>
        <v>724</v>
      </c>
      <c r="BX16" s="317">
        <f>'Jun-24'!M68</f>
        <v>724</v>
      </c>
      <c r="BY16" s="317">
        <f>'Jun-24'!N68</f>
        <v>724</v>
      </c>
      <c r="BZ16" s="317">
        <f>'Jun-24'!O68</f>
        <v>725</v>
      </c>
      <c r="CA16" s="317">
        <f>'Jun-24'!P68</f>
        <v>725</v>
      </c>
      <c r="CB16" s="317">
        <f>'Jun-24'!Q68</f>
        <v>725</v>
      </c>
      <c r="CC16" s="317">
        <f>'Jun-24'!R68</f>
        <v>724</v>
      </c>
      <c r="CD16" s="317">
        <f>'Jun-24'!S68</f>
        <v>725</v>
      </c>
      <c r="CE16" s="317">
        <f>'Jun-24'!T68</f>
        <v>724</v>
      </c>
      <c r="CF16" s="317">
        <f>'Jun-24'!U68</f>
        <v>725</v>
      </c>
      <c r="CG16" s="317">
        <f>'Jun-24'!V68</f>
        <v>726</v>
      </c>
      <c r="CH16" s="317">
        <f>'Jun-24'!W68</f>
        <v>725</v>
      </c>
      <c r="CI16" s="317">
        <f>'Jun-24'!X68</f>
        <v>725</v>
      </c>
      <c r="CJ16" s="317">
        <f>'Jun-24'!Y68</f>
        <v>726</v>
      </c>
      <c r="CK16" s="317">
        <f>'Jun-24'!Z68</f>
        <v>725</v>
      </c>
      <c r="CL16" s="317">
        <f>'Jun-24'!AA68</f>
        <v>725</v>
      </c>
      <c r="CM16" s="317">
        <f>'Jun-24'!AB68</f>
        <v>725</v>
      </c>
      <c r="CN16" s="317">
        <f>'Jun-24'!AC68</f>
        <v>725</v>
      </c>
      <c r="CO16" s="317">
        <f>'Jun-24'!AD68</f>
        <v>725</v>
      </c>
      <c r="CP16" s="317">
        <f>'Jun-24'!AE68</f>
        <v>725</v>
      </c>
      <c r="CQ16" s="317">
        <f>'Jun-24'!AF68</f>
        <v>725</v>
      </c>
      <c r="CR16" s="317">
        <f>'Jun-24'!AG68</f>
        <v>725</v>
      </c>
      <c r="CS16" s="317">
        <f>'Jun-24'!AH68</f>
        <v>725</v>
      </c>
      <c r="CT16" s="317">
        <f>'Jun-24'!AJ68</f>
        <v>724.9680164209741</v>
      </c>
      <c r="CU16" s="317">
        <f>'Jul-24'!E68</f>
        <v>725</v>
      </c>
      <c r="CV16" s="317">
        <f>'Jul-24'!F68</f>
        <v>723</v>
      </c>
      <c r="CW16" s="317">
        <f>'Jul-24'!G68</f>
        <v>724</v>
      </c>
      <c r="CX16" s="317">
        <f>'Jul-24'!H68</f>
        <v>723</v>
      </c>
      <c r="CY16" s="317">
        <f>'Jul-24'!I68</f>
        <v>724</v>
      </c>
      <c r="CZ16" s="317">
        <f>'Jul-24'!J68</f>
        <v>725</v>
      </c>
      <c r="DA16" s="317">
        <f>'Jul-24'!K68</f>
        <v>723</v>
      </c>
      <c r="DB16" s="317">
        <f>'Jul-24'!L68</f>
        <v>726</v>
      </c>
      <c r="DC16" s="317">
        <f>'Jul-24'!M68</f>
        <v>724</v>
      </c>
      <c r="DD16" s="317">
        <f>'Jul-24'!N68</f>
        <v>0</v>
      </c>
      <c r="DE16" s="317">
        <f>'Jul-24'!O68</f>
        <v>0</v>
      </c>
      <c r="DF16" s="317">
        <f>'Jul-24'!P68</f>
        <v>0</v>
      </c>
      <c r="DG16" s="317">
        <f>'Jul-24'!Q68</f>
        <v>801</v>
      </c>
      <c r="DH16" s="317">
        <f>'Jul-24'!R68</f>
        <v>760</v>
      </c>
      <c r="DI16" s="317">
        <f>'Jul-24'!S68</f>
        <v>725</v>
      </c>
      <c r="DJ16" s="317">
        <f>'Jul-24'!T68</f>
        <v>724</v>
      </c>
      <c r="DK16" s="317">
        <f>'Jul-24'!U68</f>
        <v>726</v>
      </c>
      <c r="DL16" s="317">
        <f>'Jul-24'!V68</f>
        <v>724</v>
      </c>
      <c r="DM16" s="317">
        <f>'Jul-24'!W68</f>
        <v>726</v>
      </c>
      <c r="DN16" s="317">
        <f>'Jul-24'!X68</f>
        <v>724</v>
      </c>
      <c r="DO16" s="317">
        <f>'Jul-24'!Y68</f>
        <v>723</v>
      </c>
      <c r="DP16" s="317">
        <f>'Jul-24'!Z68</f>
        <v>723</v>
      </c>
      <c r="DQ16" s="317">
        <f>'Jul-24'!AA68</f>
        <v>723</v>
      </c>
      <c r="DR16" s="317">
        <f>'Jul-24'!AB68</f>
        <v>723</v>
      </c>
      <c r="DS16" s="317">
        <f>'Jul-24'!AC68</f>
        <v>723</v>
      </c>
      <c r="DT16" s="317">
        <f>'Jul-24'!AD68</f>
        <v>723</v>
      </c>
      <c r="DU16" s="317">
        <f>'Jul-24'!AE68</f>
        <v>730</v>
      </c>
      <c r="DV16" s="317">
        <f>'Jul-24'!AF68</f>
        <v>0</v>
      </c>
      <c r="DW16" s="317">
        <f>'Jul-24'!AG68</f>
        <v>0</v>
      </c>
      <c r="DX16" s="317">
        <f>'Jul-24'!AH68</f>
        <v>0</v>
      </c>
      <c r="DY16" s="317">
        <f>'Jul-24'!AI68</f>
        <v>850</v>
      </c>
      <c r="DZ16" s="317">
        <f>'Jul-24'!AJ68</f>
        <v>729.53478277257079</v>
      </c>
      <c r="EA16" s="317">
        <f>'Aug-24'!E68</f>
        <v>0</v>
      </c>
      <c r="EB16" s="317">
        <f>'Aug-24'!F68</f>
        <v>0</v>
      </c>
      <c r="EC16" s="317">
        <f>'Aug-24'!G68</f>
        <v>909</v>
      </c>
      <c r="ED16" s="317">
        <f>'Aug-24'!H68</f>
        <v>739</v>
      </c>
      <c r="EE16" s="317">
        <f>'Aug-24'!I68</f>
        <v>726</v>
      </c>
      <c r="EF16" s="317">
        <f>'Aug-24'!J68</f>
        <v>725</v>
      </c>
      <c r="EG16" s="317">
        <f>'Aug-24'!K68</f>
        <v>726</v>
      </c>
      <c r="EH16" s="317">
        <f>'Aug-24'!L68</f>
        <v>726</v>
      </c>
      <c r="EI16" s="317">
        <f>'Aug-24'!M68</f>
        <v>723</v>
      </c>
      <c r="EJ16" s="317">
        <f>'Aug-24'!N68</f>
        <v>724</v>
      </c>
      <c r="EK16" s="317">
        <f>'Aug-24'!O68</f>
        <v>722</v>
      </c>
      <c r="EL16" s="317">
        <f>'Aug-24'!P68</f>
        <v>725</v>
      </c>
      <c r="EM16" s="317">
        <f>'Aug-24'!Q68</f>
        <v>725</v>
      </c>
      <c r="EN16" s="317">
        <f>'Aug-24'!R68</f>
        <v>726</v>
      </c>
      <c r="EO16" s="317">
        <f>'Aug-24'!S68</f>
        <v>726</v>
      </c>
      <c r="EP16" s="317">
        <f>'Aug-24'!T68</f>
        <v>727</v>
      </c>
      <c r="EQ16" s="317">
        <f>'Aug-24'!U68</f>
        <v>0</v>
      </c>
      <c r="ER16" s="317">
        <f>'Aug-24'!V68</f>
        <v>0</v>
      </c>
      <c r="ES16" s="317">
        <f>'Aug-24'!W68</f>
        <v>0</v>
      </c>
      <c r="ET16" s="317">
        <f>'Aug-24'!X68</f>
        <v>0</v>
      </c>
      <c r="EU16" s="317">
        <f>'Aug-24'!Y68</f>
        <v>0</v>
      </c>
      <c r="EV16" s="317">
        <f>'Aug-24'!Z68</f>
        <v>0</v>
      </c>
      <c r="EW16" s="317">
        <f>'Aug-24'!AA68</f>
        <v>0</v>
      </c>
      <c r="EX16" s="317">
        <f>'Aug-24'!AB68</f>
        <v>0</v>
      </c>
      <c r="EY16" s="317">
        <f>'Aug-24'!AC68</f>
        <v>0</v>
      </c>
      <c r="EZ16" s="317">
        <f>'Aug-24'!AD68</f>
        <v>0</v>
      </c>
      <c r="FA16" s="317">
        <f>'Aug-24'!AE68</f>
        <v>0</v>
      </c>
      <c r="FB16" s="317">
        <f>'Aug-24'!AF68</f>
        <v>0</v>
      </c>
      <c r="FC16" s="317">
        <f>'Aug-24'!AG68</f>
        <v>0</v>
      </c>
      <c r="FD16" s="317">
        <f>'Aug-24'!AH68</f>
        <v>0</v>
      </c>
      <c r="FE16" s="317">
        <f>'Aug-24'!AI68</f>
        <v>0</v>
      </c>
      <c r="FF16" s="317">
        <f>'Aug-24'!AJ68</f>
        <v>732.28741444097886</v>
      </c>
      <c r="FG16" s="317">
        <f>'Sep-24'!E68</f>
        <v>0</v>
      </c>
      <c r="FH16" s="317">
        <f>'Sep-24'!F68</f>
        <v>0</v>
      </c>
      <c r="FI16" s="317">
        <f>'Sep-24'!G68</f>
        <v>0</v>
      </c>
      <c r="FJ16" s="317">
        <f>'Sep-24'!H68</f>
        <v>0</v>
      </c>
      <c r="FK16" s="317" t="str">
        <f>'Sep-24'!AJ68</f>
        <v>0</v>
      </c>
      <c r="FL16" s="134" t="s">
        <v>239</v>
      </c>
      <c r="FN16" s="133"/>
    </row>
    <row r="17" spans="1:168" s="131" customFormat="1" ht="22.2" x14ac:dyDescent="0.45">
      <c r="A17" s="157" t="s">
        <v>145</v>
      </c>
      <c r="B17" s="311" t="s">
        <v>144</v>
      </c>
      <c r="C17" s="315">
        <v>727.52693957948429</v>
      </c>
      <c r="D17" s="316">
        <f>'Day Wise 24-25'!M22</f>
        <v>735</v>
      </c>
      <c r="E17" s="317">
        <f>'Apr-24'!E78</f>
        <v>735</v>
      </c>
      <c r="F17" s="317">
        <f>'Apr-24'!F78</f>
        <v>739.4</v>
      </c>
      <c r="G17" s="317">
        <f>'Apr-24'!G78</f>
        <v>738</v>
      </c>
      <c r="H17" s="317">
        <f>'Apr-24'!H78</f>
        <v>722</v>
      </c>
      <c r="I17" s="317">
        <f>'Apr-24'!I78</f>
        <v>733</v>
      </c>
      <c r="J17" s="317">
        <f>'Apr-24'!J78</f>
        <v>737</v>
      </c>
      <c r="K17" s="317">
        <f>'Apr-24'!K78</f>
        <v>728</v>
      </c>
      <c r="L17" s="317">
        <f>'Apr-24'!L78</f>
        <v>738</v>
      </c>
      <c r="M17" s="317">
        <f>'Apr-24'!M78</f>
        <v>738</v>
      </c>
      <c r="N17" s="317">
        <f>'Apr-24'!N78</f>
        <v>739.4</v>
      </c>
      <c r="O17" s="317">
        <f>'Apr-24'!O78</f>
        <v>739</v>
      </c>
      <c r="P17" s="317">
        <f>'Apr-24'!P78</f>
        <v>739.6</v>
      </c>
      <c r="Q17" s="317">
        <f>'Apr-24'!Q78</f>
        <v>738</v>
      </c>
      <c r="R17" s="317">
        <f>'Apr-24'!R78</f>
        <v>741</v>
      </c>
      <c r="S17" s="317">
        <f>'Apr-24'!S78</f>
        <v>741</v>
      </c>
      <c r="T17" s="317">
        <f>'Apr-24'!T78</f>
        <v>737.5</v>
      </c>
      <c r="U17" s="317">
        <f>'Apr-24'!U78</f>
        <v>737.5</v>
      </c>
      <c r="V17" s="317">
        <f>'Apr-24'!V78</f>
        <v>737</v>
      </c>
      <c r="W17" s="317">
        <f>'Apr-24'!W78</f>
        <v>0</v>
      </c>
      <c r="X17" s="317">
        <f>'Apr-24'!X78</f>
        <v>742</v>
      </c>
      <c r="Y17" s="317">
        <f>'Apr-24'!Y78</f>
        <v>740.5</v>
      </c>
      <c r="Z17" s="317">
        <f>'Apr-24'!Z78</f>
        <v>740.4</v>
      </c>
      <c r="AA17" s="317">
        <f>'Apr-24'!AA78</f>
        <v>743</v>
      </c>
      <c r="AB17" s="317">
        <f>'Apr-24'!AB78</f>
        <v>741</v>
      </c>
      <c r="AC17" s="317">
        <f>'Apr-24'!AC78</f>
        <v>735</v>
      </c>
      <c r="AD17" s="317">
        <f>'Apr-24'!AD78</f>
        <v>741</v>
      </c>
      <c r="AE17" s="317">
        <f>'Apr-24'!AE78</f>
        <v>743</v>
      </c>
      <c r="AF17" s="317">
        <f>'Apr-24'!AF78</f>
        <v>742</v>
      </c>
      <c r="AG17" s="317">
        <f>'Apr-24'!AG78</f>
        <v>738</v>
      </c>
      <c r="AH17" s="317">
        <f>'Apr-24'!AH78</f>
        <v>738</v>
      </c>
      <c r="AI17" s="317">
        <f>'Apr-24'!AI78</f>
        <v>737.94454051761716</v>
      </c>
      <c r="AJ17" s="317">
        <f>'May-24'!E78</f>
        <v>738</v>
      </c>
      <c r="AK17" s="317">
        <f>'May-24'!F78</f>
        <v>740</v>
      </c>
      <c r="AL17" s="317">
        <f>'May-24'!G78</f>
        <v>747</v>
      </c>
      <c r="AM17" s="317">
        <f>'May-24'!H78</f>
        <v>746</v>
      </c>
      <c r="AN17" s="317">
        <f>'May-24'!I78</f>
        <v>752</v>
      </c>
      <c r="AO17" s="317">
        <f>'May-24'!J78</f>
        <v>749</v>
      </c>
      <c r="AP17" s="317">
        <f>'May-24'!K78</f>
        <v>745</v>
      </c>
      <c r="AQ17" s="317">
        <f>'May-24'!L78</f>
        <v>742</v>
      </c>
      <c r="AR17" s="317">
        <f>'May-24'!M78</f>
        <v>742</v>
      </c>
      <c r="AS17" s="317">
        <f>'May-24'!N78</f>
        <v>742</v>
      </c>
      <c r="AT17" s="317">
        <f>'May-24'!O78</f>
        <v>745</v>
      </c>
      <c r="AU17" s="317">
        <f>'May-24'!P78</f>
        <v>746</v>
      </c>
      <c r="AV17" s="317">
        <f>'May-24'!Q78</f>
        <v>742</v>
      </c>
      <c r="AW17" s="317">
        <f>'May-24'!R78</f>
        <v>0</v>
      </c>
      <c r="AX17" s="317">
        <f>'May-24'!S78</f>
        <v>761</v>
      </c>
      <c r="AY17" s="317">
        <f>'May-24'!T78</f>
        <v>742</v>
      </c>
      <c r="AZ17" s="317">
        <f>'May-24'!U78</f>
        <v>740</v>
      </c>
      <c r="BA17" s="317">
        <f>'May-24'!V78</f>
        <v>738</v>
      </c>
      <c r="BB17" s="317">
        <f>'May-24'!W78</f>
        <v>741</v>
      </c>
      <c r="BC17" s="317">
        <f>'May-24'!X78</f>
        <v>739</v>
      </c>
      <c r="BD17" s="317">
        <f>'May-24'!Y78</f>
        <v>739</v>
      </c>
      <c r="BE17" s="317">
        <f>'May-24'!Z78</f>
        <v>740</v>
      </c>
      <c r="BF17" s="317">
        <f>'May-24'!AA78</f>
        <v>739</v>
      </c>
      <c r="BG17" s="317">
        <f>'May-24'!AB78</f>
        <v>736</v>
      </c>
      <c r="BH17" s="317">
        <f>'May-24'!AC78</f>
        <v>737</v>
      </c>
      <c r="BI17" s="317">
        <f>'May-24'!AD78</f>
        <v>735</v>
      </c>
      <c r="BJ17" s="317">
        <f>'May-24'!AE78</f>
        <v>735</v>
      </c>
      <c r="BK17" s="317">
        <f>'May-24'!AF78</f>
        <v>739</v>
      </c>
      <c r="BL17" s="317">
        <f>'May-24'!AG78</f>
        <v>737</v>
      </c>
      <c r="BM17" s="317">
        <f>'May-24'!AH78</f>
        <v>730</v>
      </c>
      <c r="BN17" s="317">
        <f>'May-24'!AI78</f>
        <v>725</v>
      </c>
      <c r="BO17" s="317">
        <f>'May-24'!AJ78</f>
        <v>740.75648844955742</v>
      </c>
      <c r="BP17" s="317">
        <f>'Jun-24'!E69</f>
        <v>725</v>
      </c>
      <c r="BQ17" s="317">
        <f>'Jun-24'!F69</f>
        <v>725</v>
      </c>
      <c r="BR17" s="317">
        <f>'Jun-24'!G69</f>
        <v>730</v>
      </c>
      <c r="BS17" s="317">
        <f>'Jun-24'!H69</f>
        <v>740</v>
      </c>
      <c r="BT17" s="317">
        <f>'Jun-24'!I69</f>
        <v>0</v>
      </c>
      <c r="BU17" s="317">
        <f>'Jun-24'!J69</f>
        <v>0</v>
      </c>
      <c r="BV17" s="317">
        <f>'Jun-24'!K69</f>
        <v>765</v>
      </c>
      <c r="BW17" s="317">
        <f>'Jun-24'!L69</f>
        <v>741</v>
      </c>
      <c r="BX17" s="317">
        <f>'Jun-24'!M69</f>
        <v>743</v>
      </c>
      <c r="BY17" s="317">
        <f>'Jun-24'!N69</f>
        <v>736</v>
      </c>
      <c r="BZ17" s="317">
        <f>'Jun-24'!O69</f>
        <v>723</v>
      </c>
      <c r="CA17" s="317">
        <f>'Jun-24'!P69</f>
        <v>732</v>
      </c>
      <c r="CB17" s="317">
        <f>'Jun-24'!Q69</f>
        <v>735</v>
      </c>
      <c r="CC17" s="317">
        <f>'Jun-24'!R69</f>
        <v>725</v>
      </c>
      <c r="CD17" s="317">
        <f>'Jun-24'!S69</f>
        <v>740</v>
      </c>
      <c r="CE17" s="317">
        <f>'Jun-24'!T69</f>
        <v>737</v>
      </c>
      <c r="CF17" s="317">
        <f>'Jun-24'!U69</f>
        <v>747</v>
      </c>
      <c r="CG17" s="317">
        <f>'Jun-24'!V69</f>
        <v>736</v>
      </c>
      <c r="CH17" s="317">
        <f>'Jun-24'!W69</f>
        <v>741</v>
      </c>
      <c r="CI17" s="317">
        <f>'Jun-24'!X69</f>
        <v>738</v>
      </c>
      <c r="CJ17" s="317">
        <f>'Jun-24'!Y69</f>
        <v>738</v>
      </c>
      <c r="CK17" s="317">
        <f>'Jun-24'!Z69</f>
        <v>735</v>
      </c>
      <c r="CL17" s="317">
        <f>'Jun-24'!AA69</f>
        <v>735</v>
      </c>
      <c r="CM17" s="317">
        <f>'Jun-24'!AB69</f>
        <v>731</v>
      </c>
      <c r="CN17" s="317">
        <f>'Jun-24'!AC69</f>
        <v>728</v>
      </c>
      <c r="CO17" s="317">
        <f>'Jun-24'!AD69</f>
        <v>724</v>
      </c>
      <c r="CP17" s="317">
        <f>'Jun-24'!AE69</f>
        <v>726</v>
      </c>
      <c r="CQ17" s="317">
        <f>'Jun-24'!AF69</f>
        <v>730</v>
      </c>
      <c r="CR17" s="317">
        <f>'Jun-24'!AG69</f>
        <v>730</v>
      </c>
      <c r="CS17" s="317">
        <f>'Jun-24'!AH69</f>
        <v>732</v>
      </c>
      <c r="CT17" s="317">
        <f>'Jun-24'!AJ69</f>
        <v>734.18246291395872</v>
      </c>
      <c r="CU17" s="317">
        <f>'Jul-24'!E69</f>
        <v>734</v>
      </c>
      <c r="CV17" s="317">
        <f>'Jul-24'!F69</f>
        <v>730</v>
      </c>
      <c r="CW17" s="317">
        <f>'Jul-24'!G69</f>
        <v>745</v>
      </c>
      <c r="CX17" s="317">
        <f>'Jul-24'!H69</f>
        <v>735</v>
      </c>
      <c r="CY17" s="317">
        <f>'Jul-24'!I69</f>
        <v>737</v>
      </c>
      <c r="CZ17" s="317">
        <f>'Jul-24'!J69</f>
        <v>738</v>
      </c>
      <c r="DA17" s="317">
        <f>'Jul-24'!K69</f>
        <v>735</v>
      </c>
      <c r="DB17" s="317">
        <f>'Jul-24'!L69</f>
        <v>734</v>
      </c>
      <c r="DC17" s="317">
        <f>'Jul-24'!M69</f>
        <v>735</v>
      </c>
      <c r="DD17" s="317">
        <f>'Jul-24'!N69</f>
        <v>735</v>
      </c>
      <c r="DE17" s="317">
        <f>'Jul-24'!O69</f>
        <v>725</v>
      </c>
      <c r="DF17" s="317">
        <f>'Jul-24'!P69</f>
        <v>726</v>
      </c>
      <c r="DG17" s="317">
        <f>'Jul-24'!Q69</f>
        <v>725</v>
      </c>
      <c r="DH17" s="317">
        <f>'Jul-24'!R69</f>
        <v>724</v>
      </c>
      <c r="DI17" s="317">
        <f>'Jul-24'!S69</f>
        <v>739</v>
      </c>
      <c r="DJ17" s="317">
        <f>'Jul-24'!T69</f>
        <v>738</v>
      </c>
      <c r="DK17" s="317">
        <f>'Jul-24'!U69</f>
        <v>742</v>
      </c>
      <c r="DL17" s="317">
        <f>'Jul-24'!V69</f>
        <v>727</v>
      </c>
      <c r="DM17" s="317">
        <f>'Jul-24'!W69</f>
        <v>0</v>
      </c>
      <c r="DN17" s="317">
        <f>'Jul-24'!X69</f>
        <v>0</v>
      </c>
      <c r="DO17" s="317">
        <f>'Jul-24'!Y69</f>
        <v>0</v>
      </c>
      <c r="DP17" s="317">
        <f>'Jul-24'!Z69</f>
        <v>0</v>
      </c>
      <c r="DQ17" s="317">
        <f>'Jul-24'!AA69</f>
        <v>0</v>
      </c>
      <c r="DR17" s="317">
        <f>'Jul-24'!AB69</f>
        <v>0</v>
      </c>
      <c r="DS17" s="317">
        <f>'Jul-24'!AC69</f>
        <v>0</v>
      </c>
      <c r="DT17" s="317">
        <f>'Jul-24'!AD69</f>
        <v>0</v>
      </c>
      <c r="DU17" s="317">
        <f>'Jul-24'!AE69</f>
        <v>0</v>
      </c>
      <c r="DV17" s="317">
        <f>'Jul-24'!AF69</f>
        <v>0</v>
      </c>
      <c r="DW17" s="317">
        <f>'Jul-24'!AG69</f>
        <v>0</v>
      </c>
      <c r="DX17" s="317">
        <f>'Jul-24'!AH69</f>
        <v>0</v>
      </c>
      <c r="DY17" s="317">
        <f>'Jul-24'!AI69</f>
        <v>875</v>
      </c>
      <c r="DZ17" s="317">
        <f>'Jul-24'!AJ69</f>
        <v>735.17152455788266</v>
      </c>
      <c r="EA17" s="317">
        <f>'Aug-24'!E69</f>
        <v>852</v>
      </c>
      <c r="EB17" s="317">
        <f>'Aug-24'!F69</f>
        <v>741</v>
      </c>
      <c r="EC17" s="317">
        <f>'Aug-24'!G69</f>
        <v>752</v>
      </c>
      <c r="ED17" s="317">
        <f>'Aug-24'!H69</f>
        <v>755</v>
      </c>
      <c r="EE17" s="317">
        <f>'Aug-24'!I69</f>
        <v>756</v>
      </c>
      <c r="EF17" s="317">
        <f>'Aug-24'!J69</f>
        <v>741</v>
      </c>
      <c r="EG17" s="317">
        <f>'Aug-24'!K69</f>
        <v>740</v>
      </c>
      <c r="EH17" s="317">
        <f>'Aug-24'!L69</f>
        <v>736</v>
      </c>
      <c r="EI17" s="317">
        <f>'Aug-24'!M69</f>
        <v>734</v>
      </c>
      <c r="EJ17" s="317">
        <f>'Aug-24'!N69</f>
        <v>734</v>
      </c>
      <c r="EK17" s="317">
        <f>'Aug-24'!O69</f>
        <v>736</v>
      </c>
      <c r="EL17" s="317">
        <f>'Aug-24'!P69</f>
        <v>734</v>
      </c>
      <c r="EM17" s="317">
        <f>'Aug-24'!Q69</f>
        <v>738</v>
      </c>
      <c r="EN17" s="317">
        <f>'Aug-24'!R69</f>
        <v>739</v>
      </c>
      <c r="EO17" s="317">
        <f>'Aug-24'!S69</f>
        <v>738</v>
      </c>
      <c r="EP17" s="317">
        <f>'Aug-24'!T69</f>
        <v>739</v>
      </c>
      <c r="EQ17" s="317">
        <f>'Aug-24'!U69</f>
        <v>739</v>
      </c>
      <c r="ER17" s="317">
        <f>'Aug-24'!V69</f>
        <v>739</v>
      </c>
      <c r="ES17" s="317">
        <f>'Aug-24'!W69</f>
        <v>738</v>
      </c>
      <c r="ET17" s="317">
        <f>'Aug-24'!X69</f>
        <v>736</v>
      </c>
      <c r="EU17" s="317">
        <f>'Aug-24'!Y69</f>
        <v>750</v>
      </c>
      <c r="EV17" s="317">
        <f>'Aug-24'!Z69</f>
        <v>760</v>
      </c>
      <c r="EW17" s="317">
        <f>'Aug-24'!AA69</f>
        <v>739</v>
      </c>
      <c r="EX17" s="317">
        <f>'Aug-24'!AB69</f>
        <v>739</v>
      </c>
      <c r="EY17" s="317">
        <f>'Aug-24'!AC69</f>
        <v>752</v>
      </c>
      <c r="EZ17" s="317">
        <f>'Aug-24'!AD69</f>
        <v>736</v>
      </c>
      <c r="FA17" s="317">
        <f>'Aug-24'!AE69</f>
        <v>736</v>
      </c>
      <c r="FB17" s="317">
        <f>'Aug-24'!AF69</f>
        <v>737</v>
      </c>
      <c r="FC17" s="317">
        <f>'Aug-24'!AG69</f>
        <v>736</v>
      </c>
      <c r="FD17" s="317">
        <f>'Aug-24'!AH69</f>
        <v>739</v>
      </c>
      <c r="FE17" s="317">
        <f>'Aug-24'!AI69</f>
        <v>739</v>
      </c>
      <c r="FF17" s="317">
        <f>'Aug-24'!AJ69</f>
        <v>743.15887832178782</v>
      </c>
      <c r="FG17" s="317">
        <f>'Sep-24'!E69</f>
        <v>739</v>
      </c>
      <c r="FH17" s="317">
        <f>'Sep-24'!F69</f>
        <v>739</v>
      </c>
      <c r="FI17" s="317">
        <f>'Sep-24'!G69</f>
        <v>736</v>
      </c>
      <c r="FJ17" s="317">
        <f>'Sep-24'!H69</f>
        <v>737</v>
      </c>
      <c r="FK17" s="317">
        <f>'Sep-24'!AJ69</f>
        <v>737.7611470693995</v>
      </c>
      <c r="FL17" s="134" t="s">
        <v>240</v>
      </c>
    </row>
    <row r="18" spans="1:168" s="131" customFormat="1" ht="22.2" x14ac:dyDescent="0.45">
      <c r="A18" s="157" t="s">
        <v>108</v>
      </c>
      <c r="B18" s="311" t="s">
        <v>146</v>
      </c>
      <c r="C18" s="318">
        <v>9.7000000000000003E-2</v>
      </c>
      <c r="D18" s="319">
        <f>'Day Wise 24-25'!M34</f>
        <v>0.46</v>
      </c>
      <c r="E18" s="304">
        <f>'Apr-24'!E126</f>
        <v>0.03</v>
      </c>
      <c r="F18" s="304">
        <f>'Apr-24'!F126</f>
        <v>0</v>
      </c>
      <c r="G18" s="304">
        <f>'Apr-24'!G126</f>
        <v>0</v>
      </c>
      <c r="H18" s="304">
        <f>'Apr-24'!H126</f>
        <v>0.01</v>
      </c>
      <c r="I18" s="304">
        <f>'Apr-24'!I126</f>
        <v>0.01</v>
      </c>
      <c r="J18" s="304">
        <f>'Apr-24'!J126</f>
        <v>0</v>
      </c>
      <c r="K18" s="304">
        <f>'Apr-24'!K126</f>
        <v>0</v>
      </c>
      <c r="L18" s="304">
        <f>'Apr-24'!L126</f>
        <v>0</v>
      </c>
      <c r="M18" s="304">
        <f>'Apr-24'!M126</f>
        <v>0.01</v>
      </c>
      <c r="N18" s="304">
        <f>'Apr-24'!N126</f>
        <v>0</v>
      </c>
      <c r="O18" s="304">
        <f>'Apr-24'!O126</f>
        <v>0.01</v>
      </c>
      <c r="P18" s="304">
        <f>'Apr-24'!P126</f>
        <v>0</v>
      </c>
      <c r="Q18" s="304">
        <f>'Apr-24'!Q126</f>
        <v>0</v>
      </c>
      <c r="R18" s="304">
        <f>'Apr-24'!R126</f>
        <v>0</v>
      </c>
      <c r="S18" s="304">
        <f>'Apr-24'!S126</f>
        <v>0</v>
      </c>
      <c r="T18" s="304">
        <f>'Apr-24'!T126</f>
        <v>0</v>
      </c>
      <c r="U18" s="304">
        <f>'Apr-24'!U126</f>
        <v>0</v>
      </c>
      <c r="V18" s="304">
        <f>'Apr-24'!V126</f>
        <v>0</v>
      </c>
      <c r="W18" s="304">
        <f>'Apr-24'!W126</f>
        <v>0.03</v>
      </c>
      <c r="X18" s="304">
        <f>'Apr-24'!X126</f>
        <v>0.04</v>
      </c>
      <c r="Y18" s="304">
        <f>'Apr-24'!Y126</f>
        <v>0.05</v>
      </c>
      <c r="Z18" s="304">
        <f>'Apr-24'!Z126</f>
        <v>0</v>
      </c>
      <c r="AA18" s="304">
        <f>'Apr-24'!AA126</f>
        <v>0</v>
      </c>
      <c r="AB18" s="304">
        <f>'Apr-24'!AB126</f>
        <v>0</v>
      </c>
      <c r="AC18" s="304">
        <f>'Apr-24'!AC126</f>
        <v>0</v>
      </c>
      <c r="AD18" s="304">
        <f>'Apr-24'!AD126</f>
        <v>0</v>
      </c>
      <c r="AE18" s="304">
        <f>'Apr-24'!AE126</f>
        <v>0</v>
      </c>
      <c r="AF18" s="304">
        <f>'Apr-24'!AF126</f>
        <v>0.23</v>
      </c>
      <c r="AG18" s="304">
        <f>'Apr-24'!AG126</f>
        <v>0.04</v>
      </c>
      <c r="AH18" s="304">
        <f>'Apr-24'!AH126</f>
        <v>0.04</v>
      </c>
      <c r="AI18" s="304">
        <f>'Apr-24'!AI126</f>
        <v>1.6370314487039562E-2</v>
      </c>
      <c r="AJ18" s="304">
        <f>'May-24'!E126</f>
        <v>0</v>
      </c>
      <c r="AK18" s="304">
        <f>'May-24'!F126</f>
        <v>0.01</v>
      </c>
      <c r="AL18" s="304">
        <f>'May-24'!G126</f>
        <v>0</v>
      </c>
      <c r="AM18" s="304">
        <f>'May-24'!H126</f>
        <v>0</v>
      </c>
      <c r="AN18" s="304">
        <f>'May-24'!I126</f>
        <v>0.06</v>
      </c>
      <c r="AO18" s="304">
        <f>'May-24'!J126</f>
        <v>0</v>
      </c>
      <c r="AP18" s="304">
        <f>'May-24'!K126</f>
        <v>0.01</v>
      </c>
      <c r="AQ18" s="304">
        <f>'May-24'!L126</f>
        <v>0.03</v>
      </c>
      <c r="AR18" s="304">
        <f>'May-24'!M126</f>
        <v>0.04</v>
      </c>
      <c r="AS18" s="304">
        <f>'May-24'!N126</f>
        <v>0</v>
      </c>
      <c r="AT18" s="304">
        <f>'May-24'!O126</f>
        <v>0.02</v>
      </c>
      <c r="AU18" s="304">
        <f>'May-24'!P126</f>
        <v>0.02</v>
      </c>
      <c r="AV18" s="304">
        <f>'May-24'!Q126</f>
        <v>0.03</v>
      </c>
      <c r="AW18" s="304">
        <f>'May-24'!R126</f>
        <v>0.03</v>
      </c>
      <c r="AX18" s="304">
        <f>'May-24'!S126</f>
        <v>0.05</v>
      </c>
      <c r="AY18" s="304">
        <f>'May-24'!T126</f>
        <v>0.03</v>
      </c>
      <c r="AZ18" s="304">
        <f>'May-24'!U126</f>
        <v>0.04</v>
      </c>
      <c r="BA18" s="304">
        <f>'May-24'!V126</f>
        <v>0.02</v>
      </c>
      <c r="BB18" s="304">
        <f>'May-24'!W126</f>
        <v>0</v>
      </c>
      <c r="BC18" s="304">
        <f>'May-24'!X126</f>
        <v>0</v>
      </c>
      <c r="BD18" s="304">
        <f>'May-24'!Y126</f>
        <v>0</v>
      </c>
      <c r="BE18" s="304">
        <f>'May-24'!Z126</f>
        <v>0.01</v>
      </c>
      <c r="BF18" s="304">
        <f>'May-24'!AA126</f>
        <v>0</v>
      </c>
      <c r="BG18" s="304">
        <f>'May-24'!AB126</f>
        <v>0</v>
      </c>
      <c r="BH18" s="304">
        <f>'May-24'!AC126</f>
        <v>0</v>
      </c>
      <c r="BI18" s="304">
        <f>'May-24'!AD126</f>
        <v>0</v>
      </c>
      <c r="BJ18" s="304">
        <f>'May-24'!AE126</f>
        <v>0</v>
      </c>
      <c r="BK18" s="304">
        <f>'May-24'!AF126</f>
        <v>0.03</v>
      </c>
      <c r="BL18" s="304">
        <f>'May-24'!AG126</f>
        <v>0.03</v>
      </c>
      <c r="BM18" s="304">
        <f>'May-24'!AH126</f>
        <v>0.02</v>
      </c>
      <c r="BN18" s="304">
        <f>'May-24'!AI126</f>
        <v>0.03</v>
      </c>
      <c r="BO18" s="304">
        <f>'May-24'!AJ126</f>
        <v>1.5859566951021947E-2</v>
      </c>
      <c r="BP18" s="304">
        <f>'Jun-24'!E109</f>
        <v>0.03</v>
      </c>
      <c r="BQ18" s="304">
        <f>'Jun-24'!F109</f>
        <v>0</v>
      </c>
      <c r="BR18" s="304">
        <f>'Jun-24'!G109</f>
        <v>0.13</v>
      </c>
      <c r="BS18" s="304">
        <f>'Jun-24'!H109</f>
        <v>0.08</v>
      </c>
      <c r="BT18" s="304">
        <f>'Jun-24'!I109</f>
        <v>0.05</v>
      </c>
      <c r="BU18" s="304">
        <f>'Jun-24'!J109</f>
        <v>0</v>
      </c>
      <c r="BV18" s="304">
        <f>'Jun-24'!K109</f>
        <v>0.01</v>
      </c>
      <c r="BW18" s="304">
        <f>'Jun-24'!L109</f>
        <v>0</v>
      </c>
      <c r="BX18" s="304">
        <f>'Jun-24'!M109</f>
        <v>0.16</v>
      </c>
      <c r="BY18" s="304">
        <f>'Jun-24'!N109</f>
        <v>0.04</v>
      </c>
      <c r="BZ18" s="304">
        <f>'Jun-24'!O109</f>
        <v>0.04</v>
      </c>
      <c r="CA18" s="304">
        <f>'Jun-24'!P109</f>
        <v>0.03</v>
      </c>
      <c r="CB18" s="304">
        <f>'Jun-24'!Q109</f>
        <v>0.02</v>
      </c>
      <c r="CC18" s="304">
        <f>'Jun-24'!R109</f>
        <v>0.05</v>
      </c>
      <c r="CD18" s="304">
        <f>'Jun-24'!S109</f>
        <v>0.01</v>
      </c>
      <c r="CE18" s="304">
        <f>'Jun-24'!T109</f>
        <v>0</v>
      </c>
      <c r="CF18" s="304">
        <f>'Jun-24'!U109</f>
        <v>0.08</v>
      </c>
      <c r="CG18" s="304">
        <f>'Jun-24'!V109</f>
        <v>0.05</v>
      </c>
      <c r="CH18" s="304">
        <f>'Jun-24'!W109</f>
        <v>0.01</v>
      </c>
      <c r="CI18" s="304">
        <f>'Jun-24'!X109</f>
        <v>0</v>
      </c>
      <c r="CJ18" s="304">
        <f>'Jun-24'!Y109</f>
        <v>0</v>
      </c>
      <c r="CK18" s="304">
        <f>'Jun-24'!Z109</f>
        <v>0</v>
      </c>
      <c r="CL18" s="304">
        <f>'Jun-24'!AA109</f>
        <v>0.11</v>
      </c>
      <c r="CM18" s="304">
        <f>'Jun-24'!AB109</f>
        <v>0</v>
      </c>
      <c r="CN18" s="304">
        <f>'Jun-24'!AC109</f>
        <v>0</v>
      </c>
      <c r="CO18" s="304">
        <f>'Jun-24'!AD109</f>
        <v>0</v>
      </c>
      <c r="CP18" s="304">
        <f>'Jun-24'!AE109</f>
        <v>0.05</v>
      </c>
      <c r="CQ18" s="304">
        <f>'Jun-24'!AF109</f>
        <v>0.04</v>
      </c>
      <c r="CR18" s="304">
        <f>'Jun-24'!AG109</f>
        <v>0</v>
      </c>
      <c r="CS18" s="304">
        <f>'Jun-24'!AH109</f>
        <v>0.12</v>
      </c>
      <c r="CT18" s="304">
        <f>'Jun-24'!AJ109</f>
        <v>3.8621334120042074E-2</v>
      </c>
      <c r="CU18" s="304">
        <f>'Jul-24'!E109</f>
        <v>0.06</v>
      </c>
      <c r="CV18" s="304">
        <f>'Jul-24'!F109</f>
        <v>0.01</v>
      </c>
      <c r="CW18" s="304">
        <f>'Jul-24'!G109</f>
        <v>0</v>
      </c>
      <c r="CX18" s="304">
        <f>'Jul-24'!H109</f>
        <v>7.0000000000000007E-2</v>
      </c>
      <c r="CY18" s="304">
        <f>'Jul-24'!I109</f>
        <v>0</v>
      </c>
      <c r="CZ18" s="304">
        <f>'Jul-24'!J109</f>
        <v>0.1</v>
      </c>
      <c r="DA18" s="304">
        <f>'Jul-24'!K109</f>
        <v>0.22</v>
      </c>
      <c r="DB18" s="304">
        <f>'Jul-24'!L109</f>
        <v>0.1</v>
      </c>
      <c r="DC18" s="304">
        <f>'Jul-24'!M109</f>
        <v>7.0000000000000007E-2</v>
      </c>
      <c r="DD18" s="304">
        <f>'Jul-24'!N109</f>
        <v>0.12</v>
      </c>
      <c r="DE18" s="304">
        <f>'Jul-24'!O109</f>
        <v>0.11</v>
      </c>
      <c r="DF18" s="304">
        <f>'Jul-24'!P109</f>
        <v>0.13</v>
      </c>
      <c r="DG18" s="304">
        <f>'Jul-24'!Q109</f>
        <v>0.16</v>
      </c>
      <c r="DH18" s="304">
        <f>'Jul-24'!R109</f>
        <v>0.15</v>
      </c>
      <c r="DI18" s="304">
        <f>'Jul-24'!S109</f>
        <v>0.11</v>
      </c>
      <c r="DJ18" s="304">
        <f>'Jul-24'!T109</f>
        <v>0.15</v>
      </c>
      <c r="DK18" s="304">
        <f>'Jul-24'!U109</f>
        <v>0.12</v>
      </c>
      <c r="DL18" s="304">
        <f>'Jul-24'!V109</f>
        <v>0.02</v>
      </c>
      <c r="DM18" s="304">
        <f>'Jul-24'!W109</f>
        <v>7.0000000000000007E-2</v>
      </c>
      <c r="DN18" s="304">
        <f>'Jul-24'!X109</f>
        <v>0</v>
      </c>
      <c r="DO18" s="304">
        <f>'Jul-24'!Y109</f>
        <v>0.04</v>
      </c>
      <c r="DP18" s="304">
        <f>'Jul-24'!Z109</f>
        <v>0.08</v>
      </c>
      <c r="DQ18" s="304">
        <f>'Jul-24'!AA109</f>
        <v>0.05</v>
      </c>
      <c r="DR18" s="304">
        <f>'Jul-24'!AB109</f>
        <v>0.04</v>
      </c>
      <c r="DS18" s="304">
        <f>'Jul-24'!AC109</f>
        <v>0.12</v>
      </c>
      <c r="DT18" s="304">
        <f>'Jul-24'!AD109</f>
        <v>0.03</v>
      </c>
      <c r="DU18" s="304">
        <f>'Jul-24'!AE109</f>
        <v>0</v>
      </c>
      <c r="DV18" s="304">
        <f>'Jul-24'!AF109</f>
        <v>0.13</v>
      </c>
      <c r="DW18" s="304">
        <f>'Jul-24'!AG109</f>
        <v>0</v>
      </c>
      <c r="DX18" s="304">
        <f>'Jul-24'!AH109</f>
        <v>0</v>
      </c>
      <c r="DY18" s="304">
        <f>'Jul-24'!AI109</f>
        <v>0</v>
      </c>
      <c r="DZ18" s="304">
        <f>'Jul-24'!AJ109</f>
        <v>8.4858651958697129E-2</v>
      </c>
      <c r="EA18" s="304">
        <f>'Aug-24'!E109</f>
        <v>0</v>
      </c>
      <c r="EB18" s="304">
        <f>'Aug-24'!F109</f>
        <v>0</v>
      </c>
      <c r="EC18" s="304">
        <f>'Aug-24'!G109</f>
        <v>0</v>
      </c>
      <c r="ED18" s="304">
        <f>'Aug-24'!H109</f>
        <v>0.06</v>
      </c>
      <c r="EE18" s="304">
        <f>'Aug-24'!I109</f>
        <v>0.09</v>
      </c>
      <c r="EF18" s="304">
        <f>'Aug-24'!J109</f>
        <v>0.18</v>
      </c>
      <c r="EG18" s="304">
        <f>'Aug-24'!K109</f>
        <v>0.21</v>
      </c>
      <c r="EH18" s="304">
        <f>'Aug-24'!L109</f>
        <v>0.25</v>
      </c>
      <c r="EI18" s="304">
        <f>'Aug-24'!M109</f>
        <v>0.17</v>
      </c>
      <c r="EJ18" s="304">
        <f>'Aug-24'!N109</f>
        <v>0.28999999999999998</v>
      </c>
      <c r="EK18" s="304">
        <f>'Aug-24'!O109</f>
        <v>0.39</v>
      </c>
      <c r="EL18" s="304">
        <f>'Aug-24'!P109</f>
        <v>0.43</v>
      </c>
      <c r="EM18" s="304">
        <f>'Aug-24'!Q109</f>
        <v>0.27</v>
      </c>
      <c r="EN18" s="304">
        <f>'Aug-24'!R109</f>
        <v>0.15081633060890073</v>
      </c>
      <c r="EO18" s="304">
        <f>'Aug-24'!S109</f>
        <v>0.12912477651776824</v>
      </c>
      <c r="EP18" s="304">
        <f>'Aug-24'!T109</f>
        <v>0.23</v>
      </c>
      <c r="EQ18" s="304">
        <f>'Aug-24'!U109</f>
        <v>0.16</v>
      </c>
      <c r="ER18" s="304">
        <f>'Aug-24'!V109</f>
        <v>0.28999999999999998</v>
      </c>
      <c r="ES18" s="304">
        <f>'Aug-24'!W109</f>
        <v>0.23</v>
      </c>
      <c r="ET18" s="304">
        <f>'Aug-24'!X109</f>
        <v>0.08</v>
      </c>
      <c r="EU18" s="304">
        <f>'Aug-24'!Y109</f>
        <v>0.25</v>
      </c>
      <c r="EV18" s="304">
        <f>'Aug-24'!Z109</f>
        <v>0.17</v>
      </c>
      <c r="EW18" s="304">
        <f>'Aug-24'!AA109</f>
        <v>0</v>
      </c>
      <c r="EX18" s="304">
        <f>'Aug-24'!AB109</f>
        <v>0.2</v>
      </c>
      <c r="EY18" s="304">
        <f>'Aug-24'!AC109</f>
        <v>0.22</v>
      </c>
      <c r="EZ18" s="304">
        <f>'Aug-24'!AD109</f>
        <v>0.25</v>
      </c>
      <c r="FA18" s="304">
        <f>'Aug-24'!AE109</f>
        <v>0.13</v>
      </c>
      <c r="FB18" s="304">
        <f>'Aug-24'!AF109</f>
        <v>0.18</v>
      </c>
      <c r="FC18" s="304">
        <f>'Aug-24'!AG109</f>
        <v>0.15</v>
      </c>
      <c r="FD18" s="304">
        <f>'Aug-24'!AH109</f>
        <v>0.16</v>
      </c>
      <c r="FE18" s="304">
        <f>'Aug-24'!AI109</f>
        <v>0.22</v>
      </c>
      <c r="FF18" s="304">
        <f>'Aug-24'!AJ109</f>
        <v>0.20675430063086561</v>
      </c>
      <c r="FG18" s="304">
        <f>'Sep-24'!E110</f>
        <v>0.18</v>
      </c>
      <c r="FH18" s="304">
        <f>'Sep-24'!F110</f>
        <v>0.21</v>
      </c>
      <c r="FI18" s="304">
        <f>'Sep-24'!G110</f>
        <v>0.16</v>
      </c>
      <c r="FJ18" s="304">
        <f>'Sep-24'!H110</f>
        <v>0.2</v>
      </c>
      <c r="FK18" s="304">
        <f>'Sep-24'!AJ110</f>
        <v>0.18154859225089731</v>
      </c>
      <c r="FL18" s="134"/>
    </row>
    <row r="19" spans="1:168" s="131" customFormat="1" ht="22.2" x14ac:dyDescent="0.45">
      <c r="A19" s="157" t="s">
        <v>110</v>
      </c>
      <c r="B19" s="311" t="s">
        <v>146</v>
      </c>
      <c r="C19" s="318">
        <v>5.1400000000000001E-2</v>
      </c>
      <c r="D19" s="320">
        <f>'Day Wise 24-25'!M35</f>
        <v>0.14736955544014485</v>
      </c>
      <c r="E19" s="304">
        <f>'Apr-24'!E127</f>
        <v>0.02</v>
      </c>
      <c r="F19" s="304">
        <f>'Apr-24'!F127</f>
        <v>0.05</v>
      </c>
      <c r="G19" s="304">
        <f>'Apr-24'!G127</f>
        <v>7.0000000000000007E-2</v>
      </c>
      <c r="H19" s="304">
        <f>'Apr-24'!H127</f>
        <v>0.03</v>
      </c>
      <c r="I19" s="304">
        <f>'Apr-24'!I127</f>
        <v>0.06</v>
      </c>
      <c r="J19" s="304">
        <f>'Apr-24'!J127</f>
        <v>0.09</v>
      </c>
      <c r="K19" s="304">
        <f>'Apr-24'!K127</f>
        <v>0.15</v>
      </c>
      <c r="L19" s="304">
        <f>'Apr-24'!L127</f>
        <v>0.13</v>
      </c>
      <c r="M19" s="304">
        <f>'Apr-24'!M127</f>
        <v>0.06</v>
      </c>
      <c r="N19" s="304">
        <f>'Apr-24'!N127</f>
        <v>0.13</v>
      </c>
      <c r="O19" s="304">
        <f>'Apr-24'!O127</f>
        <v>0.02</v>
      </c>
      <c r="P19" s="304">
        <f>'Apr-24'!P127</f>
        <v>7.0000000000000007E-2</v>
      </c>
      <c r="Q19" s="304">
        <f>'Apr-24'!Q127</f>
        <v>0.08</v>
      </c>
      <c r="R19" s="304">
        <f>'Apr-24'!R127</f>
        <v>0.09</v>
      </c>
      <c r="S19" s="304">
        <f>'Apr-24'!S127</f>
        <v>7.0000000000000007E-2</v>
      </c>
      <c r="T19" s="304">
        <f>'Apr-24'!T127</f>
        <v>0.09</v>
      </c>
      <c r="U19" s="304">
        <f>'Apr-24'!U127</f>
        <v>0.03</v>
      </c>
      <c r="V19" s="304">
        <f>'Apr-24'!V127</f>
        <v>0.06</v>
      </c>
      <c r="W19" s="304">
        <f>'Apr-24'!W127</f>
        <v>7.0000000000000007E-2</v>
      </c>
      <c r="X19" s="304">
        <f>'Apr-24'!X127</f>
        <v>0.09</v>
      </c>
      <c r="Y19" s="304">
        <f>'Apr-24'!Y127</f>
        <v>0.05</v>
      </c>
      <c r="Z19" s="304">
        <f>'Apr-24'!Z127</f>
        <v>0.06</v>
      </c>
      <c r="AA19" s="304">
        <f>'Apr-24'!AA127</f>
        <v>0.04</v>
      </c>
      <c r="AB19" s="304">
        <f>'Apr-24'!AB127</f>
        <v>0.03</v>
      </c>
      <c r="AC19" s="304">
        <f>'Apr-24'!AC127</f>
        <v>0.14000000000000001</v>
      </c>
      <c r="AD19" s="304">
        <f>'Apr-24'!AD127</f>
        <v>0.03</v>
      </c>
      <c r="AE19" s="304">
        <f>'Apr-24'!AE127</f>
        <v>0.15</v>
      </c>
      <c r="AF19" s="304">
        <f>'Apr-24'!AF127</f>
        <v>0.03</v>
      </c>
      <c r="AG19" s="304">
        <f>'Apr-24'!AG127</f>
        <v>0.04</v>
      </c>
      <c r="AH19" s="304">
        <f>'Apr-24'!AH127</f>
        <v>0</v>
      </c>
      <c r="AI19" s="304">
        <f>'Apr-24'!AI127</f>
        <v>6.6364531486841252E-2</v>
      </c>
      <c r="AJ19" s="304">
        <f>'May-24'!E127</f>
        <v>0.05</v>
      </c>
      <c r="AK19" s="304">
        <f>'May-24'!F127</f>
        <v>7.0000000000000007E-2</v>
      </c>
      <c r="AL19" s="304">
        <f>'May-24'!G127</f>
        <v>0.08</v>
      </c>
      <c r="AM19" s="304">
        <f>'May-24'!H127</f>
        <v>0.06</v>
      </c>
      <c r="AN19" s="304">
        <f>'May-24'!I127</f>
        <v>0.02</v>
      </c>
      <c r="AO19" s="304">
        <f>'May-24'!J127</f>
        <v>0.1</v>
      </c>
      <c r="AP19" s="304">
        <f>'May-24'!K127</f>
        <v>0.01</v>
      </c>
      <c r="AQ19" s="304">
        <f>'May-24'!L127</f>
        <v>0</v>
      </c>
      <c r="AR19" s="304">
        <f>'May-24'!M127</f>
        <v>0.03</v>
      </c>
      <c r="AS19" s="304">
        <f>'May-24'!N127</f>
        <v>0.11</v>
      </c>
      <c r="AT19" s="304">
        <f>'May-24'!O127</f>
        <v>7.0000000000000007E-2</v>
      </c>
      <c r="AU19" s="304">
        <f>'May-24'!P127</f>
        <v>0.05</v>
      </c>
      <c r="AV19" s="304">
        <f>'May-24'!Q127</f>
        <v>0.01</v>
      </c>
      <c r="AW19" s="304">
        <f>'May-24'!R127</f>
        <v>0.05</v>
      </c>
      <c r="AX19" s="304">
        <f>'May-24'!S127</f>
        <v>7.0000000000000007E-2</v>
      </c>
      <c r="AY19" s="304">
        <f>'May-24'!T127</f>
        <v>0.02</v>
      </c>
      <c r="AZ19" s="304">
        <f>'May-24'!U127</f>
        <v>0.01</v>
      </c>
      <c r="BA19" s="304">
        <f>'May-24'!V127</f>
        <v>0.11</v>
      </c>
      <c r="BB19" s="304">
        <f>'May-24'!W127</f>
        <v>0.05</v>
      </c>
      <c r="BC19" s="304">
        <f>'May-24'!X127</f>
        <v>0.06</v>
      </c>
      <c r="BD19" s="304">
        <f>'May-24'!Y127</f>
        <v>0.06</v>
      </c>
      <c r="BE19" s="304">
        <f>'May-24'!Z127</f>
        <v>7.0000000000000007E-2</v>
      </c>
      <c r="BF19" s="304">
        <f>'May-24'!AA127</f>
        <v>7.0000000000000007E-2</v>
      </c>
      <c r="BG19" s="304">
        <f>'May-24'!AB127</f>
        <v>0.08</v>
      </c>
      <c r="BH19" s="304">
        <f>'May-24'!AC127</f>
        <v>0.05</v>
      </c>
      <c r="BI19" s="304">
        <f>'May-24'!AD127</f>
        <v>0.05</v>
      </c>
      <c r="BJ19" s="304">
        <f>'May-24'!AE127</f>
        <v>0.04</v>
      </c>
      <c r="BK19" s="304">
        <f>'May-24'!AF127</f>
        <v>0.02</v>
      </c>
      <c r="BL19" s="304">
        <f>'May-24'!AG127</f>
        <v>0.03</v>
      </c>
      <c r="BM19" s="304">
        <f>'May-24'!AH127</f>
        <v>0.05</v>
      </c>
      <c r="BN19" s="304">
        <f>'May-24'!AI127</f>
        <v>0.04</v>
      </c>
      <c r="BO19" s="304">
        <f>'May-24'!AJ127</f>
        <v>5.0635390575027348E-2</v>
      </c>
      <c r="BP19" s="304">
        <f>'Jun-24'!E110</f>
        <v>0.03</v>
      </c>
      <c r="BQ19" s="304">
        <f>'Jun-24'!F110</f>
        <v>7.0000000000000007E-2</v>
      </c>
      <c r="BR19" s="304">
        <f>'Jun-24'!G110</f>
        <v>7.0000000000000007E-2</v>
      </c>
      <c r="BS19" s="304">
        <f>'Jun-24'!H110</f>
        <v>0.06</v>
      </c>
      <c r="BT19" s="304">
        <f>'Jun-24'!I110</f>
        <v>0</v>
      </c>
      <c r="BU19" s="304">
        <f>'Jun-24'!J110</f>
        <v>0.1</v>
      </c>
      <c r="BV19" s="304">
        <f>'Jun-24'!K110</f>
        <v>0</v>
      </c>
      <c r="BW19" s="304">
        <f>'Jun-24'!L110</f>
        <v>0.04</v>
      </c>
      <c r="BX19" s="304">
        <f>'Jun-24'!M110</f>
        <v>0.05</v>
      </c>
      <c r="BY19" s="304">
        <f>'Jun-24'!N110</f>
        <v>0.05</v>
      </c>
      <c r="BZ19" s="304">
        <f>'Jun-24'!O110</f>
        <v>0.06</v>
      </c>
      <c r="CA19" s="304">
        <f>'Jun-24'!P110</f>
        <v>0.02</v>
      </c>
      <c r="CB19" s="304">
        <f>'Jun-24'!Q110</f>
        <v>0.03</v>
      </c>
      <c r="CC19" s="304">
        <f>'Jun-24'!R110</f>
        <v>0.03</v>
      </c>
      <c r="CD19" s="304">
        <f>'Jun-24'!S110</f>
        <v>0.04</v>
      </c>
      <c r="CE19" s="304">
        <f>'Jun-24'!T110</f>
        <v>7.0000000000000007E-2</v>
      </c>
      <c r="CF19" s="304">
        <f>'Jun-24'!U110</f>
        <v>0.09</v>
      </c>
      <c r="CG19" s="304">
        <f>'Jun-24'!V110</f>
        <v>7.0000000000000007E-2</v>
      </c>
      <c r="CH19" s="304">
        <f>'Jun-24'!W110</f>
        <v>0.08</v>
      </c>
      <c r="CI19" s="304">
        <f>'Jun-24'!X110</f>
        <v>0.09</v>
      </c>
      <c r="CJ19" s="304">
        <f>'Jun-24'!Y110</f>
        <v>0.24</v>
      </c>
      <c r="CK19" s="304">
        <f>'Jun-24'!Z110</f>
        <v>0.08</v>
      </c>
      <c r="CL19" s="304">
        <f>'Jun-24'!AA110</f>
        <v>7.0000000000000007E-2</v>
      </c>
      <c r="CM19" s="304">
        <f>'Jun-24'!AB110</f>
        <v>0.05</v>
      </c>
      <c r="CN19" s="304">
        <f>'Jun-24'!AC110</f>
        <v>0.11</v>
      </c>
      <c r="CO19" s="304">
        <f>'Jun-24'!AD110</f>
        <v>0.12</v>
      </c>
      <c r="CP19" s="304">
        <f>'Jun-24'!AE110</f>
        <v>0.01</v>
      </c>
      <c r="CQ19" s="304">
        <f>'Jun-24'!AF110</f>
        <v>0.11</v>
      </c>
      <c r="CR19" s="304">
        <f>'Jun-24'!AG110</f>
        <v>0.16</v>
      </c>
      <c r="CS19" s="304">
        <f>'Jun-24'!AH110</f>
        <v>0.14000000000000001</v>
      </c>
      <c r="CT19" s="304">
        <f>'Jun-24'!AJ110</f>
        <v>7.3669208539084957E-2</v>
      </c>
      <c r="CU19" s="304">
        <f>'Jul-24'!E110</f>
        <v>0.11</v>
      </c>
      <c r="CV19" s="304">
        <f>'Jul-24'!F110</f>
        <v>0.13</v>
      </c>
      <c r="CW19" s="304">
        <f>'Jul-24'!G110</f>
        <v>0.14000000000000001</v>
      </c>
      <c r="CX19" s="304">
        <f>'Jul-24'!H110</f>
        <v>0.19</v>
      </c>
      <c r="CY19" s="304">
        <f>'Jul-24'!I110</f>
        <v>0.21</v>
      </c>
      <c r="CZ19" s="304">
        <f>'Jul-24'!J110</f>
        <v>0.26</v>
      </c>
      <c r="DA19" s="304">
        <f>'Jul-24'!K110</f>
        <v>0.14000000000000001</v>
      </c>
      <c r="DB19" s="304">
        <f>'Jul-24'!L110</f>
        <v>0.18</v>
      </c>
      <c r="DC19" s="304">
        <f>'Jul-24'!M110</f>
        <v>0.25</v>
      </c>
      <c r="DD19" s="304">
        <f>'Jul-24'!N110</f>
        <v>0.05</v>
      </c>
      <c r="DE19" s="304">
        <f>'Jul-24'!O110</f>
        <v>0.03</v>
      </c>
      <c r="DF19" s="304">
        <f>'Jul-24'!P110</f>
        <v>0.08</v>
      </c>
      <c r="DG19" s="304">
        <f>'Jul-24'!Q110</f>
        <v>0.15</v>
      </c>
      <c r="DH19" s="304">
        <f>'Jul-24'!R110</f>
        <v>0.18</v>
      </c>
      <c r="DI19" s="304">
        <f>'Jul-24'!S110</f>
        <v>0.11</v>
      </c>
      <c r="DJ19" s="304">
        <f>'Jul-24'!T110</f>
        <v>0.06</v>
      </c>
      <c r="DK19" s="304">
        <f>'Jul-24'!U110</f>
        <v>0.14000000000000001</v>
      </c>
      <c r="DL19" s="304">
        <f>'Jul-24'!V110</f>
        <v>0.04</v>
      </c>
      <c r="DM19" s="304">
        <f>'Jul-24'!W110</f>
        <v>0.08</v>
      </c>
      <c r="DN19" s="304">
        <f>'Jul-24'!X110</f>
        <v>0.25</v>
      </c>
      <c r="DO19" s="304">
        <f>'Jul-24'!Y110</f>
        <v>0.03</v>
      </c>
      <c r="DP19" s="304">
        <f>'Jul-24'!Z110</f>
        <v>0.25</v>
      </c>
      <c r="DQ19" s="304">
        <f>'Jul-24'!AA110</f>
        <v>0</v>
      </c>
      <c r="DR19" s="304">
        <f>'Jul-24'!AB110</f>
        <v>0</v>
      </c>
      <c r="DS19" s="304">
        <f>'Jul-24'!AC110</f>
        <v>0.02</v>
      </c>
      <c r="DT19" s="304">
        <f>'Jul-24'!AD110</f>
        <v>0.2</v>
      </c>
      <c r="DU19" s="304">
        <f>'Jul-24'!AE110</f>
        <v>0</v>
      </c>
      <c r="DV19" s="304">
        <f>'Jul-24'!AF110</f>
        <v>0</v>
      </c>
      <c r="DW19" s="304">
        <f>'Jul-24'!AG110</f>
        <v>0</v>
      </c>
      <c r="DX19" s="304">
        <f>'Jul-24'!AH110</f>
        <v>0</v>
      </c>
      <c r="DY19" s="304">
        <f>'Jul-24'!AI110</f>
        <v>0</v>
      </c>
      <c r="DZ19" s="304">
        <f>'Jul-24'!AJ110</f>
        <v>0.13296190033254512</v>
      </c>
      <c r="EA19" s="304">
        <f>'Aug-24'!E110</f>
        <v>0</v>
      </c>
      <c r="EB19" s="304">
        <f>'Aug-24'!F110</f>
        <v>0.1</v>
      </c>
      <c r="EC19" s="304">
        <f>'Aug-24'!G110</f>
        <v>0.09</v>
      </c>
      <c r="ED19" s="304">
        <f>'Aug-24'!H110</f>
        <v>0.16</v>
      </c>
      <c r="EE19" s="304">
        <f>'Aug-24'!I110</f>
        <v>0.16</v>
      </c>
      <c r="EF19" s="304">
        <f>'Aug-24'!J110</f>
        <v>0.15</v>
      </c>
      <c r="EG19" s="304">
        <f>'Aug-24'!K110</f>
        <v>0.13</v>
      </c>
      <c r="EH19" s="304">
        <f>'Aug-24'!L110</f>
        <v>0.12</v>
      </c>
      <c r="EI19" s="304">
        <f>'Aug-24'!M110</f>
        <v>0.15</v>
      </c>
      <c r="EJ19" s="304">
        <f>'Aug-24'!N110</f>
        <v>0.06</v>
      </c>
      <c r="EK19" s="304">
        <f>'Aug-24'!O110</f>
        <v>0.19</v>
      </c>
      <c r="EL19" s="304">
        <f>'Aug-24'!P110</f>
        <v>0.03</v>
      </c>
      <c r="EM19" s="304">
        <f>'Aug-24'!Q110</f>
        <v>0.05</v>
      </c>
      <c r="EN19" s="304">
        <f>'Aug-24'!R110</f>
        <v>3.6236373130554694E-2</v>
      </c>
      <c r="EO19" s="304">
        <f>'Aug-24'!S110</f>
        <v>9.3590681025294886E-2</v>
      </c>
      <c r="EP19" s="304">
        <f>'Aug-24'!T110</f>
        <v>0</v>
      </c>
      <c r="EQ19" s="304">
        <f>'Aug-24'!U110</f>
        <v>0</v>
      </c>
      <c r="ER19" s="304">
        <f>'Aug-24'!V110</f>
        <v>0</v>
      </c>
      <c r="ES19" s="304">
        <f>'Aug-24'!W110</f>
        <v>0.1</v>
      </c>
      <c r="ET19" s="304">
        <f>'Aug-24'!X110</f>
        <v>0.23</v>
      </c>
      <c r="EU19" s="304">
        <f>'Aug-24'!Y110</f>
        <v>7.0000000000000007E-2</v>
      </c>
      <c r="EV19" s="304">
        <f>'Aug-24'!Z110</f>
        <v>0.18</v>
      </c>
      <c r="EW19" s="304">
        <f>'Aug-24'!AA110</f>
        <v>0</v>
      </c>
      <c r="EX19" s="304">
        <f>'Aug-24'!AB110</f>
        <v>0.1</v>
      </c>
      <c r="EY19" s="304">
        <f>'Aug-24'!AC110</f>
        <v>0.28999999999999998</v>
      </c>
      <c r="EZ19" s="304">
        <f>'Aug-24'!AD110</f>
        <v>0.1</v>
      </c>
      <c r="FA19" s="304">
        <f>'Aug-24'!AE110</f>
        <v>0.12</v>
      </c>
      <c r="FB19" s="304">
        <f>'Aug-24'!AF110</f>
        <v>0</v>
      </c>
      <c r="FC19" s="304">
        <f>'Aug-24'!AG110</f>
        <v>0.02</v>
      </c>
      <c r="FD19" s="304">
        <f>'Aug-24'!AH110</f>
        <v>0</v>
      </c>
      <c r="FE19" s="304">
        <f>'Aug-24'!AI110</f>
        <v>0.03</v>
      </c>
      <c r="FF19" s="304">
        <f>'Aug-24'!AJ110</f>
        <v>9.8291370473064923E-2</v>
      </c>
      <c r="FG19" s="304">
        <f>'Sep-24'!E111</f>
        <v>0</v>
      </c>
      <c r="FH19" s="304">
        <f>'Sep-24'!F111</f>
        <v>0.17</v>
      </c>
      <c r="FI19" s="304">
        <f>'Sep-24'!G111</f>
        <v>0.05</v>
      </c>
      <c r="FJ19" s="304">
        <f>'Sep-24'!H111</f>
        <v>0.22</v>
      </c>
      <c r="FK19" s="304">
        <f>'Sep-24'!AJ111</f>
        <v>8.9481118556630684E-2</v>
      </c>
      <c r="FL19" s="134"/>
    </row>
    <row r="20" spans="1:168" s="131" customFormat="1" ht="22.2" x14ac:dyDescent="0.45">
      <c r="A20" s="157" t="s">
        <v>111</v>
      </c>
      <c r="B20" s="311" t="s">
        <v>146</v>
      </c>
      <c r="C20" s="318">
        <v>5.7500000000000002E-2</v>
      </c>
      <c r="D20" s="319">
        <f>'Day Wise 24-25'!M36</f>
        <v>0</v>
      </c>
      <c r="E20" s="304">
        <f>'Apr-24'!E128</f>
        <v>0.02</v>
      </c>
      <c r="F20" s="304">
        <f>'Apr-24'!F128</f>
        <v>0.01</v>
      </c>
      <c r="G20" s="304">
        <f>'Apr-24'!G128</f>
        <v>0</v>
      </c>
      <c r="H20" s="304">
        <f>'Apr-24'!H128</f>
        <v>0.05</v>
      </c>
      <c r="I20" s="304">
        <f>'Apr-24'!I128</f>
        <v>0.03</v>
      </c>
      <c r="J20" s="304">
        <f>'Apr-24'!J128</f>
        <v>0</v>
      </c>
      <c r="K20" s="304">
        <f>'Apr-24'!K128</f>
        <v>0.17</v>
      </c>
      <c r="L20" s="304">
        <f>'Apr-24'!L128</f>
        <v>0</v>
      </c>
      <c r="M20" s="304">
        <f>'Apr-24'!M128</f>
        <v>0.01</v>
      </c>
      <c r="N20" s="304">
        <f>'Apr-24'!N128</f>
        <v>0.02</v>
      </c>
      <c r="O20" s="304">
        <f>'Apr-24'!O128</f>
        <v>0.04</v>
      </c>
      <c r="P20" s="304">
        <f>'Apr-24'!P128</f>
        <v>0.01</v>
      </c>
      <c r="Q20" s="304">
        <f>'Apr-24'!Q128</f>
        <v>0.01</v>
      </c>
      <c r="R20" s="304">
        <f>'Apr-24'!R128</f>
        <v>0</v>
      </c>
      <c r="S20" s="304">
        <f>'Apr-24'!S128</f>
        <v>0.01</v>
      </c>
      <c r="T20" s="304">
        <f>'Apr-24'!T128</f>
        <v>0</v>
      </c>
      <c r="U20" s="304">
        <f>'Apr-24'!U128</f>
        <v>0.03</v>
      </c>
      <c r="V20" s="304">
        <f>'Apr-24'!V128</f>
        <v>0.03</v>
      </c>
      <c r="W20" s="304">
        <f>'Apr-24'!W128</f>
        <v>0.01</v>
      </c>
      <c r="X20" s="304">
        <f>'Apr-24'!X128</f>
        <v>0</v>
      </c>
      <c r="Y20" s="304">
        <f>'Apr-24'!Y128</f>
        <v>0</v>
      </c>
      <c r="Z20" s="304">
        <f>'Apr-24'!Z128</f>
        <v>0.01</v>
      </c>
      <c r="AA20" s="304">
        <f>'Apr-24'!AA128</f>
        <v>0.02</v>
      </c>
      <c r="AB20" s="304">
        <f>'Apr-24'!AB128</f>
        <v>0.04</v>
      </c>
      <c r="AC20" s="304">
        <f>'Apr-24'!AC128</f>
        <v>0</v>
      </c>
      <c r="AD20" s="304">
        <f>'Apr-24'!AD128</f>
        <v>0.01</v>
      </c>
      <c r="AE20" s="304">
        <f>'Apr-24'!AE128</f>
        <v>0</v>
      </c>
      <c r="AF20" s="304">
        <f>'Apr-24'!AF128</f>
        <v>0</v>
      </c>
      <c r="AG20" s="304">
        <f>'Apr-24'!AG128</f>
        <v>0</v>
      </c>
      <c r="AH20" s="304">
        <f>'Apr-24'!AH128</f>
        <v>0.01</v>
      </c>
      <c r="AI20" s="304">
        <f>'Apr-24'!AI128</f>
        <v>1.8617474645635224E-2</v>
      </c>
      <c r="AJ20" s="304">
        <f>'May-24'!E128</f>
        <v>0.01</v>
      </c>
      <c r="AK20" s="304">
        <f>'May-24'!F128</f>
        <v>0</v>
      </c>
      <c r="AL20" s="304">
        <f>'May-24'!G128</f>
        <v>0</v>
      </c>
      <c r="AM20" s="304">
        <f>'May-24'!H128</f>
        <v>0.04</v>
      </c>
      <c r="AN20" s="304">
        <f>'May-24'!I128</f>
        <v>0.05</v>
      </c>
      <c r="AO20" s="304">
        <f>'May-24'!J128</f>
        <v>7.0000000000000007E-2</v>
      </c>
      <c r="AP20" s="304">
        <f>'May-24'!K128</f>
        <v>0.06</v>
      </c>
      <c r="AQ20" s="304">
        <f>'May-24'!L128</f>
        <v>0.02</v>
      </c>
      <c r="AR20" s="304">
        <f>'May-24'!M128</f>
        <v>0</v>
      </c>
      <c r="AS20" s="304">
        <f>'May-24'!N128</f>
        <v>0</v>
      </c>
      <c r="AT20" s="304">
        <f>'May-24'!O128</f>
        <v>0</v>
      </c>
      <c r="AU20" s="304">
        <f>'May-24'!P128</f>
        <v>0.15</v>
      </c>
      <c r="AV20" s="304">
        <f>'May-24'!Q128</f>
        <v>0.04</v>
      </c>
      <c r="AW20" s="304">
        <f>'May-24'!R128</f>
        <v>0</v>
      </c>
      <c r="AX20" s="304">
        <f>'May-24'!S128</f>
        <v>0</v>
      </c>
      <c r="AY20" s="304">
        <f>'May-24'!T128</f>
        <v>7.0000000000000007E-2</v>
      </c>
      <c r="AZ20" s="304">
        <f>'May-24'!U128</f>
        <v>0.05</v>
      </c>
      <c r="BA20" s="304">
        <f>'May-24'!V128</f>
        <v>0</v>
      </c>
      <c r="BB20" s="304">
        <f>'May-24'!W128</f>
        <v>0.01</v>
      </c>
      <c r="BC20" s="304">
        <f>'May-24'!X128</f>
        <v>0</v>
      </c>
      <c r="BD20" s="304">
        <f>'May-24'!Y128</f>
        <v>0</v>
      </c>
      <c r="BE20" s="304">
        <f>'May-24'!Z128</f>
        <v>0</v>
      </c>
      <c r="BF20" s="304">
        <f>'May-24'!AA128</f>
        <v>0</v>
      </c>
      <c r="BG20" s="304">
        <f>'May-24'!AB128</f>
        <v>0.03</v>
      </c>
      <c r="BH20" s="304">
        <f>'May-24'!AC128</f>
        <v>0.05</v>
      </c>
      <c r="BI20" s="304">
        <f>'May-24'!AD128</f>
        <v>0</v>
      </c>
      <c r="BJ20" s="304">
        <f>'May-24'!AE128</f>
        <v>0.03</v>
      </c>
      <c r="BK20" s="304">
        <f>'May-24'!AF128</f>
        <v>0</v>
      </c>
      <c r="BL20" s="304">
        <f>'May-24'!AG128</f>
        <v>0</v>
      </c>
      <c r="BM20" s="304">
        <f>'May-24'!AH128</f>
        <v>0</v>
      </c>
      <c r="BN20" s="304">
        <f>'May-24'!AI128</f>
        <v>0</v>
      </c>
      <c r="BO20" s="304">
        <f>'May-24'!AJ128</f>
        <v>2.4589174373352302E-2</v>
      </c>
      <c r="BP20" s="304">
        <f>'Jun-24'!E111</f>
        <v>0.05</v>
      </c>
      <c r="BQ20" s="304">
        <f>'Jun-24'!F111</f>
        <v>0.04</v>
      </c>
      <c r="BR20" s="304">
        <f>'Jun-24'!G111</f>
        <v>0.01</v>
      </c>
      <c r="BS20" s="304">
        <f>'Jun-24'!H111</f>
        <v>0</v>
      </c>
      <c r="BT20" s="304">
        <f>'Jun-24'!I111</f>
        <v>0</v>
      </c>
      <c r="BU20" s="304">
        <f>'Jun-24'!J111</f>
        <v>0</v>
      </c>
      <c r="BV20" s="304">
        <f>'Jun-24'!K111</f>
        <v>0</v>
      </c>
      <c r="BW20" s="304">
        <f>'Jun-24'!L111</f>
        <v>0.01</v>
      </c>
      <c r="BX20" s="304">
        <f>'Jun-24'!M111</f>
        <v>0</v>
      </c>
      <c r="BY20" s="304">
        <f>'Jun-24'!N111</f>
        <v>0</v>
      </c>
      <c r="BZ20" s="304">
        <f>'Jun-24'!O111</f>
        <v>0.03</v>
      </c>
      <c r="CA20" s="304">
        <f>'Jun-24'!P111</f>
        <v>0</v>
      </c>
      <c r="CB20" s="304">
        <f>'Jun-24'!Q111</f>
        <v>0</v>
      </c>
      <c r="CC20" s="304">
        <f>'Jun-24'!R111</f>
        <v>0</v>
      </c>
      <c r="CD20" s="304">
        <f>'Jun-24'!S111</f>
        <v>0</v>
      </c>
      <c r="CE20" s="304">
        <f>'Jun-24'!T111</f>
        <v>0</v>
      </c>
      <c r="CF20" s="304">
        <f>'Jun-24'!U111</f>
        <v>0</v>
      </c>
      <c r="CG20" s="304">
        <f>'Jun-24'!V111</f>
        <v>0</v>
      </c>
      <c r="CH20" s="304">
        <f>'Jun-24'!W111</f>
        <v>0.01</v>
      </c>
      <c r="CI20" s="304">
        <f>'Jun-24'!X111</f>
        <v>0.1</v>
      </c>
      <c r="CJ20" s="304">
        <f>'Jun-24'!Y111</f>
        <v>0</v>
      </c>
      <c r="CK20" s="304">
        <f>'Jun-24'!Z111</f>
        <v>0.06</v>
      </c>
      <c r="CL20" s="304">
        <f>'Jun-24'!AA111</f>
        <v>0.12</v>
      </c>
      <c r="CM20" s="304">
        <f>'Jun-24'!AB111</f>
        <v>0</v>
      </c>
      <c r="CN20" s="304">
        <f>'Jun-24'!AC111</f>
        <v>0.1</v>
      </c>
      <c r="CO20" s="304">
        <f>'Jun-24'!AD111</f>
        <v>0.01</v>
      </c>
      <c r="CP20" s="304">
        <f>'Jun-24'!AE111</f>
        <v>0</v>
      </c>
      <c r="CQ20" s="304">
        <f>'Jun-24'!AF111</f>
        <v>0.1</v>
      </c>
      <c r="CR20" s="304">
        <f>'Jun-24'!AG111</f>
        <v>0.15</v>
      </c>
      <c r="CS20" s="304">
        <f>'Jun-24'!AH111</f>
        <v>0.05</v>
      </c>
      <c r="CT20" s="304">
        <f>'Jun-24'!AJ111</f>
        <v>3.101259918167875E-2</v>
      </c>
      <c r="CU20" s="304">
        <f>'Jul-24'!E111</f>
        <v>0</v>
      </c>
      <c r="CV20" s="304">
        <f>'Jul-24'!F111</f>
        <v>0.03</v>
      </c>
      <c r="CW20" s="304">
        <f>'Jul-24'!G111</f>
        <v>7.0000000000000007E-2</v>
      </c>
      <c r="CX20" s="304">
        <f>'Jul-24'!H111</f>
        <v>0.06</v>
      </c>
      <c r="CY20" s="304">
        <f>'Jul-24'!I111</f>
        <v>0.04</v>
      </c>
      <c r="CZ20" s="304">
        <f>'Jul-24'!J111</f>
        <v>7.0000000000000007E-2</v>
      </c>
      <c r="DA20" s="304">
        <f>'Jul-24'!K111</f>
        <v>0.28999999999999998</v>
      </c>
      <c r="DB20" s="304">
        <f>'Jul-24'!L111</f>
        <v>0.13</v>
      </c>
      <c r="DC20" s="304">
        <f>'Jul-24'!M111</f>
        <v>0.09</v>
      </c>
      <c r="DD20" s="304">
        <f>'Jul-24'!N111</f>
        <v>0.14000000000000001</v>
      </c>
      <c r="DE20" s="304">
        <f>'Jul-24'!O111</f>
        <v>0.11</v>
      </c>
      <c r="DF20" s="304">
        <f>'Jul-24'!P111</f>
        <v>0.02</v>
      </c>
      <c r="DG20" s="304">
        <f>'Jul-24'!Q111</f>
        <v>0</v>
      </c>
      <c r="DH20" s="304">
        <f>'Jul-24'!R111</f>
        <v>0.02</v>
      </c>
      <c r="DI20" s="304">
        <f>'Jul-24'!S111</f>
        <v>0.12</v>
      </c>
      <c r="DJ20" s="304">
        <f>'Jul-24'!T111</f>
        <v>0.16</v>
      </c>
      <c r="DK20" s="304">
        <f>'Jul-24'!U111</f>
        <v>0.15</v>
      </c>
      <c r="DL20" s="304">
        <f>'Jul-24'!V111</f>
        <v>0.09</v>
      </c>
      <c r="DM20" s="304">
        <f>'Jul-24'!W111</f>
        <v>0</v>
      </c>
      <c r="DN20" s="304">
        <f>'Jul-24'!X111</f>
        <v>0.03</v>
      </c>
      <c r="DO20" s="304">
        <f>'Jul-24'!Y111</f>
        <v>0.12</v>
      </c>
      <c r="DP20" s="304">
        <f>'Jul-24'!Z111</f>
        <v>0</v>
      </c>
      <c r="DQ20" s="304">
        <f>'Jul-24'!AA111</f>
        <v>0.22</v>
      </c>
      <c r="DR20" s="304">
        <f>'Jul-24'!AB111</f>
        <v>0.19</v>
      </c>
      <c r="DS20" s="304">
        <f>'Jul-24'!AC111</f>
        <v>0.15</v>
      </c>
      <c r="DT20" s="304">
        <f>'Jul-24'!AD111</f>
        <v>0.05</v>
      </c>
      <c r="DU20" s="304">
        <f>'Jul-24'!AE111</f>
        <v>0</v>
      </c>
      <c r="DV20" s="304">
        <f>'Jul-24'!AF111</f>
        <v>0</v>
      </c>
      <c r="DW20" s="304">
        <f>'Jul-24'!AG111</f>
        <v>0</v>
      </c>
      <c r="DX20" s="304">
        <f>'Jul-24'!AH111</f>
        <v>0</v>
      </c>
      <c r="DY20" s="304">
        <f>'Jul-24'!AI111</f>
        <v>0</v>
      </c>
      <c r="DZ20" s="304">
        <f>'Jul-24'!AJ111</f>
        <v>8.8790566462073908E-2</v>
      </c>
      <c r="EA20" s="304">
        <f>'Aug-24'!E111</f>
        <v>0</v>
      </c>
      <c r="EB20" s="304">
        <f>'Aug-24'!F111</f>
        <v>0</v>
      </c>
      <c r="EC20" s="304">
        <f>'Aug-24'!G111</f>
        <v>0</v>
      </c>
      <c r="ED20" s="304">
        <f>'Aug-24'!H111</f>
        <v>0</v>
      </c>
      <c r="EE20" s="304">
        <f>'Aug-24'!I111</f>
        <v>0</v>
      </c>
      <c r="EF20" s="304">
        <f>'Aug-24'!J111</f>
        <v>0.05</v>
      </c>
      <c r="EG20" s="304">
        <f>'Aug-24'!K111</f>
        <v>0.05</v>
      </c>
      <c r="EH20" s="304">
        <f>'Aug-24'!L111</f>
        <v>0.08</v>
      </c>
      <c r="EI20" s="304">
        <f>'Aug-24'!M111</f>
        <v>0.04</v>
      </c>
      <c r="EJ20" s="304">
        <f>'Aug-24'!N111</f>
        <v>0.04</v>
      </c>
      <c r="EK20" s="304">
        <f>'Aug-24'!O111</f>
        <v>0</v>
      </c>
      <c r="EL20" s="304">
        <f>'Aug-24'!P111</f>
        <v>0.03</v>
      </c>
      <c r="EM20" s="304">
        <f>'Aug-24'!Q111</f>
        <v>0</v>
      </c>
      <c r="EN20" s="304">
        <f>'Aug-24'!R111</f>
        <v>3.3614175506519448E-2</v>
      </c>
      <c r="EO20" s="304">
        <f>'Aug-24'!S111</f>
        <v>0</v>
      </c>
      <c r="EP20" s="304">
        <f>'Aug-24'!T111</f>
        <v>0</v>
      </c>
      <c r="EQ20" s="304">
        <f>'Aug-24'!U111</f>
        <v>0</v>
      </c>
      <c r="ER20" s="304">
        <f>'Aug-24'!V111</f>
        <v>0</v>
      </c>
      <c r="ES20" s="304">
        <f>'Aug-24'!W111</f>
        <v>0</v>
      </c>
      <c r="ET20" s="304">
        <f>'Aug-24'!X111</f>
        <v>0</v>
      </c>
      <c r="EU20" s="304">
        <f>'Aug-24'!Y111</f>
        <v>0</v>
      </c>
      <c r="EV20" s="304">
        <f>'Aug-24'!Z111</f>
        <v>0</v>
      </c>
      <c r="EW20" s="304">
        <f>'Aug-24'!AA111</f>
        <v>0</v>
      </c>
      <c r="EX20" s="304">
        <f>'Aug-24'!AB111</f>
        <v>0</v>
      </c>
      <c r="EY20" s="304">
        <f>'Aug-24'!AC111</f>
        <v>0</v>
      </c>
      <c r="EZ20" s="304">
        <f>'Aug-24'!AD111</f>
        <v>0</v>
      </c>
      <c r="FA20" s="304">
        <f>'Aug-24'!AE111</f>
        <v>0</v>
      </c>
      <c r="FB20" s="304">
        <f>'Aug-24'!AF111</f>
        <v>0</v>
      </c>
      <c r="FC20" s="304">
        <f>'Aug-24'!AG111</f>
        <v>0</v>
      </c>
      <c r="FD20" s="304">
        <f>'Aug-24'!AH111</f>
        <v>0</v>
      </c>
      <c r="FE20" s="304">
        <f>'Aug-24'!AI111</f>
        <v>0</v>
      </c>
      <c r="FF20" s="304">
        <f>'Aug-24'!AJ111</f>
        <v>1.5640405625471854E-2</v>
      </c>
      <c r="FG20" s="304">
        <f>'Sep-24'!E112</f>
        <v>0</v>
      </c>
      <c r="FH20" s="304">
        <f>'Sep-24'!F112</f>
        <v>0</v>
      </c>
      <c r="FI20" s="304">
        <f>'Sep-24'!G112</f>
        <v>0</v>
      </c>
      <c r="FJ20" s="304">
        <f>'Sep-24'!H112</f>
        <v>0</v>
      </c>
      <c r="FK20" s="304">
        <f>'Sep-24'!AJ112</f>
        <v>0</v>
      </c>
      <c r="FL20" s="134" t="s">
        <v>109</v>
      </c>
    </row>
    <row r="21" spans="1:168" s="131" customFormat="1" ht="22.2" x14ac:dyDescent="0.45">
      <c r="A21" s="157" t="s">
        <v>147</v>
      </c>
      <c r="B21" s="311" t="s">
        <v>148</v>
      </c>
      <c r="C21" s="315">
        <v>77.747639593908644</v>
      </c>
      <c r="D21" s="321">
        <f>'Day Wise 24-25'!M25</f>
        <v>69</v>
      </c>
      <c r="E21" s="322">
        <f>'Apr-24'!E118+'Apr-24'!E122</f>
        <v>0</v>
      </c>
      <c r="F21" s="322">
        <f>'Apr-24'!F118+'Apr-24'!F122</f>
        <v>0</v>
      </c>
      <c r="G21" s="322">
        <f>'Apr-24'!G118+'Apr-24'!G122</f>
        <v>100.55</v>
      </c>
      <c r="H21" s="322">
        <f>'Apr-24'!H118+'Apr-24'!H122</f>
        <v>0</v>
      </c>
      <c r="I21" s="322">
        <f>'Apr-24'!I118+'Apr-24'!I122</f>
        <v>67.25</v>
      </c>
      <c r="J21" s="322">
        <f>'Apr-24'!J118+'Apr-24'!J122</f>
        <v>0</v>
      </c>
      <c r="K21" s="322">
        <f>'Apr-24'!K118+'Apr-24'!K122</f>
        <v>0</v>
      </c>
      <c r="L21" s="322">
        <f>'Apr-24'!L118+'Apr-24'!L122</f>
        <v>34.020000000000003</v>
      </c>
      <c r="M21" s="322">
        <f>'Apr-24'!M118+'Apr-24'!M122</f>
        <v>34.32</v>
      </c>
      <c r="N21" s="322">
        <f>'Apr-24'!N118+'Apr-24'!N122</f>
        <v>0</v>
      </c>
      <c r="O21" s="322">
        <f>'Apr-24'!O118+'Apr-24'!O122</f>
        <v>0</v>
      </c>
      <c r="P21" s="322">
        <f>'Apr-24'!P118+'Apr-24'!P122</f>
        <v>0</v>
      </c>
      <c r="Q21" s="322">
        <f>'Apr-24'!Q118+'Apr-24'!Q122</f>
        <v>30.15</v>
      </c>
      <c r="R21" s="322">
        <f>'Apr-24'!R118+'Apr-24'!R122</f>
        <v>0</v>
      </c>
      <c r="S21" s="322">
        <f>'Apr-24'!S118+'Apr-24'!S122</f>
        <v>0</v>
      </c>
      <c r="T21" s="322">
        <f>'Apr-24'!T118+'Apr-24'!T122</f>
        <v>26.45</v>
      </c>
      <c r="U21" s="322">
        <f>'Apr-24'!U118+'Apr-24'!U122</f>
        <v>33.14</v>
      </c>
      <c r="V21" s="322">
        <f>'Apr-24'!V118+'Apr-24'!V122</f>
        <v>83.27000000000001</v>
      </c>
      <c r="W21" s="322">
        <f>'Apr-24'!W118+'Apr-24'!W122</f>
        <v>0</v>
      </c>
      <c r="X21" s="322">
        <f>'Apr-24'!X118+'Apr-24'!X122</f>
        <v>0</v>
      </c>
      <c r="Y21" s="322">
        <f>'Apr-24'!Y118+'Apr-24'!Y122</f>
        <v>55.62</v>
      </c>
      <c r="Z21" s="322">
        <f>'Apr-24'!Z118+'Apr-24'!Z122</f>
        <v>52.03</v>
      </c>
      <c r="AA21" s="322">
        <f>'Apr-24'!AA118+'Apr-24'!AA122</f>
        <v>35.43</v>
      </c>
      <c r="AB21" s="322">
        <f>'Apr-24'!AB118+'Apr-24'!AB122</f>
        <v>0</v>
      </c>
      <c r="AC21" s="322">
        <f>'Apr-24'!AC118+'Apr-24'!AC122</f>
        <v>87.63</v>
      </c>
      <c r="AD21" s="322">
        <f>'Apr-24'!AD118+'Apr-24'!AD122</f>
        <v>54.23</v>
      </c>
      <c r="AE21" s="322">
        <f>'Apr-24'!AE118+'Apr-24'!AE122</f>
        <v>0</v>
      </c>
      <c r="AF21" s="322">
        <f>'Apr-24'!AF118+'Apr-24'!AF122</f>
        <v>0</v>
      </c>
      <c r="AG21" s="322">
        <f>'Apr-24'!AG118+'Apr-24'!AG122</f>
        <v>0</v>
      </c>
      <c r="AH21" s="322">
        <f>'Apr-24'!AH118+'Apr-24'!AH122</f>
        <v>145.29</v>
      </c>
      <c r="AI21" s="322">
        <f>'Apr-24'!AK118+'Apr-24'!AK122</f>
        <v>43.44305555555556</v>
      </c>
      <c r="AJ21" s="322">
        <f>'May-24'!E118+'May-24'!E122</f>
        <v>57.855000000000004</v>
      </c>
      <c r="AK21" s="322">
        <f>'May-24'!F118+'May-24'!F122</f>
        <v>54.26</v>
      </c>
      <c r="AL21" s="322">
        <f>'May-24'!G118+'May-24'!G122</f>
        <v>31.29</v>
      </c>
      <c r="AM21" s="322">
        <f>'May-24'!H118+'May-24'!H122</f>
        <v>0</v>
      </c>
      <c r="AN21" s="322">
        <f>'May-24'!I118+'May-24'!I122</f>
        <v>29.36</v>
      </c>
      <c r="AO21" s="322">
        <f>'May-24'!J118+'May-24'!J122</f>
        <v>84.44</v>
      </c>
      <c r="AP21" s="322">
        <f>'May-24'!K118+'May-24'!K122</f>
        <v>58.35</v>
      </c>
      <c r="AQ21" s="322">
        <f>'May-24'!L118+'May-24'!L122</f>
        <v>0</v>
      </c>
      <c r="AR21" s="322">
        <f>'May-24'!M118+'May-24'!M122</f>
        <v>27.43</v>
      </c>
      <c r="AS21" s="322">
        <f>'May-24'!N118+'May-24'!N122</f>
        <v>0</v>
      </c>
      <c r="AT21" s="322">
        <f>'May-24'!O118+'May-24'!O122</f>
        <v>0</v>
      </c>
      <c r="AU21" s="322">
        <f>'May-24'!P118+'May-24'!P122</f>
        <v>0</v>
      </c>
      <c r="AV21" s="322">
        <f>'May-24'!Q118+'May-24'!Q122</f>
        <v>90.13</v>
      </c>
      <c r="AW21" s="322">
        <f>'May-24'!R118+'May-24'!R122</f>
        <v>0</v>
      </c>
      <c r="AX21" s="322">
        <f>'May-24'!S118+'May-24'!S122</f>
        <v>0</v>
      </c>
      <c r="AY21" s="322">
        <f>'May-24'!T118+'May-24'!T122</f>
        <v>59.1</v>
      </c>
      <c r="AZ21" s="322">
        <f>'May-24'!U118+'May-24'!U122</f>
        <v>63.620000000000005</v>
      </c>
      <c r="BA21" s="322">
        <f>'May-24'!V118+'May-24'!V122</f>
        <v>0</v>
      </c>
      <c r="BB21" s="322">
        <f>'May-24'!W118+'May-24'!W122</f>
        <v>102.44</v>
      </c>
      <c r="BC21" s="322">
        <f>'May-24'!X118+'May-24'!X122</f>
        <v>0</v>
      </c>
      <c r="BD21" s="322">
        <f>'May-24'!Y118+'May-24'!Y122</f>
        <v>115.57000000000001</v>
      </c>
      <c r="BE21" s="322">
        <f>'May-24'!Z118+'May-24'!Z122</f>
        <v>0</v>
      </c>
      <c r="BF21" s="322">
        <f>'May-24'!AA118+'May-24'!AA122</f>
        <v>51.64</v>
      </c>
      <c r="BG21" s="322">
        <f>'May-24'!AB118+'May-24'!AB122</f>
        <v>34.299999999999997</v>
      </c>
      <c r="BH21" s="322">
        <f>'May-24'!AC118+'May-24'!AC122</f>
        <v>0</v>
      </c>
      <c r="BI21" s="322">
        <f>'May-24'!AD118+'May-24'!AD122</f>
        <v>78.94</v>
      </c>
      <c r="BJ21" s="322">
        <f>'May-24'!AE118+'May-24'!AE122</f>
        <v>32.82</v>
      </c>
      <c r="BK21" s="322">
        <f>'May-24'!AF118+'May-24'!AF122</f>
        <v>26.64</v>
      </c>
      <c r="BL21" s="322">
        <f>'May-24'!AG118+'May-24'!AG122</f>
        <v>56.72</v>
      </c>
      <c r="BM21" s="322">
        <f>'May-24'!AH118+'May-24'!AH122</f>
        <v>0</v>
      </c>
      <c r="BN21" s="322">
        <f>'May-24'!AI118+'May-24'!AI122</f>
        <v>58.05</v>
      </c>
      <c r="BO21" s="322">
        <f>'May-24'!AL118+'May-24'!AL122</f>
        <v>79.496785714285721</v>
      </c>
      <c r="BP21" s="322">
        <f>'Jun-24'!E101+'Jun-24'!E105</f>
        <v>0</v>
      </c>
      <c r="BQ21" s="322">
        <f>'Jun-24'!F101+'Jun-24'!F105</f>
        <v>107.21</v>
      </c>
      <c r="BR21" s="322">
        <f>'Jun-24'!G101+'Jun-24'!G105</f>
        <v>32.770000000000003</v>
      </c>
      <c r="BS21" s="322">
        <f>'Jun-24'!H101+'Jun-24'!H105</f>
        <v>0</v>
      </c>
      <c r="BT21" s="322">
        <f>'Jun-24'!I101+'Jun-24'!I105</f>
        <v>82.18</v>
      </c>
      <c r="BU21" s="322">
        <f>'Jun-24'!J101+'Jun-24'!J105</f>
        <v>0</v>
      </c>
      <c r="BV21" s="322">
        <f>'Jun-24'!K101+'Jun-24'!K105</f>
        <v>23.01</v>
      </c>
      <c r="BW21" s="322">
        <f>'Jun-24'!L101+'Jun-24'!L105</f>
        <v>0</v>
      </c>
      <c r="BX21" s="322">
        <f>'Jun-24'!M101+'Jun-24'!M105</f>
        <v>48</v>
      </c>
      <c r="BY21" s="322">
        <f>'Jun-24'!N101+'Jun-24'!N105</f>
        <v>0</v>
      </c>
      <c r="BZ21" s="322">
        <f>'Jun-24'!O101+'Jun-24'!O105</f>
        <v>63.709999999999994</v>
      </c>
      <c r="CA21" s="322">
        <f>'Jun-24'!P101+'Jun-24'!P105</f>
        <v>0</v>
      </c>
      <c r="CB21" s="322">
        <f>'Jun-24'!Q101+'Jun-24'!Q105</f>
        <v>60.239999999999995</v>
      </c>
      <c r="CC21" s="322">
        <f>'Jun-24'!R101+'Jun-24'!R105</f>
        <v>0</v>
      </c>
      <c r="CD21" s="322">
        <f>'Jun-24'!S101+'Jun-24'!S105</f>
        <v>0</v>
      </c>
      <c r="CE21" s="322">
        <f>'Jun-24'!T101+'Jun-24'!T105</f>
        <v>154.44</v>
      </c>
      <c r="CF21" s="322">
        <f>'Jun-24'!U101+'Jun-24'!U105</f>
        <v>25.72</v>
      </c>
      <c r="CG21" s="322">
        <f>'Jun-24'!V101+'Jun-24'!V105</f>
        <v>0</v>
      </c>
      <c r="CH21" s="322">
        <f>'Jun-24'!W101+'Jun-24'!W105</f>
        <v>92.9</v>
      </c>
      <c r="CI21" s="322">
        <f>'Jun-24'!X101+'Jun-24'!X105</f>
        <v>41.12</v>
      </c>
      <c r="CJ21" s="322">
        <f>'Jun-24'!Y101+'Jun-24'!Y105</f>
        <v>23.74</v>
      </c>
      <c r="CK21" s="322">
        <f>'Jun-24'!Z101+'Jun-24'!Z105</f>
        <v>0</v>
      </c>
      <c r="CL21" s="322">
        <f>'Jun-24'!AA101+'Jun-24'!AA105</f>
        <v>59.31</v>
      </c>
      <c r="CM21" s="322">
        <f>'Jun-24'!AB101+'Jun-24'!AB105</f>
        <v>0</v>
      </c>
      <c r="CN21" s="322">
        <f>'Jun-24'!AC101+'Jun-24'!AC105</f>
        <v>0</v>
      </c>
      <c r="CO21" s="322">
        <f>'Jun-24'!AD101+'Jun-24'!AD105</f>
        <v>196.08</v>
      </c>
      <c r="CP21" s="322">
        <f>'Jun-24'!AE101+'Jun-24'!AE105</f>
        <v>0</v>
      </c>
      <c r="CQ21" s="322">
        <f>'Jun-24'!AF101+'Jun-24'!AF105</f>
        <v>53.3</v>
      </c>
      <c r="CR21" s="322">
        <f>'Jun-24'!AG101+'Jun-24'!AG105</f>
        <v>0</v>
      </c>
      <c r="CS21" s="322">
        <f>'Jun-24'!AH101+'Jun-24'!AH105</f>
        <v>132.24</v>
      </c>
      <c r="CT21" s="322">
        <f>'Jun-24'!AL101+'Jun-24'!AL105</f>
        <v>39.865666666666662</v>
      </c>
      <c r="CU21" s="322">
        <f>'Jul-24'!E101+'Jul-24'!E105</f>
        <v>58.230000000000004</v>
      </c>
      <c r="CV21" s="322">
        <f>'Jul-24'!F101+'Jul-24'!F105</f>
        <v>0</v>
      </c>
      <c r="CW21" s="322">
        <f>'Jul-24'!G101+'Jul-24'!G105</f>
        <v>71.91</v>
      </c>
      <c r="CX21" s="322">
        <f>'Jul-24'!H101+'Jul-24'!H105</f>
        <v>28.09</v>
      </c>
      <c r="CY21" s="322">
        <f>'Jul-24'!I101+'Jul-24'!I105</f>
        <v>0</v>
      </c>
      <c r="CZ21" s="322">
        <f>'Jul-24'!J101+'Jul-24'!J105</f>
        <v>0</v>
      </c>
      <c r="DA21" s="322">
        <f>'Jul-24'!K101+'Jul-24'!K105</f>
        <v>153.11000000000001</v>
      </c>
      <c r="DB21" s="322">
        <f>'Jul-24'!L101+'Jul-24'!L105</f>
        <v>59.58</v>
      </c>
      <c r="DC21" s="322">
        <f>'Jul-24'!M101+'Jul-24'!M105</f>
        <v>0</v>
      </c>
      <c r="DD21" s="322">
        <f>'Jul-24'!N101+'Jul-24'!N105</f>
        <v>34.51</v>
      </c>
      <c r="DE21" s="322">
        <f>'Jul-24'!O101+'Jul-24'!O105</f>
        <v>0</v>
      </c>
      <c r="DF21" s="322">
        <f>'Jul-24'!P101+'Jul-24'!P105</f>
        <v>28.47</v>
      </c>
      <c r="DG21" s="322">
        <f>'Jul-24'!Q101+'Jul-24'!Q105</f>
        <v>0</v>
      </c>
      <c r="DH21" s="322">
        <f>'Jul-24'!R101+'Jul-24'!R105</f>
        <v>138.82</v>
      </c>
      <c r="DI21" s="322">
        <f>'Jul-24'!S101+'Jul-24'!S105</f>
        <v>0</v>
      </c>
      <c r="DJ21" s="322">
        <f>'Jul-24'!T101+'Jul-24'!T105</f>
        <v>74.790000000000006</v>
      </c>
      <c r="DK21" s="322">
        <f>'Jul-24'!U101+'Jul-24'!U105</f>
        <v>52.510000000000005</v>
      </c>
      <c r="DL21" s="322">
        <f>'Jul-24'!V101+'Jul-24'!V105</f>
        <v>0</v>
      </c>
      <c r="DM21" s="322">
        <f>'Jul-24'!W101+'Jul-24'!W105</f>
        <v>0</v>
      </c>
      <c r="DN21" s="322">
        <f>'Jul-24'!X101+'Jul-24'!X105</f>
        <v>0</v>
      </c>
      <c r="DO21" s="322">
        <f>'Jul-24'!Y101+'Jul-24'!Y105</f>
        <v>66.75</v>
      </c>
      <c r="DP21" s="322">
        <f>'Jul-24'!Z101+'Jul-24'!Z105</f>
        <v>0</v>
      </c>
      <c r="DQ21" s="322">
        <f>'Jul-24'!AA101+'Jul-24'!AA105</f>
        <v>34.5</v>
      </c>
      <c r="DR21" s="322">
        <f>'Jul-24'!AB101+'Jul-24'!AB105</f>
        <v>0</v>
      </c>
      <c r="DS21" s="322">
        <f>'Jul-24'!AC101+'Jul-24'!AC105</f>
        <v>0</v>
      </c>
      <c r="DT21" s="322">
        <f>'Jul-24'!AD101+'Jul-24'!AD105</f>
        <v>29.39</v>
      </c>
      <c r="DU21" s="322">
        <f>'Jul-24'!AE101+'Jul-24'!AE105</f>
        <v>0</v>
      </c>
      <c r="DV21" s="322">
        <f>'Jul-24'!AF101+'Jul-24'!AF105</f>
        <v>0</v>
      </c>
      <c r="DW21" s="322">
        <f>'Jul-24'!AG101+'Jul-24'!AG105</f>
        <v>0</v>
      </c>
      <c r="DX21" s="322">
        <f>'Jul-24'!AH101+'Jul-24'!AH105</f>
        <v>0</v>
      </c>
      <c r="DY21" s="322">
        <f>'Jul-24'!AI101+'Jul-24'!AI105</f>
        <v>33.93</v>
      </c>
      <c r="DZ21" s="322">
        <f>'Jul-24'!AL101+'Jul-24'!AL105</f>
        <v>28.334225806451613</v>
      </c>
      <c r="EA21" s="322">
        <f>'Aug-24'!E101+'Aug-24'!E105</f>
        <v>0</v>
      </c>
      <c r="EB21" s="322">
        <f>'Aug-24'!F101+'Aug-24'!F105</f>
        <v>0</v>
      </c>
      <c r="EC21" s="322">
        <f>'Aug-24'!G101+'Aug-24'!G105</f>
        <v>0</v>
      </c>
      <c r="ED21" s="322">
        <f>'Aug-24'!H101+'Aug-24'!H105</f>
        <v>0</v>
      </c>
      <c r="EE21" s="322">
        <f>'Aug-24'!I101+'Aug-24'!I105</f>
        <v>0</v>
      </c>
      <c r="EF21" s="322">
        <f>'Aug-24'!J101+'Aug-24'!J105</f>
        <v>0</v>
      </c>
      <c r="EG21" s="322">
        <f>'Aug-24'!K101+'Aug-24'!K105</f>
        <v>47.2</v>
      </c>
      <c r="EH21" s="322">
        <f>'Aug-24'!L101+'Aug-24'!L105</f>
        <v>58.22</v>
      </c>
      <c r="EI21" s="322">
        <f>'Aug-24'!M101+'Aug-24'!M105</f>
        <v>0</v>
      </c>
      <c r="EJ21" s="322">
        <f>'Aug-24'!N101+'Aug-24'!N105</f>
        <v>0</v>
      </c>
      <c r="EK21" s="322">
        <f>'Aug-24'!O101+'Aug-24'!O105</f>
        <v>89.72999999999999</v>
      </c>
      <c r="EL21" s="322">
        <f>'Aug-24'!P101+'Aug-24'!P105</f>
        <v>0</v>
      </c>
      <c r="EM21" s="322">
        <f>'Aug-24'!Q101+'Aug-24'!Q105</f>
        <v>0</v>
      </c>
      <c r="EN21" s="322">
        <f>'Aug-24'!R101+'Aug-24'!R105</f>
        <v>0</v>
      </c>
      <c r="EO21" s="322">
        <f>'Aug-24'!S101+'Aug-24'!S105</f>
        <v>119.82</v>
      </c>
      <c r="EP21" s="322">
        <f>'Aug-24'!T101+'Aug-24'!T105</f>
        <v>0</v>
      </c>
      <c r="EQ21" s="322">
        <f>'Aug-24'!U101+'Aug-24'!U105</f>
        <v>0</v>
      </c>
      <c r="ER21" s="322">
        <f>'Aug-24'!V101+'Aug-24'!V105</f>
        <v>0</v>
      </c>
      <c r="ES21" s="322">
        <f>'Aug-24'!W101+'Aug-24'!W105</f>
        <v>28.55</v>
      </c>
      <c r="ET21" s="322">
        <f>'Aug-24'!X101+'Aug-24'!X105</f>
        <v>0</v>
      </c>
      <c r="EU21" s="322">
        <f>'Aug-24'!Y101+'Aug-24'!Y105</f>
        <v>0</v>
      </c>
      <c r="EV21" s="322">
        <f>'Aug-24'!Z101+'Aug-24'!Z105</f>
        <v>56.88</v>
      </c>
      <c r="EW21" s="322">
        <f>'Aug-24'!AA101+'Aug-24'!AA105</f>
        <v>0</v>
      </c>
      <c r="EX21" s="322">
        <f>'Aug-24'!AB101+'Aug-24'!AB105</f>
        <v>0</v>
      </c>
      <c r="EY21" s="322">
        <f>'Aug-24'!AC101+'Aug-24'!AC105</f>
        <v>0</v>
      </c>
      <c r="EZ21" s="322">
        <f>'Aug-24'!AD101+'Aug-24'!AD105</f>
        <v>61.45</v>
      </c>
      <c r="FA21" s="322">
        <f>'Aug-24'!AE101+'Aug-24'!AE105</f>
        <v>0</v>
      </c>
      <c r="FB21" s="322">
        <f>'Aug-24'!AF101+'Aug-24'!AF105</f>
        <v>0</v>
      </c>
      <c r="FC21" s="322">
        <f>'Aug-24'!AG101+'Aug-24'!AG105</f>
        <v>0</v>
      </c>
      <c r="FD21" s="322">
        <f>'Aug-24'!AH101+'Aug-24'!AH105</f>
        <v>0</v>
      </c>
      <c r="FE21" s="322">
        <f>'Aug-24'!AI101+'Aug-24'!AI105</f>
        <v>0</v>
      </c>
      <c r="FF21" s="322">
        <f>'Aug-24'!$AL$101+'Aug-24'!$AL$105</f>
        <v>14.898387096774194</v>
      </c>
      <c r="FG21" s="322">
        <f>'Sep-24'!E102+'Sep-24'!E106</f>
        <v>0</v>
      </c>
      <c r="FH21" s="322">
        <f>'Sep-24'!F102+'Sep-24'!F106</f>
        <v>57.115000000000002</v>
      </c>
      <c r="FI21" s="322">
        <f>'Sep-24'!G102+'Sep-24'!G106</f>
        <v>0</v>
      </c>
      <c r="FJ21" s="322">
        <f>'Sep-24'!H102+'Sep-24'!H106</f>
        <v>0</v>
      </c>
      <c r="FK21" s="322">
        <f>'Sep-24'!$AJ$102+'Sep-24'!$AJ$106</f>
        <v>57.115000000000002</v>
      </c>
      <c r="FL21" s="134" t="s">
        <v>241</v>
      </c>
    </row>
    <row r="22" spans="1:168" hidden="1" x14ac:dyDescent="0.35">
      <c r="A22" s="157" t="s">
        <v>149</v>
      </c>
      <c r="B22" s="311" t="s">
        <v>7</v>
      </c>
      <c r="C22" s="311"/>
      <c r="D22" s="134"/>
      <c r="E22" s="134">
        <f>SUM('Apr-24'!E146:E149)</f>
        <v>0</v>
      </c>
      <c r="F22" s="134">
        <f>SUM('Apr-24'!F146:F149)</f>
        <v>0</v>
      </c>
      <c r="G22" s="134">
        <f>SUM('Apr-24'!G146:G149)</f>
        <v>0</v>
      </c>
      <c r="H22" s="134">
        <f>SUM('Apr-24'!H146:H149)</f>
        <v>0</v>
      </c>
      <c r="I22" s="134">
        <f>SUM('Apr-24'!I146:I149)</f>
        <v>0</v>
      </c>
      <c r="J22" s="134">
        <f>SUM('Apr-24'!J146:J149)</f>
        <v>0</v>
      </c>
      <c r="K22" s="134">
        <f>SUM('Apr-24'!K146:K149)</f>
        <v>0</v>
      </c>
      <c r="L22" s="134">
        <f>SUM('Apr-24'!L146:L149)</f>
        <v>0</v>
      </c>
      <c r="M22" s="134">
        <f>SUM('Apr-24'!M146:M149)</f>
        <v>0</v>
      </c>
      <c r="N22" s="134">
        <f>SUM('Apr-24'!N146:N149)</f>
        <v>0</v>
      </c>
      <c r="O22" s="134">
        <f>SUM('Apr-24'!O146:O149)</f>
        <v>0</v>
      </c>
      <c r="P22" s="134">
        <f>SUM('Apr-24'!P146:P149)</f>
        <v>0</v>
      </c>
      <c r="Q22" s="134">
        <f>SUM('Apr-24'!Q146:Q149)</f>
        <v>0</v>
      </c>
      <c r="R22" s="134">
        <f>SUM('Apr-24'!R146:R149)</f>
        <v>0</v>
      </c>
      <c r="S22" s="134">
        <f>SUM('Apr-24'!S146:S149)</f>
        <v>0</v>
      </c>
      <c r="T22" s="134">
        <f>SUM('Apr-24'!T146:T149)</f>
        <v>0</v>
      </c>
      <c r="U22" s="134">
        <f>SUM('Apr-24'!U146:U149)</f>
        <v>0</v>
      </c>
      <c r="V22" s="134">
        <f>SUM('Apr-24'!V146:V149)</f>
        <v>0</v>
      </c>
      <c r="W22" s="134">
        <f>SUM('Apr-24'!W146:W149)</f>
        <v>0</v>
      </c>
      <c r="X22" s="134">
        <f>SUM('Apr-24'!X146:X149)</f>
        <v>0</v>
      </c>
      <c r="Y22" s="134">
        <f>SUM('Apr-24'!Y146:Y149)</f>
        <v>0</v>
      </c>
      <c r="Z22" s="134">
        <f>SUM('Apr-24'!Z146:Z149)</f>
        <v>0</v>
      </c>
      <c r="AA22" s="134">
        <f>SUM('Apr-24'!AA146:AA149)</f>
        <v>0</v>
      </c>
      <c r="AB22" s="134">
        <f>SUM('Apr-24'!AB146:AB149)</f>
        <v>0</v>
      </c>
      <c r="AC22" s="134">
        <f>SUM('Apr-24'!AC146:AC149)</f>
        <v>0</v>
      </c>
      <c r="AD22" s="134">
        <f>SUM('Apr-24'!AD146:AD149)</f>
        <v>0</v>
      </c>
      <c r="AE22" s="134">
        <f>SUM('Apr-24'!AE146:AE149)</f>
        <v>0</v>
      </c>
      <c r="AF22" s="134">
        <f>SUM('Apr-24'!AF146:AF149)</f>
        <v>0</v>
      </c>
      <c r="AG22" s="134">
        <f>SUM('Apr-24'!AG146:AG149)</f>
        <v>0</v>
      </c>
      <c r="AH22" s="134">
        <f>SUM('Apr-24'!AH146:AH149)</f>
        <v>0</v>
      </c>
      <c r="AI22" s="134">
        <f>SUM('Apr-24'!AI146:AI149)</f>
        <v>0</v>
      </c>
      <c r="AJ22" s="134">
        <f>SUM('May-24'!E146:E149)</f>
        <v>0</v>
      </c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  <c r="BN22" s="134"/>
      <c r="BO22" s="134">
        <f>SUM('May-24'!AJ146:AJ149)</f>
        <v>0</v>
      </c>
      <c r="BP22" s="134"/>
      <c r="BQ22" s="134"/>
      <c r="BR22" s="134"/>
      <c r="BS22" s="134"/>
      <c r="BT22" s="134"/>
      <c r="BU22" s="134"/>
      <c r="BV22" s="134"/>
      <c r="BW22" s="134"/>
      <c r="BX22" s="134"/>
      <c r="BY22" s="134"/>
      <c r="BZ22" s="134"/>
      <c r="CA22" s="134"/>
      <c r="CB22" s="134"/>
      <c r="CC22" s="134"/>
      <c r="CD22" s="134"/>
      <c r="CE22" s="134"/>
      <c r="CF22" s="134"/>
      <c r="CG22" s="134"/>
      <c r="CH22" s="134"/>
      <c r="CI22" s="134"/>
      <c r="CJ22" s="134"/>
      <c r="CK22" s="134"/>
      <c r="CL22" s="134"/>
      <c r="CM22" s="134"/>
      <c r="CN22" s="134"/>
      <c r="CO22" s="134"/>
      <c r="CP22" s="134"/>
      <c r="CQ22" s="134"/>
      <c r="CR22" s="134"/>
      <c r="CS22" s="134"/>
      <c r="CT22" s="134">
        <f>SUM('Jun-24'!AJ129:AJ132)</f>
        <v>0</v>
      </c>
      <c r="CU22" s="134"/>
      <c r="CV22" s="134"/>
      <c r="CW22" s="134"/>
      <c r="CX22" s="134"/>
      <c r="CY22" s="134"/>
      <c r="CZ22" s="134"/>
      <c r="DA22" s="134"/>
      <c r="DB22" s="134"/>
      <c r="DC22" s="134"/>
      <c r="DD22" s="134"/>
      <c r="DE22" s="134"/>
      <c r="DF22" s="134"/>
      <c r="DG22" s="134"/>
      <c r="DH22" s="134"/>
      <c r="DI22" s="134"/>
      <c r="DJ22" s="134"/>
      <c r="DK22" s="134"/>
      <c r="DL22" s="134"/>
      <c r="DM22" s="134"/>
      <c r="DN22" s="134"/>
      <c r="DO22" s="134"/>
      <c r="DP22" s="134"/>
      <c r="DQ22" s="134"/>
      <c r="DR22" s="134"/>
      <c r="DS22" s="134"/>
      <c r="DT22" s="134"/>
      <c r="DU22" s="134"/>
      <c r="DV22" s="134"/>
      <c r="DW22" s="134"/>
      <c r="DX22" s="134"/>
      <c r="DY22" s="134"/>
      <c r="DZ22" s="134">
        <f>SUM('Jul-24'!AJ129:AJ132)</f>
        <v>0</v>
      </c>
      <c r="EA22" s="134"/>
      <c r="EB22" s="134"/>
      <c r="EC22" s="134"/>
      <c r="ED22" s="134"/>
      <c r="EE22" s="134"/>
      <c r="EF22" s="134"/>
      <c r="EG22" s="134"/>
      <c r="EH22" s="134"/>
      <c r="EI22" s="134"/>
      <c r="EJ22" s="134"/>
      <c r="EK22" s="134"/>
      <c r="EL22" s="134"/>
      <c r="EM22" s="134"/>
      <c r="EN22" s="134"/>
      <c r="EO22" s="134"/>
      <c r="EP22" s="134"/>
      <c r="EQ22" s="134"/>
      <c r="ER22" s="134"/>
      <c r="ES22" s="134"/>
      <c r="ET22" s="134"/>
      <c r="EU22" s="134"/>
      <c r="EV22" s="134"/>
      <c r="EW22" s="134"/>
      <c r="EX22" s="134"/>
      <c r="EY22" s="134"/>
      <c r="EZ22" s="134"/>
      <c r="FA22" s="134"/>
      <c r="FB22" s="134"/>
      <c r="FC22" s="134"/>
      <c r="FD22" s="134"/>
      <c r="FE22" s="134"/>
      <c r="FF22" s="134">
        <f>SUM('Aug-24'!AJ129:AJ132)</f>
        <v>0</v>
      </c>
      <c r="FG22" s="134"/>
      <c r="FH22" s="134"/>
      <c r="FI22" s="134"/>
      <c r="FJ22" s="134"/>
      <c r="FK22" s="134">
        <f>SUM('Sep-24'!AJ130:AJ133)</f>
        <v>0</v>
      </c>
      <c r="FL22" s="134"/>
    </row>
    <row r="23" spans="1:168" hidden="1" x14ac:dyDescent="0.35">
      <c r="A23" s="157" t="s">
        <v>83</v>
      </c>
      <c r="B23" s="311" t="s">
        <v>150</v>
      </c>
      <c r="C23" s="315">
        <v>84.769230769230774</v>
      </c>
      <c r="D23" s="321">
        <f>'Day Wise 24-25'!I24</f>
        <v>512.60711248489611</v>
      </c>
      <c r="E23" s="134">
        <f>'Apr-24'!E92</f>
        <v>115</v>
      </c>
      <c r="F23" s="134">
        <f>'Apr-24'!F92</f>
        <v>330</v>
      </c>
      <c r="G23" s="134">
        <f>'Apr-24'!G92</f>
        <v>400</v>
      </c>
      <c r="H23" s="134">
        <f>'Apr-24'!H92</f>
        <v>0</v>
      </c>
      <c r="I23" s="134">
        <f>'Apr-24'!I92</f>
        <v>181</v>
      </c>
      <c r="J23" s="134">
        <f>'Apr-24'!J92</f>
        <v>438</v>
      </c>
      <c r="K23" s="134">
        <f>'Apr-24'!K92</f>
        <v>339</v>
      </c>
      <c r="L23" s="134">
        <f>'Apr-24'!L92</f>
        <v>359.66700000000003</v>
      </c>
      <c r="M23" s="134">
        <f>'Apr-24'!M92</f>
        <v>304.08210000000003</v>
      </c>
      <c r="N23" s="134">
        <f>'Apr-24'!N92</f>
        <v>363.04425000000003</v>
      </c>
      <c r="O23" s="134">
        <f>'Apr-24'!O92</f>
        <v>412.96302000000003</v>
      </c>
      <c r="P23" s="134">
        <f>'Apr-24'!P92</f>
        <v>404.77085999999997</v>
      </c>
      <c r="Q23" s="134">
        <f>'Apr-24'!Q92</f>
        <v>233.1096</v>
      </c>
      <c r="R23" s="134">
        <f>'Apr-24'!R92</f>
        <v>415.62144000000001</v>
      </c>
      <c r="S23" s="134">
        <f>'Apr-24'!S92</f>
        <v>390.56688000000003</v>
      </c>
      <c r="T23" s="134">
        <f>'Apr-24'!T92</f>
        <v>188.16767999999999</v>
      </c>
      <c r="U23" s="134">
        <f>'Apr-24'!U92</f>
        <v>333.07060000000001</v>
      </c>
      <c r="V23" s="134">
        <f>'Apr-24'!V92</f>
        <v>276.38225999999997</v>
      </c>
      <c r="W23" s="134">
        <f>'Apr-24'!W92</f>
        <v>0</v>
      </c>
      <c r="X23" s="134">
        <f>'Apr-24'!X92</f>
        <v>103.22399999999999</v>
      </c>
      <c r="Y23" s="134">
        <f>'Apr-24'!Y92</f>
        <v>364.88475</v>
      </c>
      <c r="Z23" s="321">
        <f>'Apr-24'!Z92</f>
        <v>407.59749999999997</v>
      </c>
      <c r="AA23" s="321">
        <f>'Apr-24'!AA92</f>
        <v>469.95732000000004</v>
      </c>
      <c r="AB23" s="134">
        <f>'Apr-24'!AB92</f>
        <v>490</v>
      </c>
      <c r="AC23" s="134">
        <f>'Apr-24'!AC92</f>
        <v>456</v>
      </c>
      <c r="AD23" s="134">
        <f>'Apr-24'!AD92</f>
        <v>461</v>
      </c>
      <c r="AE23" s="134">
        <f>'Apr-24'!AE92</f>
        <v>470</v>
      </c>
      <c r="AF23" s="134">
        <f>'Apr-24'!AF92</f>
        <v>505</v>
      </c>
      <c r="AG23" s="134">
        <f>'Apr-24'!AG92</f>
        <v>426</v>
      </c>
      <c r="AH23" s="134">
        <f>'Apr-24'!AH92</f>
        <v>418</v>
      </c>
      <c r="AI23" s="321">
        <f>'Apr-24'!AJ92</f>
        <v>359.14675928571432</v>
      </c>
      <c r="AJ23" s="321">
        <f>'May-24'!E92</f>
        <v>483</v>
      </c>
      <c r="AK23" s="321">
        <f>'May-24'!F92</f>
        <v>444</v>
      </c>
      <c r="AL23" s="321">
        <f>'May-24'!G92</f>
        <v>375</v>
      </c>
      <c r="AM23" s="321">
        <f>'May-24'!H92</f>
        <v>400</v>
      </c>
      <c r="AN23" s="321">
        <f>'May-24'!I92</f>
        <v>315</v>
      </c>
      <c r="AO23" s="321">
        <f>'May-24'!J92</f>
        <v>385</v>
      </c>
      <c r="AP23" s="321">
        <f>'May-24'!K92</f>
        <v>430</v>
      </c>
      <c r="AQ23" s="321">
        <f>'May-24'!L92</f>
        <v>460</v>
      </c>
      <c r="AR23" s="321">
        <f>'May-24'!M92</f>
        <v>364</v>
      </c>
      <c r="AS23" s="321">
        <f>'May-24'!N92</f>
        <v>465</v>
      </c>
      <c r="AT23" s="321">
        <f>'May-24'!O92</f>
        <v>499</v>
      </c>
      <c r="AU23" s="321">
        <f>'May-24'!P92</f>
        <v>490</v>
      </c>
      <c r="AV23" s="321">
        <f>'May-24'!Q92</f>
        <v>375</v>
      </c>
      <c r="AW23" s="321">
        <f>'May-24'!R92</f>
        <v>0</v>
      </c>
      <c r="AX23" s="321">
        <f>'May-24'!S92</f>
        <v>221</v>
      </c>
      <c r="AY23" s="321">
        <f>'May-24'!T92</f>
        <v>435</v>
      </c>
      <c r="AZ23" s="321">
        <f>'May-24'!U92</f>
        <v>445</v>
      </c>
      <c r="BA23" s="321">
        <f>'May-24'!V92</f>
        <v>404</v>
      </c>
      <c r="BB23" s="321">
        <f>'May-24'!W92</f>
        <v>430</v>
      </c>
      <c r="BC23" s="321">
        <f>'May-24'!X92</f>
        <v>320</v>
      </c>
      <c r="BD23" s="321">
        <f>'May-24'!Y92</f>
        <v>344</v>
      </c>
      <c r="BE23" s="321">
        <f>'May-24'!Z92</f>
        <v>392</v>
      </c>
      <c r="BF23" s="321">
        <f>'May-24'!AA92</f>
        <v>395</v>
      </c>
      <c r="BG23" s="321">
        <f>'May-24'!AB92</f>
        <v>228</v>
      </c>
      <c r="BH23" s="321">
        <f>'May-24'!AC92</f>
        <v>287</v>
      </c>
      <c r="BI23" s="321">
        <f>'May-24'!AD92</f>
        <v>264</v>
      </c>
      <c r="BJ23" s="321">
        <f>'May-24'!AE92</f>
        <v>227</v>
      </c>
      <c r="BK23" s="321">
        <f>'May-24'!AF92</f>
        <v>287</v>
      </c>
      <c r="BL23" s="321">
        <f>'May-24'!AG92</f>
        <v>234</v>
      </c>
      <c r="BM23" s="321">
        <f>'May-24'!AH92</f>
        <v>151</v>
      </c>
      <c r="BN23" s="321">
        <f>'May-24'!AI92</f>
        <v>0</v>
      </c>
      <c r="BO23" s="321">
        <f>'May-24'!AK92</f>
        <v>363.75862068965517</v>
      </c>
      <c r="BP23" s="321">
        <f>'Jun-24'!E75</f>
        <v>0</v>
      </c>
      <c r="BQ23" s="321">
        <f>'Jun-24'!F75</f>
        <v>0</v>
      </c>
      <c r="BR23" s="321">
        <f>'Jun-24'!G75</f>
        <v>136</v>
      </c>
      <c r="BS23" s="321">
        <f>'Jun-24'!H75</f>
        <v>194</v>
      </c>
      <c r="BT23" s="321">
        <f>'Jun-24'!I75</f>
        <v>0</v>
      </c>
      <c r="BU23" s="321">
        <f>'Jun-24'!J75</f>
        <v>0</v>
      </c>
      <c r="BV23" s="321">
        <f>'Jun-24'!K75</f>
        <v>0</v>
      </c>
      <c r="BW23" s="321">
        <f>'Jun-24'!L75</f>
        <v>348</v>
      </c>
      <c r="BX23" s="321">
        <f>'Jun-24'!M75</f>
        <v>410</v>
      </c>
      <c r="BY23" s="321">
        <f>'Jun-24'!N75</f>
        <v>208</v>
      </c>
      <c r="BZ23" s="321">
        <f>'Jun-24'!O75</f>
        <v>0</v>
      </c>
      <c r="CA23" s="321">
        <f>'Jun-24'!P75</f>
        <v>102</v>
      </c>
      <c r="CB23" s="321">
        <f>'Jun-24'!Q75</f>
        <v>0</v>
      </c>
      <c r="CC23" s="321">
        <f>'Jun-24'!R75</f>
        <v>0</v>
      </c>
      <c r="CD23" s="321">
        <f>'Jun-24'!S75</f>
        <v>351</v>
      </c>
      <c r="CE23" s="321">
        <f>'Jun-24'!T75</f>
        <v>289</v>
      </c>
      <c r="CF23" s="321">
        <f>'Jun-24'!U75</f>
        <v>248</v>
      </c>
      <c r="CG23" s="321">
        <f>'Jun-24'!V75</f>
        <v>201</v>
      </c>
      <c r="CH23" s="321">
        <f>'Jun-24'!W75</f>
        <v>322</v>
      </c>
      <c r="CI23" s="321">
        <f>'Jun-24'!X75</f>
        <v>238</v>
      </c>
      <c r="CJ23" s="321">
        <f>'Jun-24'!Y75</f>
        <v>249</v>
      </c>
      <c r="CK23" s="321">
        <f>'Jun-24'!Z75</f>
        <v>212</v>
      </c>
      <c r="CL23" s="321">
        <f>'Jun-24'!AA75</f>
        <v>167</v>
      </c>
      <c r="CM23" s="321">
        <f>'Jun-24'!AB75</f>
        <v>0</v>
      </c>
      <c r="CN23" s="321">
        <f>'Jun-24'!AC75</f>
        <v>0</v>
      </c>
      <c r="CO23" s="321">
        <f>'Jun-24'!AD75</f>
        <v>0</v>
      </c>
      <c r="CP23" s="321">
        <f>'Jun-24'!AE75</f>
        <v>0</v>
      </c>
      <c r="CQ23" s="321">
        <f>'Jun-24'!AF75</f>
        <v>0</v>
      </c>
      <c r="CR23" s="321">
        <f>'Jun-24'!AG75</f>
        <v>101</v>
      </c>
      <c r="CS23" s="321">
        <f>'Jun-24'!AH75</f>
        <v>157</v>
      </c>
      <c r="CT23" s="321">
        <f>'Jun-24'!AM75</f>
        <v>0</v>
      </c>
      <c r="CU23" s="321">
        <f>'Jul-24'!E75</f>
        <v>175</v>
      </c>
      <c r="CV23" s="321">
        <f>'Jul-24'!F75</f>
        <v>105</v>
      </c>
      <c r="CW23" s="321">
        <f>'Jul-24'!G75</f>
        <v>177</v>
      </c>
      <c r="CX23" s="321">
        <f>'Jul-24'!H75</f>
        <v>285</v>
      </c>
      <c r="CY23" s="321">
        <f>'Jul-24'!I75</f>
        <v>301</v>
      </c>
      <c r="CZ23" s="321">
        <f>'Jul-24'!J75</f>
        <v>289</v>
      </c>
      <c r="DA23" s="321">
        <f>'Jul-24'!K75</f>
        <v>204</v>
      </c>
      <c r="DB23" s="321">
        <f>'Jul-24'!L75</f>
        <v>155</v>
      </c>
      <c r="DC23" s="321">
        <f>'Jul-24'!M75</f>
        <v>193</v>
      </c>
      <c r="DD23" s="321">
        <f>'Jul-24'!N75</f>
        <v>199</v>
      </c>
      <c r="DE23" s="321">
        <f>'Jul-24'!O75</f>
        <v>0</v>
      </c>
      <c r="DF23" s="321">
        <f>'Jul-24'!P75</f>
        <v>0</v>
      </c>
      <c r="DG23" s="321">
        <f>'Jul-24'!Q75</f>
        <v>0</v>
      </c>
      <c r="DH23" s="321">
        <f>'Jul-24'!R75</f>
        <v>0</v>
      </c>
      <c r="DI23" s="321">
        <f>'Jul-24'!S75</f>
        <v>101</v>
      </c>
      <c r="DJ23" s="321">
        <f>'Jul-24'!T75</f>
        <v>260</v>
      </c>
      <c r="DK23" s="321">
        <f>'Jul-24'!U75</f>
        <v>293</v>
      </c>
      <c r="DL23" s="321">
        <f>'Jul-24'!V75</f>
        <v>0</v>
      </c>
      <c r="DM23" s="321"/>
      <c r="DN23" s="321"/>
      <c r="DO23" s="321"/>
      <c r="DP23" s="321"/>
      <c r="DQ23" s="321"/>
      <c r="DR23" s="321"/>
      <c r="DS23" s="321"/>
      <c r="DT23" s="321"/>
      <c r="DU23" s="321"/>
      <c r="DV23" s="321"/>
      <c r="DW23" s="321"/>
      <c r="DX23" s="321"/>
      <c r="DY23" s="321"/>
      <c r="DZ23" s="321">
        <f>'Jul-24'!AO75</f>
        <v>0</v>
      </c>
      <c r="EA23" s="321">
        <f>'Aug-24'!E75</f>
        <v>0</v>
      </c>
      <c r="EB23" s="321">
        <f>'Aug-24'!F75</f>
        <v>0</v>
      </c>
      <c r="EC23" s="321">
        <f>'Aug-24'!G75</f>
        <v>295</v>
      </c>
      <c r="ED23" s="321">
        <f>'Aug-24'!H75</f>
        <v>268</v>
      </c>
      <c r="EE23" s="321">
        <f>'Aug-24'!I75</f>
        <v>296</v>
      </c>
      <c r="EF23" s="321">
        <f>'Aug-24'!J75</f>
        <v>399</v>
      </c>
      <c r="EG23" s="321">
        <f>'Aug-24'!K75</f>
        <v>348</v>
      </c>
      <c r="EH23" s="321">
        <f>'Aug-24'!L75</f>
        <v>243</v>
      </c>
      <c r="EI23" s="321">
        <f>'Aug-24'!M75</f>
        <v>257</v>
      </c>
      <c r="EJ23" s="321">
        <f>'Aug-24'!N75</f>
        <v>215</v>
      </c>
      <c r="EK23" s="321">
        <f>'Aug-24'!O75</f>
        <v>218</v>
      </c>
      <c r="EL23" s="321">
        <f>'Aug-24'!P75</f>
        <v>390</v>
      </c>
      <c r="EM23" s="321">
        <f>'Aug-24'!Q75</f>
        <v>260</v>
      </c>
      <c r="EN23" s="321">
        <f>'Aug-24'!R75</f>
        <v>226</v>
      </c>
      <c r="EO23" s="321">
        <f>'Aug-24'!S75</f>
        <v>231</v>
      </c>
      <c r="EP23" s="321">
        <f>'Aug-24'!T75</f>
        <v>176</v>
      </c>
      <c r="EQ23" s="321">
        <f>'Aug-24'!U75</f>
        <v>288</v>
      </c>
      <c r="ER23" s="321">
        <f>'Aug-24'!V75</f>
        <v>234</v>
      </c>
      <c r="ES23" s="321">
        <f>'Aug-24'!W75</f>
        <v>223</v>
      </c>
      <c r="ET23" s="321">
        <f>'Aug-24'!X75</f>
        <v>276</v>
      </c>
      <c r="EU23" s="321">
        <f>'Aug-24'!Y75</f>
        <v>230</v>
      </c>
      <c r="EV23" s="321">
        <f>'Aug-24'!Z75</f>
        <v>95</v>
      </c>
      <c r="EW23" s="321">
        <f>'Aug-24'!AA75</f>
        <v>63</v>
      </c>
      <c r="EX23" s="321">
        <f>'Aug-24'!AB75</f>
        <v>172</v>
      </c>
      <c r="EY23" s="321">
        <f>'Aug-24'!AC75</f>
        <v>326</v>
      </c>
      <c r="EZ23" s="321">
        <f>'Aug-24'!AD75</f>
        <v>148</v>
      </c>
      <c r="FA23" s="321">
        <f>'Aug-24'!AE75</f>
        <v>230</v>
      </c>
      <c r="FB23" s="321">
        <f>'Aug-24'!AF75</f>
        <v>162</v>
      </c>
      <c r="FC23" s="321">
        <f>'Aug-24'!AG75</f>
        <v>182</v>
      </c>
      <c r="FD23" s="321">
        <f>'Aug-24'!AH75</f>
        <v>174</v>
      </c>
      <c r="FE23" s="321">
        <f>'Aug-24'!AI75</f>
        <v>145</v>
      </c>
      <c r="FF23" s="321">
        <f>'Aug-24'!AU75</f>
        <v>0</v>
      </c>
      <c r="FG23" s="321">
        <f>'Sep-24'!E75</f>
        <v>185</v>
      </c>
      <c r="FH23" s="321">
        <f>'Sep-24'!F75</f>
        <v>215</v>
      </c>
      <c r="FI23" s="321">
        <f>'Sep-24'!G75</f>
        <v>130</v>
      </c>
      <c r="FJ23" s="321">
        <f>'Sep-24'!H75</f>
        <v>144</v>
      </c>
      <c r="FK23" s="321">
        <f>'Sep-24'!AW75</f>
        <v>0</v>
      </c>
      <c r="FL23" s="134" t="s">
        <v>241</v>
      </c>
    </row>
    <row r="24" spans="1:168" x14ac:dyDescent="0.35">
      <c r="A24" s="157" t="s">
        <v>260</v>
      </c>
      <c r="B24" s="279" t="s">
        <v>261</v>
      </c>
      <c r="C24" s="280"/>
      <c r="D24" s="321">
        <v>13.1</v>
      </c>
      <c r="E24" s="322">
        <f>IFERROR((('Apr-24'!E92*'Apr-24'!E94)/('Apr-24'!E90*'Apr-24'!E78)*100),"-")</f>
        <v>4.4649491701756503</v>
      </c>
      <c r="F24" s="322">
        <f>IFERROR((('Apr-24'!F92*'Apr-24'!F94)/('Apr-24'!F90*'Apr-24'!F78)*100),"-")</f>
        <v>11.355850433471725</v>
      </c>
      <c r="G24" s="322">
        <f>IFERROR((('Apr-24'!G92*'Apr-24'!G94)/('Apr-24'!G90*'Apr-24'!G78)*100),"-")</f>
        <v>12.749202041031497</v>
      </c>
      <c r="H24" s="322">
        <f>IFERROR((('Apr-24'!H92*'Apr-24'!H94)/('Apr-24'!H90*'Apr-24'!H78)*100),"-")</f>
        <v>0</v>
      </c>
      <c r="I24" s="322">
        <f>IFERROR((('Apr-24'!I92*'Apr-24'!I94)/('Apr-24'!I90*'Apr-24'!I78)*100),"-")</f>
        <v>5.8528891701460282</v>
      </c>
      <c r="J24" s="322">
        <f>IFERROR((('Apr-24'!J92*'Apr-24'!J94)/('Apr-24'!J90*'Apr-24'!J78)*100),"-")</f>
        <v>13.753628560249789</v>
      </c>
      <c r="K24" s="322">
        <f>IFERROR((('Apr-24'!K92*'Apr-24'!K94)/('Apr-24'!K90*'Apr-24'!K78)*100),"-")</f>
        <v>14.831449386421127</v>
      </c>
      <c r="L24" s="322">
        <f>IFERROR((('Apr-24'!L92*'Apr-24'!L94)/('Apr-24'!L90*'Apr-24'!L78)*100),"-")</f>
        <v>15.525406940790507</v>
      </c>
      <c r="M24" s="322">
        <f>IFERROR((('Apr-24'!M92*'Apr-24'!M94)/('Apr-24'!M90*'Apr-24'!M78)*100),"-")</f>
        <v>13.254434231478706</v>
      </c>
      <c r="N24" s="322">
        <f>IFERROR((('Apr-24'!N92*'Apr-24'!N94)/('Apr-24'!N90*'Apr-24'!N78)*100),"-")</f>
        <v>16.788066941882128</v>
      </c>
      <c r="O24" s="322">
        <f>IFERROR((('Apr-24'!O92*'Apr-24'!O94)/('Apr-24'!O90*'Apr-24'!O78)*100),"-")</f>
        <v>17.167123158478446</v>
      </c>
      <c r="P24" s="322">
        <f>IFERROR((('Apr-24'!P92*'Apr-24'!P94)/('Apr-24'!P90*'Apr-24'!P78)*100),"-")</f>
        <v>19.988083779664052</v>
      </c>
      <c r="Q24" s="322">
        <f>IFERROR((('Apr-24'!Q92*'Apr-24'!Q94)/('Apr-24'!Q90*'Apr-24'!Q78)*100),"-")</f>
        <v>10.929730625019634</v>
      </c>
      <c r="R24" s="322">
        <f>IFERROR((('Apr-24'!R92*'Apr-24'!R94)/('Apr-24'!R90*'Apr-24'!R78)*100),"-")</f>
        <v>17.903141151732065</v>
      </c>
      <c r="S24" s="322">
        <f>IFERROR((('Apr-24'!S92*'Apr-24'!S94)/('Apr-24'!S90*'Apr-24'!S78)*100),"-")</f>
        <v>17.953275441421489</v>
      </c>
      <c r="T24" s="322">
        <f>IFERROR((('Apr-24'!T92*'Apr-24'!T94)/('Apr-24'!T90*'Apr-24'!T78)*100),"-")</f>
        <v>11.248989409016353</v>
      </c>
      <c r="U24" s="322">
        <f>IFERROR((('Apr-24'!U92*'Apr-24'!U94)/('Apr-24'!U90*'Apr-24'!U78)*100),"-")</f>
        <v>20.460505991395493</v>
      </c>
      <c r="V24" s="322">
        <f>IFERROR((('Apr-24'!V92*'Apr-24'!V94)/('Apr-24'!V90*'Apr-24'!V78)*100),"-")</f>
        <v>17.433519142805189</v>
      </c>
      <c r="W24" s="322" t="str">
        <f>IFERROR((('Apr-24'!W92*'Apr-24'!W94)/('Apr-24'!W90*'Apr-24'!W78)*100),"-")</f>
        <v>-</v>
      </c>
      <c r="X24" s="322">
        <f>IFERROR((('Apr-24'!X92*'Apr-24'!X94)/('Apr-24'!X90*'Apr-24'!X78)*100),"-")</f>
        <v>10.209589448389817</v>
      </c>
      <c r="Y24" s="322">
        <f>IFERROR((('Apr-24'!Y92*'Apr-24'!Y94)/('Apr-24'!Y90*'Apr-24'!Y78)*100),"-")</f>
        <v>13.189619203383341</v>
      </c>
      <c r="Z24" s="322">
        <f>IFERROR((('Apr-24'!Z92*'Apr-24'!Z94)/('Apr-24'!Z90*'Apr-24'!Z78)*100),"-")</f>
        <v>16.558394027690149</v>
      </c>
      <c r="AA24" s="322">
        <f>IFERROR((('Apr-24'!AA92*'Apr-24'!AA94)/('Apr-24'!AA90*'Apr-24'!AA78)*100),"-")</f>
        <v>20.8845588060395</v>
      </c>
      <c r="AB24" s="322">
        <f>IFERROR((('Apr-24'!AB92*'Apr-24'!AB94)/('Apr-24'!AB90*'Apr-24'!AB78)*100),"-")</f>
        <v>14.482707760657206</v>
      </c>
      <c r="AC24" s="322">
        <f>IFERROR((('Apr-24'!AC92*'Apr-24'!AC94)/('Apr-24'!AC90*'Apr-24'!AC78)*100),"-")</f>
        <v>15.242583631390699</v>
      </c>
      <c r="AD24" s="322">
        <f>IFERROR((('Apr-24'!AD92*'Apr-24'!AD94)/('Apr-24'!AD90*'Apr-24'!AD78)*100),"-")</f>
        <v>15.430624697657311</v>
      </c>
      <c r="AE24" s="322">
        <f>IFERROR((('Apr-24'!AE92*'Apr-24'!AE94)/('Apr-24'!AE90*'Apr-24'!AE78)*100),"-")</f>
        <v>22.041971087571778</v>
      </c>
      <c r="AF24" s="322">
        <f>IFERROR((('Apr-24'!AF92*'Apr-24'!AF94)/('Apr-24'!AF90*'Apr-24'!AF78)*100),"-")</f>
        <v>25.42850915343584</v>
      </c>
      <c r="AG24" s="322">
        <f>IFERROR((('Apr-24'!AG92*'Apr-24'!AG94)/('Apr-24'!AG90*'Apr-24'!AG78)*100),"-")</f>
        <v>26.875299223008437</v>
      </c>
      <c r="AH24" s="322">
        <f>IFERROR((('Apr-24'!AH92*'Apr-24'!AH94)/('Apr-24'!AH90*'Apr-24'!AH78)*100),"-")</f>
        <v>16.098960968262688</v>
      </c>
      <c r="AI24" s="322">
        <f>IFERROR(((('Apr-24'!AI92*'Apr-24'!AI94)/'Apr-24'!AI43)*100),"-")</f>
        <v>15.269689902016047</v>
      </c>
      <c r="AJ24" s="322">
        <f>IFERROR((('May-24'!E92*'May-24'!E94)/('May-24'!E90*'May-24'!E78)*100),"-")</f>
        <v>21.110634146341464</v>
      </c>
      <c r="AK24" s="322">
        <f>IFERROR((('May-24'!F92*'May-24'!F94)/('May-24'!F90*'May-24'!F78)*100),"-")</f>
        <v>21.995438996579246</v>
      </c>
      <c r="AL24" s="322">
        <f>IFERROR((('May-24'!G92*'May-24'!G94)/('May-24'!G90*'May-24'!G78)*100),"-")</f>
        <v>19.314534325091145</v>
      </c>
      <c r="AM24" s="322">
        <f>IFERROR((('May-24'!H92*'May-24'!H94)/('May-24'!H90*'May-24'!H78)*100),"-")</f>
        <v>23.00516974513538</v>
      </c>
      <c r="AN24" s="322">
        <f>IFERROR((('May-24'!I92*'May-24'!I94)/('May-24'!I90*'May-24'!I78)*100),"-")</f>
        <v>20.008231653431011</v>
      </c>
      <c r="AO24" s="322">
        <f>IFERROR((('May-24'!J92*'May-24'!J94)/('May-24'!J90*'May-24'!J78)*100),"-")</f>
        <v>19.378637494264531</v>
      </c>
      <c r="AP24" s="322">
        <f>IFERROR((('May-24'!K92*'May-24'!K94)/('May-24'!K90*'May-24'!K78)*100),"-")</f>
        <v>19.983563895356802</v>
      </c>
      <c r="AQ24" s="322">
        <f>IFERROR((('May-24'!L92*'May-24'!L94)/('May-24'!L90*'May-24'!L78)*100),"-")</f>
        <v>21.100807769357591</v>
      </c>
      <c r="AR24" s="322">
        <f>IFERROR((('May-24'!M92*'May-24'!M94)/('May-24'!M90*'May-24'!M78)*100),"-")</f>
        <v>14.007937387756911</v>
      </c>
      <c r="AS24" s="322">
        <f>IFERROR((('May-24'!N92*'May-24'!N94)/('May-24'!N90*'May-24'!N78)*100),"-")</f>
        <v>18.365861177935958</v>
      </c>
      <c r="AT24" s="322">
        <f>IFERROR((('May-24'!O92*'May-24'!O94)/('May-24'!O90*'May-24'!O78)*100),"-")</f>
        <v>19.088354158709372</v>
      </c>
      <c r="AU24" s="322">
        <f>IFERROR((('May-24'!P92*'May-24'!P94)/('May-24'!P90*'May-24'!P78)*100),"-")</f>
        <v>20.084897229669348</v>
      </c>
      <c r="AV24" s="322">
        <f>IFERROR((('May-24'!Q92*'May-24'!Q94)/('May-24'!Q90*'May-24'!Q78)*100),"-")</f>
        <v>20.000888599271349</v>
      </c>
      <c r="AW24" s="322" t="str">
        <f>IFERROR((('May-24'!R92*'May-24'!R94)/('May-24'!R90*'May-24'!R78)*100),"-")</f>
        <v>-</v>
      </c>
      <c r="AX24" s="322">
        <f>IFERROR((('May-24'!S92*'May-24'!S94)/('May-24'!S90*'May-24'!S78)*100),"-")</f>
        <v>8.0753793118781427</v>
      </c>
      <c r="AY24" s="322">
        <f>IFERROR((('May-24'!T92*'May-24'!T94)/('May-24'!T90*'May-24'!T78)*100),"-")</f>
        <v>16.449862187147527</v>
      </c>
      <c r="AZ24" s="322">
        <f>IFERROR((('May-24'!U92*'May-24'!U94)/('May-24'!U90*'May-24'!U78)*100),"-")</f>
        <v>15.783552629603944</v>
      </c>
      <c r="BA24" s="322">
        <f>IFERROR((('May-24'!V92*'May-24'!V94)/('May-24'!V90*'May-24'!V78)*100),"-")</f>
        <v>12.573764654396793</v>
      </c>
      <c r="BB24" s="322">
        <f>IFERROR((('May-24'!W92*'May-24'!W94)/('May-24'!W90*'May-24'!W78)*100),"-")</f>
        <v>16.025959345797403</v>
      </c>
      <c r="BC24" s="322">
        <f>IFERROR((('May-24'!X92*'May-24'!X94)/('May-24'!X90*'May-24'!X78)*100),"-")</f>
        <v>10.404917705331169</v>
      </c>
      <c r="BD24" s="322">
        <f>IFERROR((('May-24'!Y92*'May-24'!Y94)/('May-24'!Y90*'May-24'!Y78)*100),"-")</f>
        <v>13.347088033335863</v>
      </c>
      <c r="BE24" s="322">
        <f>IFERROR((('May-24'!Z92*'May-24'!Z94)/('May-24'!Z90*'May-24'!Z78)*100),"-")</f>
        <v>15.193980917153546</v>
      </c>
      <c r="BF24" s="322">
        <f>IFERROR((('May-24'!AA92*'May-24'!AA94)/('May-24'!AA90*'May-24'!AA78)*100),"-")</f>
        <v>15.120700738998218</v>
      </c>
      <c r="BG24" s="322">
        <f>IFERROR((('May-24'!AB92*'May-24'!AB94)/('May-24'!AB90*'May-24'!AB78)*100),"-")</f>
        <v>10.444680243963333</v>
      </c>
      <c r="BH24" s="322">
        <f>IFERROR((('May-24'!AC92*'May-24'!AC94)/('May-24'!AC90*'May-24'!AC78)*100),"-")</f>
        <v>12.089872755050802</v>
      </c>
      <c r="BI24" s="322">
        <f>IFERROR((('May-24'!AD92*'May-24'!AD94)/('May-24'!AD90*'May-24'!AD78)*100),"-")</f>
        <v>11.741546435423986</v>
      </c>
      <c r="BJ24" s="322">
        <f>IFERROR((('May-24'!AE92*'May-24'!AE94)/('May-24'!AE90*'May-24'!AE78)*100),"-")</f>
        <v>9.9641145649226583</v>
      </c>
      <c r="BK24" s="322">
        <f>IFERROR((('May-24'!AF92*'May-24'!AF94)/('May-24'!AF90*'May-24'!AF78)*100),"-")</f>
        <v>10.388549950860417</v>
      </c>
      <c r="BL24" s="322">
        <f>IFERROR((('May-24'!AG92*'May-24'!AG94)/('May-24'!AG90*'May-24'!AG78)*100),"-")</f>
        <v>8.9743232650397697</v>
      </c>
      <c r="BM24" s="322">
        <f>IFERROR((('May-24'!AH92*'May-24'!AH94)/('May-24'!AH90*'May-24'!AH78)*100),"-")</f>
        <v>5.9350169860504218</v>
      </c>
      <c r="BN24" s="322">
        <f>IFERROR((('May-24'!AI92*'May-24'!AI94)/('May-24'!AI90*'May-24'!AI78)*100),"-")</f>
        <v>0</v>
      </c>
      <c r="BO24" s="323">
        <f>IFERROR(((('May-24'!AJ92*'May-24'!AJ94)/'May-24'!AJ43)*100),"-")</f>
        <v>14.829846204999459</v>
      </c>
      <c r="BP24" s="322">
        <f>IFERROR((('Jun-24'!E75*'Jun-24'!E77)/('Jun-24'!E73*'Jun-24'!E69)*100),"-")</f>
        <v>0</v>
      </c>
      <c r="BQ24" s="322">
        <f>IFERROR((('Jun-24'!F75*'Jun-24'!F77)/('Jun-24'!F73*'Jun-24'!F69)*100),"-")</f>
        <v>0</v>
      </c>
      <c r="BR24" s="322">
        <f>IFERROR((('Jun-24'!G75*'Jun-24'!G77)/('Jun-24'!G73*'Jun-24'!G69)*100),"-")</f>
        <v>5.6981282571775527</v>
      </c>
      <c r="BS24" s="322">
        <f>IFERROR((('Jun-24'!H75*'Jun-24'!H77)/('Jun-24'!H73*'Jun-24'!H69)*100),"-")</f>
        <v>9.5448569842208002</v>
      </c>
      <c r="BT24" s="322" t="str">
        <f>IFERROR((('Jun-24'!I75*'Jun-24'!I77)/('Jun-24'!I73*'Jun-24'!I69)*100),"-")</f>
        <v>-</v>
      </c>
      <c r="BU24" s="322" t="str">
        <f>IFERROR((('Jun-24'!J75*'Jun-24'!J77)/('Jun-24'!J73*'Jun-24'!J69)*100),"-")</f>
        <v>-</v>
      </c>
      <c r="BV24" s="322">
        <f>IFERROR((('Jun-24'!K75*'Jun-24'!K77)/('Jun-24'!K73*'Jun-24'!K69)*100),"-")</f>
        <v>0</v>
      </c>
      <c r="BW24" s="322">
        <f>IFERROR((('Jun-24'!L75*'Jun-24'!L77)/('Jun-24'!L73*'Jun-24'!L69)*100),"-")</f>
        <v>15.578004707905665</v>
      </c>
      <c r="BX24" s="322">
        <f>IFERROR((('Jun-24'!M75*'Jun-24'!M77)/('Jun-24'!M73*'Jun-24'!M69)*100),"-")</f>
        <v>18.888585288795053</v>
      </c>
      <c r="BY24" s="322">
        <f>IFERROR((('Jun-24'!N75*'Jun-24'!N77)/('Jun-24'!N73*'Jun-24'!N69)*100),"-")</f>
        <v>9.5982048051194209</v>
      </c>
      <c r="BZ24" s="322">
        <f>IFERROR((('Jun-24'!O75*'Jun-24'!O77)/('Jun-24'!O73*'Jun-24'!O69)*100),"-")</f>
        <v>0</v>
      </c>
      <c r="CA24" s="322">
        <f>IFERROR((('Jun-24'!P75*'Jun-24'!P77)/('Jun-24'!P73*'Jun-24'!P69)*100),"-")</f>
        <v>4.460626057252318</v>
      </c>
      <c r="CB24" s="322">
        <f>IFERROR((('Jun-24'!Q75*'Jun-24'!Q77)/('Jun-24'!Q73*'Jun-24'!Q69)*100),"-")</f>
        <v>0</v>
      </c>
      <c r="CC24" s="322">
        <f>IFERROR((('Jun-24'!R75*'Jun-24'!R77)/('Jun-24'!R73*'Jun-24'!R69)*100),"-")</f>
        <v>0</v>
      </c>
      <c r="CD24" s="322">
        <f>IFERROR((('Jun-24'!S75*'Jun-24'!S77)/('Jun-24'!S73*'Jun-24'!S69)*100),"-")</f>
        <v>15.419097577746616</v>
      </c>
      <c r="CE24" s="322">
        <f>IFERROR((('Jun-24'!T75*'Jun-24'!T77)/('Jun-24'!T73*'Jun-24'!T69)*100),"-")</f>
        <v>11.978018064211309</v>
      </c>
      <c r="CF24" s="322">
        <f>IFERROR((('Jun-24'!U75*'Jun-24'!U77)/('Jun-24'!U73*'Jun-24'!U69)*100),"-")</f>
        <v>9.2925703362275005</v>
      </c>
      <c r="CG24" s="322">
        <f>IFERROR((('Jun-24'!V75*'Jun-24'!V77)/('Jun-24'!V73*'Jun-24'!V69)*100),"-")</f>
        <v>8.4847950547626958</v>
      </c>
      <c r="CH24" s="322">
        <f>IFERROR((('Jun-24'!W75*'Jun-24'!W77)/('Jun-24'!W73*'Jun-24'!W69)*100),"-")</f>
        <v>13.555192384497742</v>
      </c>
      <c r="CI24" s="322">
        <f>IFERROR((('Jun-24'!X75*'Jun-24'!X77)/('Jun-24'!X73*'Jun-24'!X69)*100),"-")</f>
        <v>9.5815744073545925</v>
      </c>
      <c r="CJ24" s="322">
        <f>IFERROR((('Jun-24'!Y75*'Jun-24'!Y77)/('Jun-24'!Y73*'Jun-24'!Y69)*100),"-")</f>
        <v>10.53655414575379</v>
      </c>
      <c r="CK24" s="322">
        <f>IFERROR((('Jun-24'!Z75*'Jun-24'!Z77)/('Jun-24'!Z73*'Jun-24'!Z69)*100),"-")</f>
        <v>9.7057783804771756</v>
      </c>
      <c r="CL24" s="322">
        <f>IFERROR((('Jun-24'!AA75*'Jun-24'!AA77)/('Jun-24'!AA73*'Jun-24'!AA69)*100),"-")</f>
        <v>6.6817821451433588</v>
      </c>
      <c r="CM24" s="322">
        <f>IFERROR((('Jun-24'!AB75*'Jun-24'!AB77)/('Jun-24'!AB73*'Jun-24'!AB69)*100),"-")</f>
        <v>0</v>
      </c>
      <c r="CN24" s="322">
        <f>IFERROR((('Jun-24'!AC75*'Jun-24'!AC77)/('Jun-24'!AC73*'Jun-24'!AC69)*100),"-")</f>
        <v>0</v>
      </c>
      <c r="CO24" s="322">
        <f>IFERROR((('Jun-24'!AD75*'Jun-24'!AD77)/('Jun-24'!AD73*'Jun-24'!AD69)*100),"-")</f>
        <v>0</v>
      </c>
      <c r="CP24" s="322">
        <f>IFERROR((('Jun-24'!AE75*'Jun-24'!AE77)/('Jun-24'!AE73*'Jun-24'!AE69)*100),"-")</f>
        <v>0</v>
      </c>
      <c r="CQ24" s="322">
        <f>IFERROR((('Jun-24'!AF75*'Jun-24'!AF77)/('Jun-24'!AF73*'Jun-24'!AF69)*100),"-")</f>
        <v>0</v>
      </c>
      <c r="CR24" s="322">
        <f>IFERROR((('Jun-24'!AG75*'Jun-24'!AG77)/('Jun-24'!AG73*'Jun-24'!AG69)*100),"-")</f>
        <v>4.0642411177814637</v>
      </c>
      <c r="CS24" s="322">
        <f>IFERROR((('Jun-24'!AH75*'Jun-24'!AH77)/('Jun-24'!AH73*'Jun-24'!AH69)*100),"-")</f>
        <v>5.6666420950812482</v>
      </c>
      <c r="CT24" s="323">
        <f>IFERROR(((('Jun-24'!AJ75*'Jun-24'!AJ77)/'Jun-24'!AJ44)*100),"-")</f>
        <v>6.1760714260764979</v>
      </c>
      <c r="CU24" s="322">
        <f>IFERROR((('Jul-24'!E75*'Jul-24'!E77)/('Jul-24'!E73*'Jul-24'!E69)*100),"-")</f>
        <v>7.8814360943654611</v>
      </c>
      <c r="CV24" s="322">
        <f>IFERROR((('Jul-24'!F75*'Jul-24'!F77)/('Jul-24'!F73*'Jul-24'!F69)*100),"-")</f>
        <v>4.6623128384835937</v>
      </c>
      <c r="CW24" s="322">
        <f>IFERROR((('Jul-24'!G75*'Jul-24'!G77)/('Jul-24'!G73*'Jul-24'!G69)*100),"-")</f>
        <v>10.750756113719504</v>
      </c>
      <c r="CX24" s="322">
        <f>IFERROR((('Jul-24'!H75*'Jul-24'!H77)/('Jul-24'!H73*'Jul-24'!H69)*100),"-")</f>
        <v>13.141920492822019</v>
      </c>
      <c r="CY24" s="322">
        <f>IFERROR((('Jul-24'!I75*'Jul-24'!I77)/('Jul-24'!I73*'Jul-24'!I69)*100),"-")</f>
        <v>12.131467369579944</v>
      </c>
      <c r="CZ24" s="322">
        <f>IFERROR((('Jul-24'!J75*'Jul-24'!J77)/('Jul-24'!J73*'Jul-24'!J69)*100),"-")</f>
        <v>12.09336798988963</v>
      </c>
      <c r="DA24" s="322">
        <f>IFERROR((('Jul-24'!K75*'Jul-24'!K77)/('Jul-24'!K73*'Jul-24'!K69)*100),"-")</f>
        <v>9.1494959718521329</v>
      </c>
      <c r="DB24" s="322">
        <f>IFERROR((('Jul-24'!L75*'Jul-24'!L77)/('Jul-24'!L73*'Jul-24'!L69)*100),"-")</f>
        <v>6.7372483797425904</v>
      </c>
      <c r="DC24" s="322">
        <f>IFERROR((('Jul-24'!M75*'Jul-24'!M77)/('Jul-24'!M73*'Jul-24'!M69)*100),"-")</f>
        <v>7.8520400478311521</v>
      </c>
      <c r="DD24" s="322">
        <f>IFERROR((('Jul-24'!N75*'Jul-24'!N77)/('Jul-24'!N73*'Jul-24'!N69)*100),"-")</f>
        <v>8.2368957244733636</v>
      </c>
      <c r="DE24" s="322">
        <f>IFERROR((('Jul-24'!O75*'Jul-24'!O77)/('Jul-24'!O73*'Jul-24'!O69)*100),"-")</f>
        <v>0</v>
      </c>
      <c r="DF24" s="322">
        <f>IFERROR((('Jul-24'!P75*'Jul-24'!P77)/('Jul-24'!P73*'Jul-24'!P69)*100),"-")</f>
        <v>0</v>
      </c>
      <c r="DG24" s="322">
        <f>IFERROR((('Jul-24'!Q75*'Jul-24'!Q77)/('Jul-24'!Q73*'Jul-24'!Q69)*100),"-")</f>
        <v>0</v>
      </c>
      <c r="DH24" s="322">
        <f>IFERROR((('Jul-24'!R75*'Jul-24'!R77)/('Jul-24'!R73*'Jul-24'!R69)*100),"-")</f>
        <v>0</v>
      </c>
      <c r="DI24" s="322">
        <f>IFERROR((('Jul-24'!S75*'Jul-24'!S77)/('Jul-24'!S73*'Jul-24'!S69)*100),"-")</f>
        <v>4.0884813103574622</v>
      </c>
      <c r="DJ24" s="322">
        <f>IFERROR((('Jul-24'!T75*'Jul-24'!T77)/('Jul-24'!T73*'Jul-24'!T69)*100),"-")</f>
        <v>10.786853943849572</v>
      </c>
      <c r="DK24" s="322">
        <f>IFERROR((('Jul-24'!U75*'Jul-24'!U77)/('Jul-24'!U73*'Jul-24'!U69)*100),"-")</f>
        <v>11.315312974781037</v>
      </c>
      <c r="DL24" s="322">
        <f>IFERROR((('Jul-24'!V75*'Jul-24'!V77)/('Jul-24'!V73*'Jul-24'!V69)*100),"-")</f>
        <v>0</v>
      </c>
      <c r="DM24" s="322" t="str">
        <f>IFERROR((('Jul-24'!W75*'Jul-24'!W77)/('Jul-24'!W73*'Jul-24'!W69)*100),"-")</f>
        <v>-</v>
      </c>
      <c r="DN24" s="322" t="str">
        <f>IFERROR((('Jul-24'!X75*'Jul-24'!X77)/('Jul-24'!X73*'Jul-24'!X69)*100),"-")</f>
        <v>-</v>
      </c>
      <c r="DO24" s="322" t="str">
        <f>IFERROR((('Jul-24'!Y75*'Jul-24'!Y77)/('Jul-24'!Y73*'Jul-24'!Y69)*100),"-")</f>
        <v>-</v>
      </c>
      <c r="DP24" s="322" t="str">
        <f>IFERROR((('Jul-24'!Z75*'Jul-24'!Z77)/('Jul-24'!Z73*'Jul-24'!Z69)*100),"-")</f>
        <v>-</v>
      </c>
      <c r="DQ24" s="322" t="str">
        <f>IFERROR((('Jul-24'!AA75*'Jul-24'!AA77)/('Jul-24'!AA73*'Jul-24'!AA69)*100),"-")</f>
        <v>-</v>
      </c>
      <c r="DR24" s="322" t="str">
        <f>IFERROR((('Jul-24'!AB75*'Jul-24'!AB77)/('Jul-24'!AB73*'Jul-24'!AB69)*100),"-")</f>
        <v>-</v>
      </c>
      <c r="DS24" s="322" t="str">
        <f>IFERROR((('Jul-24'!AC75*'Jul-24'!AC77)/('Jul-24'!AC73*'Jul-24'!AC69)*100),"-")</f>
        <v>-</v>
      </c>
      <c r="DT24" s="322" t="str">
        <f>IFERROR((('Jul-24'!AD75*'Jul-24'!AD77)/('Jul-24'!AD73*'Jul-24'!AD69)*100),"-")</f>
        <v>-</v>
      </c>
      <c r="DU24" s="322" t="str">
        <f>IFERROR((('Jul-24'!AE75*'Jul-24'!AE77)/('Jul-24'!AE73*'Jul-24'!AE69)*100),"-")</f>
        <v>-</v>
      </c>
      <c r="DV24" s="322" t="str">
        <f>IFERROR((('Jul-24'!AF75*'Jul-24'!AF77)/('Jul-24'!AF73*'Jul-24'!AF69)*100),"-")</f>
        <v>-</v>
      </c>
      <c r="DW24" s="322" t="str">
        <f>IFERROR((('Jul-24'!AG75*'Jul-24'!AG77)/('Jul-24'!AG73*'Jul-24'!AG69)*100),"-")</f>
        <v>-</v>
      </c>
      <c r="DX24" s="322" t="str">
        <f>IFERROR((('Jul-24'!AH75*'Jul-24'!AH77)/('Jul-24'!AH73*'Jul-24'!AH69)*100),"-")</f>
        <v>-</v>
      </c>
      <c r="DY24" s="322">
        <f>IFERROR((('Jul-24'!AI75*'Jul-24'!AI77)/('Jul-24'!AI73*'Jul-24'!AI69)*100),"-")</f>
        <v>0</v>
      </c>
      <c r="DZ24" s="323">
        <f>IFERROR(((('Jul-24'!AJ75*'Jul-24'!AJ77)/'Jul-24'!AJ44)*100),"-")</f>
        <v>6.5098940493973938</v>
      </c>
      <c r="EA24" s="322">
        <f>IFERROR((('Aug-24'!E75*'Aug-24'!E77)/('Aug-24'!E73*'Aug-24'!E69)*100),"-")</f>
        <v>0</v>
      </c>
      <c r="EB24" s="322">
        <f>IFERROR((('Aug-24'!F75*'Aug-24'!F77)/('Aug-24'!F73*'Aug-24'!F69)*100),"-")</f>
        <v>0</v>
      </c>
      <c r="EC24" s="322">
        <f>IFERROR((('Aug-24'!G75*'Aug-24'!G77)/('Aug-24'!G73*'Aug-24'!G69)*100),"-")</f>
        <v>15.681115966355035</v>
      </c>
      <c r="ED24" s="322">
        <f>IFERROR((('Aug-24'!H75*'Aug-24'!H77)/('Aug-24'!H73*'Aug-24'!H69)*100),"-")</f>
        <v>14.327294327294327</v>
      </c>
      <c r="EE24" s="322">
        <f>IFERROR((('Aug-24'!I75*'Aug-24'!I77)/('Aug-24'!I73*'Aug-24'!I69)*100),"-")</f>
        <v>13.483533945580151</v>
      </c>
      <c r="EF24" s="322">
        <f>IFERROR((('Aug-24'!J75*'Aug-24'!J77)/('Aug-24'!J73*'Aug-24'!J69)*100),"-")</f>
        <v>15.946123638431331</v>
      </c>
      <c r="EG24" s="322">
        <f>IFERROR((('Aug-24'!K75*'Aug-24'!K77)/('Aug-24'!K73*'Aug-24'!K69)*100),"-")</f>
        <v>13.443010836633768</v>
      </c>
      <c r="EH24" s="322">
        <f>IFERROR((('Aug-24'!L75*'Aug-24'!L77)/('Aug-24'!L73*'Aug-24'!L69)*100),"-")</f>
        <v>8.6778428283586511</v>
      </c>
      <c r="EI24" s="322">
        <f>IFERROR((('Aug-24'!M75*'Aug-24'!M77)/('Aug-24'!M73*'Aug-24'!M69)*100),"-")</f>
        <v>10.749158296842221</v>
      </c>
      <c r="EJ24" s="322">
        <f>IFERROR((('Aug-24'!N75*'Aug-24'!N77)/('Aug-24'!N73*'Aug-24'!N69)*100),"-")</f>
        <v>8.5670140725121335</v>
      </c>
      <c r="EK24" s="322">
        <f>IFERROR((('Aug-24'!O75*'Aug-24'!O77)/('Aug-24'!O73*'Aug-24'!O69)*100),"-")</f>
        <v>8.7108355743949133</v>
      </c>
      <c r="EL24" s="322">
        <f>IFERROR((('Aug-24'!P75*'Aug-24'!P77)/('Aug-24'!P73*'Aug-24'!P69)*100),"-")</f>
        <v>15.18793624724721</v>
      </c>
      <c r="EM24" s="322">
        <f>IFERROR((('Aug-24'!Q75*'Aug-24'!Q77)/('Aug-24'!Q73*'Aug-24'!Q69)*100),"-")</f>
        <v>10.028491614066169</v>
      </c>
      <c r="EN24" s="322">
        <f>IFERROR((('Aug-24'!R75*'Aug-24'!R77)/('Aug-24'!R73*'Aug-24'!R69)*100),"-")</f>
        <v>8.8376988574709969</v>
      </c>
      <c r="EO24" s="322">
        <f>IFERROR((('Aug-24'!S75*'Aug-24'!S77)/('Aug-24'!S73*'Aug-24'!S69)*100),"-")</f>
        <v>8.4249772032447225</v>
      </c>
      <c r="EP24" s="322">
        <f>IFERROR((('Aug-24'!T75*'Aug-24'!T77)/('Aug-24'!T73*'Aug-24'!T69)*100),"-")</f>
        <v>6.369294240396961</v>
      </c>
      <c r="EQ24" s="322">
        <f>IFERROR((('Aug-24'!U75*'Aug-24'!U77)/('Aug-24'!U73*'Aug-24'!U69)*100),"-")</f>
        <v>12.288894788376195</v>
      </c>
      <c r="ER24" s="322">
        <f>IFERROR((('Aug-24'!V75*'Aug-24'!V77)/('Aug-24'!V73*'Aug-24'!V69)*100),"-")</f>
        <v>8.1174351894406271</v>
      </c>
      <c r="ES24" s="322">
        <f>IFERROR((('Aug-24'!W75*'Aug-24'!W77)/('Aug-24'!W73*'Aug-24'!W69)*100),"-")</f>
        <v>8.1950803713813318</v>
      </c>
      <c r="ET24" s="322">
        <f>IFERROR((('Aug-24'!X75*'Aug-24'!X77)/('Aug-24'!X73*'Aug-24'!X69)*100),"-")</f>
        <v>10.321100917431194</v>
      </c>
      <c r="EU24" s="322">
        <f>IFERROR((('Aug-24'!Y75*'Aug-24'!Y77)/('Aug-24'!Y73*'Aug-24'!Y69)*100),"-")</f>
        <v>9.1776983442212092</v>
      </c>
      <c r="EV24" s="322">
        <f>IFERROR((('Aug-24'!Z75*'Aug-24'!Z77)/('Aug-24'!Z73*'Aug-24'!Z69)*100),"-")</f>
        <v>6.3973150235704033</v>
      </c>
      <c r="EW24" s="322">
        <f>IFERROR((('Aug-24'!AA75*'Aug-24'!AA77)/('Aug-24'!AA73*'Aug-24'!AA69)*100),"-")</f>
        <v>2.9065637960738013</v>
      </c>
      <c r="EX24" s="322">
        <f>IFERROR((('Aug-24'!AB75*'Aug-24'!AB77)/('Aug-24'!AB73*'Aug-24'!AB69)*100),"-")</f>
        <v>6.3298699441061368</v>
      </c>
      <c r="EY24" s="322">
        <f>IFERROR((('Aug-24'!AC75*'Aug-24'!AC77)/('Aug-24'!AC73*'Aug-24'!AC69)*100),"-")</f>
        <v>12.530252360342416</v>
      </c>
      <c r="EZ24" s="322">
        <f>IFERROR((('Aug-24'!AD75*'Aug-24'!AD77)/('Aug-24'!AD73*'Aug-24'!AD69)*100),"-")</f>
        <v>5.8108216112531963</v>
      </c>
      <c r="FA24" s="322">
        <f>IFERROR((('Aug-24'!AE75*'Aug-24'!AE77)/('Aug-24'!AE73*'Aug-24'!AE69)*100),"-")</f>
        <v>9.7501744997673327</v>
      </c>
      <c r="FB24" s="322">
        <f>IFERROR((('Aug-24'!AF75*'Aug-24'!AF77)/('Aug-24'!AF73*'Aug-24'!AF69)*100),"-")</f>
        <v>6.8067758289835485</v>
      </c>
      <c r="FC24" s="322">
        <f>IFERROR((('Aug-24'!AG75*'Aug-24'!AG77)/('Aug-24'!AG73*'Aug-24'!AG69)*100),"-")</f>
        <v>7.3862876254180598</v>
      </c>
      <c r="FD24" s="322">
        <f>IFERROR((('Aug-24'!AH75*'Aug-24'!AH77)/('Aug-24'!AH73*'Aug-24'!AH69)*100),"-")</f>
        <v>6.8552972578910047</v>
      </c>
      <c r="FE24" s="322">
        <f>IFERROR((('Aug-24'!AI75*'Aug-24'!AI77)/('Aug-24'!AI73*'Aug-24'!AI69)*100),"-")</f>
        <v>5.8512824130509102</v>
      </c>
      <c r="FF24" s="323">
        <f>IFERROR(((('Aug-24'!AJ75*'Aug-24'!AJ77)/'Aug-24'!AJ44)*100),"-")</f>
        <v>9.0106415991508531</v>
      </c>
      <c r="FG24" s="338">
        <f>AFR!FD12</f>
        <v>7.2934612197695425E-2</v>
      </c>
      <c r="FH24" s="338">
        <f>AFR!FE12</f>
        <v>8.4533882573100474E-2</v>
      </c>
      <c r="FI24" s="338">
        <f>AFR!FF12</f>
        <v>9.2720745371917046E-2</v>
      </c>
      <c r="FJ24" s="338">
        <f>AFR!FG12</f>
        <v>9.7764653816355185E-2</v>
      </c>
      <c r="FK24" s="338">
        <f>AFR!GH12</f>
        <v>8.6932448544539895E-2</v>
      </c>
      <c r="FL24" s="134" t="s">
        <v>241</v>
      </c>
    </row>
    <row r="26" spans="1:168" x14ac:dyDescent="0.35">
      <c r="D26" s="136"/>
    </row>
    <row r="27" spans="1:168" x14ac:dyDescent="0.35">
      <c r="B27" s="137"/>
      <c r="C27" s="137"/>
      <c r="D27" s="138"/>
    </row>
    <row r="28" spans="1:168" x14ac:dyDescent="0.35">
      <c r="D28" s="138"/>
    </row>
    <row r="29" spans="1:168" x14ac:dyDescent="0.35">
      <c r="D29" s="138"/>
    </row>
    <row r="30" spans="1:168" x14ac:dyDescent="0.35">
      <c r="D30" s="138"/>
    </row>
    <row r="31" spans="1:168" x14ac:dyDescent="0.35">
      <c r="D31" s="136"/>
    </row>
    <row r="32" spans="1:168" x14ac:dyDescent="0.35">
      <c r="B32" s="139"/>
      <c r="C32" s="139"/>
      <c r="D32" s="136"/>
    </row>
    <row r="33" spans="2:3" x14ac:dyDescent="0.35">
      <c r="B33" s="140"/>
      <c r="C33" s="140"/>
    </row>
    <row r="34" spans="2:3" x14ac:dyDescent="0.35">
      <c r="B34" s="140"/>
      <c r="C34" s="140"/>
    </row>
  </sheetData>
  <mergeCells count="4">
    <mergeCell ref="A7:A9"/>
    <mergeCell ref="A10:A12"/>
    <mergeCell ref="B14:B15"/>
    <mergeCell ref="FL2:FL6"/>
  </mergeCells>
  <conditionalFormatting sqref="D9:BN9 BP9:CS9 CU9:DY9">
    <cfRule type="cellIs" dxfId="117" priority="21" operator="greaterThan">
      <formula>$D$9</formula>
    </cfRule>
  </conditionalFormatting>
  <conditionalFormatting sqref="E14:AH14">
    <cfRule type="cellIs" dxfId="116" priority="88" operator="lessThan">
      <formula>$D$14</formula>
    </cfRule>
  </conditionalFormatting>
  <conditionalFormatting sqref="E12:DZ12 FF12 FK12">
    <cfRule type="cellIs" dxfId="115" priority="89" operator="greaterThan">
      <formula>$D$12</formula>
    </cfRule>
  </conditionalFormatting>
  <conditionalFormatting sqref="E2:FK2">
    <cfRule type="cellIs" dxfId="114" priority="55" operator="lessThan">
      <formula>$D$2</formula>
    </cfRule>
  </conditionalFormatting>
  <conditionalFormatting sqref="E3:FK4">
    <cfRule type="cellIs" dxfId="113" priority="54" operator="lessThan">
      <formula>$D$3</formula>
    </cfRule>
  </conditionalFormatting>
  <conditionalFormatting sqref="E4:FK4">
    <cfRule type="cellIs" dxfId="112" priority="25" operator="lessThan">
      <formula>$D$4</formula>
    </cfRule>
    <cfRule type="cellIs" priority="24" operator="greaterThan">
      <formula>$D$4</formula>
    </cfRule>
  </conditionalFormatting>
  <conditionalFormatting sqref="E5:FK5">
    <cfRule type="cellIs" dxfId="111" priority="53" operator="lessThan">
      <formula>$D$5</formula>
    </cfRule>
  </conditionalFormatting>
  <conditionalFormatting sqref="E6:FK6">
    <cfRule type="cellIs" dxfId="110" priority="52" operator="lessThan">
      <formula>$D$6</formula>
    </cfRule>
  </conditionalFormatting>
  <conditionalFormatting sqref="E7:FK7">
    <cfRule type="cellIs" dxfId="109" priority="20" operator="greaterThan">
      <formula>$D$7</formula>
    </cfRule>
  </conditionalFormatting>
  <conditionalFormatting sqref="E8:FK9">
    <cfRule type="cellIs" dxfId="108" priority="18" operator="lessThanOrEqual">
      <formula>$D$8</formula>
    </cfRule>
  </conditionalFormatting>
  <conditionalFormatting sqref="E10:FK10">
    <cfRule type="cellIs" dxfId="107" priority="17" operator="lessThanOrEqual">
      <formula>$D$10</formula>
    </cfRule>
  </conditionalFormatting>
  <conditionalFormatting sqref="E13:FK13">
    <cfRule type="cellIs" dxfId="106" priority="94" operator="lessThan">
      <formula>$D$13</formula>
    </cfRule>
    <cfRule type="cellIs" dxfId="105" priority="15" operator="greaterThanOrEqual">
      <formula>$D$13</formula>
    </cfRule>
  </conditionalFormatting>
  <conditionalFormatting sqref="E16:FK16">
    <cfRule type="cellIs" dxfId="104" priority="23" operator="greaterThan">
      <formula>$D$16</formula>
    </cfRule>
  </conditionalFormatting>
  <conditionalFormatting sqref="E17:FK17">
    <cfRule type="cellIs" dxfId="103" priority="22" operator="greaterThan">
      <formula>$D$17</formula>
    </cfRule>
  </conditionalFormatting>
  <conditionalFormatting sqref="E18:FK18">
    <cfRule type="cellIs" dxfId="102" priority="14" operator="lessThan">
      <formula>$D$18</formula>
    </cfRule>
  </conditionalFormatting>
  <conditionalFormatting sqref="E18:FK20">
    <cfRule type="cellIs" dxfId="101" priority="67" operator="greaterThan">
      <formula>$D$18</formula>
    </cfRule>
  </conditionalFormatting>
  <conditionalFormatting sqref="E19:FK19">
    <cfRule type="cellIs" dxfId="100" priority="13" operator="lessThan">
      <formula>$D$19</formula>
    </cfRule>
    <cfRule type="cellIs" dxfId="99" priority="81" operator="greaterThan">
      <formula>$D$19</formula>
    </cfRule>
  </conditionalFormatting>
  <conditionalFormatting sqref="E20:FK20">
    <cfRule type="cellIs" dxfId="98" priority="80" operator="greaterThan">
      <formula>$D$20</formula>
    </cfRule>
  </conditionalFormatting>
  <conditionalFormatting sqref="E21:FK21">
    <cfRule type="cellIs" dxfId="97" priority="56" operator="lessThan">
      <formula>$D$21</formula>
    </cfRule>
  </conditionalFormatting>
  <conditionalFormatting sqref="E23:FK23">
    <cfRule type="cellIs" dxfId="96" priority="16" operator="lessThan">
      <formula>$D$23</formula>
    </cfRule>
  </conditionalFormatting>
  <conditionalFormatting sqref="E24:FK24">
    <cfRule type="cellIs" dxfId="95" priority="10" operator="lessThan">
      <formula>$D$24</formula>
    </cfRule>
  </conditionalFormatting>
  <conditionalFormatting sqref="AI11">
    <cfRule type="cellIs" dxfId="94" priority="8" operator="greaterThan">
      <formula>$C$11</formula>
    </cfRule>
  </conditionalFormatting>
  <conditionalFormatting sqref="AI14:CS14 CT14:FK15 E15:CS15">
    <cfRule type="cellIs" dxfId="93" priority="87" operator="lessThan">
      <formula>$D$15</formula>
    </cfRule>
  </conditionalFormatting>
  <conditionalFormatting sqref="AI10:FK10 E10:AH11">
    <cfRule type="cellIs" dxfId="92" priority="34" operator="greaterThan">
      <formula>$D$10</formula>
    </cfRule>
  </conditionalFormatting>
  <conditionalFormatting sqref="AJ11:EI11 FF11:FK11 EJ11:FE12 EA12:EI12">
    <cfRule type="cellIs" dxfId="91" priority="7" operator="greaterThan">
      <formula>$D$11</formula>
    </cfRule>
  </conditionalFormatting>
  <conditionalFormatting sqref="EA9:FE9">
    <cfRule type="cellIs" dxfId="90" priority="4" operator="greaterThan">
      <formula>$D$9</formula>
    </cfRule>
  </conditionalFormatting>
  <conditionalFormatting sqref="FF14:FF15 FK14:FK15 BP14:FE14 FG14:FJ14">
    <cfRule type="cellIs" dxfId="89" priority="5" operator="greaterThan">
      <formula>$D$14</formula>
    </cfRule>
  </conditionalFormatting>
  <conditionalFormatting sqref="FF15 FK15">
    <cfRule type="cellIs" dxfId="88" priority="3" operator="lessThan">
      <formula>$D$15</formula>
    </cfRule>
  </conditionalFormatting>
  <conditionalFormatting sqref="FG9:FJ9">
    <cfRule type="cellIs" dxfId="87" priority="2" operator="greaterThan">
      <formula>$D$9</formula>
    </cfRule>
  </conditionalFormatting>
  <conditionalFormatting sqref="FG12:FJ12">
    <cfRule type="cellIs" dxfId="86" priority="1" operator="greaterThan">
      <formula>$D$11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O38"/>
  <sheetViews>
    <sheetView showGridLines="0" topLeftCell="A2" zoomScale="47" zoomScaleNormal="47" workbookViewId="0">
      <pane xSplit="21" ySplit="2" topLeftCell="FV4" activePane="bottomRight" state="frozen"/>
      <selection pane="topRight" activeCell="Y2" sqref="Y2"/>
      <selection pane="bottomLeft" activeCell="A7" sqref="A7"/>
      <selection pane="bottomRight" activeCell="U34" sqref="U34"/>
    </sheetView>
  </sheetViews>
  <sheetFormatPr defaultColWidth="8.6640625" defaultRowHeight="18" x14ac:dyDescent="0.3"/>
  <cols>
    <col min="1" max="1" width="7" style="153" customWidth="1"/>
    <col min="2" max="2" width="39.6640625" style="153" customWidth="1"/>
    <col min="3" max="3" width="23.33203125" style="153" customWidth="1"/>
    <col min="4" max="4" width="17.44140625" style="214" customWidth="1"/>
    <col min="5" max="5" width="13.44140625" style="214" customWidth="1"/>
    <col min="6" max="6" width="18.6640625" style="214" customWidth="1"/>
    <col min="7" max="7" width="12.88671875" style="214" customWidth="1"/>
    <col min="8" max="9" width="18.21875" style="153" hidden="1" customWidth="1"/>
    <col min="10" max="10" width="19.21875" style="153" hidden="1" customWidth="1"/>
    <col min="11" max="11" width="18.88671875" style="153" hidden="1" customWidth="1"/>
    <col min="12" max="12" width="18" style="153" hidden="1" customWidth="1"/>
    <col min="13" max="13" width="18" style="153" customWidth="1"/>
    <col min="14" max="14" width="12.33203125" style="214" customWidth="1"/>
    <col min="15" max="15" width="19.5546875" style="214" hidden="1" customWidth="1"/>
    <col min="16" max="19" width="18.77734375" style="214" hidden="1" customWidth="1"/>
    <col min="20" max="20" width="18.77734375" style="214" customWidth="1"/>
    <col min="21" max="21" width="11.88671875" style="214" customWidth="1"/>
    <col min="22" max="22" width="0.6640625" style="145" hidden="1" customWidth="1"/>
    <col min="23" max="23" width="9.44140625" style="145" hidden="1" customWidth="1"/>
    <col min="24" max="176" width="12" style="214" customWidth="1"/>
    <col min="177" max="177" width="15.44140625" style="214" bestFit="1" customWidth="1"/>
    <col min="178" max="185" width="12" style="214" customWidth="1"/>
    <col min="186" max="186" width="11.21875" style="153" customWidth="1" collapsed="1"/>
    <col min="187" max="196" width="9.88671875" style="153" bestFit="1" customWidth="1"/>
    <col min="197" max="197" width="10.109375" style="153" bestFit="1" customWidth="1"/>
    <col min="198" max="16384" width="8.6640625" style="153"/>
  </cols>
  <sheetData>
    <row r="1" spans="1:197" s="141" customFormat="1" ht="36" x14ac:dyDescent="0.3">
      <c r="C1" s="142" t="s">
        <v>151</v>
      </c>
      <c r="D1" s="142"/>
      <c r="E1" s="142"/>
      <c r="F1" s="142"/>
      <c r="G1" s="142"/>
      <c r="H1" s="143"/>
      <c r="I1" s="143"/>
      <c r="J1" s="143"/>
      <c r="K1" s="143"/>
      <c r="L1" s="143"/>
      <c r="M1" s="143"/>
      <c r="N1" s="142"/>
      <c r="O1" s="142"/>
      <c r="P1" s="142"/>
      <c r="Q1" s="142"/>
      <c r="R1" s="142"/>
      <c r="S1" s="142"/>
      <c r="T1" s="142"/>
      <c r="U1" s="142"/>
      <c r="V1" s="144"/>
      <c r="W1" s="145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I1" s="146"/>
      <c r="BJ1" s="146"/>
      <c r="BK1" s="146"/>
      <c r="BL1" s="146"/>
      <c r="BM1" s="146"/>
      <c r="BN1" s="146"/>
      <c r="BO1" s="146"/>
      <c r="BP1" s="146"/>
      <c r="BQ1" s="146"/>
      <c r="BR1" s="146"/>
      <c r="BS1" s="146"/>
      <c r="BT1" s="146"/>
      <c r="BU1" s="146"/>
      <c r="BV1" s="146"/>
      <c r="BW1" s="146"/>
      <c r="BX1" s="146"/>
      <c r="BY1" s="146"/>
      <c r="BZ1" s="146"/>
      <c r="CA1" s="146"/>
      <c r="CB1" s="146"/>
      <c r="CC1" s="146"/>
      <c r="CD1" s="146"/>
      <c r="CE1" s="146"/>
      <c r="CF1" s="146"/>
      <c r="CG1" s="146"/>
      <c r="CH1" s="146"/>
      <c r="CI1" s="146"/>
      <c r="CJ1" s="146"/>
      <c r="CK1" s="146"/>
      <c r="CL1" s="146"/>
      <c r="CM1" s="146"/>
      <c r="CN1" s="146"/>
      <c r="CO1" s="146"/>
      <c r="CP1" s="146"/>
      <c r="CQ1" s="146"/>
      <c r="CR1" s="146"/>
      <c r="CS1" s="146"/>
      <c r="CT1" s="146"/>
      <c r="CU1" s="146"/>
      <c r="CV1" s="146"/>
      <c r="CW1" s="146"/>
      <c r="CX1" s="146"/>
      <c r="CY1" s="146"/>
      <c r="CZ1" s="146"/>
      <c r="DA1" s="146"/>
      <c r="DB1" s="146"/>
      <c r="DC1" s="146"/>
      <c r="DD1" s="146"/>
      <c r="DE1" s="146"/>
      <c r="DF1" s="146"/>
      <c r="DG1" s="146"/>
      <c r="DH1" s="146"/>
      <c r="DI1" s="146"/>
      <c r="DJ1" s="146"/>
      <c r="DK1" s="146"/>
      <c r="DL1" s="146"/>
      <c r="DM1" s="146"/>
      <c r="DN1" s="146"/>
      <c r="DO1" s="146"/>
      <c r="DP1" s="146"/>
      <c r="DQ1" s="146"/>
      <c r="DR1" s="146"/>
      <c r="DS1" s="146"/>
      <c r="DT1" s="146"/>
      <c r="DU1" s="146"/>
      <c r="DV1" s="146"/>
      <c r="DW1" s="146"/>
      <c r="DX1" s="146"/>
      <c r="DY1" s="146"/>
      <c r="DZ1" s="146"/>
      <c r="EA1" s="146"/>
      <c r="EB1" s="146"/>
      <c r="EC1" s="146"/>
      <c r="ED1" s="146"/>
      <c r="EE1" s="146"/>
      <c r="EF1" s="146"/>
      <c r="EG1" s="146"/>
      <c r="EH1" s="146"/>
      <c r="EI1" s="146"/>
      <c r="EJ1" s="146"/>
      <c r="EK1" s="146"/>
      <c r="EL1" s="146"/>
      <c r="EM1" s="146"/>
      <c r="EN1" s="146"/>
      <c r="EO1" s="146"/>
      <c r="EP1" s="146"/>
      <c r="EQ1" s="146"/>
      <c r="ER1" s="146"/>
      <c r="ES1" s="146"/>
      <c r="ET1" s="146"/>
      <c r="EU1" s="146"/>
      <c r="EV1" s="146"/>
      <c r="EW1" s="146"/>
      <c r="EX1" s="146"/>
      <c r="EY1" s="146"/>
      <c r="EZ1" s="146"/>
      <c r="FA1" s="146"/>
      <c r="FB1" s="146"/>
      <c r="FC1" s="146"/>
      <c r="FD1" s="146"/>
      <c r="FE1" s="146"/>
      <c r="FF1" s="146"/>
      <c r="FG1" s="146"/>
      <c r="FH1" s="146"/>
      <c r="FI1" s="146"/>
      <c r="FJ1" s="146"/>
      <c r="FK1" s="146"/>
      <c r="FL1" s="146"/>
      <c r="FM1" s="146"/>
      <c r="FN1" s="146"/>
      <c r="FO1" s="146"/>
      <c r="FP1" s="146"/>
      <c r="FQ1" s="146"/>
      <c r="FR1" s="146"/>
      <c r="FS1" s="146"/>
      <c r="FT1" s="146"/>
      <c r="FU1" s="146"/>
      <c r="FV1" s="146"/>
      <c r="FW1" s="146"/>
      <c r="FX1" s="146"/>
      <c r="FY1" s="146"/>
      <c r="FZ1" s="146"/>
      <c r="GA1" s="146"/>
      <c r="GB1" s="146"/>
      <c r="GC1" s="146"/>
    </row>
    <row r="2" spans="1:197" ht="77.25" customHeight="1" x14ac:dyDescent="0.3">
      <c r="A2" s="147" t="s">
        <v>1</v>
      </c>
      <c r="B2" s="148" t="s">
        <v>2</v>
      </c>
      <c r="C2" s="149" t="s">
        <v>3</v>
      </c>
      <c r="D2" s="147" t="s">
        <v>4</v>
      </c>
      <c r="E2" s="149" t="s">
        <v>152</v>
      </c>
      <c r="F2" s="149" t="s">
        <v>153</v>
      </c>
      <c r="G2" s="149" t="s">
        <v>209</v>
      </c>
      <c r="H2" s="149" t="s">
        <v>202</v>
      </c>
      <c r="I2" s="149" t="s">
        <v>259</v>
      </c>
      <c r="J2" s="149" t="s">
        <v>267</v>
      </c>
      <c r="K2" s="149" t="s">
        <v>272</v>
      </c>
      <c r="L2" s="149" t="s">
        <v>278</v>
      </c>
      <c r="M2" s="149" t="s">
        <v>285</v>
      </c>
      <c r="N2" s="149" t="s">
        <v>154</v>
      </c>
      <c r="O2" s="149" t="s">
        <v>203</v>
      </c>
      <c r="P2" s="149" t="s">
        <v>258</v>
      </c>
      <c r="Q2" s="149" t="s">
        <v>266</v>
      </c>
      <c r="R2" s="149" t="s">
        <v>271</v>
      </c>
      <c r="S2" s="149" t="s">
        <v>277</v>
      </c>
      <c r="T2" s="149" t="s">
        <v>286</v>
      </c>
      <c r="U2" s="149" t="s">
        <v>155</v>
      </c>
      <c r="V2" s="150" t="s">
        <v>156</v>
      </c>
      <c r="W2" s="151"/>
      <c r="X2" s="152">
        <v>45383</v>
      </c>
      <c r="Y2" s="152">
        <v>45384</v>
      </c>
      <c r="Z2" s="152">
        <v>45385</v>
      </c>
      <c r="AA2" s="152">
        <v>45386</v>
      </c>
      <c r="AB2" s="152">
        <v>45387</v>
      </c>
      <c r="AC2" s="152">
        <v>45388</v>
      </c>
      <c r="AD2" s="152">
        <v>45389</v>
      </c>
      <c r="AE2" s="152">
        <v>45390</v>
      </c>
      <c r="AF2" s="152">
        <v>45391</v>
      </c>
      <c r="AG2" s="152">
        <v>45392</v>
      </c>
      <c r="AH2" s="152">
        <v>45393</v>
      </c>
      <c r="AI2" s="152">
        <v>45394</v>
      </c>
      <c r="AJ2" s="152">
        <v>45395</v>
      </c>
      <c r="AK2" s="152">
        <v>45396</v>
      </c>
      <c r="AL2" s="152">
        <v>45397</v>
      </c>
      <c r="AM2" s="152">
        <v>45398</v>
      </c>
      <c r="AN2" s="152">
        <v>45399</v>
      </c>
      <c r="AO2" s="152">
        <v>45400</v>
      </c>
      <c r="AP2" s="152">
        <v>45401</v>
      </c>
      <c r="AQ2" s="152">
        <v>45402</v>
      </c>
      <c r="AR2" s="152">
        <v>45403</v>
      </c>
      <c r="AS2" s="152">
        <v>45404</v>
      </c>
      <c r="AT2" s="152">
        <v>45405</v>
      </c>
      <c r="AU2" s="152">
        <v>45406</v>
      </c>
      <c r="AV2" s="152">
        <v>45407</v>
      </c>
      <c r="AW2" s="152">
        <v>45408</v>
      </c>
      <c r="AX2" s="152">
        <v>45409</v>
      </c>
      <c r="AY2" s="152">
        <v>45410</v>
      </c>
      <c r="AZ2" s="152">
        <v>45411</v>
      </c>
      <c r="BA2" s="152">
        <v>45412</v>
      </c>
      <c r="BB2" s="152">
        <v>45413</v>
      </c>
      <c r="BC2" s="152">
        <v>45414</v>
      </c>
      <c r="BD2" s="152">
        <v>45415</v>
      </c>
      <c r="BE2" s="152">
        <v>45416</v>
      </c>
      <c r="BF2" s="152">
        <v>45417</v>
      </c>
      <c r="BG2" s="152">
        <v>45418</v>
      </c>
      <c r="BH2" s="152">
        <v>45419</v>
      </c>
      <c r="BI2" s="152">
        <v>45420</v>
      </c>
      <c r="BJ2" s="152">
        <v>45421</v>
      </c>
      <c r="BK2" s="152">
        <v>45422</v>
      </c>
      <c r="BL2" s="152">
        <v>45423</v>
      </c>
      <c r="BM2" s="152">
        <v>45424</v>
      </c>
      <c r="BN2" s="152">
        <v>45425</v>
      </c>
      <c r="BO2" s="152">
        <v>45426</v>
      </c>
      <c r="BP2" s="152">
        <v>45427</v>
      </c>
      <c r="BQ2" s="152">
        <v>45428</v>
      </c>
      <c r="BR2" s="152">
        <v>45429</v>
      </c>
      <c r="BS2" s="152">
        <v>45430</v>
      </c>
      <c r="BT2" s="152">
        <v>45431</v>
      </c>
      <c r="BU2" s="152">
        <v>45432</v>
      </c>
      <c r="BV2" s="152">
        <v>45433</v>
      </c>
      <c r="BW2" s="152">
        <v>45434</v>
      </c>
      <c r="BX2" s="152">
        <v>45435</v>
      </c>
      <c r="BY2" s="152">
        <v>45436</v>
      </c>
      <c r="BZ2" s="152">
        <v>45437</v>
      </c>
      <c r="CA2" s="152">
        <v>45438</v>
      </c>
      <c r="CB2" s="152">
        <v>45439</v>
      </c>
      <c r="CC2" s="152">
        <v>45440</v>
      </c>
      <c r="CD2" s="152">
        <v>45441</v>
      </c>
      <c r="CE2" s="152">
        <v>45442</v>
      </c>
      <c r="CF2" s="152">
        <v>45443</v>
      </c>
      <c r="CG2" s="152">
        <v>45444</v>
      </c>
      <c r="CH2" s="152">
        <v>45445</v>
      </c>
      <c r="CI2" s="152">
        <v>45446</v>
      </c>
      <c r="CJ2" s="152">
        <v>45447</v>
      </c>
      <c r="CK2" s="152">
        <v>45448</v>
      </c>
      <c r="CL2" s="152">
        <v>45449</v>
      </c>
      <c r="CM2" s="152">
        <v>45450</v>
      </c>
      <c r="CN2" s="152">
        <v>45451</v>
      </c>
      <c r="CO2" s="152">
        <v>45452</v>
      </c>
      <c r="CP2" s="152">
        <v>45453</v>
      </c>
      <c r="CQ2" s="152">
        <v>45454</v>
      </c>
      <c r="CR2" s="152">
        <v>45455</v>
      </c>
      <c r="CS2" s="152">
        <v>45456</v>
      </c>
      <c r="CT2" s="152">
        <v>45457</v>
      </c>
      <c r="CU2" s="152">
        <v>45458</v>
      </c>
      <c r="CV2" s="152">
        <v>45459</v>
      </c>
      <c r="CW2" s="152">
        <v>45460</v>
      </c>
      <c r="CX2" s="152">
        <v>45461</v>
      </c>
      <c r="CY2" s="152">
        <v>45462</v>
      </c>
      <c r="CZ2" s="152">
        <v>45463</v>
      </c>
      <c r="DA2" s="152">
        <v>45464</v>
      </c>
      <c r="DB2" s="152">
        <v>45465</v>
      </c>
      <c r="DC2" s="152">
        <v>45466</v>
      </c>
      <c r="DD2" s="152">
        <v>45467</v>
      </c>
      <c r="DE2" s="152">
        <v>45468</v>
      </c>
      <c r="DF2" s="152">
        <v>45469</v>
      </c>
      <c r="DG2" s="152">
        <v>45470</v>
      </c>
      <c r="DH2" s="152">
        <v>45471</v>
      </c>
      <c r="DI2" s="152">
        <v>45472</v>
      </c>
      <c r="DJ2" s="152">
        <v>45473</v>
      </c>
      <c r="DK2" s="152">
        <v>45474</v>
      </c>
      <c r="DL2" s="152">
        <v>45475</v>
      </c>
      <c r="DM2" s="152">
        <v>45476</v>
      </c>
      <c r="DN2" s="152">
        <v>45477</v>
      </c>
      <c r="DO2" s="152">
        <v>45478</v>
      </c>
      <c r="DP2" s="152">
        <v>45479</v>
      </c>
      <c r="DQ2" s="152">
        <v>45480</v>
      </c>
      <c r="DR2" s="152">
        <v>45481</v>
      </c>
      <c r="DS2" s="152">
        <v>45482</v>
      </c>
      <c r="DT2" s="152">
        <v>45483</v>
      </c>
      <c r="DU2" s="152">
        <v>45484</v>
      </c>
      <c r="DV2" s="152">
        <v>45485</v>
      </c>
      <c r="DW2" s="152">
        <v>45486</v>
      </c>
      <c r="DX2" s="152">
        <v>45487</v>
      </c>
      <c r="DY2" s="152">
        <v>45488</v>
      </c>
      <c r="DZ2" s="152">
        <v>45489</v>
      </c>
      <c r="EA2" s="152">
        <v>45490</v>
      </c>
      <c r="EB2" s="152">
        <v>45491</v>
      </c>
      <c r="EC2" s="152">
        <v>45492</v>
      </c>
      <c r="ED2" s="152">
        <v>45493</v>
      </c>
      <c r="EE2" s="152">
        <v>45494</v>
      </c>
      <c r="EF2" s="152">
        <v>45495</v>
      </c>
      <c r="EG2" s="152">
        <v>45496</v>
      </c>
      <c r="EH2" s="152">
        <v>45497</v>
      </c>
      <c r="EI2" s="152">
        <v>45498</v>
      </c>
      <c r="EJ2" s="152">
        <v>45499</v>
      </c>
      <c r="EK2" s="152">
        <v>45500</v>
      </c>
      <c r="EL2" s="152">
        <v>45501</v>
      </c>
      <c r="EM2" s="152">
        <v>45502</v>
      </c>
      <c r="EN2" s="152">
        <v>45503</v>
      </c>
      <c r="EO2" s="152">
        <v>45504</v>
      </c>
      <c r="EP2" s="152">
        <v>45505</v>
      </c>
      <c r="EQ2" s="152">
        <v>45506</v>
      </c>
      <c r="ER2" s="152">
        <v>45507</v>
      </c>
      <c r="ES2" s="152">
        <v>45508</v>
      </c>
      <c r="ET2" s="152">
        <v>45509</v>
      </c>
      <c r="EU2" s="152">
        <v>45510</v>
      </c>
      <c r="EV2" s="152">
        <v>45511</v>
      </c>
      <c r="EW2" s="152">
        <v>45512</v>
      </c>
      <c r="EX2" s="152">
        <v>45513</v>
      </c>
      <c r="EY2" s="152">
        <v>45514</v>
      </c>
      <c r="EZ2" s="152">
        <v>45515</v>
      </c>
      <c r="FA2" s="152">
        <v>45516</v>
      </c>
      <c r="FB2" s="152">
        <v>45517</v>
      </c>
      <c r="FC2" s="152">
        <v>45518</v>
      </c>
      <c r="FD2" s="152">
        <v>45519</v>
      </c>
      <c r="FE2" s="152">
        <v>45520</v>
      </c>
      <c r="FF2" s="152">
        <v>45521</v>
      </c>
      <c r="FG2" s="152">
        <v>45522</v>
      </c>
      <c r="FH2" s="152">
        <v>45523</v>
      </c>
      <c r="FI2" s="152">
        <v>45524</v>
      </c>
      <c r="FJ2" s="152">
        <v>45525</v>
      </c>
      <c r="FK2" s="152">
        <v>45526</v>
      </c>
      <c r="FL2" s="152">
        <v>45527</v>
      </c>
      <c r="FM2" s="152">
        <v>45528</v>
      </c>
      <c r="FN2" s="152">
        <v>45529</v>
      </c>
      <c r="FO2" s="152">
        <v>45530</v>
      </c>
      <c r="FP2" s="152">
        <v>45531</v>
      </c>
      <c r="FQ2" s="152">
        <v>45532</v>
      </c>
      <c r="FR2" s="152">
        <v>45533</v>
      </c>
      <c r="FS2" s="152">
        <v>45534</v>
      </c>
      <c r="FT2" s="152">
        <v>45535</v>
      </c>
      <c r="FU2" s="152">
        <v>45536</v>
      </c>
      <c r="FV2" s="152">
        <v>45537</v>
      </c>
      <c r="FW2" s="152">
        <v>45538</v>
      </c>
      <c r="FX2" s="152">
        <v>45539</v>
      </c>
      <c r="FY2" s="152">
        <v>45540</v>
      </c>
      <c r="FZ2" s="152">
        <v>45541</v>
      </c>
      <c r="GA2" s="152">
        <v>45542</v>
      </c>
      <c r="GB2" s="152">
        <v>45543</v>
      </c>
      <c r="GC2" s="152">
        <v>45544</v>
      </c>
      <c r="GD2" s="150" t="s">
        <v>226</v>
      </c>
      <c r="GE2" s="150" t="s">
        <v>227</v>
      </c>
      <c r="GF2" s="150" t="s">
        <v>228</v>
      </c>
      <c r="GG2" s="150" t="s">
        <v>229</v>
      </c>
      <c r="GH2" s="150" t="s">
        <v>230</v>
      </c>
      <c r="GI2" s="150" t="s">
        <v>231</v>
      </c>
      <c r="GJ2" s="150" t="s">
        <v>232</v>
      </c>
      <c r="GK2" s="150" t="s">
        <v>233</v>
      </c>
      <c r="GL2" s="150" t="s">
        <v>234</v>
      </c>
      <c r="GM2" s="150" t="s">
        <v>235</v>
      </c>
      <c r="GN2" s="150" t="s">
        <v>236</v>
      </c>
      <c r="GO2" s="150" t="s">
        <v>237</v>
      </c>
    </row>
    <row r="3" spans="1:197" ht="45" customHeight="1" x14ac:dyDescent="0.3">
      <c r="A3" s="147"/>
      <c r="B3" s="148"/>
      <c r="C3" s="147"/>
      <c r="D3" s="147"/>
      <c r="E3" s="147"/>
      <c r="F3" s="149"/>
      <c r="G3" s="149"/>
      <c r="H3" s="154">
        <v>650000</v>
      </c>
      <c r="I3" s="154"/>
      <c r="J3" s="154"/>
      <c r="K3" s="154"/>
      <c r="L3" s="154"/>
      <c r="M3" s="154"/>
      <c r="N3" s="149"/>
      <c r="O3" s="149"/>
      <c r="P3" s="149"/>
      <c r="Q3" s="149"/>
      <c r="R3" s="149"/>
      <c r="S3" s="149"/>
      <c r="T3" s="149"/>
      <c r="U3" s="149"/>
      <c r="V3" s="150"/>
      <c r="W3" s="149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  <c r="AM3" s="155"/>
      <c r="AN3" s="155"/>
      <c r="AO3" s="155"/>
      <c r="AP3" s="155"/>
      <c r="AQ3" s="155"/>
      <c r="AR3" s="155"/>
      <c r="AS3" s="155"/>
      <c r="AT3" s="155"/>
      <c r="AU3" s="155"/>
      <c r="AV3" s="155"/>
      <c r="AW3" s="155"/>
      <c r="AX3" s="155"/>
      <c r="AY3" s="155"/>
      <c r="AZ3" s="155"/>
      <c r="BA3" s="155"/>
      <c r="BB3" s="155"/>
      <c r="BC3" s="155"/>
      <c r="BD3" s="155"/>
      <c r="BE3" s="155"/>
      <c r="BF3" s="155"/>
      <c r="BG3" s="155"/>
      <c r="BH3" s="155"/>
      <c r="BI3" s="155"/>
      <c r="BJ3" s="155"/>
      <c r="BK3" s="155"/>
      <c r="BL3" s="155"/>
      <c r="BM3" s="155"/>
      <c r="BN3" s="155"/>
      <c r="BO3" s="155"/>
      <c r="BP3" s="155"/>
      <c r="BQ3" s="155"/>
      <c r="BR3" s="155"/>
      <c r="BS3" s="155"/>
      <c r="BT3" s="155"/>
      <c r="BU3" s="155"/>
      <c r="BV3" s="155"/>
      <c r="BW3" s="155"/>
      <c r="BX3" s="155"/>
      <c r="BY3" s="155"/>
      <c r="BZ3" s="155"/>
      <c r="CA3" s="155"/>
      <c r="CB3" s="155"/>
      <c r="CC3" s="155"/>
      <c r="CD3" s="155"/>
      <c r="CE3" s="155"/>
      <c r="CF3" s="155"/>
      <c r="CG3" s="155"/>
      <c r="CH3" s="155"/>
      <c r="CI3" s="155"/>
      <c r="CJ3" s="155"/>
      <c r="CK3" s="155"/>
      <c r="CL3" s="155"/>
      <c r="CM3" s="155"/>
      <c r="CN3" s="155"/>
      <c r="CO3" s="155"/>
      <c r="CP3" s="155"/>
      <c r="CQ3" s="155"/>
      <c r="CR3" s="155"/>
      <c r="CS3" s="155"/>
      <c r="CT3" s="155"/>
      <c r="CU3" s="155"/>
      <c r="CV3" s="155"/>
      <c r="CW3" s="155"/>
      <c r="CX3" s="155"/>
      <c r="CY3" s="155"/>
      <c r="CZ3" s="155"/>
      <c r="DA3" s="155"/>
      <c r="DB3" s="155"/>
      <c r="DC3" s="155"/>
      <c r="DD3" s="155"/>
      <c r="DE3" s="155"/>
      <c r="DF3" s="155"/>
      <c r="DG3" s="155"/>
      <c r="DH3" s="155"/>
      <c r="DI3" s="155"/>
      <c r="DJ3" s="155"/>
      <c r="DK3" s="155"/>
      <c r="DL3" s="155"/>
      <c r="DM3" s="155"/>
      <c r="DN3" s="155"/>
      <c r="DO3" s="155"/>
      <c r="DP3" s="155"/>
      <c r="DQ3" s="155"/>
      <c r="DR3" s="155"/>
      <c r="DS3" s="155"/>
      <c r="DT3" s="155"/>
      <c r="DU3" s="155"/>
      <c r="DV3" s="155"/>
      <c r="DW3" s="155"/>
      <c r="DX3" s="155"/>
      <c r="DY3" s="155"/>
      <c r="DZ3" s="155"/>
      <c r="EA3" s="155"/>
      <c r="EB3" s="155"/>
      <c r="EC3" s="155"/>
      <c r="ED3" s="155"/>
      <c r="EE3" s="155"/>
      <c r="EF3" s="155"/>
      <c r="EG3" s="155"/>
      <c r="EH3" s="155"/>
      <c r="EI3" s="155"/>
      <c r="EJ3" s="155"/>
      <c r="EK3" s="155"/>
      <c r="EL3" s="155"/>
      <c r="EM3" s="155"/>
      <c r="EN3" s="155"/>
      <c r="EO3" s="155"/>
      <c r="EP3" s="155"/>
      <c r="EQ3" s="155"/>
      <c r="ER3" s="155"/>
      <c r="ES3" s="155"/>
      <c r="ET3" s="155"/>
      <c r="EU3" s="155"/>
      <c r="EV3" s="155"/>
      <c r="EW3" s="155"/>
      <c r="EX3" s="155"/>
      <c r="EY3" s="155"/>
      <c r="EZ3" s="155"/>
      <c r="FA3" s="155"/>
      <c r="FB3" s="155"/>
      <c r="FC3" s="155"/>
      <c r="FD3" s="155"/>
      <c r="FE3" s="155"/>
      <c r="FF3" s="155"/>
      <c r="FG3" s="155"/>
      <c r="FH3" s="155"/>
      <c r="FI3" s="155"/>
      <c r="FJ3" s="155"/>
      <c r="FK3" s="155"/>
      <c r="FL3" s="155"/>
      <c r="FM3" s="155"/>
      <c r="FN3" s="155"/>
      <c r="FO3" s="155"/>
      <c r="FP3" s="155"/>
      <c r="FQ3" s="155"/>
      <c r="FR3" s="155"/>
      <c r="FS3" s="155"/>
      <c r="FT3" s="155"/>
      <c r="FU3" s="155"/>
      <c r="FV3" s="155"/>
      <c r="FW3" s="155"/>
      <c r="FX3" s="155"/>
      <c r="FY3" s="155"/>
      <c r="FZ3" s="155"/>
      <c r="GA3" s="155"/>
      <c r="GB3" s="155"/>
      <c r="GC3" s="155"/>
      <c r="GD3" s="155"/>
      <c r="GE3" s="155"/>
      <c r="GF3" s="155"/>
      <c r="GG3" s="155"/>
      <c r="GH3" s="155"/>
      <c r="GI3" s="155"/>
      <c r="GJ3" s="155"/>
      <c r="GK3" s="155"/>
      <c r="GL3" s="155"/>
      <c r="GM3" s="155"/>
      <c r="GN3" s="155"/>
      <c r="GO3" s="155"/>
    </row>
    <row r="4" spans="1:197" ht="36" x14ac:dyDescent="0.3">
      <c r="A4" s="134">
        <v>1</v>
      </c>
      <c r="B4" s="156" t="s">
        <v>9</v>
      </c>
      <c r="C4" s="157" t="s">
        <v>157</v>
      </c>
      <c r="D4" s="157" t="s">
        <v>10</v>
      </c>
      <c r="E4" s="158">
        <v>0.316</v>
      </c>
      <c r="F4" s="159" t="s">
        <v>158</v>
      </c>
      <c r="G4" s="225">
        <v>0.32574884348030236</v>
      </c>
      <c r="H4" s="236">
        <v>0.34100000000000003</v>
      </c>
      <c r="I4" s="236">
        <v>0.34100000000000003</v>
      </c>
      <c r="J4" s="236">
        <v>0.34100000000000003</v>
      </c>
      <c r="K4" s="236">
        <v>0.32099999999999995</v>
      </c>
      <c r="L4" s="236">
        <v>0.32100000000000001</v>
      </c>
      <c r="M4" s="328">
        <v>0.32100000000000006</v>
      </c>
      <c r="N4" s="237">
        <v>0.33556761237271471</v>
      </c>
      <c r="O4" s="160">
        <f>'Apr-24'!AI5</f>
        <v>0.32254785908386863</v>
      </c>
      <c r="P4" s="160">
        <f>'May-24'!AJ5</f>
        <v>0.31787302041997006</v>
      </c>
      <c r="Q4" s="160">
        <f>'Jun-24'!AJ5</f>
        <v>0.33253121302788213</v>
      </c>
      <c r="R4" s="160">
        <f>'Jul-24'!AJ5</f>
        <v>0.33659521939176301</v>
      </c>
      <c r="S4" s="160">
        <f>'Aug-24'!AJ5</f>
        <v>0.31799197478492175</v>
      </c>
      <c r="T4" s="160">
        <f>'Sep-24'!AJ5</f>
        <v>0.32803210463733651</v>
      </c>
      <c r="U4" s="161">
        <f>'Aug-24'!AK5</f>
        <v>0.32576293667171774</v>
      </c>
      <c r="V4" s="350"/>
      <c r="W4" s="163"/>
      <c r="X4" s="165">
        <f>'Apr-24'!E5</f>
        <v>0.3354916067146283</v>
      </c>
      <c r="Y4" s="165">
        <f>'Apr-24'!F5</f>
        <v>0.32537380049096182</v>
      </c>
      <c r="Z4" s="165">
        <f>'Apr-24'!G5</f>
        <v>0.33527615875659172</v>
      </c>
      <c r="AA4" s="165">
        <f>'Apr-24'!H5</f>
        <v>0.32262929680135738</v>
      </c>
      <c r="AB4" s="165">
        <f>'Apr-24'!I5</f>
        <v>0.32290264692687304</v>
      </c>
      <c r="AC4" s="165">
        <f>'Apr-24'!J5</f>
        <v>0.33878657567542303</v>
      </c>
      <c r="AD4" s="165">
        <f>'Apr-24'!K5</f>
        <v>0.33291506548506</v>
      </c>
      <c r="AE4" s="165">
        <f>'Apr-24'!L5</f>
        <v>0.3263236483543831</v>
      </c>
      <c r="AF4" s="165">
        <f>'Apr-24'!M5</f>
        <v>0.32732924204989239</v>
      </c>
      <c r="AG4" s="165">
        <f>'Apr-24'!N5</f>
        <v>0.3367531003382187</v>
      </c>
      <c r="AH4" s="165">
        <f>'Apr-24'!O5</f>
        <v>0.33619073131529603</v>
      </c>
      <c r="AI4" s="165">
        <f>'Apr-24'!P5</f>
        <v>0.33197863446353926</v>
      </c>
      <c r="AJ4" s="165">
        <f>'Apr-24'!Q5</f>
        <v>0.32081325500033003</v>
      </c>
      <c r="AK4" s="165">
        <f>'Apr-24'!R5</f>
        <v>0.3366269930384011</v>
      </c>
      <c r="AL4" s="165">
        <f>'Apr-24'!S5</f>
        <v>0.33333333333333331</v>
      </c>
      <c r="AM4" s="165">
        <f>'Apr-24'!T5</f>
        <v>0.32839562443026438</v>
      </c>
      <c r="AN4" s="165">
        <f>'Apr-24'!U5</f>
        <v>0.32727413366336633</v>
      </c>
      <c r="AO4" s="165">
        <f>'Apr-24'!V5</f>
        <v>0.3126021505376344</v>
      </c>
      <c r="AP4" s="165">
        <f>'Apr-24'!W5</f>
        <v>0.30471287128712871</v>
      </c>
      <c r="AQ4" s="165">
        <f>'Apr-24'!X5</f>
        <v>0.30572711959573273</v>
      </c>
      <c r="AR4" s="165">
        <f>'Apr-24'!Y5</f>
        <v>0.30397022332506202</v>
      </c>
      <c r="AS4" s="165">
        <f>'Apr-24'!Z5</f>
        <v>0.32756132756132755</v>
      </c>
      <c r="AT4" s="165">
        <f>'Apr-24'!AA5</f>
        <v>0.31581709145427284</v>
      </c>
      <c r="AU4" s="165">
        <f>'Apr-24'!AB5</f>
        <v>0.30877561744613768</v>
      </c>
      <c r="AV4" s="165">
        <f>'Apr-24'!AC5</f>
        <v>0.31248817407757806</v>
      </c>
      <c r="AW4" s="165">
        <f>'Apr-24'!AD5</f>
        <v>0.30923407301360056</v>
      </c>
      <c r="AX4" s="165">
        <f>'Apr-24'!AE5</f>
        <v>0.3260321100917431</v>
      </c>
      <c r="AY4" s="165">
        <f>'Apr-24'!AF5</f>
        <v>0.31548117154811717</v>
      </c>
      <c r="AZ4" s="165">
        <f>'Apr-24'!AG5</f>
        <v>0.31987075928917608</v>
      </c>
      <c r="BA4" s="165">
        <f>'Apr-24'!AH5</f>
        <v>0.30724137931034484</v>
      </c>
      <c r="BB4" s="165">
        <f>'May-24'!E5</f>
        <v>0.31822971548998946</v>
      </c>
      <c r="BC4" s="165">
        <f>'May-24'!F5</f>
        <v>0.30227774815266245</v>
      </c>
      <c r="BD4" s="165">
        <f>'May-24'!G5</f>
        <v>0.31034145386948442</v>
      </c>
      <c r="BE4" s="165">
        <f>'May-24'!H5</f>
        <v>0.31780385009682194</v>
      </c>
      <c r="BF4" s="165">
        <f>'May-24'!I5</f>
        <v>0.31514685792349728</v>
      </c>
      <c r="BG4" s="165">
        <f>'May-24'!J5</f>
        <v>0.30717924965261695</v>
      </c>
      <c r="BH4" s="165">
        <f>'May-24'!K5</f>
        <v>0.31940324550689236</v>
      </c>
      <c r="BI4" s="165">
        <f>'May-24'!L5</f>
        <v>0.32098625156232247</v>
      </c>
      <c r="BJ4" s="165">
        <f>'May-24'!M5</f>
        <v>0.31473759884974839</v>
      </c>
      <c r="BK4" s="165">
        <f>'May-24'!N5</f>
        <v>0.31129592588693544</v>
      </c>
      <c r="BL4" s="165">
        <f>'May-24'!O5</f>
        <v>0.31204283236558328</v>
      </c>
      <c r="BM4" s="165">
        <f>'May-24'!P5</f>
        <v>0.31412786108918705</v>
      </c>
      <c r="BN4" s="165">
        <f>'May-24'!Q5</f>
        <v>0.31838074398249455</v>
      </c>
      <c r="BO4" s="165">
        <f>'May-24'!R5</f>
        <v>0.32441266598569968</v>
      </c>
      <c r="BP4" s="165">
        <f>'May-24'!S5</f>
        <v>0.31930970149253729</v>
      </c>
      <c r="BQ4" s="165">
        <f>'May-24'!T5</f>
        <v>0.31649189704480457</v>
      </c>
      <c r="BR4" s="165">
        <f>'May-24'!U5</f>
        <v>0.31058586576624608</v>
      </c>
      <c r="BS4" s="165">
        <f>'May-24'!V5</f>
        <v>0.31128956069910252</v>
      </c>
      <c r="BT4" s="165">
        <f>'May-24'!W5</f>
        <v>0.31762024709127984</v>
      </c>
      <c r="BU4" s="165">
        <f>'May-24'!X5</f>
        <v>0.30790165165165168</v>
      </c>
      <c r="BV4" s="165">
        <f>'May-24'!Y5</f>
        <v>0.32383053839364517</v>
      </c>
      <c r="BW4" s="165">
        <f>'May-24'!Z5</f>
        <v>0.30365822460987463</v>
      </c>
      <c r="BX4" s="165">
        <f>'May-24'!AA5</f>
        <v>0.3164132795532113</v>
      </c>
      <c r="BY4" s="165">
        <f>'May-24'!AB5</f>
        <v>0.33248478140564469</v>
      </c>
      <c r="BZ4" s="165">
        <f>'May-24'!AC5</f>
        <v>0.31703824913070155</v>
      </c>
      <c r="CA4" s="165">
        <f>'May-24'!AD5</f>
        <v>0.33833060556464811</v>
      </c>
      <c r="CB4" s="165">
        <f>'May-24'!AE5</f>
        <v>0.33724587648638282</v>
      </c>
      <c r="CC4" s="165">
        <f>'May-24'!AF5</f>
        <v>0.31626964014191589</v>
      </c>
      <c r="CD4" s="165">
        <f>'May-24'!AG5</f>
        <v>0.32271334792122536</v>
      </c>
      <c r="CE4" s="165">
        <f>'May-24'!AH5</f>
        <v>0.31792245793708851</v>
      </c>
      <c r="CF4" s="165">
        <f>'May-24'!AI5</f>
        <v>0.33552932564736021</v>
      </c>
      <c r="CG4" s="165">
        <f>'Jun-24'!E5</f>
        <v>0.34041302270889984</v>
      </c>
      <c r="CH4" s="165">
        <f>'Jun-24'!F5</f>
        <v>0.33698430083972253</v>
      </c>
      <c r="CI4" s="165">
        <f>'Jun-24'!G5</f>
        <v>0.3193840713180579</v>
      </c>
      <c r="CJ4" s="165">
        <f>'Jun-24'!H5</f>
        <v>0.33796698523023455</v>
      </c>
      <c r="CK4" s="165">
        <f>'Jun-24'!I5</f>
        <v>0.31669701188818677</v>
      </c>
      <c r="CL4" s="165">
        <f>'Jun-24'!J5</f>
        <v>0.32315123033744536</v>
      </c>
      <c r="CM4" s="165">
        <f>'Jun-24'!K5</f>
        <v>0.33903201084713791</v>
      </c>
      <c r="CN4" s="165">
        <f>'Jun-24'!L5</f>
        <v>0.32206486980356325</v>
      </c>
      <c r="CO4" s="165">
        <f>'Jun-24'!M5</f>
        <v>0.33051869722557298</v>
      </c>
      <c r="CP4" s="165">
        <f>'Jun-24'!N5</f>
        <v>0.33314025052494389</v>
      </c>
      <c r="CQ4" s="165">
        <f>'Jun-24'!O5</f>
        <v>0.33296532017145086</v>
      </c>
      <c r="CR4" s="165">
        <f>'Jun-24'!P5</f>
        <v>0.34153493115757266</v>
      </c>
      <c r="CS4" s="165">
        <f>'Jun-24'!Q5</f>
        <v>0.33234148069429686</v>
      </c>
      <c r="CT4" s="165">
        <f>'Jun-24'!R5</f>
        <v>0.33872948531874514</v>
      </c>
      <c r="CU4" s="165">
        <f>'Jun-24'!S5</f>
        <v>0.33201160541586072</v>
      </c>
      <c r="CV4" s="165">
        <f>'Jun-24'!T5</f>
        <v>0.33197389885807504</v>
      </c>
      <c r="CW4" s="165">
        <f>'Jun-24'!U5</f>
        <v>0.32156122511112462</v>
      </c>
      <c r="CX4" s="165">
        <f>'Jun-24'!V5</f>
        <v>0.34084995663486556</v>
      </c>
      <c r="CY4" s="165">
        <f>'Jun-24'!W5</f>
        <v>0.32821614983113295</v>
      </c>
      <c r="CZ4" s="165">
        <f>'Jun-24'!X5</f>
        <v>0.33876888324156429</v>
      </c>
      <c r="DA4" s="165">
        <f>'Jun-24'!Y5</f>
        <v>0.33012738853503187</v>
      </c>
      <c r="DB4" s="165">
        <f>'Jun-24'!Z5</f>
        <v>0.34297173167734007</v>
      </c>
      <c r="DC4" s="165">
        <f>'Jun-24'!AA5</f>
        <v>0.31588197206548885</v>
      </c>
      <c r="DD4" s="165">
        <f>'Jun-24'!AB5</f>
        <v>0.32059659799471241</v>
      </c>
      <c r="DE4" s="165">
        <f>'Jun-24'!AC5</f>
        <v>0.32714334124025751</v>
      </c>
      <c r="DF4" s="165">
        <f>'Jun-24'!AD5</f>
        <v>0.33567909922589728</v>
      </c>
      <c r="DG4" s="165">
        <f>'Jun-24'!AE5</f>
        <v>0.34560803434975618</v>
      </c>
      <c r="DH4" s="165">
        <f>'Jun-24'!AF5</f>
        <v>0.34040197581331971</v>
      </c>
      <c r="DI4" s="165">
        <f>'Jun-24'!AG5</f>
        <v>0.3403578092415761</v>
      </c>
      <c r="DJ4" s="165">
        <f>'Jun-24'!AH5</f>
        <v>0.34126341364648716</v>
      </c>
      <c r="DK4" s="165">
        <f>'Jul-24'!E5</f>
        <v>0.34111980734497288</v>
      </c>
      <c r="DL4" s="165">
        <f>'Jul-24'!F5</f>
        <v>0.34069328452122183</v>
      </c>
      <c r="DM4" s="165">
        <f>'Jul-24'!G5</f>
        <v>0.31094527363184077</v>
      </c>
      <c r="DN4" s="165">
        <f>'Jul-24'!H5</f>
        <v>0.31707578518597923</v>
      </c>
      <c r="DO4" s="165">
        <f>'Jul-24'!I5</f>
        <v>0.34101775956284153</v>
      </c>
      <c r="DP4" s="165">
        <f>'Jul-24'!J5</f>
        <v>0.34537481728962205</v>
      </c>
      <c r="DQ4" s="165">
        <f>'Jul-24'!K5</f>
        <v>0.33783911522828247</v>
      </c>
      <c r="DR4" s="165">
        <f>'Jul-24'!L5</f>
        <v>0.34223471539002109</v>
      </c>
      <c r="DS4" s="165">
        <f>'Jul-24'!M5</f>
        <v>0.34088417975886004</v>
      </c>
      <c r="DT4" s="165">
        <f>'Jul-24'!N5</f>
        <v>0.34075552825552824</v>
      </c>
      <c r="DU4" s="165">
        <f>'Jul-24'!O5</f>
        <v>0.3406393799951562</v>
      </c>
      <c r="DV4" s="165">
        <f>'Jul-24'!P5</f>
        <v>0.34025091972455429</v>
      </c>
      <c r="DW4" s="165">
        <f>'Jul-24'!Q5</f>
        <v>0.33025048169556842</v>
      </c>
      <c r="DX4" s="165">
        <f>'Jul-24'!R5</f>
        <v>0.3421119592875318</v>
      </c>
      <c r="DY4" s="165">
        <f>'Jul-24'!S5</f>
        <v>0.33767912940415906</v>
      </c>
      <c r="DZ4" s="165">
        <f>'Jul-24'!T5</f>
        <v>0.34172185430463575</v>
      </c>
      <c r="EA4" s="165">
        <f>'Jul-24'!U5</f>
        <v>0.34188376753507016</v>
      </c>
      <c r="EB4" s="165">
        <f>'Jul-24'!V5</f>
        <v>0.34162115550445532</v>
      </c>
      <c r="EC4" s="165">
        <f>'Jul-24'!W5</f>
        <v>0.34084329767149152</v>
      </c>
      <c r="ED4" s="165">
        <f>'Jul-24'!X5</f>
        <v>0.34134366925064602</v>
      </c>
      <c r="EE4" s="165">
        <f>'Jul-24'!Y5</f>
        <v>0.33951571354971666</v>
      </c>
      <c r="EF4" s="165">
        <f>'Jul-24'!Z5</f>
        <v>0.33828745144401284</v>
      </c>
      <c r="EG4" s="165">
        <f>'Jul-24'!AA5</f>
        <v>0.3360951008645533</v>
      </c>
      <c r="EH4" s="165">
        <f>'Jul-24'!AB5</f>
        <v>0.34376053962900505</v>
      </c>
      <c r="EI4" s="165">
        <f>'Jul-24'!AC5</f>
        <v>0.33714967203339297</v>
      </c>
      <c r="EJ4" s="165">
        <f>'Jul-24'!AD5</f>
        <v>0.34029720279720282</v>
      </c>
      <c r="EK4" s="165">
        <f>'Jul-24'!AE5</f>
        <v>0.33383116421307163</v>
      </c>
      <c r="EL4" s="165">
        <f>'Jul-24'!AF5</f>
        <v>0.32250796363918888</v>
      </c>
      <c r="EM4" s="165">
        <f>'Jul-24'!AG5</f>
        <v>0.32630393996247653</v>
      </c>
      <c r="EN4" s="165">
        <f>'Jul-24'!AH5</f>
        <v>0.33846153846153848</v>
      </c>
      <c r="EO4" s="165">
        <f>'Jul-24'!AI5</f>
        <v>0.34104560622914348</v>
      </c>
      <c r="EP4" s="165">
        <f>'Aug-24'!E5</f>
        <v>0.34058277027027029</v>
      </c>
      <c r="EQ4" s="165">
        <f>'Aug-24'!F5</f>
        <v>0.31552273385461915</v>
      </c>
      <c r="ER4" s="165">
        <f>'Aug-24'!G5</f>
        <v>0.32155677309654263</v>
      </c>
      <c r="ES4" s="165">
        <f>'Aug-24'!H5</f>
        <v>0.32046600591201529</v>
      </c>
      <c r="ET4" s="165">
        <f>'Aug-24'!I5</f>
        <v>0.31391186273299593</v>
      </c>
      <c r="EU4" s="165">
        <f>'Aug-24'!J5</f>
        <v>0.31623831775700934</v>
      </c>
      <c r="EV4" s="165">
        <f>'Aug-24'!K5</f>
        <v>0.3119846069268829</v>
      </c>
      <c r="EW4" s="165">
        <f>'Aug-24'!L5</f>
        <v>0.29286640726329444</v>
      </c>
      <c r="EX4" s="165">
        <f>'Aug-24'!M5</f>
        <v>0.30217627856365614</v>
      </c>
      <c r="EY4" s="165">
        <f>'Aug-24'!N5</f>
        <v>0.31405279503105588</v>
      </c>
      <c r="EZ4" s="165">
        <f>'Aug-24'!O5</f>
        <v>0.33010122535961639</v>
      </c>
      <c r="FA4" s="165">
        <f>'Aug-24'!P5</f>
        <v>0.31386470194239785</v>
      </c>
      <c r="FB4" s="165">
        <f>'Aug-24'!Q5</f>
        <v>0.32114208021753909</v>
      </c>
      <c r="FC4" s="165">
        <f>'Aug-24'!R5</f>
        <v>0.3213588110403397</v>
      </c>
      <c r="FD4" s="165">
        <f>'Aug-24'!S5</f>
        <v>0.31176470588235294</v>
      </c>
      <c r="FE4" s="165">
        <f>'Aug-24'!T5</f>
        <v>0.31205295185224724</v>
      </c>
      <c r="FF4" s="165">
        <f>'Aug-24'!U5</f>
        <v>0.31541353383458648</v>
      </c>
      <c r="FG4" s="165">
        <f>'Aug-24'!V5</f>
        <v>0.3216970998925886</v>
      </c>
      <c r="FH4" s="165">
        <f>'Aug-24'!W5</f>
        <v>0.30990658266348031</v>
      </c>
      <c r="FI4" s="165">
        <f>'Aug-24'!X5</f>
        <v>0.3056576047024247</v>
      </c>
      <c r="FJ4" s="165">
        <f>'Aug-24'!Y5</f>
        <v>0.30760095011876487</v>
      </c>
      <c r="FK4" s="165">
        <f>'Aug-24'!Z5</f>
        <v>0.30635838150289019</v>
      </c>
      <c r="FL4" s="165">
        <f>'Aug-24'!AA5</f>
        <v>0.32205882352941179</v>
      </c>
      <c r="FM4" s="165">
        <f>'Aug-24'!AB5</f>
        <v>0.31959657303980044</v>
      </c>
      <c r="FN4" s="165">
        <f>'Aug-24'!AC5</f>
        <v>0.34567496723460028</v>
      </c>
      <c r="FO4" s="165">
        <f>'Aug-24'!AD5</f>
        <v>0.3395856951458312</v>
      </c>
      <c r="FP4" s="165">
        <f>'Aug-24'!AE5</f>
        <v>0.32188194224055855</v>
      </c>
      <c r="FQ4" s="165">
        <f>'Aug-24'!AF5</f>
        <v>0.33027692877651199</v>
      </c>
      <c r="FR4" s="165">
        <f>'Aug-24'!AG5</f>
        <v>0.32757475083056481</v>
      </c>
      <c r="FS4" s="165">
        <f>'Aug-24'!AH5</f>
        <v>0.31375367526951975</v>
      </c>
      <c r="FT4" s="165">
        <f>'Aug-24'!AI5</f>
        <v>0.330497286196274</v>
      </c>
      <c r="FU4" s="165">
        <f>'Sep-24'!E5</f>
        <v>0.33208221626452189</v>
      </c>
      <c r="FV4" s="165">
        <f>'Sep-24'!F5</f>
        <v>0.32371169029628999</v>
      </c>
      <c r="FW4" s="165">
        <f>'Sep-24'!G5</f>
        <v>0.33575184016824394</v>
      </c>
      <c r="FX4" s="165">
        <f>'Sep-24'!H5</f>
        <v>0.32234513274336285</v>
      </c>
      <c r="FY4" s="165">
        <f>'Sep-24'!I5</f>
        <v>0.32867084682698272</v>
      </c>
      <c r="FZ4" s="165" t="e">
        <f>'Sep-24'!J5</f>
        <v>#DIV/0!</v>
      </c>
      <c r="GA4" s="165" t="e">
        <f>'Sep-24'!K5</f>
        <v>#DIV/0!</v>
      </c>
      <c r="GB4" s="165" t="e">
        <f>'Sep-24'!L5</f>
        <v>#DIV/0!</v>
      </c>
      <c r="GC4" s="165" t="e">
        <f>'Sep-24'!M5</f>
        <v>#DIV/0!</v>
      </c>
      <c r="GD4" s="166">
        <v>0.34100000000000003</v>
      </c>
      <c r="GE4" s="215">
        <v>0.34100000000000003</v>
      </c>
      <c r="GF4" s="215">
        <v>0.34100000000000003</v>
      </c>
      <c r="GG4" s="215">
        <v>0.32099999999999995</v>
      </c>
      <c r="GH4" s="215">
        <v>0.32100000000000001</v>
      </c>
      <c r="GI4" s="215">
        <v>0.32100000000000006</v>
      </c>
      <c r="GJ4" s="215">
        <v>0.32099999999999995</v>
      </c>
      <c r="GK4" s="215">
        <v>0.34100000000000003</v>
      </c>
      <c r="GL4" s="215">
        <v>0.34100000000000003</v>
      </c>
      <c r="GM4" s="215">
        <v>0.34100000000000003</v>
      </c>
      <c r="GN4" s="215">
        <v>0.34100000000000003</v>
      </c>
      <c r="GO4" s="215">
        <v>0.34100000000000003</v>
      </c>
    </row>
    <row r="5" spans="1:197" ht="44.25" customHeight="1" x14ac:dyDescent="0.3">
      <c r="A5" s="134">
        <v>2</v>
      </c>
      <c r="B5" s="156" t="s">
        <v>12</v>
      </c>
      <c r="C5" s="157" t="s">
        <v>6</v>
      </c>
      <c r="D5" s="157" t="s">
        <v>10</v>
      </c>
      <c r="E5" s="158">
        <v>0.24349999999999999</v>
      </c>
      <c r="F5" s="159"/>
      <c r="G5" s="225">
        <v>0.27074824420227672</v>
      </c>
      <c r="H5" s="236">
        <v>0.28999999999999998</v>
      </c>
      <c r="I5" s="236">
        <v>0.28999999999999998</v>
      </c>
      <c r="J5" s="236">
        <v>0.28999999999999998</v>
      </c>
      <c r="K5" s="236">
        <v>0.27</v>
      </c>
      <c r="L5" s="236">
        <v>0.27</v>
      </c>
      <c r="M5" s="329">
        <v>0.27</v>
      </c>
      <c r="N5" s="237">
        <v>0.2842821403717703</v>
      </c>
      <c r="O5" s="161">
        <f>'Apr-24'!AI8</f>
        <v>0.27545501820072804</v>
      </c>
      <c r="P5" s="161">
        <f>'May-24'!AJ8</f>
        <v>0.27247223845704266</v>
      </c>
      <c r="Q5" s="161">
        <f>'Jun-24'!AJ8</f>
        <v>0.27899221934049651</v>
      </c>
      <c r="R5" s="161">
        <f>'Jul-24'!AJ8</f>
        <v>0.28119125939849626</v>
      </c>
      <c r="S5" s="161">
        <f>'Aug-24'!AJ8</f>
        <v>0.27471218737594283</v>
      </c>
      <c r="T5" s="161">
        <f>'Sep-24'!AJ8</f>
        <v>0.28111888111888111</v>
      </c>
      <c r="U5" s="161">
        <f>'Aug-24'!AK8</f>
        <v>0.27674201110125951</v>
      </c>
      <c r="V5" s="350"/>
      <c r="W5" s="163"/>
      <c r="X5" s="165">
        <f>'Apr-24'!E8</f>
        <v>0.27465437788018432</v>
      </c>
      <c r="Y5" s="165" t="str">
        <f>'Apr-24'!F8</f>
        <v>-</v>
      </c>
      <c r="Z5" s="165">
        <f>'Apr-24'!G8</f>
        <v>0.279144385026738</v>
      </c>
      <c r="AA5" s="165">
        <f>'Apr-24'!H8</f>
        <v>0.27920792079207923</v>
      </c>
      <c r="AB5" s="165">
        <f>'Apr-24'!I8</f>
        <v>0.2830336200156372</v>
      </c>
      <c r="AC5" s="165" t="str">
        <f>'Apr-24'!J8</f>
        <v>-</v>
      </c>
      <c r="AD5" s="165">
        <f>'Apr-24'!K8</f>
        <v>0.27191679049034173</v>
      </c>
      <c r="AE5" s="165">
        <f>'Apr-24'!L8</f>
        <v>0.27459807073954984</v>
      </c>
      <c r="AF5" s="165">
        <f>'Apr-24'!M8</f>
        <v>0.28042328042328041</v>
      </c>
      <c r="AG5" s="165">
        <f>'Apr-24'!N8</f>
        <v>0.28036437246963564</v>
      </c>
      <c r="AH5" s="165" t="str">
        <f>'Apr-24'!O8</f>
        <v>-</v>
      </c>
      <c r="AI5" s="165" t="str">
        <f>'Apr-24'!P8</f>
        <v>-</v>
      </c>
      <c r="AJ5" s="165">
        <f>'Apr-24'!Q8</f>
        <v>0.27703523693803161</v>
      </c>
      <c r="AK5" s="165">
        <f>'Apr-24'!R8</f>
        <v>0.27078651685393257</v>
      </c>
      <c r="AL5" s="165">
        <f>'Apr-24'!S8</f>
        <v>0.27391304347826084</v>
      </c>
      <c r="AM5" s="165" t="str">
        <f>'Apr-24'!T8</f>
        <v>-</v>
      </c>
      <c r="AN5" s="165">
        <f>'Apr-24'!U8</f>
        <v>0.2769342010122921</v>
      </c>
      <c r="AO5" s="165">
        <f>'Apr-24'!V8</f>
        <v>0.27500000000000002</v>
      </c>
      <c r="AP5" s="165" t="str">
        <f>'Apr-24'!W8</f>
        <v>-</v>
      </c>
      <c r="AQ5" s="165">
        <f>'Apr-24'!X8</f>
        <v>0.27032734952481519</v>
      </c>
      <c r="AR5" s="165" t="str">
        <f>'Apr-24'!Y8</f>
        <v>-</v>
      </c>
      <c r="AS5" s="165">
        <f>'Apr-24'!Z8</f>
        <v>0.26619964973730298</v>
      </c>
      <c r="AT5" s="165" t="str">
        <f>'Apr-24'!AA8</f>
        <v>-</v>
      </c>
      <c r="AU5" s="165" t="str">
        <f>'Apr-24'!AB8</f>
        <v>-</v>
      </c>
      <c r="AV5" s="165" t="str">
        <f>'Apr-24'!AC8</f>
        <v>-</v>
      </c>
      <c r="AW5" s="165">
        <f>'Apr-24'!AD8</f>
        <v>0.28024316109422492</v>
      </c>
      <c r="AX5" s="165">
        <f>'Apr-24'!AE8</f>
        <v>0.28095238095238095</v>
      </c>
      <c r="AY5" s="165" t="str">
        <f>'Apr-24'!AF8</f>
        <v>-</v>
      </c>
      <c r="AZ5" s="165">
        <f>'Apr-24'!AG8</f>
        <v>0.27898089171974522</v>
      </c>
      <c r="BA5" s="165">
        <f>'Apr-24'!AH8</f>
        <v>0.255</v>
      </c>
      <c r="BB5" s="165" t="str">
        <f>'May-24'!E8</f>
        <v>-</v>
      </c>
      <c r="BC5" s="165">
        <f>'May-24'!F8</f>
        <v>0.27004219409282698</v>
      </c>
      <c r="BD5" s="165" t="str">
        <f>'May-24'!G8</f>
        <v>-</v>
      </c>
      <c r="BE5" s="165">
        <f>'May-24'!H8</f>
        <v>0.27272727272727271</v>
      </c>
      <c r="BF5" s="165" t="str">
        <f>'May-24'!I8</f>
        <v>-</v>
      </c>
      <c r="BG5" s="165">
        <f>'May-24'!J8</f>
        <v>0.27033639143730887</v>
      </c>
      <c r="BH5" s="165">
        <f>'May-24'!K8</f>
        <v>0.2711864406779661</v>
      </c>
      <c r="BI5" s="165" t="str">
        <f>'May-24'!L8</f>
        <v>-</v>
      </c>
      <c r="BJ5" s="165">
        <f>'May-24'!M8</f>
        <v>0.27250000000000002</v>
      </c>
      <c r="BK5" s="165">
        <f>'May-24'!N8</f>
        <v>0.2614035087719298</v>
      </c>
      <c r="BL5" s="165" t="str">
        <f>'May-24'!O8</f>
        <v>-</v>
      </c>
      <c r="BM5" s="165">
        <f>'May-24'!P8</f>
        <v>0.270473328324568</v>
      </c>
      <c r="BN5" s="165" t="str">
        <f>'May-24'!Q8</f>
        <v>-</v>
      </c>
      <c r="BO5" s="165" t="str">
        <f>'May-24'!R8</f>
        <v>-</v>
      </c>
      <c r="BP5" s="165" t="str">
        <f>'May-24'!S8</f>
        <v>-</v>
      </c>
      <c r="BQ5" s="165">
        <f>'May-24'!T8</f>
        <v>0.27517006802721089</v>
      </c>
      <c r="BR5" s="165" t="str">
        <f>'May-24'!U8</f>
        <v>-</v>
      </c>
      <c r="BS5" s="165" t="str">
        <f>'May-24'!V8</f>
        <v>-</v>
      </c>
      <c r="BT5" s="165" t="str">
        <f>'May-24'!W8</f>
        <v>-</v>
      </c>
      <c r="BU5" s="165">
        <f>'May-24'!X8</f>
        <v>0.27516778523489932</v>
      </c>
      <c r="BV5" s="165">
        <f>'May-24'!Y8</f>
        <v>0.27524752475247527</v>
      </c>
      <c r="BW5" s="165" t="str">
        <f>'May-24'!Z8</f>
        <v>-</v>
      </c>
      <c r="BX5" s="165" t="str">
        <f>'May-24'!AA8</f>
        <v>-</v>
      </c>
      <c r="BY5" s="165">
        <f>'May-24'!AB8</f>
        <v>0.27061105722599416</v>
      </c>
      <c r="BZ5" s="165">
        <f>'May-24'!AC8</f>
        <v>0.27193744569939182</v>
      </c>
      <c r="CA5" s="165" t="str">
        <f>'May-24'!AD8</f>
        <v>-</v>
      </c>
      <c r="CB5" s="165">
        <f>'May-24'!AE8</f>
        <v>0.2687074829931973</v>
      </c>
      <c r="CC5" s="165" t="str">
        <f>'May-24'!AF8</f>
        <v>-</v>
      </c>
      <c r="CD5" s="165" t="str">
        <f>'May-24'!AG8</f>
        <v>-</v>
      </c>
      <c r="CE5" s="165" t="str">
        <f>'May-24'!AH8</f>
        <v>-</v>
      </c>
      <c r="CF5" s="165">
        <f>'May-24'!AI8</f>
        <v>0.27810026385224274</v>
      </c>
      <c r="CG5" s="165" t="str">
        <f>'Jun-24'!E8</f>
        <v>-</v>
      </c>
      <c r="CH5" s="165" t="str">
        <f>'Jun-24'!F8</f>
        <v>-</v>
      </c>
      <c r="CI5" s="165" t="str">
        <f>'Jun-24'!G8</f>
        <v>-</v>
      </c>
      <c r="CJ5" s="165" t="str">
        <f>'Jun-24'!H8</f>
        <v>-</v>
      </c>
      <c r="CK5" s="165">
        <f>'Jun-24'!I8</f>
        <v>0.28321167883211679</v>
      </c>
      <c r="CL5" s="165">
        <f>'Jun-24'!J8</f>
        <v>0.27576470588235297</v>
      </c>
      <c r="CM5" s="165" t="str">
        <f>'Jun-24'!K8</f>
        <v>-</v>
      </c>
      <c r="CN5" s="165">
        <f>'Jun-24'!L8</f>
        <v>0.28214665249734328</v>
      </c>
      <c r="CO5" s="165" t="str">
        <f>'Jun-24'!M8</f>
        <v>-</v>
      </c>
      <c r="CP5" s="165" t="str">
        <f>'Jun-24'!N8</f>
        <v>-</v>
      </c>
      <c r="CQ5" s="165">
        <f>'Jun-24'!O8</f>
        <v>0.26983050847457629</v>
      </c>
      <c r="CR5" s="165" t="str">
        <f>'Jun-24'!P8</f>
        <v>-</v>
      </c>
      <c r="CS5" s="165" t="str">
        <f>'Jun-24'!Q8</f>
        <v>-</v>
      </c>
      <c r="CT5" s="165" t="str">
        <f>'Jun-24'!R8</f>
        <v>-</v>
      </c>
      <c r="CU5" s="165">
        <f>'Jun-24'!S8</f>
        <v>0.28120775123929698</v>
      </c>
      <c r="CV5" s="165" t="str">
        <f>'Jun-24'!T8</f>
        <v>-</v>
      </c>
      <c r="CW5" s="165" t="str">
        <f>'Jun-24'!U8</f>
        <v>-</v>
      </c>
      <c r="CX5" s="165">
        <f>'Jun-24'!V8</f>
        <v>0.27921044253422478</v>
      </c>
      <c r="CY5" s="165" t="str">
        <f>'Jun-24'!W8</f>
        <v>-</v>
      </c>
      <c r="CZ5" s="165" t="str">
        <f>'Jun-24'!X8</f>
        <v>-</v>
      </c>
      <c r="DA5" s="165">
        <f>'Jun-24'!Y8</f>
        <v>0.27531806615776083</v>
      </c>
      <c r="DB5" s="165">
        <f>'Jun-24'!Z8</f>
        <v>0.28351881293057762</v>
      </c>
      <c r="DC5" s="165" t="str">
        <f>'Jun-24'!AA8</f>
        <v>-</v>
      </c>
      <c r="DD5" s="165">
        <f>'Jun-24'!AB8</f>
        <v>0.27516778523489932</v>
      </c>
      <c r="DE5" s="165" t="str">
        <f>'Jun-24'!AC8</f>
        <v>-</v>
      </c>
      <c r="DF5" s="165" t="str">
        <f>'Jun-24'!AD8</f>
        <v>-</v>
      </c>
      <c r="DG5" s="165" t="str">
        <f>'Jun-24'!AE8</f>
        <v>-</v>
      </c>
      <c r="DH5" s="165" t="str">
        <f>'Jun-24'!AF8</f>
        <v>-</v>
      </c>
      <c r="DI5" s="165">
        <f>'Jun-24'!AG8</f>
        <v>0.28119001919385794</v>
      </c>
      <c r="DJ5" s="165" t="str">
        <f>'Jun-24'!AH8</f>
        <v>-</v>
      </c>
      <c r="DK5" s="165" t="str">
        <f>'Jul-24'!E8</f>
        <v>-</v>
      </c>
      <c r="DL5" s="165" t="str">
        <f>'Jul-24'!F8</f>
        <v>-</v>
      </c>
      <c r="DM5" s="165">
        <f>'Jul-24'!G8</f>
        <v>0.27074235807860264</v>
      </c>
      <c r="DN5" s="165">
        <f>'Jul-24'!H8</f>
        <v>0.2804733727810651</v>
      </c>
      <c r="DO5" s="165">
        <f>'Jul-24'!I8</f>
        <v>0.29039704524469068</v>
      </c>
      <c r="DP5" s="165" t="str">
        <f>'Jul-24'!J8</f>
        <v>-</v>
      </c>
      <c r="DQ5" s="165">
        <f>'Jul-24'!K8</f>
        <v>0.28059071729957807</v>
      </c>
      <c r="DR5" s="165" t="str">
        <f>'Jul-24'!L8</f>
        <v>-</v>
      </c>
      <c r="DS5" s="165">
        <f>'Jul-24'!M8</f>
        <v>0.28085867620751342</v>
      </c>
      <c r="DT5" s="165" t="str">
        <f>'Jul-24'!N8</f>
        <v>-</v>
      </c>
      <c r="DU5" s="165" t="str">
        <f>'Jul-24'!O8</f>
        <v>-</v>
      </c>
      <c r="DV5" s="165">
        <f>'Jul-24'!P8</f>
        <v>0.27990235964198534</v>
      </c>
      <c r="DW5" s="165" t="str">
        <f>'Jul-24'!Q8</f>
        <v>-</v>
      </c>
      <c r="DX5" s="165" t="str">
        <f>'Jul-24'!R8</f>
        <v>-</v>
      </c>
      <c r="DY5" s="165" t="str">
        <f>'Jul-24'!S8</f>
        <v>-</v>
      </c>
      <c r="DZ5" s="165" t="str">
        <f>'Jul-24'!T8</f>
        <v>-</v>
      </c>
      <c r="EA5" s="165" t="str">
        <f>'Jul-24'!U8</f>
        <v>-</v>
      </c>
      <c r="EB5" s="165">
        <f>'Jul-24'!V8</f>
        <v>0.28056872037914693</v>
      </c>
      <c r="EC5" s="165" t="str">
        <f>'Jul-24'!W8</f>
        <v>-</v>
      </c>
      <c r="ED5" s="165" t="str">
        <f>'Jul-24'!X8</f>
        <v>-</v>
      </c>
      <c r="EE5" s="165" t="str">
        <f>'Jul-24'!Y8</f>
        <v>-</v>
      </c>
      <c r="EF5" s="165" t="str">
        <f>'Jul-24'!Z8</f>
        <v>-</v>
      </c>
      <c r="EG5" s="165">
        <f>'Jul-24'!AA8</f>
        <v>0.29129287598944592</v>
      </c>
      <c r="EH5" s="165">
        <f>'Jul-24'!AB8</f>
        <v>0.29090909090909089</v>
      </c>
      <c r="EI5" s="165" t="str">
        <f>'Jul-24'!AC8</f>
        <v>-</v>
      </c>
      <c r="EJ5" s="165" t="str">
        <f>'Jul-24'!AD8</f>
        <v>-</v>
      </c>
      <c r="EK5" s="165">
        <f>'Jul-24'!AE8</f>
        <v>0.28027681660899656</v>
      </c>
      <c r="EL5" s="165">
        <f>'Jul-24'!AF8</f>
        <v>0.28095238095238095</v>
      </c>
      <c r="EM5" s="165">
        <f>'Jul-24'!AG8</f>
        <v>0.27178082191780822</v>
      </c>
      <c r="EN5" s="165" t="str">
        <f>'Jul-24'!AH8</f>
        <v>-</v>
      </c>
      <c r="EO5" s="165" t="str">
        <f>'Jul-24'!AI8</f>
        <v>-</v>
      </c>
      <c r="EP5" s="165" t="str">
        <f>'Aug-24'!E8</f>
        <v>-</v>
      </c>
      <c r="EQ5" s="165" t="str">
        <f>'Aug-24'!F8</f>
        <v>-</v>
      </c>
      <c r="ER5" s="165" t="str">
        <f>'Aug-24'!G8</f>
        <v>-</v>
      </c>
      <c r="ES5" s="165" t="str">
        <f>'Aug-24'!H8</f>
        <v>-</v>
      </c>
      <c r="ET5" s="165">
        <f>'Aug-24'!I8</f>
        <v>0.27516198704103673</v>
      </c>
      <c r="EU5" s="165" t="str">
        <f>'Aug-24'!J8</f>
        <v>-</v>
      </c>
      <c r="EV5" s="165" t="str">
        <f>'Aug-24'!K8</f>
        <v>-</v>
      </c>
      <c r="EW5" s="165" t="str">
        <f>'Aug-24'!L8</f>
        <v>-</v>
      </c>
      <c r="EX5" s="165" t="str">
        <f>'Aug-24'!M8</f>
        <v>-</v>
      </c>
      <c r="EY5" s="165" t="str">
        <f>'Aug-24'!N8</f>
        <v>-</v>
      </c>
      <c r="EZ5" s="165" t="str">
        <f>'Aug-24'!O8</f>
        <v>-</v>
      </c>
      <c r="FA5" s="165">
        <f>'Aug-24'!P8</f>
        <v>0.26983050847457629</v>
      </c>
      <c r="FB5" s="165" t="str">
        <f>'Aug-24'!Q8</f>
        <v>-</v>
      </c>
      <c r="FC5" s="165" t="str">
        <f>'Aug-24'!R8</f>
        <v>-</v>
      </c>
      <c r="FD5" s="165" t="str">
        <f>'Aug-24'!S8</f>
        <v>-</v>
      </c>
      <c r="FE5" s="165" t="str">
        <f>'Aug-24'!T8</f>
        <v>-</v>
      </c>
      <c r="FF5" s="165" t="str">
        <f>'Aug-24'!U8</f>
        <v>-</v>
      </c>
      <c r="FG5" s="165">
        <f>'Aug-24'!V8</f>
        <v>0.28008021390374332</v>
      </c>
      <c r="FH5" s="165">
        <f>'Aug-24'!W8</f>
        <v>0.27055067837190744</v>
      </c>
      <c r="FI5" s="165">
        <f>'Aug-24'!X8</f>
        <v>0.26593625498007967</v>
      </c>
      <c r="FJ5" s="165" t="str">
        <f>'Aug-24'!Y8</f>
        <v>-</v>
      </c>
      <c r="FK5" s="165" t="str">
        <f>'Aug-24'!Z8</f>
        <v>-</v>
      </c>
      <c r="FL5" s="165">
        <f>'Aug-24'!AA8</f>
        <v>0.28322147651006713</v>
      </c>
      <c r="FM5" s="165" t="str">
        <f>'Aug-24'!AB8</f>
        <v>-</v>
      </c>
      <c r="FN5" s="165" t="str">
        <f>'Aug-24'!AC8</f>
        <v>-</v>
      </c>
      <c r="FO5" s="165" t="str">
        <f>'Aug-24'!AD8</f>
        <v>-</v>
      </c>
      <c r="FP5" s="165">
        <f>'Aug-24'!AE8</f>
        <v>0.27796420581655479</v>
      </c>
      <c r="FQ5" s="165" t="str">
        <f>'Aug-24'!AF8</f>
        <v>-</v>
      </c>
      <c r="FR5" s="165" t="str">
        <f>'Aug-24'!AG8</f>
        <v>-</v>
      </c>
      <c r="FS5" s="165" t="str">
        <f>'Aug-24'!AH8</f>
        <v>-</v>
      </c>
      <c r="FT5" s="165" t="str">
        <f>'Aug-24'!AI8</f>
        <v>-</v>
      </c>
      <c r="FU5" s="165">
        <f>'Sep-24'!E8</f>
        <v>0.28090909090909089</v>
      </c>
      <c r="FV5" s="165" t="str">
        <f>'Sep-24'!F8</f>
        <v>-</v>
      </c>
      <c r="FW5" s="165" t="str">
        <f>'Sep-24'!G8</f>
        <v>-</v>
      </c>
      <c r="FX5" s="165" t="str">
        <f>'Sep-24'!H8</f>
        <v>-</v>
      </c>
      <c r="FY5" s="165">
        <f>'Sep-24'!I8</f>
        <v>0.28133971291866028</v>
      </c>
      <c r="FZ5" s="165" t="str">
        <f>'Sep-24'!J8</f>
        <v>-</v>
      </c>
      <c r="GA5" s="165" t="str">
        <f>'Sep-24'!K8</f>
        <v>-</v>
      </c>
      <c r="GB5" s="165" t="str">
        <f>'Sep-24'!L8</f>
        <v>-</v>
      </c>
      <c r="GC5" s="165" t="str">
        <f>'Sep-24'!M8</f>
        <v>-</v>
      </c>
      <c r="GD5" s="166">
        <v>0.28999999999999998</v>
      </c>
      <c r="GE5" s="166">
        <v>0.28999999999999998</v>
      </c>
      <c r="GF5" s="166">
        <v>0.28999999999999998</v>
      </c>
      <c r="GG5" s="166">
        <v>0.27</v>
      </c>
      <c r="GH5" s="166">
        <v>0.27</v>
      </c>
      <c r="GI5" s="166">
        <v>0.27</v>
      </c>
      <c r="GJ5" s="166">
        <v>0.27</v>
      </c>
      <c r="GK5" s="166">
        <v>0.28999999999999998</v>
      </c>
      <c r="GL5" s="166">
        <v>0.28999999999999998</v>
      </c>
      <c r="GM5" s="166">
        <v>0.28999999999999998</v>
      </c>
      <c r="GN5" s="166">
        <v>0.28999999999999998</v>
      </c>
      <c r="GO5" s="166">
        <v>0.28999999999999998</v>
      </c>
    </row>
    <row r="6" spans="1:197" ht="44.25" customHeight="1" x14ac:dyDescent="0.3">
      <c r="A6" s="134">
        <v>3</v>
      </c>
      <c r="B6" s="220" t="s">
        <v>206</v>
      </c>
      <c r="C6" s="221" t="s">
        <v>6</v>
      </c>
      <c r="D6" s="221" t="s">
        <v>10</v>
      </c>
      <c r="E6" s="158"/>
      <c r="F6" s="159"/>
      <c r="G6" s="225">
        <v>0.29799999999999999</v>
      </c>
      <c r="H6" s="236">
        <v>0.315</v>
      </c>
      <c r="I6" s="236">
        <v>0.315</v>
      </c>
      <c r="J6" s="236">
        <v>0.315</v>
      </c>
      <c r="K6" s="236">
        <v>0.3</v>
      </c>
      <c r="L6" s="236">
        <v>0.3</v>
      </c>
      <c r="M6" s="329">
        <v>0.3</v>
      </c>
      <c r="N6" s="237">
        <v>0.31097586614173173</v>
      </c>
      <c r="O6" s="161">
        <f>'Apr-24'!AI11</f>
        <v>0.30164010521429674</v>
      </c>
      <c r="P6" s="161">
        <f>'May-24'!AJ11</f>
        <v>0.29762577727529677</v>
      </c>
      <c r="Q6" s="161">
        <f>'Jun-24'!AJ11</f>
        <v>0.30184172263380182</v>
      </c>
      <c r="R6" s="161">
        <f>'Jul-24'!AJ11</f>
        <v>0.30014179927524814</v>
      </c>
      <c r="S6" s="161">
        <f>'Aug-24'!AJ11</f>
        <v>0.3000430015050527</v>
      </c>
      <c r="T6" s="161">
        <f>'Sep-24'!AJ11</f>
        <v>0.30516206482593039</v>
      </c>
      <c r="U6" s="161">
        <f>'Aug-24'!AK11</f>
        <v>0.30033361404417958</v>
      </c>
      <c r="V6" s="162"/>
      <c r="W6" s="163"/>
      <c r="X6" s="165">
        <f>'Apr-24'!E11</f>
        <v>0.29531249999999998</v>
      </c>
      <c r="Y6" s="165" t="str">
        <f>'Apr-24'!F11</f>
        <v>-</v>
      </c>
      <c r="Z6" s="165">
        <f>'Apr-24'!G11</f>
        <v>0.30173410404624279</v>
      </c>
      <c r="AA6" s="165">
        <f>'Apr-24'!H11</f>
        <v>0.30696378830083565</v>
      </c>
      <c r="AB6" s="165" t="str">
        <f>'Apr-24'!I11</f>
        <v>-</v>
      </c>
      <c r="AC6" s="165">
        <f>'Apr-24'!J11</f>
        <v>0.3</v>
      </c>
      <c r="AD6" s="165">
        <f>'Apr-24'!K11</f>
        <v>0.30392156862745096</v>
      </c>
      <c r="AE6" s="165">
        <f>'Apr-24'!L11</f>
        <v>0.30452674897119342</v>
      </c>
      <c r="AF6" s="165">
        <f>'Apr-24'!M11</f>
        <v>0.30191972076788831</v>
      </c>
      <c r="AG6" s="165">
        <f>'Apr-24'!N11</f>
        <v>0.30125120307988451</v>
      </c>
      <c r="AH6" s="165" t="str">
        <f>'Apr-24'!O11</f>
        <v>-</v>
      </c>
      <c r="AI6" s="165" t="str">
        <f>'Apr-24'!P11</f>
        <v>-</v>
      </c>
      <c r="AJ6" s="165">
        <f>'Apr-24'!Q11</f>
        <v>0.30866540164452877</v>
      </c>
      <c r="AK6" s="165">
        <f>'Apr-24'!R11</f>
        <v>0.30720720720720723</v>
      </c>
      <c r="AL6" s="165">
        <f>'Apr-24'!S11</f>
        <v>0.3070500927643785</v>
      </c>
      <c r="AM6" s="165" t="str">
        <f>'Apr-24'!T11</f>
        <v>-</v>
      </c>
      <c r="AN6" s="165" t="str">
        <f>'Apr-24'!U11</f>
        <v>-</v>
      </c>
      <c r="AO6" s="165">
        <f>'Apr-24'!V11</f>
        <v>0.30375939849624062</v>
      </c>
      <c r="AP6" s="165">
        <f>'Apr-24'!W11</f>
        <v>0.29723674383868559</v>
      </c>
      <c r="AQ6" s="165" t="str">
        <f>'Apr-24'!X11</f>
        <v>-</v>
      </c>
      <c r="AR6" s="165">
        <f>'Apr-24'!Y11</f>
        <v>0.29523809523809524</v>
      </c>
      <c r="AS6" s="165" t="str">
        <f>'Apr-24'!Z11</f>
        <v>-</v>
      </c>
      <c r="AT6" s="165">
        <f>'Apr-24'!AA11</f>
        <v>0.29575757575757577</v>
      </c>
      <c r="AU6" s="165" t="str">
        <f>'Apr-24'!AB11</f>
        <v>-</v>
      </c>
      <c r="AV6" s="165">
        <f>'Apr-24'!AC11</f>
        <v>0.29527027027027025</v>
      </c>
      <c r="AW6" s="165">
        <f>'Apr-24'!AD11</f>
        <v>0.30214285714285716</v>
      </c>
      <c r="AX6" s="165" t="str">
        <f>'Apr-24'!AE11</f>
        <v>-</v>
      </c>
      <c r="AY6" s="165">
        <f>'Apr-24'!AF11</f>
        <v>0.303886925795053</v>
      </c>
      <c r="AZ6" s="165" t="str">
        <f>'Apr-24'!AG11</f>
        <v>-</v>
      </c>
      <c r="BA6" s="165" t="str">
        <f>'Apr-24'!AH11</f>
        <v>-</v>
      </c>
      <c r="BB6" s="165">
        <f>'May-24'!E11</f>
        <v>0.30063694267515922</v>
      </c>
      <c r="BC6" s="165" t="str">
        <f>'May-24'!F11</f>
        <v>-</v>
      </c>
      <c r="BD6" s="165" t="str">
        <f>'May-24'!G11</f>
        <v>-</v>
      </c>
      <c r="BE6" s="165" t="str">
        <f>'May-24'!H11</f>
        <v>-</v>
      </c>
      <c r="BF6" s="165">
        <f>'May-24'!I11</f>
        <v>0.30534979423868314</v>
      </c>
      <c r="BG6" s="165" t="str">
        <f>'May-24'!J11</f>
        <v>-</v>
      </c>
      <c r="BH6" s="165" t="str">
        <f>'May-24'!K11</f>
        <v>-</v>
      </c>
      <c r="BI6" s="165" t="str">
        <f>'May-24'!L11</f>
        <v>-</v>
      </c>
      <c r="BJ6" s="165">
        <f>'May-24'!M11</f>
        <v>0.30163934426229511</v>
      </c>
      <c r="BK6" s="165" t="str">
        <f>'May-24'!N11</f>
        <v>-</v>
      </c>
      <c r="BL6" s="165">
        <f>'May-24'!O11</f>
        <v>0.30199039121482496</v>
      </c>
      <c r="BM6" s="165">
        <f>'May-24'!P11</f>
        <v>0.30139534883720931</v>
      </c>
      <c r="BN6" s="165" t="str">
        <f>'May-24'!Q11</f>
        <v>-</v>
      </c>
      <c r="BO6" s="165">
        <f>'May-24'!R11</f>
        <v>0.30456273764258557</v>
      </c>
      <c r="BP6" s="165" t="str">
        <f>'May-24'!S11</f>
        <v>-</v>
      </c>
      <c r="BQ6" s="165" t="str">
        <f>'May-24'!T11</f>
        <v>-</v>
      </c>
      <c r="BR6" s="165">
        <f>'May-24'!U11</f>
        <v>0.29796640141467728</v>
      </c>
      <c r="BS6" s="165">
        <f>'May-24'!V11</f>
        <v>0.30210084033613444</v>
      </c>
      <c r="BT6" s="165" t="str">
        <f>'May-24'!W11</f>
        <v>-</v>
      </c>
      <c r="BU6" s="165" t="str">
        <f>'May-24'!X11</f>
        <v>-</v>
      </c>
      <c r="BV6" s="165" t="str">
        <f>'May-24'!Y11</f>
        <v>-</v>
      </c>
      <c r="BW6" s="165">
        <f>'May-24'!Z11</f>
        <v>0.30621468926553674</v>
      </c>
      <c r="BX6" s="165">
        <f>'May-24'!AA11</f>
        <v>0.29365079365079366</v>
      </c>
      <c r="BY6" s="165" t="str">
        <f>'May-24'!AB11</f>
        <v>-</v>
      </c>
      <c r="BZ6" s="165">
        <f>'May-24'!AC11</f>
        <v>0.29830605799598048</v>
      </c>
      <c r="CA6" s="165" t="str">
        <f>'May-24'!AD11</f>
        <v>-</v>
      </c>
      <c r="CB6" s="165" t="str">
        <f>'May-24'!AE11</f>
        <v>-</v>
      </c>
      <c r="CC6" s="165" t="str">
        <f>'May-24'!AF11</f>
        <v>-</v>
      </c>
      <c r="CD6" s="165">
        <f>'May-24'!AG11</f>
        <v>0.28125854993160054</v>
      </c>
      <c r="CE6" s="165" t="str">
        <f>'May-24'!AH11</f>
        <v>-</v>
      </c>
      <c r="CF6" s="165" t="str">
        <f>'May-24'!AI11</f>
        <v>-</v>
      </c>
      <c r="CG6" s="165" t="str">
        <f>'Jun-24'!E11</f>
        <v>-</v>
      </c>
      <c r="CH6" s="165" t="str">
        <f>'Jun-24'!F11</f>
        <v>-</v>
      </c>
      <c r="CI6" s="165" t="str">
        <f>'Jun-24'!G11</f>
        <v>-</v>
      </c>
      <c r="CJ6" s="165">
        <f>'Jun-24'!H11</f>
        <v>0.30038709677419356</v>
      </c>
      <c r="CK6" s="165" t="str">
        <f>'Jun-24'!I11</f>
        <v>-</v>
      </c>
      <c r="CL6" s="165" t="str">
        <f>'Jun-24'!J11</f>
        <v>-</v>
      </c>
      <c r="CM6" s="165" t="str">
        <f>'Jun-24'!K11</f>
        <v>-</v>
      </c>
      <c r="CN6" s="165">
        <f>'Jun-24'!L11</f>
        <v>0.30065359477124182</v>
      </c>
      <c r="CO6" s="165" t="str">
        <f>'Jun-24'!M11</f>
        <v>-</v>
      </c>
      <c r="CP6" s="165">
        <f>'Jun-24'!N11</f>
        <v>0.30116175156389635</v>
      </c>
      <c r="CQ6" s="165" t="str">
        <f>'Jun-24'!O11</f>
        <v>-</v>
      </c>
      <c r="CR6" s="165">
        <f>'Jun-24'!P11</f>
        <v>0.30248565965583174</v>
      </c>
      <c r="CS6" s="165" t="str">
        <f>'Jun-24'!Q11</f>
        <v>-</v>
      </c>
      <c r="CT6" s="165" t="str">
        <f>'Jun-24'!R11</f>
        <v>-</v>
      </c>
      <c r="CU6" s="165">
        <f>'Jun-24'!S11</f>
        <v>0.30038314176245212</v>
      </c>
      <c r="CV6" s="165" t="str">
        <f>'Jun-24'!T11</f>
        <v>-</v>
      </c>
      <c r="CW6" s="165">
        <f>'Jun-24'!U11</f>
        <v>0.29563318777292574</v>
      </c>
      <c r="CX6" s="165">
        <f>'Jun-24'!V11</f>
        <v>0.30470219435736678</v>
      </c>
      <c r="CY6" s="165" t="str">
        <f>'Jun-24'!W11</f>
        <v>-</v>
      </c>
      <c r="CZ6" s="165">
        <f>'Jun-24'!X11</f>
        <v>0.30184331797235026</v>
      </c>
      <c r="DA6" s="165" t="str">
        <f>'Jun-24'!Y11</f>
        <v>-</v>
      </c>
      <c r="DB6" s="165">
        <f>'Jun-24'!Z11</f>
        <v>0.30791229742612014</v>
      </c>
      <c r="DC6" s="165">
        <f>'Jun-24'!AA11</f>
        <v>0.30106666666666665</v>
      </c>
      <c r="DD6" s="165" t="str">
        <f>'Jun-24'!AB11</f>
        <v>-</v>
      </c>
      <c r="DE6" s="165" t="str">
        <f>'Jun-24'!AC11</f>
        <v>-</v>
      </c>
      <c r="DF6" s="165">
        <f>'Jun-24'!AD11</f>
        <v>0.30877192982456142</v>
      </c>
      <c r="DG6" s="165" t="str">
        <f>'Jun-24'!AE11</f>
        <v>-</v>
      </c>
      <c r="DH6" s="165">
        <f>'Jun-24'!AF11</f>
        <v>0.3016741790083709</v>
      </c>
      <c r="DI6" s="165" t="str">
        <f>'Jun-24'!AG11</f>
        <v>-</v>
      </c>
      <c r="DJ6" s="165" t="str">
        <f>'Jun-24'!AH11</f>
        <v>-</v>
      </c>
      <c r="DK6" s="165">
        <f>'Jul-24'!E11</f>
        <v>0.3</v>
      </c>
      <c r="DL6" s="165" t="str">
        <f>'Jul-24'!F11</f>
        <v>-</v>
      </c>
      <c r="DM6" s="165">
        <f>'Jul-24'!G11</f>
        <v>0.29561316051844466</v>
      </c>
      <c r="DN6" s="165" t="str">
        <f>'Jul-24'!H11</f>
        <v>-</v>
      </c>
      <c r="DO6" s="165" t="str">
        <f>'Jul-24'!I11</f>
        <v>-</v>
      </c>
      <c r="DP6" s="165">
        <f>'Jul-24'!J11</f>
        <v>0.30217391304347824</v>
      </c>
      <c r="DQ6" s="165">
        <f>'Jul-24'!K11</f>
        <v>0.30077120822622105</v>
      </c>
      <c r="DR6" s="165" t="str">
        <f>'Jul-24'!L11</f>
        <v>-</v>
      </c>
      <c r="DS6" s="165">
        <f>'Jul-24'!M11</f>
        <v>0.30357995226730311</v>
      </c>
      <c r="DT6" s="165" t="str">
        <f>'Jul-24'!N11</f>
        <v>-</v>
      </c>
      <c r="DU6" s="165" t="str">
        <f>'Jul-24'!O11</f>
        <v>-</v>
      </c>
      <c r="DV6" s="165" t="str">
        <f>'Jul-24'!P11</f>
        <v>-</v>
      </c>
      <c r="DW6" s="165">
        <f>'Jul-24'!Q11</f>
        <v>0.30033557046979864</v>
      </c>
      <c r="DX6" s="165" t="str">
        <f>'Jul-24'!R11</f>
        <v>-</v>
      </c>
      <c r="DY6" s="165">
        <f>'Jul-24'!S11</f>
        <v>0.3013574660633484</v>
      </c>
      <c r="DZ6" s="165" t="str">
        <f>'Jul-24'!T11</f>
        <v>-</v>
      </c>
      <c r="EA6" s="165" t="str">
        <f>'Jul-24'!U11</f>
        <v>-</v>
      </c>
      <c r="EB6" s="165" t="str">
        <f>'Jul-24'!V11</f>
        <v>-</v>
      </c>
      <c r="EC6" s="165">
        <f>'Jul-24'!W11</f>
        <v>0.29509202453987732</v>
      </c>
      <c r="ED6" s="165" t="str">
        <f>'Jul-24'!X11</f>
        <v>-</v>
      </c>
      <c r="EE6" s="165">
        <f>'Jul-24'!Y11</f>
        <v>0.30146627565982403</v>
      </c>
      <c r="EF6" s="165" t="str">
        <f>'Jul-24'!Z11</f>
        <v>-</v>
      </c>
      <c r="EG6" s="165" t="str">
        <f>'Jul-24'!AA11</f>
        <v>-</v>
      </c>
      <c r="EH6" s="165">
        <f>'Jul-24'!AB11</f>
        <v>0.30099009900990098</v>
      </c>
      <c r="EI6" s="165">
        <f>'Jul-24'!AC11</f>
        <v>0.30787401574803147</v>
      </c>
      <c r="EJ6" s="165" t="str">
        <f>'Jul-24'!AD11</f>
        <v>-</v>
      </c>
      <c r="EK6" s="165">
        <f>'Jul-24'!AE11</f>
        <v>0.30020618556701029</v>
      </c>
      <c r="EL6" s="165" t="str">
        <f>'Jul-24'!AF11</f>
        <v>-</v>
      </c>
      <c r="EM6" s="165" t="str">
        <f>'Jul-24'!AG11</f>
        <v>-</v>
      </c>
      <c r="EN6" s="165">
        <f>'Jul-24'!AH11</f>
        <v>0.30030769230769233</v>
      </c>
      <c r="EO6" s="165" t="str">
        <f>'Jul-24'!AI11</f>
        <v>-</v>
      </c>
      <c r="EP6" s="165" t="str">
        <f>'Aug-24'!E11</f>
        <v>-</v>
      </c>
      <c r="EQ6" s="165">
        <f>'Aug-24'!F11</f>
        <v>0.3015753938484621</v>
      </c>
      <c r="ER6" s="165" t="str">
        <f>'Aug-24'!G11</f>
        <v>-</v>
      </c>
      <c r="ES6" s="165" t="str">
        <f>'Aug-24'!H11</f>
        <v>-</v>
      </c>
      <c r="ET6" s="165" t="str">
        <f>'Aug-24'!I11</f>
        <v>-</v>
      </c>
      <c r="EU6" s="165">
        <f>'Aug-24'!J11</f>
        <v>0.29148514851485147</v>
      </c>
      <c r="EV6" s="165" t="str">
        <f>'Aug-24'!K11</f>
        <v>-</v>
      </c>
      <c r="EW6" s="165" t="str">
        <f>'Aug-24'!L11</f>
        <v>-</v>
      </c>
      <c r="EX6" s="165">
        <f>'Aug-24'!M11</f>
        <v>0.28079999999999999</v>
      </c>
      <c r="EY6" s="165" t="str">
        <f>'Aug-24'!N11</f>
        <v>-</v>
      </c>
      <c r="EZ6" s="165" t="str">
        <f>'Aug-24'!O11</f>
        <v>-</v>
      </c>
      <c r="FA6" s="165" t="str">
        <f>'Aug-24'!P11</f>
        <v>-</v>
      </c>
      <c r="FB6" s="165" t="str">
        <f>'Aug-24'!Q11</f>
        <v>-</v>
      </c>
      <c r="FC6" s="165" t="str">
        <f>'Aug-24'!R11</f>
        <v>-</v>
      </c>
      <c r="FD6" s="165">
        <f>'Aug-24'!S11</f>
        <v>0.3000379794910748</v>
      </c>
      <c r="FE6" s="165" t="str">
        <f>'Aug-24'!T11</f>
        <v>-</v>
      </c>
      <c r="FF6" s="165">
        <f>'Aug-24'!U11</f>
        <v>0.30111524163568776</v>
      </c>
      <c r="FG6" s="165">
        <f>'Aug-24'!V11</f>
        <v>0.30004418912947417</v>
      </c>
      <c r="FH6" s="165" t="str">
        <f>'Aug-24'!W11</f>
        <v>-</v>
      </c>
      <c r="FI6" s="165" t="str">
        <f>'Aug-24'!X11</f>
        <v>-</v>
      </c>
      <c r="FJ6" s="165" t="str">
        <f>'Aug-24'!Y11</f>
        <v>-</v>
      </c>
      <c r="FK6" s="165" t="str">
        <f>'Aug-24'!Z11</f>
        <v>-</v>
      </c>
      <c r="FL6" s="165" t="str">
        <f>'Aug-24'!AA11</f>
        <v>-</v>
      </c>
      <c r="FM6" s="165" t="str">
        <f>'Aug-24'!AB11</f>
        <v>-</v>
      </c>
      <c r="FN6" s="165">
        <f>'Aug-24'!AC11</f>
        <v>0.30625424881033309</v>
      </c>
      <c r="FO6" s="165">
        <f>'Aug-24'!AD11</f>
        <v>0.30680728667305851</v>
      </c>
      <c r="FP6" s="165" t="str">
        <f>'Aug-24'!AE11</f>
        <v>-</v>
      </c>
      <c r="FQ6" s="165">
        <f>'Aug-24'!AF11</f>
        <v>0.30555555555555558</v>
      </c>
      <c r="FR6" s="165" t="str">
        <f>'Aug-24'!AG11</f>
        <v>-</v>
      </c>
      <c r="FS6" s="165" t="str">
        <f>'Aug-24'!AH11</f>
        <v>-</v>
      </c>
      <c r="FT6" s="165">
        <f>'Aug-24'!AI11</f>
        <v>0.30732292917166865</v>
      </c>
      <c r="FU6" s="165" t="str">
        <f>'Sep-24'!E11</f>
        <v>-</v>
      </c>
      <c r="FV6" s="165">
        <f>'Sep-24'!F11</f>
        <v>0.31002570694087406</v>
      </c>
      <c r="FW6" s="165" t="str">
        <f>'Sep-24'!G11</f>
        <v>-</v>
      </c>
      <c r="FX6" s="165" t="str">
        <f>'Sep-24'!H11</f>
        <v>-</v>
      </c>
      <c r="FY6" s="165">
        <f>'Sep-24'!I11</f>
        <v>0.30090090090090088</v>
      </c>
      <c r="FZ6" s="165" t="str">
        <f>'Sep-24'!J11</f>
        <v>-</v>
      </c>
      <c r="GA6" s="165" t="str">
        <f>'Sep-24'!K11</f>
        <v>-</v>
      </c>
      <c r="GB6" s="165" t="str">
        <f>'Sep-24'!L11</f>
        <v>-</v>
      </c>
      <c r="GC6" s="165" t="str">
        <f>'Sep-24'!M11</f>
        <v>-</v>
      </c>
      <c r="GD6" s="166">
        <v>0.315</v>
      </c>
      <c r="GE6" s="166">
        <v>0.315</v>
      </c>
      <c r="GF6" s="166">
        <v>0.315</v>
      </c>
      <c r="GG6" s="166">
        <v>0.3</v>
      </c>
      <c r="GH6" s="166">
        <v>0.3</v>
      </c>
      <c r="GI6" s="166">
        <v>0.3</v>
      </c>
      <c r="GJ6" s="166">
        <v>0.3</v>
      </c>
      <c r="GK6" s="166">
        <v>0.315</v>
      </c>
      <c r="GL6" s="166">
        <v>0.315</v>
      </c>
      <c r="GM6" s="166">
        <v>0.315</v>
      </c>
      <c r="GN6" s="166">
        <v>0.315</v>
      </c>
      <c r="GO6" s="166">
        <v>0.315</v>
      </c>
    </row>
    <row r="7" spans="1:197" ht="37.5" customHeight="1" x14ac:dyDescent="0.3">
      <c r="A7" s="134">
        <v>4</v>
      </c>
      <c r="B7" s="156" t="s">
        <v>205</v>
      </c>
      <c r="C7" s="157" t="s">
        <v>36</v>
      </c>
      <c r="D7" s="157" t="s">
        <v>159</v>
      </c>
      <c r="E7" s="167"/>
      <c r="F7" s="167" t="s">
        <v>160</v>
      </c>
      <c r="G7" s="226">
        <v>0.133096720359137</v>
      </c>
      <c r="H7" s="236">
        <v>0.3</v>
      </c>
      <c r="I7" s="236">
        <v>0.3</v>
      </c>
      <c r="J7" s="236">
        <v>0.3</v>
      </c>
      <c r="K7" s="236">
        <v>0.18</v>
      </c>
      <c r="L7" s="236">
        <v>0.11999999999999998</v>
      </c>
      <c r="M7" s="329">
        <v>0.12</v>
      </c>
      <c r="N7" s="238">
        <v>0.23895132050043016</v>
      </c>
      <c r="O7" s="161">
        <f>'Apr-24'!AI37</f>
        <v>0.23560134686920087</v>
      </c>
      <c r="P7" s="161">
        <f>'May-24'!AJ37</f>
        <v>0.22843178750828549</v>
      </c>
      <c r="Q7" s="161">
        <f>'Jun-24'!AJ38</f>
        <v>0.18830908762047494</v>
      </c>
      <c r="R7" s="161">
        <f>'Jul-24'!AJ38</f>
        <v>8.9140435007666843E-2</v>
      </c>
      <c r="S7" s="161">
        <f>'Aug-24'!AJ38</f>
        <v>1.8328019177508321E-2</v>
      </c>
      <c r="T7" s="161">
        <f>'Sep-24'!AJ38</f>
        <v>0</v>
      </c>
      <c r="U7" s="161">
        <f>'Aug-24'!AK38</f>
        <v>0.16429846945289453</v>
      </c>
      <c r="V7" s="162" t="s">
        <v>161</v>
      </c>
      <c r="W7" s="163"/>
      <c r="X7" s="165">
        <f>'Apr-24'!E37</f>
        <v>0.20240963855421687</v>
      </c>
      <c r="Y7" s="165">
        <f>'Apr-24'!F37</f>
        <v>0.28257887517146779</v>
      </c>
      <c r="Z7" s="165">
        <f>'Apr-24'!G37</f>
        <v>0.20091654606849976</v>
      </c>
      <c r="AA7" s="165">
        <f>'Apr-24'!H37</f>
        <v>0.15242018537590113</v>
      </c>
      <c r="AB7" s="165">
        <f>'Apr-24'!I37</f>
        <v>0.22955877815489045</v>
      </c>
      <c r="AC7" s="165">
        <f>'Apr-24'!J37</f>
        <v>0.21141098484848486</v>
      </c>
      <c r="AD7" s="165">
        <f>'Apr-24'!K37</f>
        <v>0.20826010544815465</v>
      </c>
      <c r="AE7" s="165">
        <f>'Apr-24'!L37</f>
        <v>0.22007848266841074</v>
      </c>
      <c r="AF7" s="165">
        <f>'Apr-24'!M37</f>
        <v>0.25349724459516743</v>
      </c>
      <c r="AG7" s="165">
        <f>'Apr-24'!N37</f>
        <v>7.7120822622107968E-2</v>
      </c>
      <c r="AH7" s="165">
        <f>'Apr-24'!O37</f>
        <v>0.18466135458167332</v>
      </c>
      <c r="AI7" s="165">
        <f>'Apr-24'!P37</f>
        <v>0.22210563133962924</v>
      </c>
      <c r="AJ7" s="165">
        <f>'Apr-24'!Q37</f>
        <v>0.19619799139167862</v>
      </c>
      <c r="AK7" s="165">
        <f>'Apr-24'!R37</f>
        <v>0.15126930123004448</v>
      </c>
      <c r="AL7" s="165">
        <f>'Apr-24'!S37</f>
        <v>0.29750812567713975</v>
      </c>
      <c r="AM7" s="165">
        <f>'Apr-24'!T37</f>
        <v>0.33483691880638444</v>
      </c>
      <c r="AN7" s="165">
        <f>'Apr-24'!U37</f>
        <v>0.30125704377980062</v>
      </c>
      <c r="AO7" s="165">
        <f>'Apr-24'!V37</f>
        <v>0.27846119436367706</v>
      </c>
      <c r="AP7" s="165">
        <f>'Apr-24'!W37</f>
        <v>0.23670040921817789</v>
      </c>
      <c r="AQ7" s="165">
        <f>'Apr-24'!X37</f>
        <v>0.28640363326710189</v>
      </c>
      <c r="AR7" s="165">
        <f>'Apr-24'!Y37</f>
        <v>0.28191985088536814</v>
      </c>
      <c r="AS7" s="165">
        <f>'Apr-24'!Z37</f>
        <v>0.43317485472794504</v>
      </c>
      <c r="AT7" s="165">
        <f>'Apr-24'!AA37</f>
        <v>0.16849899035225488</v>
      </c>
      <c r="AU7" s="165">
        <f>'Apr-24'!AB37</f>
        <v>8.5091899251191289E-2</v>
      </c>
      <c r="AV7" s="165">
        <f>'Apr-24'!AC37</f>
        <v>0.25</v>
      </c>
      <c r="AW7" s="165">
        <f>'Apr-24'!AD37</f>
        <v>0.27073732718894011</v>
      </c>
      <c r="AX7" s="165">
        <f>'Apr-24'!AE37</f>
        <v>0.25993377483443708</v>
      </c>
      <c r="AY7" s="165">
        <f>'Apr-24'!AF37</f>
        <v>0.29523809523809524</v>
      </c>
      <c r="AZ7" s="165">
        <f>'Apr-24'!AG37</f>
        <v>0.44793087767166895</v>
      </c>
      <c r="BA7" s="165">
        <f>'Apr-24'!AH37</f>
        <v>0.27883934890304318</v>
      </c>
      <c r="BB7" s="165">
        <f>'May-24'!E37</f>
        <v>0.31029263370332999</v>
      </c>
      <c r="BC7" s="165">
        <f>'May-24'!F37</f>
        <v>0.30240384615384613</v>
      </c>
      <c r="BD7" s="165">
        <f>'May-24'!G37</f>
        <v>0.29129886506935687</v>
      </c>
      <c r="BE7" s="165">
        <f>'May-24'!H37</f>
        <v>0.24038134150493701</v>
      </c>
      <c r="BF7" s="165">
        <f>'May-24'!I37</f>
        <v>0.32250123092072869</v>
      </c>
      <c r="BG7" s="165">
        <f>'May-24'!J37</f>
        <v>0.26157530601383716</v>
      </c>
      <c r="BH7" s="165">
        <f>'May-24'!K37</f>
        <v>0.28830486202365307</v>
      </c>
      <c r="BI7" s="165">
        <f>'May-24'!L37</f>
        <v>0.3327433628318584</v>
      </c>
      <c r="BJ7" s="165">
        <f>'May-24'!M37</f>
        <v>0.18184908225696805</v>
      </c>
      <c r="BK7" s="165">
        <f>'May-24'!N37</f>
        <v>0.25756600128783003</v>
      </c>
      <c r="BL7" s="165">
        <f>'May-24'!O37</f>
        <v>0.23678462210572301</v>
      </c>
      <c r="BM7" s="165">
        <f>'May-24'!P37</f>
        <v>0.41136873597606582</v>
      </c>
      <c r="BN7" s="165">
        <f>'May-24'!Q37</f>
        <v>0.12187857961053837</v>
      </c>
      <c r="BO7" s="165">
        <f>'May-24'!R37</f>
        <v>0.31430726678400805</v>
      </c>
      <c r="BP7" s="165">
        <f>'May-24'!S37</f>
        <v>0.24948875255623723</v>
      </c>
      <c r="BQ7" s="165">
        <f>'May-24'!T37</f>
        <v>0.19375151368370067</v>
      </c>
      <c r="BR7" s="165">
        <f>'May-24'!U37</f>
        <v>0.20053763440860214</v>
      </c>
      <c r="BS7" s="165">
        <f>'May-24'!V37</f>
        <v>0.29657228017883758</v>
      </c>
      <c r="BT7" s="165">
        <f>'May-24'!W37</f>
        <v>9.4410876132930519E-2</v>
      </c>
      <c r="BU7" s="165">
        <f>'May-24'!X37</f>
        <v>0.20080321285140562</v>
      </c>
      <c r="BV7" s="165">
        <f>'May-24'!Y37</f>
        <v>0.18621738028882695</v>
      </c>
      <c r="BW7" s="165">
        <f>'May-24'!Z37</f>
        <v>0.26096033402922758</v>
      </c>
      <c r="BX7" s="165">
        <f>'May-24'!AA37</f>
        <v>0.18094289508632139</v>
      </c>
      <c r="BY7" s="165">
        <f>'May-24'!AB37</f>
        <v>0.30977764240024369</v>
      </c>
      <c r="BZ7" s="165">
        <f>'May-24'!AC37</f>
        <v>0.16152019002375298</v>
      </c>
      <c r="CA7" s="165">
        <f>'May-24'!AD37</f>
        <v>0.23219814241486067</v>
      </c>
      <c r="CB7" s="165">
        <f>'May-24'!AE37</f>
        <v>0.18993946983928198</v>
      </c>
      <c r="CC7" s="165">
        <f>'May-24'!AF37</f>
        <v>0.19631410256410256</v>
      </c>
      <c r="CD7" s="165">
        <f>'May-24'!AG37</f>
        <v>0.14846235418875928</v>
      </c>
      <c r="CE7" s="165">
        <f>'May-24'!AH37</f>
        <v>0.21859180855959504</v>
      </c>
      <c r="CF7" s="165">
        <f>'May-24'!AI37</f>
        <v>0.21459227467811159</v>
      </c>
      <c r="CG7" s="165">
        <f>'Jun-24'!E38</f>
        <v>0.16537132987910189</v>
      </c>
      <c r="CH7" s="165">
        <f>'Jun-24'!F38</f>
        <v>0.18147345612134344</v>
      </c>
      <c r="CI7" s="165">
        <f>'Jun-24'!G38</f>
        <v>0.21337946943483277</v>
      </c>
      <c r="CJ7" s="165">
        <f>'Jun-24'!H38</f>
        <v>0.1929083226162043</v>
      </c>
      <c r="CK7" s="165">
        <f>'Jun-24'!I38</f>
        <v>0.15336322869955157</v>
      </c>
      <c r="CL7" s="165">
        <f>'Jun-24'!J38</f>
        <v>0.17157305400036121</v>
      </c>
      <c r="CM7" s="165">
        <f>'Jun-24'!K38</f>
        <v>0.19127108328986264</v>
      </c>
      <c r="CN7" s="165">
        <f>'Jun-24'!L38</f>
        <v>0.13030080704328686</v>
      </c>
      <c r="CO7" s="165">
        <f>'Jun-24'!M38</f>
        <v>0.145985401459854</v>
      </c>
      <c r="CP7" s="165">
        <f>'Jun-24'!N38</f>
        <v>0.25860672336978535</v>
      </c>
      <c r="CQ7" s="165">
        <f>'Jun-24'!O38</f>
        <v>0.19728506787330316</v>
      </c>
      <c r="CR7" s="165">
        <f>'Jun-24'!P38</f>
        <v>0.15124410473247682</v>
      </c>
      <c r="CS7" s="165">
        <f>'Jun-24'!Q38</f>
        <v>0.21317416329140909</v>
      </c>
      <c r="CT7" s="165">
        <f>'Jun-24'!R38</f>
        <v>0.18457481872116019</v>
      </c>
      <c r="CU7" s="165">
        <f>'Jun-24'!S38</f>
        <v>0.22371410865523653</v>
      </c>
      <c r="CV7" s="165">
        <f>'Jun-24'!T38</f>
        <v>0.26760851760851762</v>
      </c>
      <c r="CW7" s="165">
        <f>'Jun-24'!U38</f>
        <v>0.19301779120510237</v>
      </c>
      <c r="CX7" s="165">
        <f>'Jun-24'!V38</f>
        <v>0.23616096731532213</v>
      </c>
      <c r="CY7" s="165">
        <f>'Jun-24'!W38</f>
        <v>0.18709073900841908</v>
      </c>
      <c r="CZ7" s="165">
        <f>'Jun-24'!X38</f>
        <v>0.132013201320132</v>
      </c>
      <c r="DA7" s="165">
        <f>'Jun-24'!Y38</f>
        <v>0.14849755415793151</v>
      </c>
      <c r="DB7" s="165">
        <f>'Jun-24'!Z38</f>
        <v>0.18685064935064935</v>
      </c>
      <c r="DC7" s="165">
        <f>'Jun-24'!AA38</f>
        <v>0.14304577464788731</v>
      </c>
      <c r="DD7" s="165">
        <f>'Jun-24'!AB38</f>
        <v>8.7454764776839569E-2</v>
      </c>
      <c r="DE7" s="165">
        <f>'Jun-24'!AC38</f>
        <v>0.20716801325875284</v>
      </c>
      <c r="DF7" s="165">
        <f>'Jun-24'!AD38</f>
        <v>0.32263141328297135</v>
      </c>
      <c r="DG7" s="165">
        <f>'Jun-24'!AE38</f>
        <v>0.21478205938092229</v>
      </c>
      <c r="DH7" s="165">
        <f>'Jun-24'!AF38</f>
        <v>0.30198621807863801</v>
      </c>
      <c r="DI7" s="165">
        <f>'Jun-24'!AG38</f>
        <v>0.22511526986710062</v>
      </c>
      <c r="DJ7" s="165">
        <f>'Jun-24'!AH38</f>
        <v>0.15514684070008899</v>
      </c>
      <c r="DK7" s="165">
        <f>'Jul-24'!E38</f>
        <v>0.25449101796407186</v>
      </c>
      <c r="DL7" s="165">
        <f>'Jul-24'!F38</f>
        <v>0.24848891873740767</v>
      </c>
      <c r="DM7" s="165">
        <f>'Jul-24'!G38</f>
        <v>0.20079410096426545</v>
      </c>
      <c r="DN7" s="165">
        <f>'Jul-24'!H38</f>
        <v>0.23818466353677623</v>
      </c>
      <c r="DO7" s="165">
        <f>'Jul-24'!I38</f>
        <v>0.26580350342726583</v>
      </c>
      <c r="DP7" s="165">
        <f>'Jul-24'!J38</f>
        <v>0.2375776397515528</v>
      </c>
      <c r="DQ7" s="165">
        <f>'Jul-24'!K38</f>
        <v>0.19541875447387258</v>
      </c>
      <c r="DR7" s="165">
        <f>'Jul-24'!L38</f>
        <v>0.21179231446171898</v>
      </c>
      <c r="DS7" s="165">
        <f>'Jul-24'!M38</f>
        <v>0.317036479879654</v>
      </c>
      <c r="DT7" s="165">
        <f>'Jul-24'!N38</f>
        <v>0.31004957187922488</v>
      </c>
      <c r="DU7" s="165">
        <f>'Jul-24'!O38</f>
        <v>0.18556701030927836</v>
      </c>
      <c r="DV7" s="165">
        <f>'Jul-24'!P38</f>
        <v>0.11743862313338395</v>
      </c>
      <c r="DW7" s="165">
        <f>'Jul-24'!Q38</f>
        <v>0.11627236006924409</v>
      </c>
      <c r="DX7" s="165">
        <f>'Jul-24'!R38</f>
        <v>0</v>
      </c>
      <c r="DY7" s="165">
        <f>'Jul-24'!S38</f>
        <v>2.884338044418806E-2</v>
      </c>
      <c r="DZ7" s="165">
        <f>'Jul-24'!T38</f>
        <v>0</v>
      </c>
      <c r="EA7" s="165">
        <f>'Jul-24'!U38</f>
        <v>0</v>
      </c>
      <c r="EB7" s="165">
        <f>'Jul-24'!V38</f>
        <v>0</v>
      </c>
      <c r="EC7" s="165">
        <f>'Jul-24'!W38</f>
        <v>0</v>
      </c>
      <c r="ED7" s="165">
        <f>'Jul-24'!X38</f>
        <v>0</v>
      </c>
      <c r="EE7" s="165">
        <f>'Jul-24'!Y38</f>
        <v>0</v>
      </c>
      <c r="EF7" s="165">
        <f>'Jul-24'!Z38</f>
        <v>0</v>
      </c>
      <c r="EG7" s="165">
        <f>'Jul-24'!AA38</f>
        <v>0</v>
      </c>
      <c r="EH7" s="165">
        <f>'Jul-24'!AB38</f>
        <v>0</v>
      </c>
      <c r="EI7" s="165">
        <f>'Jul-24'!AC38</f>
        <v>0</v>
      </c>
      <c r="EJ7" s="165">
        <f>'Jul-24'!AD38</f>
        <v>0</v>
      </c>
      <c r="EK7" s="165">
        <f>'Jul-24'!AE38</f>
        <v>0</v>
      </c>
      <c r="EL7" s="165">
        <f>'Jul-24'!AF38</f>
        <v>0</v>
      </c>
      <c r="EM7" s="165">
        <f>'Jul-24'!AG38</f>
        <v>5.1610239471511145E-2</v>
      </c>
      <c r="EN7" s="165">
        <f>'Jul-24'!AH38</f>
        <v>0</v>
      </c>
      <c r="EO7" s="165">
        <f>'Jul-24'!AI38</f>
        <v>3.2615786040443573E-2</v>
      </c>
      <c r="EP7" s="165">
        <f>'Aug-24'!E38</f>
        <v>0</v>
      </c>
      <c r="EQ7" s="165">
        <f>'Aug-24'!F38</f>
        <v>0</v>
      </c>
      <c r="ER7" s="165">
        <f>'Aug-24'!G38</f>
        <v>0</v>
      </c>
      <c r="ES7" s="165">
        <f>'Aug-24'!H38</f>
        <v>0</v>
      </c>
      <c r="ET7" s="165">
        <f>'Aug-24'!I38</f>
        <v>4.716981132075472E-2</v>
      </c>
      <c r="EU7" s="165">
        <f>'Aug-24'!J38</f>
        <v>2.9044437990124891E-2</v>
      </c>
      <c r="EV7" s="165">
        <f>'Aug-24'!K38</f>
        <v>4.405286343612335E-2</v>
      </c>
      <c r="EW7" s="165">
        <f>'Aug-24'!L38</f>
        <v>2.9524653085326247E-2</v>
      </c>
      <c r="EX7" s="165">
        <f>'Aug-24'!M38</f>
        <v>3.1969309462915603E-2</v>
      </c>
      <c r="EY7" s="165">
        <f>'Aug-24'!N38</f>
        <v>6.4894932014833123E-2</v>
      </c>
      <c r="EZ7" s="165">
        <f>'Aug-24'!O38</f>
        <v>3.2278889606197549E-2</v>
      </c>
      <c r="FA7" s="165">
        <f>'Aug-24'!P38</f>
        <v>3.6483035388544326E-2</v>
      </c>
      <c r="FB7" s="165">
        <f>'Aug-24'!Q38</f>
        <v>4.2337002540220152E-2</v>
      </c>
      <c r="FC7" s="165">
        <f>'Aug-24'!R38</f>
        <v>3.9640591966173359E-2</v>
      </c>
      <c r="FD7" s="165">
        <f>'Aug-24'!S38</f>
        <v>0</v>
      </c>
      <c r="FE7" s="165">
        <f>'Aug-24'!T38</f>
        <v>5.1317139924734863E-2</v>
      </c>
      <c r="FF7" s="165">
        <f>'Aug-24'!U38</f>
        <v>8.4915084915084912E-2</v>
      </c>
      <c r="FG7" s="165">
        <f>'Aug-24'!V38</f>
        <v>0</v>
      </c>
      <c r="FH7" s="165">
        <f>'Aug-24'!W38</f>
        <v>4.6992481203007516E-2</v>
      </c>
      <c r="FI7" s="165">
        <f>'Aug-24'!X38</f>
        <v>0</v>
      </c>
      <c r="FJ7" s="165">
        <f>'Aug-24'!Y38</f>
        <v>0</v>
      </c>
      <c r="FK7" s="165">
        <f>'Aug-24'!Z38</f>
        <v>0</v>
      </c>
      <c r="FL7" s="165">
        <f>'Aug-24'!AA38</f>
        <v>0</v>
      </c>
      <c r="FM7" s="165">
        <f>'Aug-24'!AB38</f>
        <v>0</v>
      </c>
      <c r="FN7" s="165">
        <f>'Aug-24'!AC38</f>
        <v>0</v>
      </c>
      <c r="FO7" s="165">
        <f>'Aug-24'!AD38</f>
        <v>0</v>
      </c>
      <c r="FP7" s="165">
        <f>'Aug-24'!AE38</f>
        <v>0</v>
      </c>
      <c r="FQ7" s="165">
        <f>'Aug-24'!AF38</f>
        <v>0</v>
      </c>
      <c r="FR7" s="165">
        <f>'Aug-24'!AG38</f>
        <v>0</v>
      </c>
      <c r="FS7" s="165">
        <f>'Aug-24'!AH38</f>
        <v>0</v>
      </c>
      <c r="FT7" s="165">
        <f>'Aug-24'!AI38</f>
        <v>0</v>
      </c>
      <c r="FU7" s="165">
        <f>'Sep-24'!E38</f>
        <v>0</v>
      </c>
      <c r="FV7" s="165">
        <f>'Sep-24'!F38</f>
        <v>0</v>
      </c>
      <c r="FW7" s="165">
        <f>'Sep-24'!G38</f>
        <v>0</v>
      </c>
      <c r="FX7" s="165">
        <f>'Sep-24'!H38</f>
        <v>0</v>
      </c>
      <c r="FY7" s="165">
        <f>'Sep-24'!I38</f>
        <v>0</v>
      </c>
      <c r="FZ7" s="165" t="e">
        <f>'Sep-24'!J38</f>
        <v>#DIV/0!</v>
      </c>
      <c r="GA7" s="165" t="e">
        <f>'Sep-24'!K38</f>
        <v>#DIV/0!</v>
      </c>
      <c r="GB7" s="165" t="e">
        <f>'Sep-24'!L38</f>
        <v>#DIV/0!</v>
      </c>
      <c r="GC7" s="165" t="e">
        <f>'Sep-24'!M38</f>
        <v>#DIV/0!</v>
      </c>
      <c r="GD7" s="166">
        <v>0.3</v>
      </c>
      <c r="GE7" s="166">
        <v>0.3</v>
      </c>
      <c r="GF7" s="166">
        <v>0.3</v>
      </c>
      <c r="GG7" s="166">
        <v>0.18</v>
      </c>
      <c r="GH7" s="166">
        <v>0.11999999999999998</v>
      </c>
      <c r="GI7" s="166">
        <v>0.12</v>
      </c>
      <c r="GJ7" s="166">
        <v>0.18</v>
      </c>
      <c r="GK7" s="166">
        <v>0.25</v>
      </c>
      <c r="GL7" s="166">
        <v>0.25</v>
      </c>
      <c r="GM7" s="166">
        <v>0.25</v>
      </c>
      <c r="GN7" s="166">
        <v>0.25</v>
      </c>
      <c r="GO7" s="166">
        <v>0.25</v>
      </c>
    </row>
    <row r="8" spans="1:197" ht="42.75" customHeight="1" x14ac:dyDescent="0.3">
      <c r="A8" s="134">
        <v>5</v>
      </c>
      <c r="B8" s="170" t="s">
        <v>132</v>
      </c>
      <c r="C8" s="157" t="s">
        <v>6</v>
      </c>
      <c r="D8" s="157" t="s">
        <v>133</v>
      </c>
      <c r="E8" s="171"/>
      <c r="F8" s="167" t="s">
        <v>160</v>
      </c>
      <c r="G8" s="227">
        <v>3.8724924418485081E-2</v>
      </c>
      <c r="H8" s="236">
        <v>4.4999999999999998E-2</v>
      </c>
      <c r="I8" s="236">
        <v>4.4999999999999998E-2</v>
      </c>
      <c r="J8" s="236">
        <v>4.4999999999999998E-2</v>
      </c>
      <c r="K8" s="236">
        <v>4.4999999999999998E-2</v>
      </c>
      <c r="L8" s="236">
        <v>4.4999999999999998E-2</v>
      </c>
      <c r="M8" s="330">
        <v>4.4999999999999998E-2</v>
      </c>
      <c r="N8" s="237">
        <v>4.4999999999999998E-2</v>
      </c>
      <c r="O8" s="161">
        <f>'Apr-24'!AI40</f>
        <v>4.9024727384426356E-2</v>
      </c>
      <c r="P8" s="161">
        <f>'May-24'!AJ40</f>
        <v>4.2498370163882832E-2</v>
      </c>
      <c r="Q8" s="161">
        <f>'Jun-24'!AJ41</f>
        <v>4.6625916599181298E-2</v>
      </c>
      <c r="R8" s="161">
        <f>'Jul-24'!AJ41</f>
        <v>4.9024127862302133E-2</v>
      </c>
      <c r="S8" s="161">
        <f>'Aug-24'!AJ41</f>
        <v>4.2462102282192236E-2</v>
      </c>
      <c r="T8" s="161">
        <f>'Sep-24'!AJ41</f>
        <v>3.2267884322678846E-2</v>
      </c>
      <c r="U8" s="261">
        <f>'Aug-24'!AK41</f>
        <v>4.6012717298105306E-2</v>
      </c>
      <c r="V8" s="162"/>
      <c r="W8" s="163"/>
      <c r="X8" s="165">
        <f>'Apr-24'!E40</f>
        <v>4.9048625792811842E-2</v>
      </c>
      <c r="Y8" s="165">
        <f>'Apr-24'!F40</f>
        <v>4.9028677150786307E-2</v>
      </c>
      <c r="Z8" s="165">
        <f>'Apr-24'!G40</f>
        <v>4.9027237354085602E-2</v>
      </c>
      <c r="AA8" s="165">
        <f>'Apr-24'!H40</f>
        <v>4.9152542372881358E-2</v>
      </c>
      <c r="AB8" s="165">
        <f>'Apr-24'!I40</f>
        <v>4.8961424332344211E-2</v>
      </c>
      <c r="AC8" s="165">
        <f>'Apr-24'!J40</f>
        <v>4.905736874113116E-2</v>
      </c>
      <c r="AD8" s="165">
        <f>'Apr-24'!K40</f>
        <v>4.8927495124977842E-2</v>
      </c>
      <c r="AE8" s="165">
        <f>'Apr-24'!L40</f>
        <v>4.8995983935742969E-2</v>
      </c>
      <c r="AF8" s="165">
        <f>'Apr-24'!M40</f>
        <v>4.8791609667122662E-2</v>
      </c>
      <c r="AG8" s="165">
        <f>'Apr-24'!N40</f>
        <v>4.8904890489048905E-2</v>
      </c>
      <c r="AH8" s="165">
        <f>'Apr-24'!O40</f>
        <v>4.9121974371143809E-2</v>
      </c>
      <c r="AI8" s="165">
        <f>'Apr-24'!P40</f>
        <v>4.9081803005008348E-2</v>
      </c>
      <c r="AJ8" s="165" t="str">
        <f>'Apr-24'!Q40</f>
        <v>-</v>
      </c>
      <c r="AK8" s="165">
        <f>'Apr-24'!R40</f>
        <v>4.8989898989898993E-2</v>
      </c>
      <c r="AL8" s="165">
        <f>'Apr-24'!S40</f>
        <v>4.9162011173184354E-2</v>
      </c>
      <c r="AM8" s="165">
        <f>'Apr-24'!T40</f>
        <v>4.9090909090909088E-2</v>
      </c>
      <c r="AN8" s="165">
        <f>'Apr-24'!U40</f>
        <v>4.9218031278748853E-2</v>
      </c>
      <c r="AO8" s="165">
        <f>'Apr-24'!V40</f>
        <v>4.9206349206349205E-2</v>
      </c>
      <c r="AP8" s="165">
        <f>'Apr-24'!W40</f>
        <v>4.8879837067209775E-2</v>
      </c>
      <c r="AQ8" s="165">
        <f>'Apr-24'!X40</f>
        <v>4.8948513415518494E-2</v>
      </c>
      <c r="AR8" s="165">
        <f>'Apr-24'!Y40</f>
        <v>4.9076517150395779E-2</v>
      </c>
      <c r="AS8" s="165">
        <f>'Apr-24'!Z40</f>
        <v>4.9090909090909088E-2</v>
      </c>
      <c r="AT8" s="165">
        <f>'Apr-24'!AA40</f>
        <v>4.9074074074074076E-2</v>
      </c>
      <c r="AU8" s="165">
        <f>'Apr-24'!AB40</f>
        <v>4.89065606361829E-2</v>
      </c>
      <c r="AV8" s="165">
        <f>'Apr-24'!AC40</f>
        <v>4.8958333333333333E-2</v>
      </c>
      <c r="AW8" s="165">
        <f>'Apr-24'!AD40</f>
        <v>4.9011857707509883E-2</v>
      </c>
      <c r="AX8" s="165">
        <f>'Apr-24'!AE40</f>
        <v>4.9190938511326859E-2</v>
      </c>
      <c r="AY8" s="165">
        <f>'Apr-24'!AF40</f>
        <v>4.8891415577032402E-2</v>
      </c>
      <c r="AZ8" s="165">
        <f>'Apr-24'!AG40</f>
        <v>4.9067251920363694E-2</v>
      </c>
      <c r="BA8" s="165">
        <f>'Apr-24'!AH40</f>
        <v>4.9065420560747662E-2</v>
      </c>
      <c r="BB8" s="165">
        <f>'May-24'!E40</f>
        <v>4.8863636363636366E-2</v>
      </c>
      <c r="BC8" s="165">
        <f>'May-24'!F40</f>
        <v>4.9011177987962166E-2</v>
      </c>
      <c r="BD8" s="165">
        <f>'May-24'!G40</f>
        <v>4.9298801973220577E-2</v>
      </c>
      <c r="BE8" s="165">
        <f>'May-24'!H40</f>
        <v>0</v>
      </c>
      <c r="BF8" s="165">
        <f>'May-24'!I40</f>
        <v>4.8868778280542986E-2</v>
      </c>
      <c r="BG8" s="165">
        <f>'May-24'!J40</f>
        <v>1.169248757673195E-2</v>
      </c>
      <c r="BH8" s="165">
        <f>'May-24'!K40</f>
        <v>0</v>
      </c>
      <c r="BI8" s="165">
        <f>'May-24'!L40</f>
        <v>2.3809523809523808E-2</v>
      </c>
      <c r="BJ8" s="165">
        <f>'May-24'!M40</f>
        <v>0</v>
      </c>
      <c r="BK8" s="165" t="str">
        <f>'May-24'!N40</f>
        <v>-</v>
      </c>
      <c r="BL8" s="165">
        <f>'May-24'!O40</f>
        <v>4.9036043587594301E-2</v>
      </c>
      <c r="BM8" s="165">
        <f>'May-24'!P40</f>
        <v>1.3598326359832637E-2</v>
      </c>
      <c r="BN8" s="165">
        <f>'May-24'!Q40</f>
        <v>4.9131513647642677E-2</v>
      </c>
      <c r="BO8" s="165" t="str">
        <f>'May-24'!R40</f>
        <v>-</v>
      </c>
      <c r="BP8" s="165">
        <f>'May-24'!S40</f>
        <v>4.9065420560747662E-2</v>
      </c>
      <c r="BQ8" s="165">
        <f>'May-24'!T40</f>
        <v>4.8902821316614421E-2</v>
      </c>
      <c r="BR8" s="165">
        <f>'May-24'!U40</f>
        <v>4.9253731343283584E-2</v>
      </c>
      <c r="BS8" s="165">
        <f>'May-24'!V40</f>
        <v>4.9039098740888007E-2</v>
      </c>
      <c r="BT8" s="165">
        <f>'May-24'!W40</f>
        <v>4.8994974874371856E-2</v>
      </c>
      <c r="BU8" s="165">
        <f>'May-24'!X40</f>
        <v>4.9048625792811842E-2</v>
      </c>
      <c r="BV8" s="165">
        <f>'May-24'!Y40</f>
        <v>4.8956356736242886E-2</v>
      </c>
      <c r="BW8" s="165">
        <f>'May-24'!Z40</f>
        <v>4.8927038626609444E-2</v>
      </c>
      <c r="BX8" s="165">
        <f>'May-24'!AA40</f>
        <v>4.912280701754386E-2</v>
      </c>
      <c r="BY8" s="165">
        <f>'May-24'!AB40</f>
        <v>4.8987510609918759E-2</v>
      </c>
      <c r="BZ8" s="165" t="str">
        <f>'May-24'!AC40</f>
        <v>-</v>
      </c>
      <c r="CA8" s="165">
        <f>'May-24'!AD40</f>
        <v>4.8800000000000003E-2</v>
      </c>
      <c r="CB8" s="165">
        <f>'May-24'!AE40</f>
        <v>4.9062500000000002E-2</v>
      </c>
      <c r="CC8" s="165">
        <f>'May-24'!AF40</f>
        <v>4.9171270718232046E-2</v>
      </c>
      <c r="CD8" s="165">
        <f>'May-24'!AG40</f>
        <v>4.9130434782608694E-2</v>
      </c>
      <c r="CE8" s="165">
        <f>'May-24'!AH40</f>
        <v>4.8994082840236687E-2</v>
      </c>
      <c r="CF8" s="165">
        <f>'May-24'!AI40</f>
        <v>4.9114215756877432E-2</v>
      </c>
      <c r="CG8" s="165">
        <f>'Jun-24'!E41</f>
        <v>4.8919226393629126E-2</v>
      </c>
      <c r="CH8" s="165">
        <f>'Jun-24'!F41</f>
        <v>4.8999660902000676E-2</v>
      </c>
      <c r="CI8" s="165">
        <f>'Jun-24'!G41</f>
        <v>4.8905109489051093E-2</v>
      </c>
      <c r="CJ8" s="165" t="str">
        <f>'Jun-24'!H41</f>
        <v>-</v>
      </c>
      <c r="CK8" s="165">
        <f>'Jun-24'!I41</f>
        <v>4.9174917491749175E-2</v>
      </c>
      <c r="CL8" s="165">
        <f>'Jun-24'!J41</f>
        <v>4.8837209302325581E-2</v>
      </c>
      <c r="CM8" s="165">
        <f>'Jun-24'!K41</f>
        <v>4.8918823112371501E-2</v>
      </c>
      <c r="CN8" s="165">
        <f>'Jun-24'!L41</f>
        <v>4.8714479025710418E-2</v>
      </c>
      <c r="CO8" s="165">
        <f>'Jun-24'!M41</f>
        <v>4.8968363136176064E-2</v>
      </c>
      <c r="CP8" s="165">
        <f>'Jun-24'!N41</f>
        <v>4.9085229808121376E-2</v>
      </c>
      <c r="CQ8" s="165">
        <f>'Jun-24'!O41</f>
        <v>4.8832923832923834E-2</v>
      </c>
      <c r="CR8" s="165">
        <f>'Jun-24'!P41</f>
        <v>4.8888888888888891E-2</v>
      </c>
      <c r="CS8" s="165">
        <f>'Jun-24'!Q41</f>
        <v>4.8888888888888891E-2</v>
      </c>
      <c r="CT8" s="165">
        <f>'Jun-24'!R41</f>
        <v>4.9219687875150062E-2</v>
      </c>
      <c r="CU8" s="165">
        <f>'Jun-24'!S41</f>
        <v>4.9073064340239912E-2</v>
      </c>
      <c r="CV8" s="165">
        <f>'Jun-24'!T41</f>
        <v>4.899568237281772E-2</v>
      </c>
      <c r="CW8" s="165">
        <f>'Jun-24'!U41</f>
        <v>4.9000000000000002E-2</v>
      </c>
      <c r="CX8" s="165">
        <f>'Jun-24'!V41</f>
        <v>4.9004594180704443E-2</v>
      </c>
      <c r="CY8" s="165" t="str">
        <f>'Jun-24'!W41</f>
        <v>-</v>
      </c>
      <c r="CZ8" s="165">
        <f>'Jun-24'!X41</f>
        <v>4.9120679199514856E-2</v>
      </c>
      <c r="DA8" s="165">
        <f>'Jun-24'!Y41</f>
        <v>4.9204052098408106E-2</v>
      </c>
      <c r="DB8" s="165" t="str">
        <f>'Jun-24'!Z41</f>
        <v>-</v>
      </c>
      <c r="DC8" s="165">
        <f>'Jun-24'!AA41</f>
        <v>0</v>
      </c>
      <c r="DD8" s="165" t="str">
        <f>'Jun-24'!AB41</f>
        <v>-</v>
      </c>
      <c r="DE8" s="165">
        <f>'Jun-24'!AC41</f>
        <v>4.9134948096885817E-2</v>
      </c>
      <c r="DF8" s="165">
        <f>'Jun-24'!AD41</f>
        <v>4.8957189901207461E-2</v>
      </c>
      <c r="DG8" s="165">
        <f>'Jun-24'!AE41</f>
        <v>4.8907103825136612E-2</v>
      </c>
      <c r="DH8" s="165">
        <f>'Jun-24'!AF41</f>
        <v>4.8805815160955349E-2</v>
      </c>
      <c r="DI8" s="165">
        <f>'Jun-24'!AG41</f>
        <v>4.9034869240348694E-2</v>
      </c>
      <c r="DJ8" s="165" t="str">
        <f>'Jun-24'!AH41</f>
        <v>-</v>
      </c>
      <c r="DK8" s="165">
        <f>'Jul-24'!E41</f>
        <v>4.8977853492333905E-2</v>
      </c>
      <c r="DL8" s="165">
        <f>'Jul-24'!F41</f>
        <v>4.9011857707509883E-2</v>
      </c>
      <c r="DM8" s="165" t="str">
        <f>'Jul-24'!G41</f>
        <v>-</v>
      </c>
      <c r="DN8" s="165">
        <f>'Jul-24'!H41</f>
        <v>4.9160671462829736E-2</v>
      </c>
      <c r="DO8" s="165">
        <f>'Jul-24'!I41</f>
        <v>4.8813868613138689E-2</v>
      </c>
      <c r="DP8" s="165">
        <f>'Jul-24'!J41</f>
        <v>4.8533872598584431E-2</v>
      </c>
      <c r="DQ8" s="165">
        <f>'Jul-24'!K41</f>
        <v>4.9107142857142856E-2</v>
      </c>
      <c r="DR8" s="165" t="str">
        <f>'Jul-24'!L41</f>
        <v>-</v>
      </c>
      <c r="DS8" s="165">
        <f>'Jul-24'!M41</f>
        <v>4.9155145929339478E-2</v>
      </c>
      <c r="DT8" s="165">
        <f>'Jul-24'!N41</f>
        <v>4.9090909090909088E-2</v>
      </c>
      <c r="DU8" s="165">
        <f>'Jul-24'!O41</f>
        <v>4.887063655030801E-2</v>
      </c>
      <c r="DV8" s="165">
        <f>'Jul-24'!P41</f>
        <v>4.8878205128205128E-2</v>
      </c>
      <c r="DW8" s="165">
        <f>'Jul-24'!Q41</f>
        <v>4.9411764705882349E-2</v>
      </c>
      <c r="DX8" s="165">
        <f>'Jul-24'!R41</f>
        <v>4.9061032863849767E-2</v>
      </c>
      <c r="DY8" s="165" t="str">
        <f>'Jul-24'!S41</f>
        <v>-</v>
      </c>
      <c r="DZ8" s="165">
        <f>'Jul-24'!T41</f>
        <v>4.9180327868852458E-2</v>
      </c>
      <c r="EA8" s="165">
        <f>'Jul-24'!U41</f>
        <v>4.9187935034802781E-2</v>
      </c>
      <c r="EB8" s="165" t="str">
        <f>'Jul-24'!V41</f>
        <v>-</v>
      </c>
      <c r="EC8" s="165" t="str">
        <f>'Jul-24'!W41</f>
        <v>-</v>
      </c>
      <c r="ED8" s="165">
        <f>'Jul-24'!X41</f>
        <v>4.9271339347675226E-2</v>
      </c>
      <c r="EE8" s="165">
        <f>'Jul-24'!Y41</f>
        <v>4.8901782014090345E-2</v>
      </c>
      <c r="EF8" s="165" t="str">
        <f>'Jul-24'!Z41</f>
        <v>-</v>
      </c>
      <c r="EG8" s="165">
        <f>'Jul-24'!AA41</f>
        <v>4.9076517150395779E-2</v>
      </c>
      <c r="EH8" s="165" t="str">
        <f>'Jul-24'!AB41</f>
        <v>-</v>
      </c>
      <c r="EI8" s="165">
        <f>'Jul-24'!AC41</f>
        <v>4.8977757807234332E-2</v>
      </c>
      <c r="EJ8" s="165">
        <f>'Jul-24'!AD41</f>
        <v>4.9023221525985997E-2</v>
      </c>
      <c r="EK8" s="165">
        <f>'Jul-24'!AE41</f>
        <v>4.9079754601226995E-2</v>
      </c>
      <c r="EL8" s="165">
        <f>'Jul-24'!AF41</f>
        <v>4.8768710767745048E-2</v>
      </c>
      <c r="EM8" s="165">
        <f>'Jul-24'!AG41</f>
        <v>4.920273348519362E-2</v>
      </c>
      <c r="EN8" s="165">
        <f>'Jul-24'!AH41</f>
        <v>4.9171270718232046E-2</v>
      </c>
      <c r="EO8" s="165">
        <f>'Jul-24'!AI41</f>
        <v>4.8813559322033899E-2</v>
      </c>
      <c r="EP8" s="165">
        <f>'Aug-24'!E41</f>
        <v>2.1015138023152271E-2</v>
      </c>
      <c r="EQ8" s="165">
        <f>'Aug-24'!F41</f>
        <v>0</v>
      </c>
      <c r="ER8" s="165">
        <f>'Aug-24'!G41</f>
        <v>4.8807542983915694E-2</v>
      </c>
      <c r="ES8" s="165">
        <f>'Aug-24'!H41</f>
        <v>4.9159530605772279E-2</v>
      </c>
      <c r="ET8" s="165" t="str">
        <f>'Aug-24'!I41</f>
        <v>-</v>
      </c>
      <c r="EU8" s="165">
        <f>'Aug-24'!J41</f>
        <v>4.8571428571428571E-2</v>
      </c>
      <c r="EV8" s="165">
        <f>'Aug-24'!K41</f>
        <v>4.933920704845815E-2</v>
      </c>
      <c r="EW8" s="165" t="str">
        <f>'Aug-24'!L41</f>
        <v>-</v>
      </c>
      <c r="EX8" s="165" t="str">
        <f>'Aug-24'!M41</f>
        <v>-</v>
      </c>
      <c r="EY8" s="165">
        <f>'Aug-24'!N41</f>
        <v>4.9008168028004666E-2</v>
      </c>
      <c r="EZ8" s="165">
        <f>'Aug-24'!O41</f>
        <v>4.8797250859106529E-2</v>
      </c>
      <c r="FA8" s="165">
        <f>'Aug-24'!P41</f>
        <v>4.9532710280373829E-2</v>
      </c>
      <c r="FB8" s="165">
        <f>'Aug-24'!Q41</f>
        <v>4.891491560454702E-2</v>
      </c>
      <c r="FC8" s="165" t="str">
        <f>'Aug-24'!R41</f>
        <v>-</v>
      </c>
      <c r="FD8" s="165">
        <f>'Aug-24'!S41</f>
        <v>4.9171270718232046E-2</v>
      </c>
      <c r="FE8" s="165">
        <f>'Aug-24'!T41</f>
        <v>4.8979591836734691E-2</v>
      </c>
      <c r="FF8" s="165">
        <f>'Aug-24'!U41</f>
        <v>4.9132947976878616E-2</v>
      </c>
      <c r="FG8" s="165">
        <f>'Aug-24'!V41</f>
        <v>4.9275362318840582E-2</v>
      </c>
      <c r="FH8" s="165" t="str">
        <f>'Aug-24'!W41</f>
        <v>-</v>
      </c>
      <c r="FI8" s="165">
        <f>'Aug-24'!X41</f>
        <v>4.9136786188579015E-2</v>
      </c>
      <c r="FJ8" s="165">
        <f>'Aug-24'!Y41</f>
        <v>4.9152542372881358E-2</v>
      </c>
      <c r="FK8" s="165">
        <f>'Aug-24'!Z41</f>
        <v>0</v>
      </c>
      <c r="FL8" s="165">
        <f>'Aug-24'!AA41</f>
        <v>0</v>
      </c>
      <c r="FM8" s="165">
        <f>'Aug-24'!AB41</f>
        <v>1.0193679918450561E-2</v>
      </c>
      <c r="FN8" s="165">
        <f>'Aug-24'!AC41</f>
        <v>4.8979591836734691E-2</v>
      </c>
      <c r="FO8" s="165">
        <f>'Aug-24'!AD41</f>
        <v>4.8907103825136612E-2</v>
      </c>
      <c r="FP8" s="165" t="str">
        <f>'Aug-24'!AE41</f>
        <v>-</v>
      </c>
      <c r="FQ8" s="165">
        <f>'Aug-24'!AF41</f>
        <v>4.9204406364749084E-2</v>
      </c>
      <c r="FR8" s="165">
        <f>'Aug-24'!AG41</f>
        <v>4.8756218905472638E-2</v>
      </c>
      <c r="FS8" s="165">
        <f>'Aug-24'!AH41</f>
        <v>4.9019607843137254E-2</v>
      </c>
      <c r="FT8" s="165">
        <f>'Aug-24'!AI41</f>
        <v>4.9029493319889088E-2</v>
      </c>
      <c r="FU8" s="165">
        <f>'Sep-24'!E41</f>
        <v>4.9129593810444877E-2</v>
      </c>
      <c r="FV8" s="165" t="str">
        <f>'Sep-24'!F41</f>
        <v>-</v>
      </c>
      <c r="FW8" s="165">
        <f>'Sep-24'!G41</f>
        <v>2.5619834710743802E-2</v>
      </c>
      <c r="FX8" s="165">
        <f>'Sep-24'!H41</f>
        <v>3.3395872420262665E-2</v>
      </c>
      <c r="FY8" s="165">
        <f>'Sep-24'!I41</f>
        <v>2.7540983606557379E-2</v>
      </c>
      <c r="FZ8" s="165" t="str">
        <f>'Sep-24'!J41</f>
        <v>-</v>
      </c>
      <c r="GA8" s="165" t="str">
        <f>'Sep-24'!K41</f>
        <v>-</v>
      </c>
      <c r="GB8" s="165" t="str">
        <f>'Sep-24'!L41</f>
        <v>-</v>
      </c>
      <c r="GC8" s="165" t="str">
        <f>'Sep-24'!M41</f>
        <v>-</v>
      </c>
      <c r="GD8" s="172">
        <v>4.4999999999999998E-2</v>
      </c>
      <c r="GE8" s="172">
        <v>4.4999999999999998E-2</v>
      </c>
      <c r="GF8" s="172">
        <v>4.4999999999999998E-2</v>
      </c>
      <c r="GG8" s="172">
        <v>4.4999999999999998E-2</v>
      </c>
      <c r="GH8" s="172">
        <v>4.4999999999999998E-2</v>
      </c>
      <c r="GI8" s="172">
        <v>4.4999999999999998E-2</v>
      </c>
      <c r="GJ8" s="172">
        <v>4.4999999999999998E-2</v>
      </c>
      <c r="GK8" s="172">
        <v>4.4999999999999998E-2</v>
      </c>
      <c r="GL8" s="172">
        <v>4.4999999999999998E-2</v>
      </c>
      <c r="GM8" s="172">
        <v>4.4999999999999998E-2</v>
      </c>
      <c r="GN8" s="172">
        <v>4.4999999999999998E-2</v>
      </c>
      <c r="GO8" s="172">
        <v>4.4999999999999998E-2</v>
      </c>
    </row>
    <row r="9" spans="1:197" ht="37.5" customHeight="1" x14ac:dyDescent="0.3">
      <c r="A9" s="134">
        <v>6</v>
      </c>
      <c r="B9" s="156" t="s">
        <v>42</v>
      </c>
      <c r="C9" s="157" t="s">
        <v>36</v>
      </c>
      <c r="D9" s="157" t="s">
        <v>43</v>
      </c>
      <c r="E9" s="173"/>
      <c r="F9" s="167" t="s">
        <v>160</v>
      </c>
      <c r="G9" s="233">
        <v>0.2483088798711453</v>
      </c>
      <c r="H9" s="236">
        <v>0.42054219403716858</v>
      </c>
      <c r="I9" s="236">
        <v>0.4238642208507768</v>
      </c>
      <c r="J9" s="236">
        <v>0.42087409242908941</v>
      </c>
      <c r="K9" s="236">
        <v>0.42124041380270272</v>
      </c>
      <c r="L9" s="236">
        <v>0.40797585296961764</v>
      </c>
      <c r="M9" s="329">
        <v>0.41155895630452094</v>
      </c>
      <c r="N9" s="237">
        <v>0.41952932284842848</v>
      </c>
      <c r="O9" s="161">
        <f>'Apr-24'!AI34</f>
        <v>0.35644412387864582</v>
      </c>
      <c r="P9" s="161">
        <f>'May-24'!AJ34</f>
        <v>0.39299417011310978</v>
      </c>
      <c r="Q9" s="161">
        <f>'Jun-24'!AJ35</f>
        <v>0.48237490128508864</v>
      </c>
      <c r="R9" s="161">
        <f>'Jul-24'!AJ35</f>
        <v>0.51762722256284488</v>
      </c>
      <c r="S9" s="161">
        <f>'Aug-24'!AJ35</f>
        <v>0.54205069124423966</v>
      </c>
      <c r="T9" s="161">
        <f>'Sep-24'!AJ35</f>
        <v>0.48638232271325799</v>
      </c>
      <c r="U9" s="261">
        <f>'Aug-24'!AK35</f>
        <v>0.45564357915584536</v>
      </c>
      <c r="V9" s="162" t="s">
        <v>162</v>
      </c>
      <c r="W9" s="163"/>
      <c r="X9" s="175">
        <f>'Apr-24'!E34</f>
        <v>0.2296137339055794</v>
      </c>
      <c r="Y9" s="175">
        <f>'Apr-24'!F34</f>
        <v>0.35535006605019814</v>
      </c>
      <c r="Z9" s="175">
        <f>'Apr-24'!G34</f>
        <v>0.31707317073170732</v>
      </c>
      <c r="AA9" s="175">
        <f>'Apr-24'!H34</f>
        <v>0.34867075664621677</v>
      </c>
      <c r="AB9" s="175">
        <f>'Apr-24'!I34</f>
        <v>0.30031446540880502</v>
      </c>
      <c r="AC9" s="175">
        <f>'Apr-24'!J34</f>
        <v>0.28924598269468482</v>
      </c>
      <c r="AD9" s="175">
        <f>'Apr-24'!K34</f>
        <v>0.29633740288568255</v>
      </c>
      <c r="AE9" s="175">
        <f>'Apr-24'!L34</f>
        <v>0.32742537313432835</v>
      </c>
      <c r="AF9" s="175">
        <f>'Apr-24'!M34</f>
        <v>0.32613908872901681</v>
      </c>
      <c r="AG9" s="175">
        <f>'Apr-24'!N34</f>
        <v>0.29254571026722925</v>
      </c>
      <c r="AH9" s="175">
        <f>'Apr-24'!O34</f>
        <v>0.31871657754010696</v>
      </c>
      <c r="AI9" s="175">
        <f>'Apr-24'!P34</f>
        <v>0.31851851851851853</v>
      </c>
      <c r="AJ9" s="175">
        <f>'Apr-24'!Q34</f>
        <v>0.36092715231788081</v>
      </c>
      <c r="AK9" s="175">
        <f>'Apr-24'!R34</f>
        <v>0.3615819209039548</v>
      </c>
      <c r="AL9" s="175">
        <f>'Apr-24'!S34</f>
        <v>0.38978829389788294</v>
      </c>
      <c r="AM9" s="175">
        <f>'Apr-24'!T34</f>
        <v>0.43444227005870839</v>
      </c>
      <c r="AN9" s="175">
        <f>'Apr-24'!U34</f>
        <v>0.44133333333333336</v>
      </c>
      <c r="AO9" s="175">
        <f>'Apr-24'!V34</f>
        <v>0.39975247524752477</v>
      </c>
      <c r="AP9" s="175">
        <f>'Apr-24'!W34</f>
        <v>0.41569086651053866</v>
      </c>
      <c r="AQ9" s="175">
        <f>'Apr-24'!X34</f>
        <v>0.33412887828162291</v>
      </c>
      <c r="AR9" s="175">
        <f>'Apr-24'!Y34</f>
        <v>0.41232227488151657</v>
      </c>
      <c r="AS9" s="175">
        <f>'Apr-24'!Z34</f>
        <v>0.29782608695652174</v>
      </c>
      <c r="AT9" s="175">
        <f>'Apr-24'!AA34</f>
        <v>0.38470451911935111</v>
      </c>
      <c r="AU9" s="175">
        <f>'Apr-24'!AB34</f>
        <v>0.40695652173913044</v>
      </c>
      <c r="AV9" s="175">
        <f>'Apr-24'!AC34</f>
        <v>0.39085545722713866</v>
      </c>
      <c r="AW9" s="175">
        <f>'Apr-24'!AD34</f>
        <v>0.39218158890290039</v>
      </c>
      <c r="AX9" s="175">
        <f>'Apr-24'!AE34</f>
        <v>0.4199623352165725</v>
      </c>
      <c r="AY9" s="175">
        <f>'Apr-24'!AF34</f>
        <v>0.39317319848293297</v>
      </c>
      <c r="AZ9" s="175">
        <f>'Apr-24'!AG34</f>
        <v>0.30555555555555558</v>
      </c>
      <c r="BA9" s="175">
        <f>'Apr-24'!AH34</f>
        <v>0.41591320072332733</v>
      </c>
      <c r="BB9" s="175">
        <f>'May-24'!E34</f>
        <v>0.32057416267942584</v>
      </c>
      <c r="BC9" s="175">
        <f>'May-24'!F34</f>
        <v>0.40879689521345408</v>
      </c>
      <c r="BD9" s="175">
        <f>'May-24'!G34</f>
        <v>0.18596491228070175</v>
      </c>
      <c r="BE9" s="175">
        <f>'May-24'!H34</f>
        <v>0.47792207792207791</v>
      </c>
      <c r="BF9" s="175">
        <f>'May-24'!I34</f>
        <v>0.35509138381201044</v>
      </c>
      <c r="BG9" s="175">
        <f>'May-24'!J34</f>
        <v>0.13934426229508196</v>
      </c>
      <c r="BH9" s="175">
        <f>'May-24'!K34</f>
        <v>0.36947791164658633</v>
      </c>
      <c r="BI9" s="175">
        <f>'May-24'!L34</f>
        <v>0.24902723735408561</v>
      </c>
      <c r="BJ9" s="175">
        <f>'May-24'!M34</f>
        <v>0.31048387096774194</v>
      </c>
      <c r="BK9" s="175">
        <f>'May-24'!N34</f>
        <v>0.44186046511627908</v>
      </c>
      <c r="BL9" s="175">
        <f>'May-24'!O34</f>
        <v>0.39473684210526316</v>
      </c>
      <c r="BM9" s="175">
        <f>'May-24'!P34</f>
        <v>0.22402597402597402</v>
      </c>
      <c r="BN9" s="175">
        <f>'May-24'!Q34</f>
        <v>0.43606138107416881</v>
      </c>
      <c r="BO9" s="175">
        <f>'May-24'!R34</f>
        <v>0.435126582278481</v>
      </c>
      <c r="BP9" s="175">
        <f>'May-24'!S34</f>
        <v>0.37587657784011219</v>
      </c>
      <c r="BQ9" s="175">
        <f>'May-24'!T34</f>
        <v>0.41953232462173318</v>
      </c>
      <c r="BR9" s="175">
        <f>'May-24'!U34</f>
        <v>0.44138634046890929</v>
      </c>
      <c r="BS9" s="175">
        <f>'May-24'!V34</f>
        <v>0.41989881956155145</v>
      </c>
      <c r="BT9" s="175">
        <f>'May-24'!W34</f>
        <v>0.40100502512562813</v>
      </c>
      <c r="BU9" s="175">
        <f>'May-24'!X34</f>
        <v>0.35616438356164382</v>
      </c>
      <c r="BV9" s="175">
        <f>'May-24'!Y34</f>
        <v>0.3888888888888889</v>
      </c>
      <c r="BW9" s="175">
        <f>'May-24'!Z34</f>
        <v>0.43586206896551727</v>
      </c>
      <c r="BX9" s="175">
        <f>'May-24'!AA34</f>
        <v>0.4295566502463054</v>
      </c>
      <c r="BY9" s="175">
        <f>'May-24'!AB34</f>
        <v>0.31697612732095493</v>
      </c>
      <c r="BZ9" s="175">
        <f>'May-24'!AC34</f>
        <v>0.4317738791423002</v>
      </c>
      <c r="CA9" s="175">
        <f>'May-24'!AD34</f>
        <v>0.52071005917159763</v>
      </c>
      <c r="CB9" s="175">
        <f>'May-24'!AE34</f>
        <v>0.40876777251184832</v>
      </c>
      <c r="CC9" s="175">
        <f>'May-24'!AF34</f>
        <v>0.41791044776119401</v>
      </c>
      <c r="CD9" s="175">
        <f>'May-24'!AG34</f>
        <v>0.38694074969770254</v>
      </c>
      <c r="CE9" s="175">
        <f>'May-24'!AH34</f>
        <v>0.39841986455981943</v>
      </c>
      <c r="CF9" s="175">
        <f>'May-24'!AI34</f>
        <v>0.37557077625570778</v>
      </c>
      <c r="CG9" s="175">
        <f>'Jun-24'!E35</f>
        <v>0.44680851063829785</v>
      </c>
      <c r="CH9" s="175">
        <f>'Jun-24'!F35</f>
        <v>0.40616621983914208</v>
      </c>
      <c r="CI9" s="175">
        <f>'Jun-24'!G35</f>
        <v>0.40940525587828491</v>
      </c>
      <c r="CJ9" s="175">
        <f>'Jun-24'!H35</f>
        <v>0.43966547192353644</v>
      </c>
      <c r="CK9" s="175">
        <f>'Jun-24'!I35</f>
        <v>0.4296875</v>
      </c>
      <c r="CL9" s="175">
        <f>'Jun-24'!J35</f>
        <v>0.44917012448132781</v>
      </c>
      <c r="CM9" s="175">
        <f>'Jun-24'!K35</f>
        <v>0.47239263803680981</v>
      </c>
      <c r="CN9" s="175">
        <f>'Jun-24'!L35</f>
        <v>0.45796847635726795</v>
      </c>
      <c r="CO9" s="175">
        <f>'Jun-24'!M35</f>
        <v>0.46696528555431133</v>
      </c>
      <c r="CP9" s="175">
        <f>'Jun-24'!N35</f>
        <v>0.45745856353591158</v>
      </c>
      <c r="CQ9" s="175">
        <f>'Jun-24'!O35</f>
        <v>0.49742533470648814</v>
      </c>
      <c r="CR9" s="175">
        <f>'Jun-24'!P35</f>
        <v>0.49430740037950666</v>
      </c>
      <c r="CS9" s="175">
        <f>'Jun-24'!Q35</f>
        <v>0.52264808362369342</v>
      </c>
      <c r="CT9" s="175">
        <f>'Jun-24'!R35</f>
        <v>0.50632911392405067</v>
      </c>
      <c r="CU9" s="175">
        <f>'Jun-24'!S35</f>
        <v>0.46821392532795159</v>
      </c>
      <c r="CV9" s="175">
        <f>'Jun-24'!T35</f>
        <v>0.47070707070707068</v>
      </c>
      <c r="CW9" s="175">
        <f>'Jun-24'!U35</f>
        <v>0.50413983440662369</v>
      </c>
      <c r="CX9" s="175">
        <f>'Jun-24'!V35</f>
        <v>0.46414342629482069</v>
      </c>
      <c r="CY9" s="175">
        <f>'Jun-24'!W35</f>
        <v>0.53508771929824561</v>
      </c>
      <c r="CZ9" s="175">
        <f>'Jun-24'!X35</f>
        <v>0.49043303121852971</v>
      </c>
      <c r="DA9" s="175">
        <f>'Jun-24'!Y35</f>
        <v>0.49210770659238628</v>
      </c>
      <c r="DB9" s="175">
        <f>'Jun-24'!Z35</f>
        <v>0.52847152847152845</v>
      </c>
      <c r="DC9" s="175">
        <f>'Jun-24'!AA35</f>
        <v>0.57697841726618704</v>
      </c>
      <c r="DD9" s="175">
        <f>'Jun-24'!AB35</f>
        <v>0.54105445116681072</v>
      </c>
      <c r="DE9" s="175">
        <f>'Jun-24'!AC35</f>
        <v>0.48701973001038423</v>
      </c>
      <c r="DF9" s="175">
        <f>'Jun-24'!AD35</f>
        <v>0.44444444444444442</v>
      </c>
      <c r="DG9" s="175">
        <f>'Jun-24'!AE35</f>
        <v>0.49886621315192742</v>
      </c>
      <c r="DH9" s="175">
        <f>'Jun-24'!AF35</f>
        <v>0.4589473684210526</v>
      </c>
      <c r="DI9" s="175">
        <f>'Jun-24'!AG35</f>
        <v>0.42857142857142855</v>
      </c>
      <c r="DJ9" s="175">
        <f>'Jun-24'!AH35</f>
        <v>0.5492321589882565</v>
      </c>
      <c r="DK9" s="175">
        <f>'Jul-24'!E35</f>
        <v>0.4433139534883721</v>
      </c>
      <c r="DL9" s="175">
        <f>'Jul-24'!F35</f>
        <v>0.46654929577464788</v>
      </c>
      <c r="DM9" s="175">
        <f>'Jul-24'!G35</f>
        <v>0.53740458015267178</v>
      </c>
      <c r="DN9" s="175">
        <f>'Jul-24'!H35</f>
        <v>0.46482758620689657</v>
      </c>
      <c r="DO9" s="175">
        <f>'Jul-24'!I35</f>
        <v>0.48355899419729209</v>
      </c>
      <c r="DP9" s="175">
        <f>'Jul-24'!J35</f>
        <v>0.5242165242165242</v>
      </c>
      <c r="DQ9" s="175">
        <f>'Jul-24'!K35</f>
        <v>0.50332005312084993</v>
      </c>
      <c r="DR9" s="175">
        <f>'Jul-24'!L35</f>
        <v>0.55277280858676203</v>
      </c>
      <c r="DS9" s="175">
        <f>'Jul-24'!M35</f>
        <v>0.48282828282828283</v>
      </c>
      <c r="DT9" s="175">
        <f>'Jul-24'!N35</f>
        <v>0.42489270386266093</v>
      </c>
      <c r="DU9" s="175">
        <f>'Jul-24'!O35</f>
        <v>0.50929368029739774</v>
      </c>
      <c r="DV9" s="175">
        <f>'Jul-24'!P35</f>
        <v>0.5</v>
      </c>
      <c r="DW9" s="175">
        <f>'Jul-24'!Q35</f>
        <v>0.46104928457869632</v>
      </c>
      <c r="DX9" s="175">
        <f>'Jul-24'!R35</f>
        <v>0.37587412587412589</v>
      </c>
      <c r="DY9" s="175">
        <f>'Jul-24'!S35</f>
        <v>0.55841924398625431</v>
      </c>
      <c r="DZ9" s="175">
        <f>'Jul-24'!T35</f>
        <v>0.56590509666080846</v>
      </c>
      <c r="EA9" s="175">
        <f>'Jul-24'!U35</f>
        <v>0.44444444444444442</v>
      </c>
      <c r="EB9" s="175">
        <f>'Jul-24'!V35</f>
        <v>0.54420432220039294</v>
      </c>
      <c r="EC9" s="175">
        <f>'Jul-24'!W35</f>
        <v>0.56937799043062198</v>
      </c>
      <c r="ED9" s="175">
        <f>'Jul-24'!X35</f>
        <v>0.53669064748201434</v>
      </c>
      <c r="EE9" s="175">
        <f>'Jul-24'!Y35</f>
        <v>0.43370786516853932</v>
      </c>
      <c r="EF9" s="175">
        <f>'Jul-24'!Z35</f>
        <v>0.59556786703601106</v>
      </c>
      <c r="EG9" s="175">
        <f>'Jul-24'!AA35</f>
        <v>0.53798767967145789</v>
      </c>
      <c r="EH9" s="175">
        <f>'Jul-24'!AB35</f>
        <v>0.57418576598311222</v>
      </c>
      <c r="EI9" s="175">
        <f>'Jul-24'!AC35</f>
        <v>0.50280112044817926</v>
      </c>
      <c r="EJ9" s="175">
        <f>'Jul-24'!AD35</f>
        <v>0.54785894206549124</v>
      </c>
      <c r="EK9" s="175">
        <f>'Jul-24'!AE35</f>
        <v>0.53197158081705154</v>
      </c>
      <c r="EL9" s="175">
        <f>'Jul-24'!AF35</f>
        <v>0.59251336898395723</v>
      </c>
      <c r="EM9" s="175">
        <f>'Jul-24'!AG35</f>
        <v>0.56468172484599588</v>
      </c>
      <c r="EN9" s="175">
        <f>'Jul-24'!AH35</f>
        <v>0.52747252747252749</v>
      </c>
      <c r="EO9" s="175">
        <f>'Jul-24'!AI35</f>
        <v>0.49072512647554806</v>
      </c>
      <c r="EP9" s="175">
        <f>'Aug-24'!E35</f>
        <v>0.41036717062634992</v>
      </c>
      <c r="EQ9" s="175">
        <f>'Aug-24'!F35</f>
        <v>0.54226475279106856</v>
      </c>
      <c r="ER9" s="175">
        <f>'Aug-24'!G35</f>
        <v>0.56728232189973615</v>
      </c>
      <c r="ES9" s="175">
        <f>'Aug-24'!H35</f>
        <v>0.51224944320712695</v>
      </c>
      <c r="ET9" s="175">
        <f>'Aug-24'!I35</f>
        <v>0.6052202283849919</v>
      </c>
      <c r="EU9" s="175">
        <f>'Aug-24'!J35</f>
        <v>0.57703927492447127</v>
      </c>
      <c r="EV9" s="175">
        <f>'Aug-24'!K35</f>
        <v>0.54697286012526092</v>
      </c>
      <c r="EW9" s="175">
        <f>'Aug-24'!L35</f>
        <v>0.59971711456859966</v>
      </c>
      <c r="EX9" s="175">
        <f>'Aug-24'!M35</f>
        <v>0.59369817578772799</v>
      </c>
      <c r="EY9" s="175">
        <f>'Aug-24'!N35</f>
        <v>0.48478260869565215</v>
      </c>
      <c r="EZ9" s="175">
        <f>'Aug-24'!O35</f>
        <v>0.59463986599664986</v>
      </c>
      <c r="FA9" s="175">
        <f>'Aug-24'!P35</f>
        <v>0.57352941176470584</v>
      </c>
      <c r="FB9" s="175">
        <f>'Aug-24'!Q35</f>
        <v>0.53934740882917465</v>
      </c>
      <c r="FC9" s="175">
        <f>'Aug-24'!R35</f>
        <v>0.60719424460431659</v>
      </c>
      <c r="FD9" s="175">
        <f>'Aug-24'!S35</f>
        <v>0.52490421455938696</v>
      </c>
      <c r="FE9" s="175">
        <f>'Aug-24'!T35</f>
        <v>0.59296482412060303</v>
      </c>
      <c r="FF9" s="175">
        <f>'Aug-24'!U35</f>
        <v>0.5444444444444444</v>
      </c>
      <c r="FG9" s="175">
        <f>'Aug-24'!V35</f>
        <v>0.51793721973094176</v>
      </c>
      <c r="FH9" s="175">
        <f>'Aug-24'!W35</f>
        <v>0.5927152317880795</v>
      </c>
      <c r="FI9" s="175">
        <f>'Aug-24'!X35</f>
        <v>0.55040322580645162</v>
      </c>
      <c r="FJ9" s="175">
        <f>'Aug-24'!Y35</f>
        <v>0.56343283582089554</v>
      </c>
      <c r="FK9" s="175">
        <f>'Aug-24'!Z35</f>
        <v>0</v>
      </c>
      <c r="FL9" s="175">
        <f>'Aug-24'!AA35</f>
        <v>0.14482758620689656</v>
      </c>
      <c r="FM9" s="175">
        <f>'Aug-24'!AB35</f>
        <v>0.47356321839080462</v>
      </c>
      <c r="FN9" s="175">
        <f>'Aug-24'!AC35</f>
        <v>0.49896480331262938</v>
      </c>
      <c r="FO9" s="175">
        <f>'Aug-24'!AD35</f>
        <v>0.53268428372739918</v>
      </c>
      <c r="FP9" s="175">
        <f>'Aug-24'!AE35</f>
        <v>0.61010830324909748</v>
      </c>
      <c r="FQ9" s="175">
        <f>'Aug-24'!AF35</f>
        <v>0.54697554697554696</v>
      </c>
      <c r="FR9" s="175">
        <f>'Aug-24'!AG35</f>
        <v>0.58178752107925802</v>
      </c>
      <c r="FS9" s="175">
        <f>'Aug-24'!AH35</f>
        <v>0.59170984455958553</v>
      </c>
      <c r="FT9" s="175">
        <f>'Aug-24'!AI35</f>
        <v>0.44269340974212035</v>
      </c>
      <c r="FU9" s="175">
        <f>'Sep-24'!E35</f>
        <v>0.47348484848484851</v>
      </c>
      <c r="FV9" s="175">
        <f>'Sep-24'!F35</f>
        <v>0.53448275862068961</v>
      </c>
      <c r="FW9" s="175">
        <f>'Sep-24'!G35</f>
        <v>0.46504559270516715</v>
      </c>
      <c r="FX9" s="175">
        <f>'Sep-24'!H35</f>
        <v>0.51755526657997397</v>
      </c>
      <c r="FY9" s="175">
        <f>'Sep-24'!I35</f>
        <v>0.45240532241555781</v>
      </c>
      <c r="FZ9" s="175" t="e">
        <f>'Sep-24'!J35</f>
        <v>#DIV/0!</v>
      </c>
      <c r="GA9" s="175" t="e">
        <f>'Sep-24'!K35</f>
        <v>#DIV/0!</v>
      </c>
      <c r="GB9" s="175" t="e">
        <f>'Sep-24'!L35</f>
        <v>#DIV/0!</v>
      </c>
      <c r="GC9" s="175" t="e">
        <f>'Sep-24'!M35</f>
        <v>#DIV/0!</v>
      </c>
      <c r="GD9" s="166">
        <v>0.42054219403716858</v>
      </c>
      <c r="GE9" s="166">
        <v>0.4238642208507768</v>
      </c>
      <c r="GF9" s="166">
        <v>0.42087409242908941</v>
      </c>
      <c r="GG9" s="166">
        <v>0.42124041380270272</v>
      </c>
      <c r="GH9" s="166">
        <v>0.40797585296961764</v>
      </c>
      <c r="GI9" s="166">
        <v>0.41155895630452094</v>
      </c>
      <c r="GJ9" s="166">
        <v>0.41042556048599887</v>
      </c>
      <c r="GK9" s="166">
        <v>0.41509599322335472</v>
      </c>
      <c r="GL9" s="166">
        <v>0.4174237340565698</v>
      </c>
      <c r="GM9" s="166">
        <v>0.41663741450405517</v>
      </c>
      <c r="GN9" s="166">
        <v>0.42438228316383669</v>
      </c>
      <c r="GO9" s="166">
        <v>0.43348283946657395</v>
      </c>
    </row>
    <row r="10" spans="1:197" ht="40.200000000000003" customHeight="1" x14ac:dyDescent="0.3">
      <c r="A10" s="134">
        <v>7</v>
      </c>
      <c r="B10" s="156" t="s">
        <v>163</v>
      </c>
      <c r="C10" s="157" t="s">
        <v>14</v>
      </c>
      <c r="D10" s="157"/>
      <c r="E10" s="176"/>
      <c r="F10" s="177"/>
      <c r="G10" s="228">
        <v>22.779599170968421</v>
      </c>
      <c r="H10" s="239">
        <v>24.873451327433628</v>
      </c>
      <c r="I10" s="239">
        <v>24.873451327433628</v>
      </c>
      <c r="J10" s="239">
        <v>24.873451327433628</v>
      </c>
      <c r="K10" s="239">
        <v>24.859745923685935</v>
      </c>
      <c r="L10" s="239">
        <v>24.859745923685935</v>
      </c>
      <c r="M10" s="167">
        <v>24.859745923685928</v>
      </c>
      <c r="N10" s="240">
        <v>24.78</v>
      </c>
      <c r="O10" s="161">
        <f>'Apr-24'!AI24</f>
        <v>27.06730748728096</v>
      </c>
      <c r="P10" s="278">
        <f>'May-24'!AJ24</f>
        <v>26.534724197882092</v>
      </c>
      <c r="Q10" s="278">
        <f>'Jun-24'!AJ24</f>
        <v>25.835125822965225</v>
      </c>
      <c r="R10" s="278">
        <f>'Jul-24'!AJ24</f>
        <v>22.141925384816069</v>
      </c>
      <c r="S10" s="278">
        <f>'Aug-24'!AJ24</f>
        <v>15.249691659202577</v>
      </c>
      <c r="T10" s="278">
        <f>'Sep-24'!AJ24</f>
        <v>23.573654560709578</v>
      </c>
      <c r="U10" s="255">
        <f>'Aug-24'!AK24</f>
        <v>23.920015691154788</v>
      </c>
      <c r="V10" s="163" t="s">
        <v>164</v>
      </c>
      <c r="W10" s="163"/>
      <c r="X10" s="181">
        <f>'Apr-24'!E24</f>
        <v>22.555524899986207</v>
      </c>
      <c r="Y10" s="181">
        <f>'Apr-24'!F24</f>
        <v>25.952304221720915</v>
      </c>
      <c r="Z10" s="181">
        <f>'Apr-24'!G24</f>
        <v>26.83822173030806</v>
      </c>
      <c r="AA10" s="181">
        <f>'Apr-24'!H24</f>
        <v>25.342541777147439</v>
      </c>
      <c r="AB10" s="181">
        <f>'Apr-24'!I24</f>
        <v>27.978996214433998</v>
      </c>
      <c r="AC10" s="181">
        <f>'Apr-24'!J24</f>
        <v>27.346142299609728</v>
      </c>
      <c r="AD10" s="181">
        <f>'Apr-24'!K24</f>
        <v>27.915267688175327</v>
      </c>
      <c r="AE10" s="181">
        <f>'Apr-24'!L24</f>
        <v>27.116819571865442</v>
      </c>
      <c r="AF10" s="181">
        <f>'Apr-24'!M24</f>
        <v>25.48793793187053</v>
      </c>
      <c r="AG10" s="181">
        <f>'Apr-24'!N24</f>
        <v>27.104497927364971</v>
      </c>
      <c r="AH10" s="181">
        <f>'Apr-24'!O24</f>
        <v>27.058607834749129</v>
      </c>
      <c r="AI10" s="181">
        <f>'Apr-24'!P24</f>
        <v>26.953342393062837</v>
      </c>
      <c r="AJ10" s="181">
        <f>'Apr-24'!Q24</f>
        <v>24.684404368808739</v>
      </c>
      <c r="AK10" s="181">
        <f>'Apr-24'!R24</f>
        <v>26.94442700156986</v>
      </c>
      <c r="AL10" s="181">
        <f>'Apr-24'!S24</f>
        <v>27.808744888329663</v>
      </c>
      <c r="AM10" s="181">
        <f>'Apr-24'!T24</f>
        <v>26.889142422513785</v>
      </c>
      <c r="AN10" s="181">
        <f>'Apr-24'!U24</f>
        <v>28.886460154883839</v>
      </c>
      <c r="AO10" s="181">
        <f>'Apr-24'!V24</f>
        <v>26.800471436494732</v>
      </c>
      <c r="AP10" s="181">
        <f>'Apr-24'!W24</f>
        <v>25.582117774176123</v>
      </c>
      <c r="AQ10" s="181">
        <f>'Apr-24'!X24</f>
        <v>22.392556909417209</v>
      </c>
      <c r="AR10" s="181">
        <f>'Apr-24'!Y24</f>
        <v>26.651323360184119</v>
      </c>
      <c r="AS10" s="181">
        <f>'Apr-24'!Z24</f>
        <v>28.00789662598708</v>
      </c>
      <c r="AT10" s="181">
        <f>'Apr-24'!AA24</f>
        <v>28.058223108050974</v>
      </c>
      <c r="AU10" s="181">
        <f>'Apr-24'!AB24</f>
        <v>28.542502845504103</v>
      </c>
      <c r="AV10" s="181">
        <f>'Apr-24'!AC24</f>
        <v>27.727630225663983</v>
      </c>
      <c r="AW10" s="181">
        <f>'Apr-24'!AD24</f>
        <v>27.352959177428239</v>
      </c>
      <c r="AX10" s="181">
        <f>'Apr-24'!AE24</f>
        <v>28.285208473231183</v>
      </c>
      <c r="AY10" s="181">
        <f>'Apr-24'!AF24</f>
        <v>28.29817249118307</v>
      </c>
      <c r="AZ10" s="181">
        <f>'Apr-24'!AG24</f>
        <v>28.760019431624968</v>
      </c>
      <c r="BA10" s="181">
        <f>'Apr-24'!AH24</f>
        <v>29.507400970815606</v>
      </c>
      <c r="BB10" s="181">
        <f>'May-24'!E24</f>
        <v>28.919317204961317</v>
      </c>
      <c r="BC10" s="181">
        <f>'May-24'!F24</f>
        <v>29.366635249764375</v>
      </c>
      <c r="BD10" s="181">
        <f>'May-24'!G24</f>
        <v>25.149248203836752</v>
      </c>
      <c r="BE10" s="181">
        <f>'May-24'!H24</f>
        <v>26.033717834960072</v>
      </c>
      <c r="BF10" s="181">
        <f>'May-24'!I24</f>
        <v>27.63742152809677</v>
      </c>
      <c r="BG10" s="181">
        <f>'May-24'!J24</f>
        <v>30.723220704529115</v>
      </c>
      <c r="BH10" s="181">
        <f>'May-24'!K24</f>
        <v>27.914843596943772</v>
      </c>
      <c r="BI10" s="181">
        <f>'May-24'!L24</f>
        <v>28.302599564604943</v>
      </c>
      <c r="BJ10" s="181">
        <f>'May-24'!M24</f>
        <v>28.805671930389945</v>
      </c>
      <c r="BK10" s="181">
        <f>'May-24'!N24</f>
        <v>26.671932263364084</v>
      </c>
      <c r="BL10" s="181">
        <f>'May-24'!O24</f>
        <v>27.595859365429376</v>
      </c>
      <c r="BM10" s="181">
        <f>'May-24'!P24</f>
        <v>25.028361279062519</v>
      </c>
      <c r="BN10" s="181">
        <f>'May-24'!Q24</f>
        <v>23.764994941465531</v>
      </c>
      <c r="BO10" s="181">
        <f>'May-24'!R24</f>
        <v>14.871270944013077</v>
      </c>
      <c r="BP10" s="181">
        <f>'May-24'!S24</f>
        <v>17.289942312515677</v>
      </c>
      <c r="BQ10" s="181">
        <f>'May-24'!T24</f>
        <v>27.284731605453874</v>
      </c>
      <c r="BR10" s="181">
        <f>'May-24'!U24</f>
        <v>27.944479495268141</v>
      </c>
      <c r="BS10" s="181">
        <f>'May-24'!V24</f>
        <v>27.72707244917228</v>
      </c>
      <c r="BT10" s="181">
        <f>'May-24'!W24</f>
        <v>27.801351858805859</v>
      </c>
      <c r="BU10" s="181">
        <f>'May-24'!X24</f>
        <v>28.957227599125819</v>
      </c>
      <c r="BV10" s="181">
        <f>'May-24'!Y24</f>
        <v>27.093008969160831</v>
      </c>
      <c r="BW10" s="181">
        <f>'May-24'!Z24</f>
        <v>26.313948404022739</v>
      </c>
      <c r="BX10" s="181">
        <f>'May-24'!AA24</f>
        <v>24.873876123876123</v>
      </c>
      <c r="BY10" s="181">
        <f>'May-24'!AB24</f>
        <v>25.764908696207382</v>
      </c>
      <c r="BZ10" s="181">
        <f>'May-24'!AC24</f>
        <v>28.50369725967812</v>
      </c>
      <c r="CA10" s="181">
        <f>'May-24'!AD24</f>
        <v>26.271144888453051</v>
      </c>
      <c r="CB10" s="181">
        <f>'May-24'!AE24</f>
        <v>27.553139206290698</v>
      </c>
      <c r="CC10" s="181">
        <f>'May-24'!AF24</f>
        <v>24.247191011235955</v>
      </c>
      <c r="CD10" s="181">
        <f>'May-24'!AG24</f>
        <v>25.947189311822537</v>
      </c>
      <c r="CE10" s="181">
        <f>'May-24'!AH24</f>
        <v>26.083432807689892</v>
      </c>
      <c r="CF10" s="181">
        <f>'May-24'!AI24</f>
        <v>25.913516782582402</v>
      </c>
      <c r="CG10" s="181">
        <f>'Jun-24'!E24</f>
        <v>26.096286276438761</v>
      </c>
      <c r="CH10" s="181">
        <f>'Jun-24'!F24</f>
        <v>26.922190551276607</v>
      </c>
      <c r="CI10" s="181">
        <f>'Jun-24'!G24</f>
        <v>25.391982747684892</v>
      </c>
      <c r="CJ10" s="181">
        <f>'Jun-24'!H24</f>
        <v>27.227496128728202</v>
      </c>
      <c r="CK10" s="181">
        <f>'Jun-24'!I24</f>
        <v>27.801331702676993</v>
      </c>
      <c r="CL10" s="181">
        <f>'Jun-24'!J24</f>
        <v>26.179928903472792</v>
      </c>
      <c r="CM10" s="181">
        <f>'Jun-24'!K24</f>
        <v>13.780478766767954</v>
      </c>
      <c r="CN10" s="181">
        <f>'Jun-24'!L24</f>
        <v>27.261787819253438</v>
      </c>
      <c r="CO10" s="181">
        <f>'Jun-24'!M24</f>
        <v>27.63059815482373</v>
      </c>
      <c r="CP10" s="181">
        <f>'Jun-24'!N24</f>
        <v>26.72680569995719</v>
      </c>
      <c r="CQ10" s="181">
        <f>'Jun-24'!O24</f>
        <v>24.813662702043306</v>
      </c>
      <c r="CR10" s="181">
        <f>'Jun-24'!P24</f>
        <v>24.691664084288814</v>
      </c>
      <c r="CS10" s="181">
        <f>'Jun-24'!Q24</f>
        <v>23.7270955165692</v>
      </c>
      <c r="CT10" s="181">
        <f>'Jun-24'!R24</f>
        <v>26.776504297994268</v>
      </c>
      <c r="CU10" s="181">
        <f>'Jun-24'!S24</f>
        <v>24.989064550396801</v>
      </c>
      <c r="CV10" s="181">
        <f>'Jun-24'!T24</f>
        <v>24.214329833230391</v>
      </c>
      <c r="CW10" s="181">
        <f>'Jun-24'!U24</f>
        <v>24.209881320949432</v>
      </c>
      <c r="CX10" s="181">
        <f>'Jun-24'!V24</f>
        <v>26.541855619561222</v>
      </c>
      <c r="CY10" s="181">
        <f>'Jun-24'!W24</f>
        <v>26.58288636647125</v>
      </c>
      <c r="CZ10" s="181">
        <f>'Jun-24'!X24</f>
        <v>26.436464088397791</v>
      </c>
      <c r="DA10" s="181">
        <f>'Jun-24'!Y24</f>
        <v>25.901236125126136</v>
      </c>
      <c r="DB10" s="181">
        <f>'Jun-24'!Z24</f>
        <v>24.451017356822465</v>
      </c>
      <c r="DC10" s="181">
        <f>'Jun-24'!AA24</f>
        <v>26.234134319162045</v>
      </c>
      <c r="DD10" s="181">
        <f>'Jun-24'!AB24</f>
        <v>26.597254459844816</v>
      </c>
      <c r="DE10" s="181">
        <f>'Jun-24'!AC24</f>
        <v>27.021780909673286</v>
      </c>
      <c r="DF10" s="181">
        <f>'Jun-24'!AD24</f>
        <v>27.390689379496955</v>
      </c>
      <c r="DG10" s="181">
        <f>'Jun-24'!AE24</f>
        <v>26.209070322541159</v>
      </c>
      <c r="DH10" s="181">
        <f>'Jun-24'!AF24</f>
        <v>28.052734243626823</v>
      </c>
      <c r="DI10" s="181">
        <f>'Jun-24'!AG24</f>
        <v>27.222290564645096</v>
      </c>
      <c r="DJ10" s="181">
        <f>'Jun-24'!AH24</f>
        <v>27.299460264284384</v>
      </c>
      <c r="DK10" s="181">
        <f>'Jul-24'!E24</f>
        <v>28.872539652207148</v>
      </c>
      <c r="DL10" s="181">
        <f>'Jul-24'!F24</f>
        <v>26.33160815613893</v>
      </c>
      <c r="DM10" s="181">
        <f>'Jul-24'!G24</f>
        <v>23.845053294227053</v>
      </c>
      <c r="DN10" s="181">
        <f>'Jul-24'!H24</f>
        <v>26.100460600024896</v>
      </c>
      <c r="DO10" s="181">
        <f>'Jul-24'!I24</f>
        <v>27.552870090634443</v>
      </c>
      <c r="DP10" s="181">
        <f>'Jul-24'!J24</f>
        <v>26.373804911579079</v>
      </c>
      <c r="DQ10" s="181">
        <f>'Jul-24'!K24</f>
        <v>26.306080473068519</v>
      </c>
      <c r="DR10" s="181">
        <f>'Jul-24'!L24</f>
        <v>24.870173102529961</v>
      </c>
      <c r="DS10" s="181">
        <f>'Jul-24'!M24</f>
        <v>18.942963704175384</v>
      </c>
      <c r="DT10" s="181">
        <f>'Jul-24'!N24</f>
        <v>16.64855072463768</v>
      </c>
      <c r="DU10" s="181">
        <f>'Jul-24'!O24</f>
        <v>19.173115189033826</v>
      </c>
      <c r="DV10" s="181">
        <f>'Jul-24'!P24</f>
        <v>17.881729920564872</v>
      </c>
      <c r="DW10" s="181">
        <f>'Jul-24'!Q24</f>
        <v>12.657398529881752</v>
      </c>
      <c r="DX10" s="181">
        <f>'Jul-24'!R24</f>
        <v>22.978307733764485</v>
      </c>
      <c r="DY10" s="181">
        <f>'Jul-24'!S24</f>
        <v>23.905984647782081</v>
      </c>
      <c r="DZ10" s="181">
        <f>'Jul-24'!T24</f>
        <v>19.923996322402697</v>
      </c>
      <c r="EA10" s="181">
        <f>'Jul-24'!U24</f>
        <v>20.774788997510473</v>
      </c>
      <c r="EB10" s="181">
        <f>'Jul-24'!V24</f>
        <v>12.661128963802826</v>
      </c>
      <c r="EC10" s="181">
        <f>'Jul-24'!W24</f>
        <v>24.952156427679935</v>
      </c>
      <c r="ED10" s="181">
        <f>'Jul-24'!X24</f>
        <v>25.14848775147119</v>
      </c>
      <c r="EE10" s="181">
        <f>'Jul-24'!Y24</f>
        <v>26.430629888843146</v>
      </c>
      <c r="EF10" s="181">
        <f>'Jul-24'!Z24</f>
        <v>25.418269915918483</v>
      </c>
      <c r="EG10" s="181">
        <f>'Jul-24'!AA24</f>
        <v>27.101183765501691</v>
      </c>
      <c r="EH10" s="181">
        <f>'Jul-24'!AB24</f>
        <v>23.313929313929314</v>
      </c>
      <c r="EI10" s="181">
        <f>'Jul-24'!AC24</f>
        <v>25.480472042708627</v>
      </c>
      <c r="EJ10" s="181">
        <f>'Jul-24'!AD24</f>
        <v>13.5439675660562</v>
      </c>
      <c r="EK10" s="181">
        <f>'Jul-24'!AE24</f>
        <v>0</v>
      </c>
      <c r="EL10" s="181" t="e">
        <f>'Jul-24'!AF24</f>
        <v>#DIV/0!</v>
      </c>
      <c r="EM10" s="181" t="e">
        <f>'Jul-24'!AG24</f>
        <v>#DIV/0!</v>
      </c>
      <c r="EN10" s="181" t="e">
        <f>'Jul-24'!AH24</f>
        <v>#DIV/0!</v>
      </c>
      <c r="EO10" s="181">
        <f>'Jul-24'!AI24</f>
        <v>0</v>
      </c>
      <c r="EP10" s="181">
        <f>'Aug-24'!E24</f>
        <v>0</v>
      </c>
      <c r="EQ10" s="181">
        <f>'Aug-24'!F24</f>
        <v>6.8103864734299515</v>
      </c>
      <c r="ER10" s="181">
        <f>'Aug-24'!G24</f>
        <v>3.2969016344129147</v>
      </c>
      <c r="ES10" s="181">
        <f>'Aug-24'!H24</f>
        <v>1.6347928819316251</v>
      </c>
      <c r="ET10" s="181">
        <f>'Aug-24'!I24</f>
        <v>11.979444741057128</v>
      </c>
      <c r="EU10" s="181">
        <f>'Aug-24'!J24</f>
        <v>17.533084277844615</v>
      </c>
      <c r="EV10" s="181">
        <f>'Aug-24'!K24</f>
        <v>21.353536600419702</v>
      </c>
      <c r="EW10" s="181">
        <f>'Aug-24'!L24</f>
        <v>20.654517939340437</v>
      </c>
      <c r="EX10" s="181">
        <f>'Aug-24'!M24</f>
        <v>19.752544529262085</v>
      </c>
      <c r="EY10" s="181">
        <f>'Aug-24'!N24</f>
        <v>21.406682546835768</v>
      </c>
      <c r="EZ10" s="181">
        <f>'Aug-24'!O24</f>
        <v>24.229055258467024</v>
      </c>
      <c r="FA10" s="181">
        <f>'Aug-24'!P24</f>
        <v>25.598968407479045</v>
      </c>
      <c r="FB10" s="181">
        <f>'Aug-24'!Q24</f>
        <v>24.446486280970788</v>
      </c>
      <c r="FC10" s="181">
        <f>'Aug-24'!R24</f>
        <v>16.247479018931756</v>
      </c>
      <c r="FD10" s="181">
        <f>'Aug-24'!S24</f>
        <v>12.306718166276198</v>
      </c>
      <c r="FE10" s="181">
        <f>'Aug-24'!T24</f>
        <v>11.486885967670922</v>
      </c>
      <c r="FF10" s="181">
        <f>'Aug-24'!U24</f>
        <v>14.354930216725291</v>
      </c>
      <c r="FG10" s="181">
        <f>'Aug-24'!V24</f>
        <v>12.451046590141797</v>
      </c>
      <c r="FH10" s="181">
        <f>'Aug-24'!W24</f>
        <v>13.68231046931408</v>
      </c>
      <c r="FI10" s="181">
        <f>'Aug-24'!X24</f>
        <v>15.715256540944614</v>
      </c>
      <c r="FJ10" s="181">
        <f>'Aug-24'!Y24</f>
        <v>13.617650684087268</v>
      </c>
      <c r="FK10" s="181">
        <f>'Aug-24'!Z24</f>
        <v>2.885837261733962</v>
      </c>
      <c r="FL10" s="181">
        <f>'Aug-24'!AA24</f>
        <v>2.8832789675223371</v>
      </c>
      <c r="FM10" s="181">
        <f>'Aug-24'!AB24</f>
        <v>15.205926963014818</v>
      </c>
      <c r="FN10" s="181">
        <f>'Aug-24'!AC24</f>
        <v>14.548829882988299</v>
      </c>
      <c r="FO10" s="181">
        <f>'Aug-24'!AD24</f>
        <v>7.6004901960784315</v>
      </c>
      <c r="FP10" s="181">
        <f>'Aug-24'!AE24</f>
        <v>16.005118659841788</v>
      </c>
      <c r="FQ10" s="181">
        <f>'Aug-24'!AF24</f>
        <v>18.300345224395858</v>
      </c>
      <c r="FR10" s="181">
        <f>'Aug-24'!AG24</f>
        <v>14.447337278106509</v>
      </c>
      <c r="FS10" s="181">
        <f>'Aug-24'!AH24</f>
        <v>17.256863941427699</v>
      </c>
      <c r="FT10" s="181">
        <f>'Aug-24'!AI24</f>
        <v>15.879207680155547</v>
      </c>
      <c r="FU10" s="181">
        <f>'Sep-24'!E24</f>
        <v>17.991427550898916</v>
      </c>
      <c r="FV10" s="181">
        <f>'Sep-24'!F24</f>
        <v>20.036900369003689</v>
      </c>
      <c r="FW10" s="181">
        <f>'Sep-24'!G24</f>
        <v>18.430296377607025</v>
      </c>
      <c r="FX10" s="181">
        <f>'Sep-24'!H24</f>
        <v>19.621402125880806</v>
      </c>
      <c r="FY10" s="181" t="e">
        <f>'Sep-24'!I24</f>
        <v>#DIV/0!</v>
      </c>
      <c r="FZ10" s="181" t="e">
        <f>'Sep-24'!J24</f>
        <v>#DIV/0!</v>
      </c>
      <c r="GA10" s="181" t="e">
        <f>'Sep-24'!K24</f>
        <v>#DIV/0!</v>
      </c>
      <c r="GB10" s="181" t="e">
        <f>'Sep-24'!L24</f>
        <v>#DIV/0!</v>
      </c>
      <c r="GC10" s="181" t="e">
        <f>'Sep-24'!M24</f>
        <v>#DIV/0!</v>
      </c>
      <c r="GD10" s="198">
        <v>24.873451327433628</v>
      </c>
      <c r="GE10" s="198">
        <v>24.873451327433628</v>
      </c>
      <c r="GF10" s="198">
        <v>24.873451327433628</v>
      </c>
      <c r="GG10" s="198">
        <v>24.859745923685935</v>
      </c>
      <c r="GH10" s="198">
        <v>24.859745923685935</v>
      </c>
      <c r="GI10" s="198">
        <v>24.859745923685928</v>
      </c>
      <c r="GJ10" s="198">
        <v>23.632755038094924</v>
      </c>
      <c r="GK10" s="198">
        <v>23.528461866212186</v>
      </c>
      <c r="GL10" s="198">
        <v>24.891049595956897</v>
      </c>
      <c r="GM10" s="198">
        <v>24.992519123065762</v>
      </c>
      <c r="GN10" s="198">
        <v>25.785395826459251</v>
      </c>
      <c r="GO10" s="198">
        <v>24.918364683765986</v>
      </c>
    </row>
    <row r="11" spans="1:197" ht="409.6" hidden="1" x14ac:dyDescent="0.3">
      <c r="A11" s="134">
        <v>7</v>
      </c>
      <c r="B11" s="156" t="s">
        <v>165</v>
      </c>
      <c r="C11" s="157" t="s">
        <v>166</v>
      </c>
      <c r="D11" s="157" t="s">
        <v>167</v>
      </c>
      <c r="E11" s="182">
        <v>0.04</v>
      </c>
      <c r="F11" s="182" t="s">
        <v>158</v>
      </c>
      <c r="G11" s="168">
        <v>22.779599170968421</v>
      </c>
      <c r="H11" s="184"/>
      <c r="I11" s="184"/>
      <c r="J11" s="184"/>
      <c r="K11" s="184"/>
      <c r="L11" s="184"/>
      <c r="M11" s="214"/>
      <c r="N11" s="183">
        <v>0.02</v>
      </c>
      <c r="O11" s="184"/>
      <c r="P11" s="184"/>
      <c r="Q11" s="184"/>
      <c r="R11" s="184"/>
      <c r="S11" s="184"/>
      <c r="T11" s="184"/>
      <c r="U11" s="183"/>
      <c r="V11" s="163" t="s">
        <v>168</v>
      </c>
      <c r="W11" s="163"/>
      <c r="X11" s="181"/>
      <c r="Y11" s="181"/>
      <c r="Z11" s="181"/>
      <c r="AA11" s="181"/>
      <c r="AB11" s="181"/>
      <c r="AC11" s="181"/>
      <c r="AD11" s="181"/>
      <c r="AE11" s="181"/>
      <c r="AF11" s="181"/>
      <c r="AG11" s="181"/>
      <c r="AH11" s="181"/>
      <c r="AI11" s="181"/>
      <c r="AJ11" s="181"/>
      <c r="AK11" s="181"/>
      <c r="AL11" s="181"/>
      <c r="AM11" s="181"/>
      <c r="AN11" s="181"/>
      <c r="AO11" s="181"/>
      <c r="AP11" s="181"/>
      <c r="AQ11" s="181"/>
      <c r="AR11" s="181"/>
      <c r="AS11" s="181"/>
      <c r="AT11" s="181"/>
      <c r="AU11" s="181"/>
      <c r="AV11" s="181"/>
      <c r="AW11" s="181"/>
      <c r="AX11" s="181"/>
      <c r="AY11" s="181"/>
      <c r="AZ11" s="181"/>
      <c r="BA11" s="181"/>
      <c r="BB11" s="181"/>
      <c r="BC11" s="181"/>
      <c r="BD11" s="181"/>
      <c r="BE11" s="181"/>
      <c r="BF11" s="181"/>
      <c r="BG11" s="181"/>
      <c r="BH11" s="181"/>
      <c r="BI11" s="181"/>
      <c r="BJ11" s="181"/>
      <c r="BK11" s="181"/>
      <c r="BL11" s="181"/>
      <c r="BM11" s="181"/>
      <c r="BN11" s="181"/>
      <c r="BO11" s="181"/>
      <c r="BP11" s="181"/>
      <c r="BQ11" s="181"/>
      <c r="BR11" s="181"/>
      <c r="BS11" s="181"/>
      <c r="BT11" s="181"/>
      <c r="BU11" s="181"/>
      <c r="BV11" s="181"/>
      <c r="BW11" s="181"/>
      <c r="BX11" s="181"/>
      <c r="BY11" s="181"/>
      <c r="BZ11" s="181"/>
      <c r="CA11" s="181"/>
      <c r="CB11" s="181"/>
      <c r="CC11" s="181"/>
      <c r="CD11" s="181"/>
      <c r="CE11" s="181"/>
      <c r="CF11" s="181"/>
      <c r="CG11" s="181"/>
      <c r="CH11" s="181"/>
      <c r="CI11" s="181"/>
      <c r="CJ11" s="181"/>
      <c r="CK11" s="181"/>
      <c r="CL11" s="181"/>
      <c r="CM11" s="181"/>
      <c r="CN11" s="181"/>
      <c r="CO11" s="181"/>
      <c r="CP11" s="181"/>
      <c r="CQ11" s="181"/>
      <c r="CR11" s="181"/>
      <c r="CS11" s="181"/>
      <c r="CT11" s="181"/>
      <c r="CU11" s="181"/>
      <c r="CV11" s="181"/>
      <c r="CW11" s="181"/>
      <c r="CX11" s="181"/>
      <c r="CY11" s="181"/>
      <c r="CZ11" s="181"/>
      <c r="DA11" s="181"/>
      <c r="DB11" s="181"/>
      <c r="DC11" s="181"/>
      <c r="DD11" s="181"/>
      <c r="DE11" s="181"/>
      <c r="DF11" s="181"/>
      <c r="DG11" s="181"/>
      <c r="DH11" s="181"/>
      <c r="DI11" s="181"/>
      <c r="DJ11" s="181"/>
      <c r="DK11" s="181"/>
      <c r="DL11" s="181"/>
      <c r="DM11" s="181"/>
      <c r="DN11" s="181"/>
      <c r="DO11" s="181"/>
      <c r="DP11" s="181"/>
      <c r="DQ11" s="181"/>
      <c r="DR11" s="181"/>
      <c r="DS11" s="181"/>
      <c r="DT11" s="181"/>
      <c r="DU11" s="181"/>
      <c r="DV11" s="181"/>
      <c r="DW11" s="181"/>
      <c r="DX11" s="181"/>
      <c r="DY11" s="181"/>
      <c r="DZ11" s="181"/>
      <c r="EA11" s="181"/>
      <c r="EB11" s="181"/>
      <c r="EC11" s="181"/>
      <c r="ED11" s="181"/>
      <c r="EE11" s="181"/>
      <c r="EF11" s="181"/>
      <c r="EG11" s="181"/>
      <c r="EH11" s="181"/>
      <c r="EI11" s="181"/>
      <c r="EJ11" s="181"/>
      <c r="EK11" s="181"/>
      <c r="EL11" s="181"/>
      <c r="EM11" s="181"/>
      <c r="EN11" s="181"/>
      <c r="EO11" s="181"/>
      <c r="EP11" s="181"/>
      <c r="EQ11" s="181"/>
      <c r="ER11" s="181"/>
      <c r="ES11" s="181"/>
      <c r="ET11" s="181"/>
      <c r="EU11" s="181"/>
      <c r="EV11" s="181"/>
      <c r="EW11" s="181"/>
      <c r="EX11" s="181"/>
      <c r="EY11" s="181"/>
      <c r="EZ11" s="181"/>
      <c r="FA11" s="181"/>
      <c r="FB11" s="181"/>
      <c r="FC11" s="181"/>
      <c r="FD11" s="181"/>
      <c r="FE11" s="181"/>
      <c r="FF11" s="181"/>
      <c r="FG11" s="181"/>
      <c r="FH11" s="181"/>
      <c r="FI11" s="181"/>
      <c r="FJ11" s="181"/>
      <c r="FK11" s="181"/>
      <c r="FL11" s="181"/>
      <c r="FM11" s="181"/>
      <c r="FN11" s="181"/>
      <c r="FO11" s="181"/>
      <c r="FP11" s="181"/>
      <c r="FQ11" s="181"/>
      <c r="FR11" s="181"/>
      <c r="FS11" s="181"/>
      <c r="FT11" s="181"/>
      <c r="FU11" s="181"/>
      <c r="FV11" s="181"/>
      <c r="FW11" s="181"/>
      <c r="FX11" s="181"/>
      <c r="FY11" s="181"/>
      <c r="FZ11" s="181"/>
      <c r="GA11" s="181"/>
      <c r="GB11" s="181"/>
      <c r="GC11" s="181"/>
      <c r="GD11" s="219"/>
    </row>
    <row r="12" spans="1:197" ht="18.899999999999999" customHeight="1" x14ac:dyDescent="0.3">
      <c r="A12" s="351">
        <v>8</v>
      </c>
      <c r="B12" s="353" t="s">
        <v>212</v>
      </c>
      <c r="C12" s="157" t="s">
        <v>176</v>
      </c>
      <c r="D12" s="157" t="s">
        <v>169</v>
      </c>
      <c r="E12" s="171"/>
      <c r="F12" s="167" t="s">
        <v>160</v>
      </c>
      <c r="G12" s="227">
        <v>0.61974231259853529</v>
      </c>
      <c r="H12" s="236">
        <v>0.31</v>
      </c>
      <c r="I12" s="236">
        <v>0.31</v>
      </c>
      <c r="J12" s="236">
        <v>0.31</v>
      </c>
      <c r="K12" s="236">
        <v>0.2</v>
      </c>
      <c r="L12" s="236">
        <v>0.15</v>
      </c>
      <c r="M12" s="329">
        <v>0.15</v>
      </c>
      <c r="N12" s="249">
        <v>0.19951809576331458</v>
      </c>
      <c r="O12" s="160">
        <f>'Apr-24'!AI58</f>
        <v>0.16758367086478856</v>
      </c>
      <c r="P12" s="160">
        <f>'May-24'!AJ58</f>
        <v>1.6238792491124903E-2</v>
      </c>
      <c r="Q12" s="160">
        <f>'Jun-24'!AJ59</f>
        <v>0.16558451620183307</v>
      </c>
      <c r="R12" s="160">
        <f>'Jul-24'!AJ59</f>
        <v>0</v>
      </c>
      <c r="S12" s="160">
        <f>'Aug-24'!AJ59</f>
        <v>0.14189697459924447</v>
      </c>
      <c r="T12" s="160" t="e">
        <f>'Sep-24'!AJ59</f>
        <v>#DIV/0!</v>
      </c>
      <c r="U12" s="185">
        <f>'Aug-24'!AK59</f>
        <v>9.8264528215266531E-2</v>
      </c>
      <c r="V12" s="355" t="s">
        <v>170</v>
      </c>
      <c r="W12" s="163"/>
      <c r="X12" s="174">
        <f>'Apr-24'!E58</f>
        <v>0.27880592454815334</v>
      </c>
      <c r="Y12" s="174">
        <f>'Apr-24'!F58</f>
        <v>0.23451056912092649</v>
      </c>
      <c r="Z12" s="174">
        <f>'Apr-24'!G58</f>
        <v>0.26993213364609497</v>
      </c>
      <c r="AA12" s="174">
        <f>'Apr-24'!H58</f>
        <v>0.27816024446668242</v>
      </c>
      <c r="AB12" s="174">
        <f>'Apr-24'!I58</f>
        <v>0.14066703723441265</v>
      </c>
      <c r="AC12" s="174">
        <f>'Apr-24'!J58</f>
        <v>0.15780661133511259</v>
      </c>
      <c r="AD12" s="174">
        <f>'Apr-24'!K58</f>
        <v>0.15634699876452379</v>
      </c>
      <c r="AE12" s="174">
        <f>'Apr-24'!L58</f>
        <v>0.1540963521198391</v>
      </c>
      <c r="AF12" s="174">
        <f>'Apr-24'!M58</f>
        <v>0.1535449828132755</v>
      </c>
      <c r="AG12" s="174">
        <f>'Apr-24'!N58</f>
        <v>0.15070961921218254</v>
      </c>
      <c r="AH12" s="174">
        <f>'Apr-24'!O58</f>
        <v>0.15490938087978143</v>
      </c>
      <c r="AI12" s="174">
        <f>'Apr-24'!P58</f>
        <v>0.15751809026144076</v>
      </c>
      <c r="AJ12" s="174">
        <f>'Apr-24'!Q58</f>
        <v>0.1552746414715237</v>
      </c>
      <c r="AK12" s="174">
        <f>'Apr-24'!R58</f>
        <v>0.15697710648257174</v>
      </c>
      <c r="AL12" s="174">
        <f>'Apr-24'!S58</f>
        <v>0.14077618917937545</v>
      </c>
      <c r="AM12" s="174">
        <f>'Apr-24'!T58</f>
        <v>0.15560409788854832</v>
      </c>
      <c r="AN12" s="174">
        <f>'Apr-24'!U58</f>
        <v>0.15218908824792149</v>
      </c>
      <c r="AO12" s="174">
        <f>'Apr-24'!V58</f>
        <v>0.15368817204301075</v>
      </c>
      <c r="AP12" s="174">
        <f>'Apr-24'!W58</f>
        <v>0.15163645061599954</v>
      </c>
      <c r="AQ12" s="174">
        <f>'Apr-24'!X58</f>
        <v>0.15196037798536582</v>
      </c>
      <c r="AR12" s="174">
        <f>'Apr-24'!Y58</f>
        <v>0.13848796074184222</v>
      </c>
      <c r="AS12" s="174">
        <f>'Apr-24'!Z58</f>
        <v>0.15543101267087983</v>
      </c>
      <c r="AT12" s="174">
        <f>'Apr-24'!AA58</f>
        <v>0.15613679004800987</v>
      </c>
      <c r="AU12" s="174">
        <f>'Apr-24'!AB58</f>
        <v>0.15595432670480341</v>
      </c>
      <c r="AV12" s="174">
        <f>'Apr-24'!AC58</f>
        <v>0.1566491583872634</v>
      </c>
      <c r="AW12" s="174">
        <f>'Apr-24'!AD58</f>
        <v>0.15089061464737516</v>
      </c>
      <c r="AX12" s="174">
        <f>'Apr-24'!AE58</f>
        <v>0.15580147127351632</v>
      </c>
      <c r="AY12" s="174">
        <f>'Apr-24'!AF58</f>
        <v>0.15681546393773649</v>
      </c>
      <c r="AZ12" s="174">
        <f>'Apr-24'!AG58</f>
        <v>0.15698424000586089</v>
      </c>
      <c r="BA12" s="174">
        <f>'Apr-24'!AH58</f>
        <v>0.14823412363156913</v>
      </c>
      <c r="BB12" s="174">
        <f>'May-24'!E58</f>
        <v>0.14594085664505463</v>
      </c>
      <c r="BC12" s="174">
        <f>'May-24'!F58</f>
        <v>0.1491560298900621</v>
      </c>
      <c r="BD12" s="174">
        <f>'May-24'!G58</f>
        <v>0.21919458769048947</v>
      </c>
      <c r="BE12" s="174">
        <f>'May-24'!H58</f>
        <v>0</v>
      </c>
      <c r="BF12" s="174">
        <f>'May-24'!I58</f>
        <v>0</v>
      </c>
      <c r="BG12" s="174">
        <f>'May-24'!J58</f>
        <v>0</v>
      </c>
      <c r="BH12" s="174">
        <f>'May-24'!K58</f>
        <v>0</v>
      </c>
      <c r="BI12" s="174">
        <f>'May-24'!L58</f>
        <v>0</v>
      </c>
      <c r="BJ12" s="174">
        <f>'May-24'!M58</f>
        <v>0</v>
      </c>
      <c r="BK12" s="174">
        <f>'May-24'!N58</f>
        <v>0</v>
      </c>
      <c r="BL12" s="174">
        <f>'May-24'!O58</f>
        <v>0</v>
      </c>
      <c r="BM12" s="174">
        <f>'May-24'!P58</f>
        <v>0</v>
      </c>
      <c r="BN12" s="174">
        <f>'May-24'!Q58</f>
        <v>0</v>
      </c>
      <c r="BO12" s="174">
        <f>'May-24'!R58</f>
        <v>0</v>
      </c>
      <c r="BP12" s="174">
        <f>'May-24'!S58</f>
        <v>0</v>
      </c>
      <c r="BQ12" s="174">
        <f>'May-24'!T58</f>
        <v>0</v>
      </c>
      <c r="BR12" s="174">
        <f>'May-24'!U58</f>
        <v>0</v>
      </c>
      <c r="BS12" s="174">
        <f>'May-24'!V58</f>
        <v>0</v>
      </c>
      <c r="BT12" s="174">
        <f>'May-24'!W58</f>
        <v>0</v>
      </c>
      <c r="BU12" s="174">
        <f>'May-24'!X58</f>
        <v>0</v>
      </c>
      <c r="BV12" s="174">
        <f>'May-24'!Y58</f>
        <v>0</v>
      </c>
      <c r="BW12" s="174">
        <f>'May-24'!Z58</f>
        <v>0</v>
      </c>
      <c r="BX12" s="174">
        <f>'May-24'!AA58</f>
        <v>0</v>
      </c>
      <c r="BY12" s="174">
        <f>'May-24'!AB58</f>
        <v>0</v>
      </c>
      <c r="BZ12" s="174">
        <f>'May-24'!AC58</f>
        <v>0</v>
      </c>
      <c r="CA12" s="174">
        <f>'May-24'!AD58</f>
        <v>0</v>
      </c>
      <c r="CB12" s="174">
        <f>'May-24'!AE58</f>
        <v>0</v>
      </c>
      <c r="CC12" s="174">
        <f>'May-24'!AF58</f>
        <v>0</v>
      </c>
      <c r="CD12" s="174">
        <f>'May-24'!AG58</f>
        <v>0</v>
      </c>
      <c r="CE12" s="174">
        <f>'May-24'!AH58</f>
        <v>0</v>
      </c>
      <c r="CF12" s="174">
        <f>'May-24'!AI58</f>
        <v>0</v>
      </c>
      <c r="CG12" s="174">
        <f>'Jun-24'!E59</f>
        <v>0</v>
      </c>
      <c r="CH12" s="174">
        <f>'Jun-24'!F59</f>
        <v>0</v>
      </c>
      <c r="CI12" s="174">
        <f>'Jun-24'!G59</f>
        <v>0</v>
      </c>
      <c r="CJ12" s="174">
        <f>'Jun-24'!H59</f>
        <v>0</v>
      </c>
      <c r="CK12" s="174">
        <f>'Jun-24'!I59</f>
        <v>0</v>
      </c>
      <c r="CL12" s="174">
        <f>'Jun-24'!J59</f>
        <v>0.15483776666863067</v>
      </c>
      <c r="CM12" s="174">
        <f>'Jun-24'!K59</f>
        <v>0.15426159204631179</v>
      </c>
      <c r="CN12" s="174">
        <f>'Jun-24'!L59</f>
        <v>0</v>
      </c>
      <c r="CO12" s="174">
        <f>'Jun-24'!M59</f>
        <v>0</v>
      </c>
      <c r="CP12" s="174">
        <f>'Jun-24'!N59</f>
        <v>0</v>
      </c>
      <c r="CQ12" s="174">
        <f>'Jun-24'!O59</f>
        <v>0</v>
      </c>
      <c r="CR12" s="174">
        <f>'Jun-24'!P59</f>
        <v>0</v>
      </c>
      <c r="CS12" s="174">
        <f>'Jun-24'!Q59</f>
        <v>0</v>
      </c>
      <c r="CT12" s="174">
        <f>'Jun-24'!R59</f>
        <v>0.40764760928025556</v>
      </c>
      <c r="CU12" s="174">
        <f>'Jun-24'!S59</f>
        <v>0.4078834618680377</v>
      </c>
      <c r="CV12" s="174">
        <f>'Jun-24'!T59</f>
        <v>0.41989336036742914</v>
      </c>
      <c r="CW12" s="174">
        <f>'Jun-24'!U59</f>
        <v>0.42063626378497654</v>
      </c>
      <c r="CX12" s="174">
        <f>'Jun-24'!V59</f>
        <v>0.42106347341759665</v>
      </c>
      <c r="CY12" s="174">
        <f>'Jun-24'!W59</f>
        <v>0.42029464141168854</v>
      </c>
      <c r="CZ12" s="174">
        <f>'Jun-24'!X59</f>
        <v>0.36131626060558886</v>
      </c>
      <c r="DA12" s="174">
        <f>'Jun-24'!Y59</f>
        <v>0.29862896315338477</v>
      </c>
      <c r="DB12" s="174">
        <f>'Jun-24'!Z59</f>
        <v>0.29863108356511109</v>
      </c>
      <c r="DC12" s="174">
        <f>'Jun-24'!AA59</f>
        <v>0.29894419507634479</v>
      </c>
      <c r="DD12" s="174">
        <f>'Jun-24'!AB59</f>
        <v>0.29819770766636527</v>
      </c>
      <c r="DE12" s="174">
        <f>'Jun-24'!AC59</f>
        <v>0.29876261415134048</v>
      </c>
      <c r="DF12" s="174">
        <f>'Jun-24'!AD59</f>
        <v>0.16577141029374556</v>
      </c>
      <c r="DG12" s="174">
        <f>'Jun-24'!AE59</f>
        <v>0.17018957480404301</v>
      </c>
      <c r="DH12" s="174">
        <f>'Jun-24'!AF59</f>
        <v>0</v>
      </c>
      <c r="DI12" s="174">
        <f>'Jun-24'!AG59</f>
        <v>0</v>
      </c>
      <c r="DJ12" s="174">
        <f>'Jun-24'!AH59</f>
        <v>0</v>
      </c>
      <c r="DK12" s="174">
        <f>'Jul-24'!E59</f>
        <v>0</v>
      </c>
      <c r="DL12" s="174">
        <f>'Jul-24'!F59</f>
        <v>0</v>
      </c>
      <c r="DM12" s="174">
        <f>'Jul-24'!G59</f>
        <v>0</v>
      </c>
      <c r="DN12" s="174">
        <f>'Jul-24'!H59</f>
        <v>0</v>
      </c>
      <c r="DO12" s="174">
        <f>'Jul-24'!I59</f>
        <v>0</v>
      </c>
      <c r="DP12" s="174">
        <f>'Jul-24'!J59</f>
        <v>0</v>
      </c>
      <c r="DQ12" s="174">
        <f>'Jul-24'!K59</f>
        <v>0</v>
      </c>
      <c r="DR12" s="174">
        <f>'Jul-24'!L59</f>
        <v>0</v>
      </c>
      <c r="DS12" s="174">
        <f>'Jul-24'!M59</f>
        <v>0</v>
      </c>
      <c r="DT12" s="174" t="e">
        <f>'Jul-24'!N59</f>
        <v>#DIV/0!</v>
      </c>
      <c r="DU12" s="174" t="e">
        <f>'Jul-24'!O59</f>
        <v>#DIV/0!</v>
      </c>
      <c r="DV12" s="174" t="e">
        <f>'Jul-24'!P59</f>
        <v>#DIV/0!</v>
      </c>
      <c r="DW12" s="174">
        <f>'Jul-24'!Q59</f>
        <v>0</v>
      </c>
      <c r="DX12" s="174">
        <f>'Jul-24'!R59</f>
        <v>0</v>
      </c>
      <c r="DY12" s="174">
        <f>'Jul-24'!S59</f>
        <v>0</v>
      </c>
      <c r="DZ12" s="174">
        <f>'Jul-24'!T59</f>
        <v>0</v>
      </c>
      <c r="EA12" s="174">
        <f>'Jul-24'!U59</f>
        <v>0</v>
      </c>
      <c r="EB12" s="174">
        <f>'Jul-24'!V59</f>
        <v>0</v>
      </c>
      <c r="EC12" s="174">
        <f>'Jul-24'!W59</f>
        <v>0</v>
      </c>
      <c r="ED12" s="174">
        <f>'Jul-24'!X59</f>
        <v>0</v>
      </c>
      <c r="EE12" s="174">
        <f>'Jul-24'!Y59</f>
        <v>0</v>
      </c>
      <c r="EF12" s="174">
        <f>'Jul-24'!Z59</f>
        <v>0</v>
      </c>
      <c r="EG12" s="174">
        <f>'Jul-24'!AA59</f>
        <v>0</v>
      </c>
      <c r="EH12" s="174">
        <f>'Jul-24'!AB59</f>
        <v>0</v>
      </c>
      <c r="EI12" s="174">
        <f>'Jul-24'!AC59</f>
        <v>0</v>
      </c>
      <c r="EJ12" s="174">
        <f>'Jul-24'!AD59</f>
        <v>0</v>
      </c>
      <c r="EK12" s="174">
        <f>'Jul-24'!AE59</f>
        <v>0</v>
      </c>
      <c r="EL12" s="174" t="e">
        <f>'Jul-24'!AF59</f>
        <v>#DIV/0!</v>
      </c>
      <c r="EM12" s="174" t="e">
        <f>'Jul-24'!AG59</f>
        <v>#DIV/0!</v>
      </c>
      <c r="EN12" s="174" t="e">
        <f>'Jul-24'!AH59</f>
        <v>#DIV/0!</v>
      </c>
      <c r="EO12" s="174">
        <f>'Jul-24'!AI59</f>
        <v>0</v>
      </c>
      <c r="EP12" s="174" t="e">
        <f>'Aug-24'!E59</f>
        <v>#DIV/0!</v>
      </c>
      <c r="EQ12" s="174" t="e">
        <f>'Aug-24'!F59</f>
        <v>#DIV/0!</v>
      </c>
      <c r="ER12" s="174">
        <f>'Aug-24'!G59</f>
        <v>0</v>
      </c>
      <c r="ES12" s="174">
        <f>'Aug-24'!H59</f>
        <v>0</v>
      </c>
      <c r="ET12" s="174">
        <f>'Aug-24'!I59</f>
        <v>0</v>
      </c>
      <c r="EU12" s="174">
        <f>'Aug-24'!J59</f>
        <v>0</v>
      </c>
      <c r="EV12" s="174">
        <f>'Aug-24'!K59</f>
        <v>0</v>
      </c>
      <c r="EW12" s="174">
        <f>'Aug-24'!L59</f>
        <v>0</v>
      </c>
      <c r="EX12" s="174">
        <f>'Aug-24'!M59</f>
        <v>0</v>
      </c>
      <c r="EY12" s="174">
        <f>'Aug-24'!N59</f>
        <v>0</v>
      </c>
      <c r="EZ12" s="174">
        <f>'Aug-24'!O59</f>
        <v>0.29487435835628562</v>
      </c>
      <c r="FA12" s="174">
        <f>'Aug-24'!P59</f>
        <v>0.38097164750957857</v>
      </c>
      <c r="FB12" s="174">
        <f>'Aug-24'!Q59</f>
        <v>0</v>
      </c>
      <c r="FC12" s="174">
        <f>'Aug-24'!R59</f>
        <v>0</v>
      </c>
      <c r="FD12" s="174">
        <f>'Aug-24'!S59</f>
        <v>0.63616166943347374</v>
      </c>
      <c r="FE12" s="174">
        <f>'Aug-24'!T59</f>
        <v>0.64099176482063558</v>
      </c>
      <c r="FF12" s="174" t="e">
        <f>'Aug-24'!U59</f>
        <v>#DIV/0!</v>
      </c>
      <c r="FG12" s="174" t="e">
        <f>'Aug-24'!V59</f>
        <v>#DIV/0!</v>
      </c>
      <c r="FH12" s="174" t="e">
        <f>'Aug-24'!W59</f>
        <v>#DIV/0!</v>
      </c>
      <c r="FI12" s="174" t="e">
        <f>'Aug-24'!X59</f>
        <v>#DIV/0!</v>
      </c>
      <c r="FJ12" s="174" t="e">
        <f>'Aug-24'!Y59</f>
        <v>#DIV/0!</v>
      </c>
      <c r="FK12" s="174" t="e">
        <f>'Aug-24'!Z59</f>
        <v>#DIV/0!</v>
      </c>
      <c r="FL12" s="174" t="e">
        <f>'Aug-24'!AA59</f>
        <v>#DIV/0!</v>
      </c>
      <c r="FM12" s="174" t="e">
        <f>'Aug-24'!AB59</f>
        <v>#DIV/0!</v>
      </c>
      <c r="FN12" s="174" t="e">
        <f>'Aug-24'!AC59</f>
        <v>#DIV/0!</v>
      </c>
      <c r="FO12" s="174" t="e">
        <f>'Aug-24'!AD59</f>
        <v>#DIV/0!</v>
      </c>
      <c r="FP12" s="174" t="e">
        <f>'Aug-24'!AE59</f>
        <v>#DIV/0!</v>
      </c>
      <c r="FQ12" s="174" t="e">
        <f>'Aug-24'!AF59</f>
        <v>#DIV/0!</v>
      </c>
      <c r="FR12" s="174" t="e">
        <f>'Aug-24'!AG59</f>
        <v>#DIV/0!</v>
      </c>
      <c r="FS12" s="174" t="e">
        <f>'Aug-24'!AH59</f>
        <v>#DIV/0!</v>
      </c>
      <c r="FT12" s="174" t="e">
        <f>'Aug-24'!AI59</f>
        <v>#DIV/0!</v>
      </c>
      <c r="FU12" s="174" t="e">
        <f>'Sep-24'!E59</f>
        <v>#DIV/0!</v>
      </c>
      <c r="FV12" s="174" t="e">
        <f>'Sep-24'!F59</f>
        <v>#DIV/0!</v>
      </c>
      <c r="FW12" s="174" t="e">
        <f>'Sep-24'!G59</f>
        <v>#DIV/0!</v>
      </c>
      <c r="FX12" s="174" t="e">
        <f>'Sep-24'!H59</f>
        <v>#DIV/0!</v>
      </c>
      <c r="FY12" s="174" t="e">
        <f>'Sep-24'!I59</f>
        <v>#DIV/0!</v>
      </c>
      <c r="FZ12" s="174" t="e">
        <f>'Sep-24'!J59</f>
        <v>#DIV/0!</v>
      </c>
      <c r="GA12" s="174" t="e">
        <f>'Sep-24'!K59</f>
        <v>#DIV/0!</v>
      </c>
      <c r="GB12" s="174" t="e">
        <f>'Sep-24'!L59</f>
        <v>#DIV/0!</v>
      </c>
      <c r="GC12" s="174" t="e">
        <f>'Sep-24'!M59</f>
        <v>#DIV/0!</v>
      </c>
      <c r="GD12" s="166">
        <v>0.31</v>
      </c>
      <c r="GE12" s="166">
        <v>0.31</v>
      </c>
      <c r="GF12" s="166">
        <v>0.31</v>
      </c>
      <c r="GG12" s="166">
        <v>0.2</v>
      </c>
      <c r="GH12" s="166">
        <v>0.15</v>
      </c>
      <c r="GI12" s="166">
        <v>0.15</v>
      </c>
      <c r="GJ12" s="166">
        <v>0.15</v>
      </c>
      <c r="GK12" s="166">
        <v>0.15</v>
      </c>
      <c r="GL12" s="166">
        <v>0.15</v>
      </c>
      <c r="GM12" s="166">
        <v>0.15</v>
      </c>
      <c r="GN12" s="166">
        <v>0.15</v>
      </c>
      <c r="GO12" s="166">
        <v>0.15</v>
      </c>
    </row>
    <row r="13" spans="1:197" x14ac:dyDescent="0.3">
      <c r="A13" s="352"/>
      <c r="B13" s="354"/>
      <c r="C13" s="157" t="s">
        <v>176</v>
      </c>
      <c r="D13" s="157" t="s">
        <v>171</v>
      </c>
      <c r="E13" s="171"/>
      <c r="F13" s="167" t="s">
        <v>160</v>
      </c>
      <c r="G13" s="227">
        <v>0.72456950589391056</v>
      </c>
      <c r="H13" s="236">
        <v>0.6</v>
      </c>
      <c r="I13" s="236">
        <v>0.6</v>
      </c>
      <c r="J13" s="236">
        <v>0.6</v>
      </c>
      <c r="K13" s="236">
        <v>0.25</v>
      </c>
      <c r="L13" s="236">
        <v>0.25</v>
      </c>
      <c r="M13" s="329">
        <v>0.25</v>
      </c>
      <c r="N13" s="245">
        <v>0.34106083128466069</v>
      </c>
      <c r="O13" s="160">
        <f>'Apr-24'!AI45</f>
        <v>0.41883197609136014</v>
      </c>
      <c r="P13" s="160">
        <f>'May-24'!AJ45</f>
        <v>9.1601973038660731E-2</v>
      </c>
      <c r="Q13" s="160">
        <f>'Jun-24'!AJ46</f>
        <v>0.42271834285926357</v>
      </c>
      <c r="R13" s="160">
        <f>'Jul-24'!AJ46</f>
        <v>0.39822409497330347</v>
      </c>
      <c r="S13" s="160">
        <f>'Aug-24'!AJ46</f>
        <v>0.41919525006053021</v>
      </c>
      <c r="T13" s="160">
        <f>'Sep-24'!AJ46</f>
        <v>0.45038312483893039</v>
      </c>
      <c r="U13" s="185">
        <f>'Aug-24'!AK46</f>
        <v>0.34436089744268578</v>
      </c>
      <c r="V13" s="356"/>
      <c r="W13" s="189"/>
      <c r="X13" s="174">
        <f>'Apr-24'!E45</f>
        <v>0.58603432984004411</v>
      </c>
      <c r="Y13" s="174">
        <f>'Apr-24'!F45</f>
        <v>0.3578599654395262</v>
      </c>
      <c r="Z13" s="174">
        <f>'Apr-24'!G45</f>
        <v>0.40150325291603273</v>
      </c>
      <c r="AA13" s="174">
        <f>'Apr-24'!H45</f>
        <v>0.46006028161556717</v>
      </c>
      <c r="AB13" s="174">
        <f>'Apr-24'!I45</f>
        <v>0.43270245829098042</v>
      </c>
      <c r="AC13" s="174">
        <f>'Apr-24'!J45</f>
        <v>0.41693219374971802</v>
      </c>
      <c r="AD13" s="174">
        <f>'Apr-24'!K45</f>
        <v>0.40168181984272544</v>
      </c>
      <c r="AE13" s="174">
        <f>'Apr-24'!L45</f>
        <v>0.39790786437752645</v>
      </c>
      <c r="AF13" s="174">
        <f>'Apr-24'!M45</f>
        <v>0.40936195836683642</v>
      </c>
      <c r="AG13" s="174">
        <f>'Apr-24'!N45</f>
        <v>0.3925435914181819</v>
      </c>
      <c r="AH13" s="174">
        <f>'Apr-24'!O45</f>
        <v>0.51465237672005171</v>
      </c>
      <c r="AI13" s="174">
        <f>'Apr-24'!P45</f>
        <v>0.49827088681756271</v>
      </c>
      <c r="AJ13" s="174">
        <f>'Apr-24'!Q45</f>
        <v>0.55412980817221824</v>
      </c>
      <c r="AK13" s="174">
        <f>'Apr-24'!R45</f>
        <v>0.49285681195654168</v>
      </c>
      <c r="AL13" s="174">
        <f>'Apr-24'!S45</f>
        <v>0.50931875445745778</v>
      </c>
      <c r="AM13" s="174">
        <f>'Apr-24'!T45</f>
        <v>0.40525299326606684</v>
      </c>
      <c r="AN13" s="174">
        <f>'Apr-24'!U45</f>
        <v>0.36900296498715096</v>
      </c>
      <c r="AO13" s="174">
        <f>'Apr-24'!V45</f>
        <v>0.38065375302494087</v>
      </c>
      <c r="AP13" s="174" t="e">
        <f>'Apr-24'!W45</f>
        <v>#DIV/0!</v>
      </c>
      <c r="AQ13" s="174">
        <f>'Apr-24'!X45</f>
        <v>0.41730737633004</v>
      </c>
      <c r="AR13" s="174">
        <f>'Apr-24'!Y45</f>
        <v>0.40221691835245876</v>
      </c>
      <c r="AS13" s="174">
        <f>'Apr-24'!Z45</f>
        <v>0.39679097784409462</v>
      </c>
      <c r="AT13" s="174">
        <f>'Apr-24'!AA45</f>
        <v>0.36971451265335403</v>
      </c>
      <c r="AU13" s="174">
        <f>'Apr-24'!AB45</f>
        <v>0.39789259514704023</v>
      </c>
      <c r="AV13" s="174">
        <f>'Apr-24'!AC45</f>
        <v>0.38545922981238073</v>
      </c>
      <c r="AW13" s="174">
        <f>'Apr-24'!AD45</f>
        <v>0.39691784912966704</v>
      </c>
      <c r="AX13" s="174">
        <f>'Apr-24'!AE45</f>
        <v>0.36327174135612017</v>
      </c>
      <c r="AY13" s="174">
        <f>'Apr-24'!AF45</f>
        <v>0.34761634710776684</v>
      </c>
      <c r="AZ13" s="174">
        <f>'Apr-24'!AG45</f>
        <v>0.34106957493129769</v>
      </c>
      <c r="BA13" s="174">
        <f>'Apr-24'!AH45</f>
        <v>0.39681200846590597</v>
      </c>
      <c r="BB13" s="174">
        <f>'May-24'!E45</f>
        <v>0.37213658536585364</v>
      </c>
      <c r="BC13" s="174">
        <f>'May-24'!F45</f>
        <v>0.36954975500015408</v>
      </c>
      <c r="BD13" s="174">
        <f>'May-24'!G45</f>
        <v>0.37688155696237652</v>
      </c>
      <c r="BE13" s="174">
        <f>'May-24'!H45</f>
        <v>0.36609935794468135</v>
      </c>
      <c r="BF13" s="174">
        <f>'May-24'!I45</f>
        <v>0.37247450891959261</v>
      </c>
      <c r="BG13" s="174">
        <f>'May-24'!J45</f>
        <v>0.38305958332039619</v>
      </c>
      <c r="BH13" s="174">
        <f>'May-24'!K45</f>
        <v>0.2216069477580325</v>
      </c>
      <c r="BI13" s="174">
        <f>'May-24'!L45</f>
        <v>0</v>
      </c>
      <c r="BJ13" s="174">
        <f>'May-24'!M45</f>
        <v>0</v>
      </c>
      <c r="BK13" s="174">
        <f>'May-24'!N45</f>
        <v>0</v>
      </c>
      <c r="BL13" s="174">
        <f>'May-24'!O45</f>
        <v>0</v>
      </c>
      <c r="BM13" s="174">
        <f>'May-24'!P45</f>
        <v>0</v>
      </c>
      <c r="BN13" s="174">
        <f>'May-24'!Q45</f>
        <v>0</v>
      </c>
      <c r="BO13" s="174" t="e">
        <f>'May-24'!R45</f>
        <v>#DIV/0!</v>
      </c>
      <c r="BP13" s="174">
        <f>'May-24'!S45</f>
        <v>0</v>
      </c>
      <c r="BQ13" s="174">
        <f>'May-24'!T45</f>
        <v>0</v>
      </c>
      <c r="BR13" s="174">
        <f>'May-24'!U45</f>
        <v>0</v>
      </c>
      <c r="BS13" s="174">
        <f>'May-24'!V45</f>
        <v>0</v>
      </c>
      <c r="BT13" s="174">
        <f>'May-24'!W45</f>
        <v>0</v>
      </c>
      <c r="BU13" s="174">
        <f>'May-24'!X45</f>
        <v>0</v>
      </c>
      <c r="BV13" s="174">
        <f>'May-24'!Y45</f>
        <v>0</v>
      </c>
      <c r="BW13" s="174">
        <f>'May-24'!Z45</f>
        <v>0</v>
      </c>
      <c r="BX13" s="174">
        <f>'May-24'!AA45</f>
        <v>0</v>
      </c>
      <c r="BY13" s="174">
        <f>'May-24'!AB45</f>
        <v>0</v>
      </c>
      <c r="BZ13" s="174">
        <f>'May-24'!AC45</f>
        <v>0</v>
      </c>
      <c r="CA13" s="174">
        <f>'May-24'!AD45</f>
        <v>0</v>
      </c>
      <c r="CB13" s="174">
        <f>'May-24'!AE45</f>
        <v>0</v>
      </c>
      <c r="CC13" s="174">
        <f>'May-24'!AF45</f>
        <v>0</v>
      </c>
      <c r="CD13" s="174">
        <f>'May-24'!AG45</f>
        <v>0</v>
      </c>
      <c r="CE13" s="174">
        <f>'May-24'!AH45</f>
        <v>0</v>
      </c>
      <c r="CF13" s="174">
        <f>'May-24'!AI45</f>
        <v>0.44789319163661939</v>
      </c>
      <c r="CG13" s="174">
        <f>'Jun-24'!E46</f>
        <v>0.45121559193742389</v>
      </c>
      <c r="CH13" s="174">
        <f>'Jun-24'!F46</f>
        <v>0.4484645224395431</v>
      </c>
      <c r="CI13" s="174">
        <f>'Jun-24'!G46</f>
        <v>0.4505155470713969</v>
      </c>
      <c r="CJ13" s="174">
        <f>'Jun-24'!H46</f>
        <v>0.43765371733562586</v>
      </c>
      <c r="CK13" s="174" t="e">
        <f>'Jun-24'!I46</f>
        <v>#DIV/0!</v>
      </c>
      <c r="CL13" s="174" t="e">
        <f>'Jun-24'!J46</f>
        <v>#DIV/0!</v>
      </c>
      <c r="CM13" s="174">
        <f>'Jun-24'!K46</f>
        <v>0.47738021067967679</v>
      </c>
      <c r="CN13" s="174">
        <f>'Jun-24'!L46</f>
        <v>0</v>
      </c>
      <c r="CO13" s="174">
        <f>'Jun-24'!M46</f>
        <v>0</v>
      </c>
      <c r="CP13" s="174">
        <f>'Jun-24'!N46</f>
        <v>0</v>
      </c>
      <c r="CQ13" s="174">
        <f>'Jun-24'!O46</f>
        <v>0</v>
      </c>
      <c r="CR13" s="174">
        <f>'Jun-24'!P46</f>
        <v>0</v>
      </c>
      <c r="CS13" s="174">
        <f>'Jun-24'!Q46</f>
        <v>0</v>
      </c>
      <c r="CT13" s="174">
        <f>'Jun-24'!R46</f>
        <v>0.78883613060726276</v>
      </c>
      <c r="CU13" s="174">
        <f>'Jun-24'!S46</f>
        <v>0.66668117956863648</v>
      </c>
      <c r="CV13" s="174">
        <f>'Jun-24'!T46</f>
        <v>0.69808485337386406</v>
      </c>
      <c r="CW13" s="174">
        <f>'Jun-24'!U46</f>
        <v>0.71195472233518342</v>
      </c>
      <c r="CX13" s="174">
        <f>'Jun-24'!V46</f>
        <v>0.72660672798824144</v>
      </c>
      <c r="CY13" s="174">
        <f>'Jun-24'!W46</f>
        <v>0.61282193653098704</v>
      </c>
      <c r="CZ13" s="174">
        <f>'Jun-24'!X46</f>
        <v>0.56247581384746692</v>
      </c>
      <c r="DA13" s="174">
        <f>'Jun-24'!Y46</f>
        <v>0.55321557846253866</v>
      </c>
      <c r="DB13" s="174">
        <f>'Jun-24'!Z46</f>
        <v>0.56758983987899647</v>
      </c>
      <c r="DC13" s="174">
        <f>'Jun-24'!AA46</f>
        <v>0.58210312232881156</v>
      </c>
      <c r="DD13" s="174">
        <f>'Jun-24'!AB46</f>
        <v>0.62880442120969515</v>
      </c>
      <c r="DE13" s="174">
        <f>'Jun-24'!AC46</f>
        <v>0.52952238093527215</v>
      </c>
      <c r="DF13" s="174">
        <f>'Jun-24'!AD46</f>
        <v>0.43009289201272954</v>
      </c>
      <c r="DG13" s="174">
        <f>'Jun-24'!AE46</f>
        <v>0.43441013481719043</v>
      </c>
      <c r="DH13" s="174">
        <f>'Jun-24'!AF46</f>
        <v>0.38893150684931505</v>
      </c>
      <c r="DI13" s="174">
        <f>'Jun-24'!AG46</f>
        <v>0.37397077848535198</v>
      </c>
      <c r="DJ13" s="174">
        <f>'Jun-24'!AH46</f>
        <v>0.36279586286418386</v>
      </c>
      <c r="DK13" s="174">
        <f>'Jul-24'!E46</f>
        <v>0.36097910676273259</v>
      </c>
      <c r="DL13" s="174">
        <f>'Jul-24'!F46</f>
        <v>0.37561507304419062</v>
      </c>
      <c r="DM13" s="174">
        <f>'Jul-24'!G46</f>
        <v>0.34510508780520588</v>
      </c>
      <c r="DN13" s="174">
        <f>'Jul-24'!H46</f>
        <v>0.34421108249124893</v>
      </c>
      <c r="DO13" s="174">
        <f>'Jul-24'!I46</f>
        <v>0.34761891938366812</v>
      </c>
      <c r="DP13" s="174">
        <f>'Jul-24'!J46</f>
        <v>0.34758671514731143</v>
      </c>
      <c r="DQ13" s="174">
        <f>'Jul-24'!K46</f>
        <v>0.36034195085955406</v>
      </c>
      <c r="DR13" s="174">
        <f>'Jul-24'!L46</f>
        <v>0.37603656601582897</v>
      </c>
      <c r="DS13" s="174">
        <f>'Jul-24'!M46</f>
        <v>0.37340483414332748</v>
      </c>
      <c r="DT13" s="174">
        <f>'Jul-24'!N46</f>
        <v>0.36121824575240724</v>
      </c>
      <c r="DU13" s="174">
        <f>'Jul-24'!O46</f>
        <v>0.4084890254408502</v>
      </c>
      <c r="DV13" s="174">
        <f>'Jul-24'!P46</f>
        <v>0.56501061323335255</v>
      </c>
      <c r="DW13" s="174">
        <f>'Jul-24'!Q46</f>
        <v>0.55296551724137932</v>
      </c>
      <c r="DX13" s="174">
        <f>'Jul-24'!R46</f>
        <v>0.54629267870581355</v>
      </c>
      <c r="DY13" s="174">
        <f>'Jul-24'!S46</f>
        <v>0.40231869387863489</v>
      </c>
      <c r="DZ13" s="174">
        <f>'Jul-24'!T46</f>
        <v>0.3842728579882132</v>
      </c>
      <c r="EA13" s="174">
        <f>'Jul-24'!U46</f>
        <v>0.38464340351132803</v>
      </c>
      <c r="EB13" s="174">
        <f>'Jul-24'!V46</f>
        <v>0.43694195621461029</v>
      </c>
      <c r="EC13" s="174" t="e">
        <f>'Jul-24'!W46</f>
        <v>#DIV/0!</v>
      </c>
      <c r="ED13" s="174" t="e">
        <f>'Jul-24'!X46</f>
        <v>#DIV/0!</v>
      </c>
      <c r="EE13" s="174" t="e">
        <f>'Jul-24'!Y46</f>
        <v>#DIV/0!</v>
      </c>
      <c r="EF13" s="174" t="e">
        <f>'Jul-24'!Z46</f>
        <v>#DIV/0!</v>
      </c>
      <c r="EG13" s="174" t="e">
        <f>'Jul-24'!AA46</f>
        <v>#DIV/0!</v>
      </c>
      <c r="EH13" s="174" t="e">
        <f>'Jul-24'!AB46</f>
        <v>#DIV/0!</v>
      </c>
      <c r="EI13" s="174" t="e">
        <f>'Jul-24'!AC46</f>
        <v>#DIV/0!</v>
      </c>
      <c r="EJ13" s="174" t="e">
        <f>'Jul-24'!AD46</f>
        <v>#DIV/0!</v>
      </c>
      <c r="EK13" s="174" t="e">
        <f>'Jul-24'!AE46</f>
        <v>#DIV/0!</v>
      </c>
      <c r="EL13" s="174" t="e">
        <f>'Jul-24'!AF46</f>
        <v>#DIV/0!</v>
      </c>
      <c r="EM13" s="174" t="e">
        <f>'Jul-24'!AG46</f>
        <v>#DIV/0!</v>
      </c>
      <c r="EN13" s="174" t="e">
        <f>'Jul-24'!AH46</f>
        <v>#DIV/0!</v>
      </c>
      <c r="EO13" s="174">
        <f>'Jul-24'!AI46</f>
        <v>0</v>
      </c>
      <c r="EP13" s="174">
        <f>'Aug-24'!E46</f>
        <v>0.4401288989236522</v>
      </c>
      <c r="EQ13" s="174">
        <f>'Aug-24'!F46</f>
        <v>0.51252632230893103</v>
      </c>
      <c r="ER13" s="174">
        <f>'Aug-24'!G46</f>
        <v>0.44245753354650563</v>
      </c>
      <c r="ES13" s="174">
        <f>'Aug-24'!H46</f>
        <v>0.44341121559664604</v>
      </c>
      <c r="ET13" s="174">
        <f>'Aug-24'!I46</f>
        <v>0.41945623133741944</v>
      </c>
      <c r="EU13" s="174">
        <f>'Aug-24'!J46</f>
        <v>0.40080613157536232</v>
      </c>
      <c r="EV13" s="174">
        <f>'Aug-24'!K46</f>
        <v>0.38222780051465755</v>
      </c>
      <c r="EW13" s="174">
        <f>'Aug-24'!L46</f>
        <v>0.43000927197123839</v>
      </c>
      <c r="EX13" s="174">
        <f>'Aug-24'!M46</f>
        <v>0.41689373297002724</v>
      </c>
      <c r="EY13" s="174">
        <f>'Aug-24'!N46</f>
        <v>0.43579646285246465</v>
      </c>
      <c r="EZ13" s="174">
        <f>'Aug-24'!O46</f>
        <v>0.22618767932658182</v>
      </c>
      <c r="FA13" s="174">
        <f>'Aug-24'!P46</f>
        <v>0.13849675886180682</v>
      </c>
      <c r="FB13" s="174">
        <f>'Aug-24'!Q46</f>
        <v>0.40414403801767623</v>
      </c>
      <c r="FC13" s="174">
        <f>'Aug-24'!R46</f>
        <v>0.40870429342619446</v>
      </c>
      <c r="FD13" s="174">
        <f>'Aug-24'!S46</f>
        <v>0.20622459539947163</v>
      </c>
      <c r="FE13" s="174">
        <f>'Aug-24'!T46</f>
        <v>0.26005879084510297</v>
      </c>
      <c r="FF13" s="174">
        <f>'Aug-24'!U46</f>
        <v>0.43325926900643608</v>
      </c>
      <c r="FG13" s="174">
        <f>'Aug-24'!V46</f>
        <v>0.55680386382678571</v>
      </c>
      <c r="FH13" s="174">
        <f>'Aug-24'!W46</f>
        <v>0.55110895874301702</v>
      </c>
      <c r="FI13" s="174">
        <f>'Aug-24'!X46</f>
        <v>0.54340947199692713</v>
      </c>
      <c r="FJ13" s="174">
        <f>'Aug-24'!Y46</f>
        <v>0.41238999137187232</v>
      </c>
      <c r="FK13" s="174">
        <f>'Aug-24'!Z46</f>
        <v>0.39718692354990776</v>
      </c>
      <c r="FL13" s="174">
        <f>'Aug-24'!AA46</f>
        <v>0.43668236580613429</v>
      </c>
      <c r="FM13" s="174">
        <f>'Aug-24'!AB46</f>
        <v>0.41853899190223381</v>
      </c>
      <c r="FN13" s="174">
        <f>'Aug-24'!AC46</f>
        <v>0.3916235373537354</v>
      </c>
      <c r="FO13" s="174">
        <f>'Aug-24'!AD46</f>
        <v>0.47882799179454388</v>
      </c>
      <c r="FP13" s="174">
        <f>'Aug-24'!AE46</f>
        <v>0.4850643056932446</v>
      </c>
      <c r="FQ13" s="174">
        <f>'Aug-24'!AF46</f>
        <v>0.47389051187206555</v>
      </c>
      <c r="FR13" s="174">
        <f>'Aug-24'!AG46</f>
        <v>0.49154617957293545</v>
      </c>
      <c r="FS13" s="174">
        <f>'Aug-24'!AH46</f>
        <v>0.49589331756962601</v>
      </c>
      <c r="FT13" s="174">
        <f>'Aug-24'!AI46</f>
        <v>0.49346193229627355</v>
      </c>
      <c r="FU13" s="174">
        <f>'Sep-24'!E46</f>
        <v>0.47101457564459714</v>
      </c>
      <c r="FV13" s="174">
        <f>'Sep-24'!F46</f>
        <v>0.43085533827969125</v>
      </c>
      <c r="FW13" s="174">
        <f>'Sep-24'!G46</f>
        <v>0.4477893976996134</v>
      </c>
      <c r="FX13" s="174">
        <f>'Sep-24'!H46</f>
        <v>0.45181408679218804</v>
      </c>
      <c r="FY13" s="174" t="e">
        <f>'Sep-24'!I46</f>
        <v>#DIV/0!</v>
      </c>
      <c r="FZ13" s="174" t="e">
        <f>'Sep-24'!J46</f>
        <v>#DIV/0!</v>
      </c>
      <c r="GA13" s="174" t="e">
        <f>'Sep-24'!K46</f>
        <v>#DIV/0!</v>
      </c>
      <c r="GB13" s="174" t="e">
        <f>'Sep-24'!L46</f>
        <v>#DIV/0!</v>
      </c>
      <c r="GC13" s="174" t="e">
        <f>'Sep-24'!M46</f>
        <v>#DIV/0!</v>
      </c>
      <c r="GD13" s="166">
        <v>0.6</v>
      </c>
      <c r="GE13" s="166">
        <v>0.6</v>
      </c>
      <c r="GF13" s="166">
        <v>0.6</v>
      </c>
      <c r="GG13" s="166">
        <v>0.25</v>
      </c>
      <c r="GH13" s="166">
        <v>0.25</v>
      </c>
      <c r="GI13" s="166">
        <v>0.25</v>
      </c>
      <c r="GJ13" s="166">
        <v>0.25</v>
      </c>
      <c r="GK13" s="166">
        <v>0.25</v>
      </c>
      <c r="GL13" s="166">
        <v>0.25</v>
      </c>
      <c r="GM13" s="166">
        <v>0.25</v>
      </c>
      <c r="GN13" s="166">
        <v>0.25</v>
      </c>
      <c r="GO13" s="166">
        <v>0.25</v>
      </c>
    </row>
    <row r="14" spans="1:197" ht="19.2" customHeight="1" x14ac:dyDescent="0.3">
      <c r="A14" s="351">
        <v>9</v>
      </c>
      <c r="B14" s="358" t="s">
        <v>210</v>
      </c>
      <c r="C14" s="157" t="s">
        <v>176</v>
      </c>
      <c r="D14" s="157" t="s">
        <v>169</v>
      </c>
      <c r="E14" s="171"/>
      <c r="F14" s="167"/>
      <c r="G14" s="227">
        <v>0.19216584044834956</v>
      </c>
      <c r="H14" s="236">
        <v>0.58200000000000007</v>
      </c>
      <c r="I14" s="236">
        <v>0.58200000000000007</v>
      </c>
      <c r="J14" s="236">
        <v>0.58200000000000007</v>
      </c>
      <c r="K14" s="236">
        <v>0.55617671464859553</v>
      </c>
      <c r="L14" s="236">
        <v>0.60908121409936011</v>
      </c>
      <c r="M14" s="329">
        <v>0.60604467054274236</v>
      </c>
      <c r="N14" s="245">
        <v>0.59907494010749718</v>
      </c>
      <c r="O14" s="160">
        <f>'Apr-24'!AI66</f>
        <v>0.46255901807200667</v>
      </c>
      <c r="P14" s="160">
        <f>'May-24'!AJ66</f>
        <v>0.69621610742574969</v>
      </c>
      <c r="Q14" s="160">
        <f>'Jun-24'!AJ67</f>
        <v>0.73006593054558444</v>
      </c>
      <c r="R14" s="160">
        <f>'Jul-24'!AJ67</f>
        <v>0.99453201071738473</v>
      </c>
      <c r="S14" s="160">
        <f>'Aug-24'!AJ67</f>
        <v>0.65688134512287599</v>
      </c>
      <c r="T14" s="160" t="e">
        <f>'Sep-24'!AJ67</f>
        <v>#DIV/0!</v>
      </c>
      <c r="U14" s="185">
        <f>'Aug-24'!AK67</f>
        <v>0.69777245381704189</v>
      </c>
      <c r="V14" s="356"/>
      <c r="W14" s="189"/>
      <c r="X14" s="174">
        <f>'Apr-24'!E66</f>
        <v>0.38338646900153517</v>
      </c>
      <c r="Y14" s="174">
        <f>'Apr-24'!F66</f>
        <v>0.45947025404618685</v>
      </c>
      <c r="Z14" s="174">
        <f>'Apr-24'!G66</f>
        <v>0.37214040018097277</v>
      </c>
      <c r="AA14" s="174">
        <f>'Apr-24'!H66</f>
        <v>0.38367671745505699</v>
      </c>
      <c r="AB14" s="174">
        <f>'Apr-24'!I66</f>
        <v>0.48250549085062122</v>
      </c>
      <c r="AC14" s="174">
        <f>'Apr-24'!J66</f>
        <v>0.46235121493133002</v>
      </c>
      <c r="AD14" s="174">
        <f>'Apr-24'!K66</f>
        <v>0.4645585341560588</v>
      </c>
      <c r="AE14" s="174">
        <f>'Apr-24'!L66</f>
        <v>0.45654667863724158</v>
      </c>
      <c r="AF14" s="174">
        <f>'Apr-24'!M66</f>
        <v>0.45756907342273195</v>
      </c>
      <c r="AG14" s="174">
        <f>'Apr-24'!N66</f>
        <v>0.48595068757925564</v>
      </c>
      <c r="AH14" s="174">
        <f>'Apr-24'!O66</f>
        <v>0.47159348926046951</v>
      </c>
      <c r="AI14" s="174">
        <f>'Apr-24'!P66</f>
        <v>0.46184299029790116</v>
      </c>
      <c r="AJ14" s="174">
        <f>'Apr-24'!Q66</f>
        <v>0.4558405864176901</v>
      </c>
      <c r="AK14" s="174">
        <f>'Apr-24'!R66</f>
        <v>0.46484266141215946</v>
      </c>
      <c r="AL14" s="174">
        <f>'Apr-24'!S66</f>
        <v>0.51785768200798843</v>
      </c>
      <c r="AM14" s="174">
        <f>'Apr-24'!T66</f>
        <v>0.46639193542902224</v>
      </c>
      <c r="AN14" s="174">
        <f>'Apr-24'!U66</f>
        <v>0.46586929143603467</v>
      </c>
      <c r="AO14" s="174">
        <f>'Apr-24'!V66</f>
        <v>0.4645642968994676</v>
      </c>
      <c r="AP14" s="174">
        <f>'Apr-24'!W66</f>
        <v>0.48047618726265717</v>
      </c>
      <c r="AQ14" s="174">
        <f>'Apr-24'!X66</f>
        <v>0.47520984678148398</v>
      </c>
      <c r="AR14" s="174">
        <f>'Apr-24'!Y66</f>
        <v>0.51651164952360429</v>
      </c>
      <c r="AS14" s="174">
        <f>'Apr-24'!Z66</f>
        <v>0.46528919819632009</v>
      </c>
      <c r="AT14" s="174">
        <f>'Apr-24'!AA66</f>
        <v>0.46601610216546374</v>
      </c>
      <c r="AU14" s="174">
        <f>'Apr-24'!AB66</f>
        <v>0.4678803837888556</v>
      </c>
      <c r="AV14" s="174">
        <f>'Apr-24'!AC66</f>
        <v>0.45142534864643152</v>
      </c>
      <c r="AW14" s="174">
        <f>'Apr-24'!AD66</f>
        <v>0.47745535370344688</v>
      </c>
      <c r="AX14" s="174">
        <f>'Apr-24'!AE66</f>
        <v>0.46760968585121238</v>
      </c>
      <c r="AY14" s="174">
        <f>'Apr-24'!AF66</f>
        <v>0.46197729812386051</v>
      </c>
      <c r="AZ14" s="174">
        <f>'Apr-24'!AG66</f>
        <v>0.46267593974740862</v>
      </c>
      <c r="BA14" s="174">
        <f>'Apr-24'!AH66</f>
        <v>0.50010262877075684</v>
      </c>
      <c r="BB14" s="174">
        <f>'May-24'!E66</f>
        <v>0.59297962549281169</v>
      </c>
      <c r="BC14" s="174">
        <f>'May-24'!F66</f>
        <v>0.58506331595666927</v>
      </c>
      <c r="BD14" s="174">
        <f>'May-24'!G66</f>
        <v>0.51792875505310565</v>
      </c>
      <c r="BE14" s="174">
        <f>'May-24'!H66</f>
        <v>0.71876632486626446</v>
      </c>
      <c r="BF14" s="174">
        <f>'May-24'!I66</f>
        <v>0.71962193583273248</v>
      </c>
      <c r="BG14" s="174">
        <f>'May-24'!J66</f>
        <v>0.68104484656348518</v>
      </c>
      <c r="BH14" s="174">
        <f>'May-24'!K66</f>
        <v>0.71351262676277527</v>
      </c>
      <c r="BI14" s="174">
        <f>'May-24'!L66</f>
        <v>0.71449984613097406</v>
      </c>
      <c r="BJ14" s="174">
        <f>'May-24'!M66</f>
        <v>0.70655135834309357</v>
      </c>
      <c r="BK14" s="174">
        <f>'May-24'!N66</f>
        <v>0.71438606350098344</v>
      </c>
      <c r="BL14" s="174">
        <f>'May-24'!O66</f>
        <v>0.71552251997812155</v>
      </c>
      <c r="BM14" s="174">
        <f>'May-24'!P66</f>
        <v>0.70909256863750492</v>
      </c>
      <c r="BN14" s="174">
        <f>'May-24'!Q66</f>
        <v>0.70431920457970221</v>
      </c>
      <c r="BO14" s="174">
        <f>'May-24'!R66</f>
        <v>0.71539354462130589</v>
      </c>
      <c r="BP14" s="174">
        <f>'May-24'!S66</f>
        <v>0.72012047201011031</v>
      </c>
      <c r="BQ14" s="174">
        <f>'May-24'!T66</f>
        <v>0.71507741242728728</v>
      </c>
      <c r="BR14" s="174">
        <f>'May-24'!U66</f>
        <v>0.70722589318062434</v>
      </c>
      <c r="BS14" s="174">
        <f>'May-24'!V66</f>
        <v>0.72337014976419056</v>
      </c>
      <c r="BT14" s="174">
        <f>'May-24'!W66</f>
        <v>0.72263393766712725</v>
      </c>
      <c r="BU14" s="174">
        <f>'May-24'!X66</f>
        <v>0.72274342320599727</v>
      </c>
      <c r="BV14" s="174">
        <f>'May-24'!Y66</f>
        <v>0.68581250716910269</v>
      </c>
      <c r="BW14" s="174">
        <f>'May-24'!Z66</f>
        <v>0.70308539132532821</v>
      </c>
      <c r="BX14" s="174">
        <f>'May-24'!AA66</f>
        <v>0.67565200992819019</v>
      </c>
      <c r="BY14" s="174">
        <f>'May-24'!AB66</f>
        <v>0.72143272866488062</v>
      </c>
      <c r="BZ14" s="174">
        <f>'May-24'!AC66</f>
        <v>0.72142860977968815</v>
      </c>
      <c r="CA14" s="174">
        <f>'May-24'!AD66</f>
        <v>0.72328566341062495</v>
      </c>
      <c r="CB14" s="174">
        <f>'May-24'!AE66</f>
        <v>0.69856068711686836</v>
      </c>
      <c r="CC14" s="174">
        <f>'May-24'!AF66</f>
        <v>0.69107651695511119</v>
      </c>
      <c r="CD14" s="174">
        <f>'May-24'!AG66</f>
        <v>0.70910688881837214</v>
      </c>
      <c r="CE14" s="174">
        <f>'May-24'!AH66</f>
        <v>0.71193558865840645</v>
      </c>
      <c r="CF14" s="174">
        <f>'May-24'!AI66</f>
        <v>0.71002513857764449</v>
      </c>
      <c r="CG14" s="174">
        <f>'Jun-24'!E67</f>
        <v>0.7106117746051116</v>
      </c>
      <c r="CH14" s="174">
        <f>'Jun-24'!F67</f>
        <v>0.7033583036781641</v>
      </c>
      <c r="CI14" s="174">
        <f>'Jun-24'!G67</f>
        <v>0.71147282263929079</v>
      </c>
      <c r="CJ14" s="174">
        <f>'Jun-24'!H67</f>
        <v>0.71039608451496428</v>
      </c>
      <c r="CK14" s="174">
        <f>'Jun-24'!I67</f>
        <v>0.7066552851058463</v>
      </c>
      <c r="CL14" s="174">
        <f>'Jun-24'!J67</f>
        <v>0.57202413595662294</v>
      </c>
      <c r="CM14" s="174">
        <f>'Jun-24'!K67</f>
        <v>0.57313983109167665</v>
      </c>
      <c r="CN14" s="174">
        <f>'Jun-24'!L67</f>
        <v>1.0002248313954105</v>
      </c>
      <c r="CO14" s="174">
        <f>'Jun-24'!M67</f>
        <v>0.99972069604077074</v>
      </c>
      <c r="CP14" s="174">
        <f>'Jun-24'!N67</f>
        <v>1.000494009959922</v>
      </c>
      <c r="CQ14" s="174">
        <f>'Jun-24'!O67</f>
        <v>0.9953076591050789</v>
      </c>
      <c r="CR14" s="174">
        <f>'Jun-24'!P67</f>
        <v>1.0007155704256676</v>
      </c>
      <c r="CS14" s="174">
        <f>'Jun-24'!Q67</f>
        <v>0.99674042614801761</v>
      </c>
      <c r="CT14" s="174">
        <f>'Jun-24'!R67</f>
        <v>0.59287502343379539</v>
      </c>
      <c r="CU14" s="174">
        <f>'Jun-24'!S67</f>
        <v>0.59266022515734418</v>
      </c>
      <c r="CV14" s="174">
        <f>'Jun-24'!T67</f>
        <v>0.57502424504741378</v>
      </c>
      <c r="CW14" s="174">
        <f>'Jun-24'!U67</f>
        <v>0.57856266838727477</v>
      </c>
      <c r="CX14" s="174">
        <f>'Jun-24'!V67</f>
        <v>0.28922536655150993</v>
      </c>
      <c r="CY14" s="174">
        <f>'Jun-24'!W67</f>
        <v>0.28829528897523071</v>
      </c>
      <c r="CZ14" s="174">
        <f>'Jun-24'!X67</f>
        <v>0.339376897330116</v>
      </c>
      <c r="DA14" s="174">
        <f>'Jun-24'!Y67</f>
        <v>0.5113946192469212</v>
      </c>
      <c r="DB14" s="174">
        <f>'Jun-24'!Z67</f>
        <v>0.70126651717401134</v>
      </c>
      <c r="DC14" s="174">
        <f>'Jun-24'!AA67</f>
        <v>0.69932885265763856</v>
      </c>
      <c r="DD14" s="174">
        <f>'Jun-24'!AB67</f>
        <v>0.70203084141841199</v>
      </c>
      <c r="DE14" s="174">
        <f>'Jun-24'!AC67</f>
        <v>0.70125774467293744</v>
      </c>
      <c r="DF14" s="174">
        <f>'Jun-24'!AD67</f>
        <v>0.80629788940501368</v>
      </c>
      <c r="DG14" s="174">
        <f>'Jun-24'!AE67</f>
        <v>0.8295445477151745</v>
      </c>
      <c r="DH14" s="174">
        <f>'Jun-24'!AF67</f>
        <v>0.99943226377602323</v>
      </c>
      <c r="DI14" s="174">
        <f>'Jun-24'!AG67</f>
        <v>0.99974591150678283</v>
      </c>
      <c r="DJ14" s="174">
        <f>'Jun-24'!AH67</f>
        <v>0.99024474336178581</v>
      </c>
      <c r="DK14" s="174">
        <f>'Jul-24'!E67</f>
        <v>0.99653107577947553</v>
      </c>
      <c r="DL14" s="174">
        <f>'Jul-24'!F67</f>
        <v>1.0004553833836585</v>
      </c>
      <c r="DM14" s="174">
        <f>'Jul-24'!G67</f>
        <v>0.99632492733253286</v>
      </c>
      <c r="DN14" s="174">
        <f>'Jul-24'!H67</f>
        <v>0.98498413612708169</v>
      </c>
      <c r="DO14" s="174">
        <f>'Jul-24'!I67</f>
        <v>0.99982127435189772</v>
      </c>
      <c r="DP14" s="174">
        <f>'Jul-24'!J67</f>
        <v>1.0001251052805264</v>
      </c>
      <c r="DQ14" s="174">
        <f>'Jul-24'!K67</f>
        <v>0.9916005860576439</v>
      </c>
      <c r="DR14" s="174">
        <f>'Jul-24'!L67</f>
        <v>0.9956440444889022</v>
      </c>
      <c r="DS14" s="174">
        <f>'Jul-24'!M67</f>
        <v>1.000316757027361</v>
      </c>
      <c r="DT14" s="174" t="e">
        <f>'Jul-24'!N67</f>
        <v>#DIV/0!</v>
      </c>
      <c r="DU14" s="174" t="e">
        <f>'Jul-24'!O67</f>
        <v>#DIV/0!</v>
      </c>
      <c r="DV14" s="174" t="e">
        <f>'Jul-24'!P67</f>
        <v>#DIV/0!</v>
      </c>
      <c r="DW14" s="174">
        <f>'Jul-24'!Q67</f>
        <v>1.0004563084645219</v>
      </c>
      <c r="DX14" s="174">
        <f>'Jul-24'!R67</f>
        <v>0.97190412127575798</v>
      </c>
      <c r="DY14" s="174">
        <f>'Jul-24'!S67</f>
        <v>1.0010676220331394</v>
      </c>
      <c r="DZ14" s="174">
        <f>'Jul-24'!T67</f>
        <v>1.0004841729497977</v>
      </c>
      <c r="EA14" s="174">
        <f>'Jul-24'!U67</f>
        <v>0.98683601070340576</v>
      </c>
      <c r="EB14" s="174">
        <f>'Jul-24'!V67</f>
        <v>1.0004408943161121</v>
      </c>
      <c r="EC14" s="174">
        <f>'Jul-24'!W67</f>
        <v>1.0003449734164174</v>
      </c>
      <c r="ED14" s="174">
        <f>'Jul-24'!X67</f>
        <v>0.99977921723436314</v>
      </c>
      <c r="EE14" s="174">
        <f>'Jul-24'!Y67</f>
        <v>0.98994002278826554</v>
      </c>
      <c r="EF14" s="174">
        <f>'Jul-24'!Z67</f>
        <v>0.9997676064708293</v>
      </c>
      <c r="EG14" s="174">
        <f>'Jul-24'!AA67</f>
        <v>0.978188869189351</v>
      </c>
      <c r="EH14" s="174">
        <f>'Jul-24'!AB67</f>
        <v>1.0001322739911951</v>
      </c>
      <c r="EI14" s="174">
        <f>'Jul-24'!AC67</f>
        <v>0.99973009808573665</v>
      </c>
      <c r="EJ14" s="174">
        <f>'Jul-24'!AD67</f>
        <v>0.98104674764324284</v>
      </c>
      <c r="EK14" s="174">
        <f>'Jul-24'!AE67</f>
        <v>0.99996635012305679</v>
      </c>
      <c r="EL14" s="174" t="e">
        <f>'Jul-24'!AF67</f>
        <v>#DIV/0!</v>
      </c>
      <c r="EM14" s="174" t="e">
        <f>'Jul-24'!AG67</f>
        <v>#DIV/0!</v>
      </c>
      <c r="EN14" s="174" t="e">
        <f>'Jul-24'!AH67</f>
        <v>#DIV/0!</v>
      </c>
      <c r="EO14" s="174">
        <f>'Jul-24'!AI67</f>
        <v>0.99921688233051509</v>
      </c>
      <c r="EP14" s="174" t="e">
        <f>'Aug-24'!E67</f>
        <v>#DIV/0!</v>
      </c>
      <c r="EQ14" s="174" t="e">
        <f>'Aug-24'!F67</f>
        <v>#DIV/0!</v>
      </c>
      <c r="ER14" s="174">
        <f>'Aug-24'!G67</f>
        <v>0.99960596185960982</v>
      </c>
      <c r="ES14" s="174">
        <f>'Aug-24'!H67</f>
        <v>1.0003332769591151</v>
      </c>
      <c r="ET14" s="174">
        <f>'Aug-24'!I67</f>
        <v>0.99996976132380277</v>
      </c>
      <c r="EU14" s="174">
        <f>'Aug-24'!J67</f>
        <v>0.9992659787835585</v>
      </c>
      <c r="EV14" s="174">
        <f>'Aug-24'!K67</f>
        <v>1.0000283095055287</v>
      </c>
      <c r="EW14" s="174">
        <f>'Aug-24'!L67</f>
        <v>1.0002665011040761</v>
      </c>
      <c r="EX14" s="174">
        <f>'Aug-24'!M67</f>
        <v>0</v>
      </c>
      <c r="EY14" s="174">
        <f>'Aug-24'!N67</f>
        <v>0</v>
      </c>
      <c r="EZ14" s="174">
        <f>'Aug-24'!O67</f>
        <v>0</v>
      </c>
      <c r="FA14" s="174">
        <f>'Aug-24'!P67</f>
        <v>0.61878007662835244</v>
      </c>
      <c r="FB14" s="174">
        <f>'Aug-24'!Q67</f>
        <v>1.0000393189950065</v>
      </c>
      <c r="FC14" s="174">
        <f>'Aug-24'!R67</f>
        <v>0.99978357867825229</v>
      </c>
      <c r="FD14" s="174">
        <f>'Aug-24'!S67</f>
        <v>0.34733098004902341</v>
      </c>
      <c r="FE14" s="174">
        <f>'Aug-24'!T67</f>
        <v>0.35869292156772969</v>
      </c>
      <c r="FF14" s="174" t="e">
        <f>'Aug-24'!U67</f>
        <v>#DIV/0!</v>
      </c>
      <c r="FG14" s="174" t="e">
        <f>'Aug-24'!V67</f>
        <v>#DIV/0!</v>
      </c>
      <c r="FH14" s="174" t="e">
        <f>'Aug-24'!W67</f>
        <v>#DIV/0!</v>
      </c>
      <c r="FI14" s="174" t="e">
        <f>'Aug-24'!X67</f>
        <v>#DIV/0!</v>
      </c>
      <c r="FJ14" s="174" t="e">
        <f>'Aug-24'!Y67</f>
        <v>#DIV/0!</v>
      </c>
      <c r="FK14" s="174" t="e">
        <f>'Aug-24'!Z67</f>
        <v>#DIV/0!</v>
      </c>
      <c r="FL14" s="174" t="e">
        <f>'Aug-24'!AA67</f>
        <v>#DIV/0!</v>
      </c>
      <c r="FM14" s="174" t="e">
        <f>'Aug-24'!AB67</f>
        <v>#DIV/0!</v>
      </c>
      <c r="FN14" s="174" t="e">
        <f>'Aug-24'!AC67</f>
        <v>#DIV/0!</v>
      </c>
      <c r="FO14" s="174" t="e">
        <f>'Aug-24'!AD67</f>
        <v>#DIV/0!</v>
      </c>
      <c r="FP14" s="174" t="e">
        <f>'Aug-24'!AE67</f>
        <v>#DIV/0!</v>
      </c>
      <c r="FQ14" s="174" t="e">
        <f>'Aug-24'!AF67</f>
        <v>#DIV/0!</v>
      </c>
      <c r="FR14" s="174" t="e">
        <f>'Aug-24'!AG67</f>
        <v>#DIV/0!</v>
      </c>
      <c r="FS14" s="174" t="e">
        <f>'Aug-24'!AH67</f>
        <v>#DIV/0!</v>
      </c>
      <c r="FT14" s="174" t="e">
        <f>'Aug-24'!AI67</f>
        <v>#DIV/0!</v>
      </c>
      <c r="FU14" s="174" t="e">
        <f>'Sep-24'!E67</f>
        <v>#DIV/0!</v>
      </c>
      <c r="FV14" s="174" t="e">
        <f>'Sep-24'!F67</f>
        <v>#DIV/0!</v>
      </c>
      <c r="FW14" s="174" t="e">
        <f>'Sep-24'!G67</f>
        <v>#DIV/0!</v>
      </c>
      <c r="FX14" s="174" t="e">
        <f>'Sep-24'!H67</f>
        <v>#DIV/0!</v>
      </c>
      <c r="FY14" s="174" t="e">
        <f>'Sep-24'!I67</f>
        <v>#DIV/0!</v>
      </c>
      <c r="FZ14" s="174" t="e">
        <f>'Sep-24'!J67</f>
        <v>#DIV/0!</v>
      </c>
      <c r="GA14" s="174" t="e">
        <f>'Sep-24'!K67</f>
        <v>#DIV/0!</v>
      </c>
      <c r="GB14" s="174" t="e">
        <f>'Sep-24'!L67</f>
        <v>#DIV/0!</v>
      </c>
      <c r="GC14" s="174" t="e">
        <f>'Sep-24'!M67</f>
        <v>#DIV/0!</v>
      </c>
      <c r="GD14" s="166">
        <v>0.58200000000000007</v>
      </c>
      <c r="GE14" s="166">
        <v>0.58200000000000007</v>
      </c>
      <c r="GF14" s="166">
        <v>0.58200000000000007</v>
      </c>
      <c r="GG14" s="166">
        <v>0.55617671464859553</v>
      </c>
      <c r="GH14" s="166">
        <v>0.60908121409936011</v>
      </c>
      <c r="GI14" s="166">
        <v>0.60604467054274236</v>
      </c>
      <c r="GJ14" s="166">
        <v>0.602055838178428</v>
      </c>
      <c r="GK14" s="166">
        <v>0.60256099682615383</v>
      </c>
      <c r="GL14" s="166">
        <v>0.60256099682615383</v>
      </c>
      <c r="GM14" s="166">
        <v>0.62256099682615385</v>
      </c>
      <c r="GN14" s="166">
        <v>0.62256099682615385</v>
      </c>
      <c r="GO14" s="166">
        <v>0.62256099682615385</v>
      </c>
    </row>
    <row r="15" spans="1:197" ht="19.5" customHeight="1" x14ac:dyDescent="0.3">
      <c r="A15" s="352"/>
      <c r="B15" s="359"/>
      <c r="C15" s="157" t="s">
        <v>176</v>
      </c>
      <c r="D15" s="157" t="s">
        <v>171</v>
      </c>
      <c r="E15" s="171"/>
      <c r="F15" s="167"/>
      <c r="G15" s="227">
        <v>6.8271338563627798E-2</v>
      </c>
      <c r="H15" s="236">
        <v>0</v>
      </c>
      <c r="I15" s="236">
        <v>0</v>
      </c>
      <c r="J15" s="236">
        <v>0</v>
      </c>
      <c r="K15" s="236">
        <v>0.35399992324695634</v>
      </c>
      <c r="L15" s="236">
        <v>0.39433728928978512</v>
      </c>
      <c r="M15" s="329">
        <v>0.39433728928978512</v>
      </c>
      <c r="N15" s="245">
        <v>0.26609878506048118</v>
      </c>
      <c r="O15" s="160">
        <f>'Apr-24'!AI53</f>
        <v>0.17760631085376569</v>
      </c>
      <c r="P15" s="160">
        <f>'May-24'!AJ53</f>
        <v>0.2481152048928226</v>
      </c>
      <c r="Q15" s="160">
        <f>'Jun-24'!AJ54</f>
        <v>0.37509850469350825</v>
      </c>
      <c r="R15" s="160">
        <f>'Jul-24'!AJ54</f>
        <v>0.43724998395250564</v>
      </c>
      <c r="S15" s="160">
        <f>'Aug-24'!AJ54</f>
        <v>0.40679144864490668</v>
      </c>
      <c r="T15" s="160">
        <f>'Sep-24'!AJ54</f>
        <v>0.34513854576448588</v>
      </c>
      <c r="U15" s="185">
        <f>'Aug-24'!AK54</f>
        <v>0.31942315827858075</v>
      </c>
      <c r="V15" s="356"/>
      <c r="W15" s="189"/>
      <c r="X15" s="174">
        <f>'Apr-24'!E53</f>
        <v>0.18596851967946046</v>
      </c>
      <c r="Y15" s="174">
        <f>'Apr-24'!F53</f>
        <v>0.30447605289589674</v>
      </c>
      <c r="Z15" s="174">
        <f>'Apr-24'!G53</f>
        <v>0.29172906679295008</v>
      </c>
      <c r="AA15" s="174">
        <f>'Apr-24'!H53</f>
        <v>0.33407955538764134</v>
      </c>
      <c r="AB15" s="174">
        <f>'Apr-24'!I53</f>
        <v>0.31526236749591707</v>
      </c>
      <c r="AC15" s="174">
        <f>'Apr-24'!J53</f>
        <v>0.25840761125411116</v>
      </c>
      <c r="AD15" s="174">
        <f>'Apr-24'!K53</f>
        <v>0.2712145177606527</v>
      </c>
      <c r="AE15" s="174">
        <f>'Apr-24'!L53</f>
        <v>0.26911537355167281</v>
      </c>
      <c r="AF15" s="174">
        <f>'Apr-24'!M53</f>
        <v>0.27554949843185139</v>
      </c>
      <c r="AG15" s="174">
        <f>'Apr-24'!N53</f>
        <v>0.26483173722460113</v>
      </c>
      <c r="AH15" s="174">
        <f>'Apr-24'!O53</f>
        <v>0.12104344143452597</v>
      </c>
      <c r="AI15" s="174">
        <f>'Apr-24'!P53</f>
        <v>0.11495610764257605</v>
      </c>
      <c r="AJ15" s="174">
        <f>'Apr-24'!Q53</f>
        <v>0.12807300224740922</v>
      </c>
      <c r="AK15" s="174">
        <f>'Apr-24'!R53</f>
        <v>0.14293739238070727</v>
      </c>
      <c r="AL15" s="174">
        <f>'Apr-24'!S53</f>
        <v>0.11947744192935585</v>
      </c>
      <c r="AM15" s="174">
        <f>'Apr-24'!T53</f>
        <v>0.14254046026144443</v>
      </c>
      <c r="AN15" s="174">
        <f>'Apr-24'!U53</f>
        <v>0.12490489571603193</v>
      </c>
      <c r="AO15" s="174">
        <f>'Apr-24'!V53</f>
        <v>0.12771977740165152</v>
      </c>
      <c r="AP15" s="174" t="e">
        <f>'Apr-24'!W53</f>
        <v>#DIV/0!</v>
      </c>
      <c r="AQ15" s="174">
        <f>'Apr-24'!X53</f>
        <v>0.13931664091478485</v>
      </c>
      <c r="AR15" s="174">
        <f>'Apr-24'!Y53</f>
        <v>0.13523596317066675</v>
      </c>
      <c r="AS15" s="174">
        <f>'Apr-24'!Z53</f>
        <v>0.10963360849937645</v>
      </c>
      <c r="AT15" s="174">
        <f>'Apr-24'!AA53</f>
        <v>0.10240054320282155</v>
      </c>
      <c r="AU15" s="174">
        <f>'Apr-24'!AB53</f>
        <v>0.13013135489200531</v>
      </c>
      <c r="AV15" s="174">
        <f>'Apr-24'!AC53</f>
        <v>0.12659218000819428</v>
      </c>
      <c r="AW15" s="174">
        <f>'Apr-24'!AD53</f>
        <v>0.12233361837817763</v>
      </c>
      <c r="AX15" s="174">
        <f>'Apr-24'!AE53</f>
        <v>0.11748233503767193</v>
      </c>
      <c r="AY15" s="174">
        <f>'Apr-24'!AF53</f>
        <v>0.11321994453476582</v>
      </c>
      <c r="AZ15" s="174">
        <f>'Apr-24'!AG53</f>
        <v>0.10963706719725221</v>
      </c>
      <c r="BA15" s="174">
        <f>'Apr-24'!AH53</f>
        <v>0.11921920905621694</v>
      </c>
      <c r="BB15" s="174">
        <f>'May-24'!E53</f>
        <v>0.11174272809394761</v>
      </c>
      <c r="BC15" s="174">
        <f>'May-24'!F53</f>
        <v>0.11069601528552497</v>
      </c>
      <c r="BD15" s="174">
        <f>'May-24'!G53</f>
        <v>0.11261739471632477</v>
      </c>
      <c r="BE15" s="174">
        <f>'May-24'!H53</f>
        <v>0.10900000606149854</v>
      </c>
      <c r="BF15" s="174">
        <f>'May-24'!I53</f>
        <v>0.11148538491074313</v>
      </c>
      <c r="BG15" s="174">
        <f>'May-24'!J53</f>
        <v>0.1137813380804035</v>
      </c>
      <c r="BH15" s="174">
        <f>'May-24'!K53</f>
        <v>0.21580748734642913</v>
      </c>
      <c r="BI15" s="174">
        <f>'May-24'!L53</f>
        <v>0.31928640671185626</v>
      </c>
      <c r="BJ15" s="174">
        <f>'May-24'!M53</f>
        <v>0.34732326959562398</v>
      </c>
      <c r="BK15" s="174">
        <f>'May-24'!N53</f>
        <v>0.33021034659085985</v>
      </c>
      <c r="BL15" s="174">
        <f>'May-24'!O53</f>
        <v>0.32680525999890869</v>
      </c>
      <c r="BM15" s="174">
        <f>'May-24'!P53</f>
        <v>0.3144437757229791</v>
      </c>
      <c r="BN15" s="174">
        <f>'May-24'!Q53</f>
        <v>0.30838442779143588</v>
      </c>
      <c r="BO15" s="174" t="e">
        <f>'May-24'!R53</f>
        <v>#DIV/0!</v>
      </c>
      <c r="BP15" s="174">
        <f>'May-24'!S53</f>
        <v>0.37864921746848607</v>
      </c>
      <c r="BQ15" s="174">
        <f>'May-24'!T53</f>
        <v>0.34158933022536175</v>
      </c>
      <c r="BR15" s="174">
        <f>'May-24'!U53</f>
        <v>0.33983116738864821</v>
      </c>
      <c r="BS15" s="174">
        <f>'May-24'!V53</f>
        <v>0.36092619925419134</v>
      </c>
      <c r="BT15" s="174">
        <f>'May-24'!W53</f>
        <v>0.33757815134333352</v>
      </c>
      <c r="BU15" s="174">
        <f>'May-24'!X53</f>
        <v>0.36982814163784339</v>
      </c>
      <c r="BV15" s="174">
        <f>'May-24'!Y53</f>
        <v>0.3516382043053814</v>
      </c>
      <c r="BW15" s="174">
        <f>'May-24'!Z53</f>
        <v>0.34689588499852886</v>
      </c>
      <c r="BX15" s="174">
        <f>'May-24'!AA53</f>
        <v>0.32264786387012478</v>
      </c>
      <c r="BY15" s="174">
        <f>'May-24'!AB53</f>
        <v>0.34219067660591362</v>
      </c>
      <c r="BZ15" s="174">
        <f>'May-24'!AC53</f>
        <v>0.34066298022109515</v>
      </c>
      <c r="CA15" s="174">
        <f>'May-24'!AD53</f>
        <v>0</v>
      </c>
      <c r="CB15" s="174">
        <f>'May-24'!AE53</f>
        <v>0</v>
      </c>
      <c r="CC15" s="174">
        <f>'May-24'!AF53</f>
        <v>0</v>
      </c>
      <c r="CD15" s="174">
        <f>'May-24'!AG53</f>
        <v>0</v>
      </c>
      <c r="CE15" s="174">
        <f>'May-24'!AH53</f>
        <v>0.45055851639475392</v>
      </c>
      <c r="CF15" s="174">
        <f>'May-24'!AI53</f>
        <v>0.25975924954324392</v>
      </c>
      <c r="CG15" s="174">
        <f>'Jun-24'!E54</f>
        <v>0.26201748270499275</v>
      </c>
      <c r="CH15" s="174">
        <f>'Jun-24'!F54</f>
        <v>0.25959103826189411</v>
      </c>
      <c r="CI15" s="174">
        <f>'Jun-24'!G54</f>
        <v>0.2319999163533652</v>
      </c>
      <c r="CJ15" s="174">
        <f>'Jun-24'!H54</f>
        <v>0.22720255046298785</v>
      </c>
      <c r="CK15" s="174" t="e">
        <f>'Jun-24'!I54</f>
        <v>#DIV/0!</v>
      </c>
      <c r="CL15" s="174" t="e">
        <f>'Jun-24'!J54</f>
        <v>#DIV/0!</v>
      </c>
      <c r="CM15" s="174">
        <f>'Jun-24'!K54</f>
        <v>0.2366818217157049</v>
      </c>
      <c r="CN15" s="174">
        <f>'Jun-24'!L54</f>
        <v>0.57579197425313489</v>
      </c>
      <c r="CO15" s="174">
        <f>'Jun-24'!M54</f>
        <v>0.55085613019352964</v>
      </c>
      <c r="CP15" s="174">
        <f>'Jun-24'!N54</f>
        <v>0.63370874803562072</v>
      </c>
      <c r="CQ15" s="174">
        <f>'Jun-24'!O54</f>
        <v>0.70166027694071487</v>
      </c>
      <c r="CR15" s="174">
        <f>'Jun-24'!P54</f>
        <v>0.6722068660780347</v>
      </c>
      <c r="CS15" s="174">
        <f>'Jun-24'!Q54</f>
        <v>0.70221375147997345</v>
      </c>
      <c r="CT15" s="174">
        <f>'Jun-24'!R54</f>
        <v>0.1417760146475435</v>
      </c>
      <c r="CU15" s="174">
        <f>'Jun-24'!S54</f>
        <v>0.11991010007897021</v>
      </c>
      <c r="CV15" s="174">
        <f>'Jun-24'!T54</f>
        <v>0.11899242798682912</v>
      </c>
      <c r="CW15" s="174">
        <f>'Jun-24'!U54</f>
        <v>0.12103374492127435</v>
      </c>
      <c r="CX15" s="174">
        <f>'Jun-24'!V54</f>
        <v>0.1236827912379688</v>
      </c>
      <c r="CY15" s="174">
        <f>'Jun-24'!W54</f>
        <v>0.12139754417436407</v>
      </c>
      <c r="CZ15" s="174">
        <f>'Jun-24'!X54</f>
        <v>0.20109478969164826</v>
      </c>
      <c r="DA15" s="174">
        <f>'Jun-24'!Y54</f>
        <v>0.19561229043507963</v>
      </c>
      <c r="DB15" s="174">
        <f>'Jun-24'!Z54</f>
        <v>0.33477053958981667</v>
      </c>
      <c r="DC15" s="174">
        <f>'Jun-24'!AA54</f>
        <v>0.24155766819559732</v>
      </c>
      <c r="DD15" s="174">
        <f>'Jun-24'!AB54</f>
        <v>0.3709459855726937</v>
      </c>
      <c r="DE15" s="174">
        <f>'Jun-24'!AC54</f>
        <v>0.47001407630202585</v>
      </c>
      <c r="DF15" s="174">
        <f>'Jun-24'!AD54</f>
        <v>0.55990727914917859</v>
      </c>
      <c r="DG15" s="174">
        <f>'Jun-24'!AE54</f>
        <v>0.56567027123336489</v>
      </c>
      <c r="DH15" s="174">
        <f>'Jun-24'!AF54</f>
        <v>0.61066002490660021</v>
      </c>
      <c r="DI15" s="174">
        <f>'Jun-24'!AG54</f>
        <v>0.58524816700440707</v>
      </c>
      <c r="DJ15" s="174">
        <f>'Jun-24'!AH54</f>
        <v>0.55999991609702537</v>
      </c>
      <c r="DK15" s="174">
        <f>'Jul-24'!E54</f>
        <v>0.55781131613747281</v>
      </c>
      <c r="DL15" s="174">
        <f>'Jul-24'!F54</f>
        <v>0.57813377023316492</v>
      </c>
      <c r="DM15" s="174">
        <f>'Jul-24'!G54</f>
        <v>0.54472736699599622</v>
      </c>
      <c r="DN15" s="174">
        <f>'Jul-24'!H54</f>
        <v>0.52510552323312376</v>
      </c>
      <c r="DO15" s="174">
        <f>'Jul-24'!I54</f>
        <v>0.53098215842538354</v>
      </c>
      <c r="DP15" s="174">
        <f>'Jul-24'!J54</f>
        <v>0.53241706600580785</v>
      </c>
      <c r="DQ15" s="174">
        <f>'Jul-24'!K54</f>
        <v>0.54051292628933112</v>
      </c>
      <c r="DR15" s="174">
        <f>'Jul-24'!L54</f>
        <v>0.55314401642687827</v>
      </c>
      <c r="DS15" s="174">
        <f>'Jul-24'!M54</f>
        <v>0.54846592952589979</v>
      </c>
      <c r="DT15" s="174">
        <f>'Jul-24'!N54</f>
        <v>0.54366393900555388</v>
      </c>
      <c r="DU15" s="174">
        <f>'Jul-24'!O54</f>
        <v>0.58640389732173492</v>
      </c>
      <c r="DV15" s="174">
        <f>'Jul-24'!P54</f>
        <v>0.42433968182182896</v>
      </c>
      <c r="DW15" s="174">
        <f>'Jul-24'!Q54</f>
        <v>0.44748123849907995</v>
      </c>
      <c r="DX15" s="174">
        <f>'Jul-24'!R54</f>
        <v>0.44259728817648092</v>
      </c>
      <c r="DY15" s="174">
        <f>'Jul-24'!S54</f>
        <v>0.14362548859344046</v>
      </c>
      <c r="DZ15" s="174">
        <f>'Jul-24'!T54</f>
        <v>0.13588276403128505</v>
      </c>
      <c r="EA15" s="174">
        <f>'Jul-24'!U54</f>
        <v>0.13580950157444815</v>
      </c>
      <c r="EB15" s="174">
        <f>'Jul-24'!V54</f>
        <v>0.15497478220999542</v>
      </c>
      <c r="EC15" s="174" t="e">
        <f>'Jul-24'!W54</f>
        <v>#DIV/0!</v>
      </c>
      <c r="ED15" s="174" t="e">
        <f>'Jul-24'!X54</f>
        <v>#DIV/0!</v>
      </c>
      <c r="EE15" s="174" t="e">
        <f>'Jul-24'!Y54</f>
        <v>#DIV/0!</v>
      </c>
      <c r="EF15" s="174" t="e">
        <f>'Jul-24'!Z54</f>
        <v>#DIV/0!</v>
      </c>
      <c r="EG15" s="174" t="e">
        <f>'Jul-24'!AA54</f>
        <v>#DIV/0!</v>
      </c>
      <c r="EH15" s="174" t="e">
        <f>'Jul-24'!AB54</f>
        <v>#DIV/0!</v>
      </c>
      <c r="EI15" s="174" t="e">
        <f>'Jul-24'!AC54</f>
        <v>#DIV/0!</v>
      </c>
      <c r="EJ15" s="174" t="e">
        <f>'Jul-24'!AD54</f>
        <v>#DIV/0!</v>
      </c>
      <c r="EK15" s="174" t="e">
        <f>'Jul-24'!AE54</f>
        <v>#DIV/0!</v>
      </c>
      <c r="EL15" s="174" t="e">
        <f>'Jul-24'!AF54</f>
        <v>#DIV/0!</v>
      </c>
      <c r="EM15" s="174" t="e">
        <f>'Jul-24'!AG54</f>
        <v>#DIV/0!</v>
      </c>
      <c r="EN15" s="174" t="e">
        <f>'Jul-24'!AH54</f>
        <v>#DIV/0!</v>
      </c>
      <c r="EO15" s="174">
        <f>'Jul-24'!AI54</f>
        <v>0.4528666617851651</v>
      </c>
      <c r="EP15" s="174">
        <f>'Aug-24'!E54</f>
        <v>0.39523733260461841</v>
      </c>
      <c r="EQ15" s="174">
        <f>'Aug-24'!F54</f>
        <v>0.22426607209215904</v>
      </c>
      <c r="ER15" s="174">
        <f>'Aug-24'!G54</f>
        <v>0</v>
      </c>
      <c r="ES15" s="174">
        <f>'Aug-24'!H54</f>
        <v>0.4137442296382694</v>
      </c>
      <c r="ET15" s="174">
        <f>'Aug-24'!I54</f>
        <v>0.44664466446644663</v>
      </c>
      <c r="EU15" s="174">
        <f>'Aug-24'!J54</f>
        <v>0.44064696898704997</v>
      </c>
      <c r="EV15" s="174">
        <f>'Aug-24'!K54</f>
        <v>0.47693919894786463</v>
      </c>
      <c r="EW15" s="174">
        <f>'Aug-24'!L54</f>
        <v>0.46008113900796083</v>
      </c>
      <c r="EX15" s="174">
        <f>'Aug-24'!M54</f>
        <v>0.47565654105163641</v>
      </c>
      <c r="EY15" s="174">
        <f>'Aug-24'!N54</f>
        <v>0.47811573519094203</v>
      </c>
      <c r="EZ15" s="174">
        <f>'Aug-24'!O54</f>
        <v>0.67924347926059969</v>
      </c>
      <c r="FA15" s="174">
        <f>'Aug-24'!P54</f>
        <v>0.71015639580456125</v>
      </c>
      <c r="FB15" s="174">
        <f>'Aug-24'!Q54</f>
        <v>0.49578376673669761</v>
      </c>
      <c r="FC15" s="174">
        <f>'Aug-24'!R54</f>
        <v>0.50332889228127875</v>
      </c>
      <c r="FD15" s="174">
        <f>'Aug-24'!S54</f>
        <v>0.70539830819751215</v>
      </c>
      <c r="FE15" s="174">
        <f>'Aug-24'!T54</f>
        <v>0.67659058861748178</v>
      </c>
      <c r="FF15" s="174">
        <f>'Aug-24'!U54</f>
        <v>0.44414950419995558</v>
      </c>
      <c r="FG15" s="174">
        <f>'Aug-24'!V54</f>
        <v>0.36171980859949987</v>
      </c>
      <c r="FH15" s="174">
        <f>'Aug-24'!W54</f>
        <v>0.35777860937454142</v>
      </c>
      <c r="FI15" s="174">
        <f>'Aug-24'!X54</f>
        <v>0.35266054430311178</v>
      </c>
      <c r="FJ15" s="174">
        <f>'Aug-24'!Y54</f>
        <v>0.49561691113028472</v>
      </c>
      <c r="FK15" s="174">
        <f>'Aug-24'!Z54</f>
        <v>0.53277095176966804</v>
      </c>
      <c r="FL15" s="174">
        <f>'Aug-24'!AA54</f>
        <v>0.53327343082651835</v>
      </c>
      <c r="FM15" s="174">
        <f>'Aug-24'!AB54</f>
        <v>0.51835681545015455</v>
      </c>
      <c r="FN15" s="174">
        <f>'Aug-24'!AC54</f>
        <v>0.48271635674205721</v>
      </c>
      <c r="FO15" s="174">
        <f>'Aug-24'!AD54</f>
        <v>0.45627863917306055</v>
      </c>
      <c r="FP15" s="174">
        <f>'Aug-24'!AE54</f>
        <v>0.41682683553523375</v>
      </c>
      <c r="FQ15" s="174">
        <f>'Aug-24'!AF54</f>
        <v>0</v>
      </c>
      <c r="FR15" s="174">
        <f>'Aug-24'!AG54</f>
        <v>0</v>
      </c>
      <c r="FS15" s="174">
        <f>'Aug-24'!AH54</f>
        <v>0</v>
      </c>
      <c r="FT15" s="174">
        <f>'Aug-24'!AI54</f>
        <v>0</v>
      </c>
      <c r="FU15" s="174">
        <f>'Sep-24'!E54</f>
        <v>0</v>
      </c>
      <c r="FV15" s="174">
        <f>'Sep-24'!F54</f>
        <v>0.47353535301471134</v>
      </c>
      <c r="FW15" s="174">
        <f>'Sep-24'!G54</f>
        <v>0.45988309815088796</v>
      </c>
      <c r="FX15" s="174">
        <f>'Sep-24'!H54</f>
        <v>0.45090498129851703</v>
      </c>
      <c r="FY15" s="174" t="e">
        <f>'Sep-24'!I54</f>
        <v>#DIV/0!</v>
      </c>
      <c r="FZ15" s="174" t="e">
        <f>'Sep-24'!J54</f>
        <v>#DIV/0!</v>
      </c>
      <c r="GA15" s="174" t="e">
        <f>'Sep-24'!K54</f>
        <v>#DIV/0!</v>
      </c>
      <c r="GB15" s="174" t="e">
        <f>'Sep-24'!L54</f>
        <v>#DIV/0!</v>
      </c>
      <c r="GC15" s="174" t="e">
        <f>'Sep-24'!M54</f>
        <v>#DIV/0!</v>
      </c>
      <c r="GD15" s="166">
        <v>0</v>
      </c>
      <c r="GE15" s="166">
        <v>0</v>
      </c>
      <c r="GF15" s="166">
        <v>0</v>
      </c>
      <c r="GG15" s="166">
        <v>0.35399992324695634</v>
      </c>
      <c r="GH15" s="166">
        <v>0.39433728928978512</v>
      </c>
      <c r="GI15" s="166">
        <v>0.39433728928978512</v>
      </c>
      <c r="GJ15" s="166">
        <v>0.36918868453468817</v>
      </c>
      <c r="GK15" s="166">
        <v>0.33108596357438502</v>
      </c>
      <c r="GL15" s="166">
        <v>0.33108596357438502</v>
      </c>
      <c r="GM15" s="166">
        <v>0.35385303690452546</v>
      </c>
      <c r="GN15" s="166">
        <v>0.36046031136271384</v>
      </c>
      <c r="GO15" s="166">
        <v>0.35108596357438498</v>
      </c>
    </row>
    <row r="16" spans="1:197" ht="19.2" customHeight="1" x14ac:dyDescent="0.3">
      <c r="A16" s="351">
        <v>10</v>
      </c>
      <c r="B16" s="358" t="s">
        <v>211</v>
      </c>
      <c r="C16" s="360" t="s">
        <v>176</v>
      </c>
      <c r="D16" s="157" t="s">
        <v>169</v>
      </c>
      <c r="E16" s="171"/>
      <c r="F16" s="167"/>
      <c r="G16" s="227">
        <v>0.16832691431103219</v>
      </c>
      <c r="H16" s="236">
        <v>8.8560996826153801E-2</v>
      </c>
      <c r="I16" s="236">
        <v>8.8560996826153801E-2</v>
      </c>
      <c r="J16" s="236">
        <v>8.8560996826153801E-2</v>
      </c>
      <c r="K16" s="236">
        <v>0.2278679558941468</v>
      </c>
      <c r="L16" s="236">
        <v>0.22602714507386609</v>
      </c>
      <c r="M16" s="329">
        <v>0.22799999999999998</v>
      </c>
      <c r="N16" s="237">
        <v>0.18312397596226532</v>
      </c>
      <c r="O16" s="160">
        <f>'Apr-24'!AI62</f>
        <v>0.36456988361562181</v>
      </c>
      <c r="P16" s="160">
        <f>'May-24'!AJ62</f>
        <v>0.28243819680058901</v>
      </c>
      <c r="Q16" s="160">
        <f>'Jun-24'!AJ63</f>
        <v>0.10203822492661457</v>
      </c>
      <c r="R16" s="160">
        <f>'Jul-24'!AJ63</f>
        <v>0</v>
      </c>
      <c r="S16" s="160">
        <f>'Aug-24'!AJ63</f>
        <v>0.1988395508465455</v>
      </c>
      <c r="T16" s="160" t="e">
        <f>'Sep-24'!AJ63</f>
        <v>#DIV/0!</v>
      </c>
      <c r="U16" s="185">
        <f>'Aug-24'!AK63</f>
        <v>0.19970392566288531</v>
      </c>
      <c r="V16" s="356"/>
      <c r="W16" s="189"/>
      <c r="X16" s="174">
        <f>'Apr-24'!E62</f>
        <v>0.33816761700161729</v>
      </c>
      <c r="Y16" s="174">
        <f>'Apr-24'!F62</f>
        <v>0.30608193957736013</v>
      </c>
      <c r="Z16" s="174">
        <f>'Apr-24'!G62</f>
        <v>0.32913227898340996</v>
      </c>
      <c r="AA16" s="174">
        <f>'Apr-24'!H62</f>
        <v>0.33802186157050418</v>
      </c>
      <c r="AB16" s="174">
        <f>'Apr-24'!I62</f>
        <v>0.34217843983842844</v>
      </c>
      <c r="AC16" s="174">
        <f>'Apr-24'!J62</f>
        <v>0.37969038428464968</v>
      </c>
      <c r="AD16" s="174">
        <f>'Apr-24'!K62</f>
        <v>0.37906489026472512</v>
      </c>
      <c r="AE16" s="174">
        <f>'Apr-24'!L62</f>
        <v>0.37350526724166944</v>
      </c>
      <c r="AF16" s="174">
        <f>'Apr-24'!M62</f>
        <v>0.37296989979916811</v>
      </c>
      <c r="AG16" s="174">
        <f>'Apr-24'!N62</f>
        <v>0.36332631939464644</v>
      </c>
      <c r="AH16" s="174">
        <f>'Apr-24'!O62</f>
        <v>0.37343468356689496</v>
      </c>
      <c r="AI16" s="174">
        <f>'Apr-24'!P62</f>
        <v>0.38033081842264121</v>
      </c>
      <c r="AJ16" s="174">
        <f>'Apr-24'!Q62</f>
        <v>0.37553615355810255</v>
      </c>
      <c r="AK16" s="174">
        <f>'Apr-24'!R62</f>
        <v>0.37819463641128392</v>
      </c>
      <c r="AL16" s="174">
        <f>'Apr-24'!S62</f>
        <v>0.3417391846707819</v>
      </c>
      <c r="AM16" s="174">
        <f>'Apr-24'!T62</f>
        <v>0.37754655842416024</v>
      </c>
      <c r="AN16" s="174">
        <f>'Apr-24'!U62</f>
        <v>0.36999674216395495</v>
      </c>
      <c r="AO16" s="174">
        <f>'Apr-24'!V62</f>
        <v>0.37260141455266732</v>
      </c>
      <c r="AP16" s="174">
        <f>'Apr-24'!W62</f>
        <v>0.3680227796667106</v>
      </c>
      <c r="AQ16" s="174">
        <f>'Apr-24'!X62</f>
        <v>0.37256225201747101</v>
      </c>
      <c r="AR16" s="174">
        <f>'Apr-24'!Y62</f>
        <v>0.337813516825337</v>
      </c>
      <c r="AS16" s="174">
        <f>'Apr-24'!Z62</f>
        <v>0.37654269327827489</v>
      </c>
      <c r="AT16" s="174">
        <f>'Apr-24'!AA62</f>
        <v>0.37788161048001245</v>
      </c>
      <c r="AU16" s="174">
        <f>'Apr-24'!AB62</f>
        <v>0.38008962892339354</v>
      </c>
      <c r="AV16" s="174">
        <f>'Apr-24'!AC62</f>
        <v>0.37916248898611493</v>
      </c>
      <c r="AW16" s="174">
        <f>'Apr-24'!AD62</f>
        <v>0.3680719271483382</v>
      </c>
      <c r="AX16" s="174">
        <f>'Apr-24'!AE62</f>
        <v>0.37688456043668678</v>
      </c>
      <c r="AY16" s="174">
        <f>'Apr-24'!AF62</f>
        <v>0.3818933913623086</v>
      </c>
      <c r="AZ16" s="174">
        <f>'Apr-24'!AG62</f>
        <v>0.38049653374733899</v>
      </c>
      <c r="BA16" s="174">
        <f>'Apr-24'!AH62</f>
        <v>0.34540421560433604</v>
      </c>
      <c r="BB16" s="174">
        <f>'May-24'!E62</f>
        <v>0.2559695383377304</v>
      </c>
      <c r="BC16" s="174">
        <f>'May-24'!F62</f>
        <v>0.26178806552209094</v>
      </c>
      <c r="BD16" s="174">
        <f>'May-24'!G62</f>
        <v>0.26288104301907156</v>
      </c>
      <c r="BE16" s="174">
        <f>'May-24'!H62</f>
        <v>0.28167965051954419</v>
      </c>
      <c r="BF16" s="174">
        <f>'May-24'!I62</f>
        <v>0.28077910958904112</v>
      </c>
      <c r="BG16" s="174">
        <f>'May-24'!J62</f>
        <v>0.27202878159118027</v>
      </c>
      <c r="BH16" s="174">
        <f>'May-24'!K62</f>
        <v>0.28418468703673694</v>
      </c>
      <c r="BI16" s="174">
        <f>'May-24'!L62</f>
        <v>0.28516243735878771</v>
      </c>
      <c r="BJ16" s="174">
        <f>'May-24'!M62</f>
        <v>0.2820148197222978</v>
      </c>
      <c r="BK16" s="174">
        <f>'May-24'!N62</f>
        <v>0.28605015065688266</v>
      </c>
      <c r="BL16" s="174">
        <f>'May-24'!O62</f>
        <v>0.28459049032857409</v>
      </c>
      <c r="BM16" s="174">
        <f>'May-24'!P62</f>
        <v>0.29085297313176628</v>
      </c>
      <c r="BN16" s="174">
        <f>'May-24'!Q62</f>
        <v>0.28772050955625345</v>
      </c>
      <c r="BO16" s="174">
        <f>'May-24'!R62</f>
        <v>0.28465563067506</v>
      </c>
      <c r="BP16" s="174">
        <f>'May-24'!S62</f>
        <v>0.27967293075926097</v>
      </c>
      <c r="BQ16" s="174">
        <f>'May-24'!T62</f>
        <v>0.27725304426167574</v>
      </c>
      <c r="BR16" s="174">
        <f>'May-24'!U62</f>
        <v>0.27112168332785985</v>
      </c>
      <c r="BS16" s="174">
        <f>'May-24'!V62</f>
        <v>0.27700521961206104</v>
      </c>
      <c r="BT16" s="174">
        <f>'May-24'!W62</f>
        <v>0.27736090928333768</v>
      </c>
      <c r="BU16" s="174">
        <f>'May-24'!X62</f>
        <v>0.27745572420646658</v>
      </c>
      <c r="BV16" s="174">
        <f>'May-24'!Y62</f>
        <v>0.2914457696786647</v>
      </c>
      <c r="BW16" s="174">
        <f>'May-24'!Z62</f>
        <v>0.29743736926057368</v>
      </c>
      <c r="BX16" s="174">
        <f>'May-24'!AA62</f>
        <v>0.31398999780151893</v>
      </c>
      <c r="BY16" s="174">
        <f>'May-24'!AB62</f>
        <v>0.27895166346469058</v>
      </c>
      <c r="BZ16" s="174">
        <f>'May-24'!AC62</f>
        <v>0.27940801983212948</v>
      </c>
      <c r="CA16" s="174">
        <f>'May-24'!AD62</f>
        <v>0.27361562779050136</v>
      </c>
      <c r="CB16" s="174">
        <f>'May-24'!AE62</f>
        <v>0.29701941225928224</v>
      </c>
      <c r="CC16" s="174">
        <f>'May-24'!AF62</f>
        <v>0.29310734742044647</v>
      </c>
      <c r="CD16" s="174">
        <f>'May-24'!AG62</f>
        <v>0.28787594271658462</v>
      </c>
      <c r="CE16" s="174">
        <f>'May-24'!AH62</f>
        <v>0.28900026296657233</v>
      </c>
      <c r="CF16" s="174">
        <f>'May-24'!AI62</f>
        <v>0.29019967951544196</v>
      </c>
      <c r="CG16" s="174">
        <f>'Jun-24'!E63</f>
        <v>0.28953182463470634</v>
      </c>
      <c r="CH16" s="174">
        <f>'Jun-24'!F63</f>
        <v>0.28682914314638652</v>
      </c>
      <c r="CI16" s="174">
        <f>'Jun-24'!G63</f>
        <v>0.28870356330553448</v>
      </c>
      <c r="CJ16" s="174">
        <f>'Jun-24'!H63</f>
        <v>0.28969992772621844</v>
      </c>
      <c r="CK16" s="174">
        <f>'Jun-24'!I63</f>
        <v>0.28889250506201675</v>
      </c>
      <c r="CL16" s="174">
        <f>'Jun-24'!J63</f>
        <v>0.27375033425640977</v>
      </c>
      <c r="CM16" s="174">
        <f>'Jun-24'!K63</f>
        <v>0.27289659949593748</v>
      </c>
      <c r="CN16" s="174">
        <f>'Jun-24'!L63</f>
        <v>0</v>
      </c>
      <c r="CO16" s="174">
        <f>'Jun-24'!M63</f>
        <v>0</v>
      </c>
      <c r="CP16" s="174">
        <f>'Jun-24'!N63</f>
        <v>0</v>
      </c>
      <c r="CQ16" s="174">
        <f>'Jun-24'!O63</f>
        <v>0</v>
      </c>
      <c r="CR16" s="174">
        <f>'Jun-24'!P63</f>
        <v>0</v>
      </c>
      <c r="CS16" s="174">
        <f>'Jun-24'!Q63</f>
        <v>0</v>
      </c>
      <c r="CT16" s="174">
        <f>'Jun-24'!R63</f>
        <v>0</v>
      </c>
      <c r="CU16" s="174">
        <f>'Jun-24'!S63</f>
        <v>0</v>
      </c>
      <c r="CV16" s="174">
        <f>'Jun-24'!T63</f>
        <v>0</v>
      </c>
      <c r="CW16" s="174">
        <f>'Jun-24'!U63</f>
        <v>0</v>
      </c>
      <c r="CX16" s="174">
        <f>'Jun-24'!V63</f>
        <v>0.28952790354581065</v>
      </c>
      <c r="CY16" s="174">
        <f>'Jun-24'!W63</f>
        <v>0.28889968161459179</v>
      </c>
      <c r="CZ16" s="174">
        <f>'Jun-24'!X63</f>
        <v>0.29827488907916244</v>
      </c>
      <c r="DA16" s="174">
        <f>'Jun-24'!Y63</f>
        <v>0.18954442768417995</v>
      </c>
      <c r="DB16" s="174">
        <f>'Jun-24'!Z63</f>
        <v>0</v>
      </c>
      <c r="DC16" s="174">
        <f>'Jun-24'!AA63</f>
        <v>0</v>
      </c>
      <c r="DD16" s="174">
        <f>'Jun-24'!AB63</f>
        <v>0</v>
      </c>
      <c r="DE16" s="174">
        <f>'Jun-24'!AC63</f>
        <v>0</v>
      </c>
      <c r="DF16" s="174">
        <f>'Jun-24'!AD63</f>
        <v>0</v>
      </c>
      <c r="DG16" s="174">
        <f>'Jun-24'!AE63</f>
        <v>0</v>
      </c>
      <c r="DH16" s="174">
        <f>'Jun-24'!AF63</f>
        <v>0</v>
      </c>
      <c r="DI16" s="174">
        <f>'Jun-24'!AG63</f>
        <v>0</v>
      </c>
      <c r="DJ16" s="174">
        <f>'Jun-24'!AH63</f>
        <v>0</v>
      </c>
      <c r="DK16" s="174">
        <f>'Jul-24'!E63</f>
        <v>0</v>
      </c>
      <c r="DL16" s="174">
        <f>'Jul-24'!F63</f>
        <v>0</v>
      </c>
      <c r="DM16" s="174">
        <f>'Jul-24'!G63</f>
        <v>0</v>
      </c>
      <c r="DN16" s="174">
        <f>'Jul-24'!H63</f>
        <v>0</v>
      </c>
      <c r="DO16" s="174">
        <f>'Jul-24'!I63</f>
        <v>0</v>
      </c>
      <c r="DP16" s="174">
        <f>'Jul-24'!J63</f>
        <v>0</v>
      </c>
      <c r="DQ16" s="174">
        <f>'Jul-24'!K63</f>
        <v>0</v>
      </c>
      <c r="DR16" s="174">
        <f>'Jul-24'!L63</f>
        <v>0</v>
      </c>
      <c r="DS16" s="174">
        <f>'Jul-24'!M63</f>
        <v>0</v>
      </c>
      <c r="DT16" s="174" t="e">
        <f>'Jul-24'!N63</f>
        <v>#DIV/0!</v>
      </c>
      <c r="DU16" s="174" t="e">
        <f>'Jul-24'!O63</f>
        <v>#DIV/0!</v>
      </c>
      <c r="DV16" s="174" t="e">
        <f>'Jul-24'!P63</f>
        <v>#DIV/0!</v>
      </c>
      <c r="DW16" s="174">
        <f>'Jul-24'!Q63</f>
        <v>0</v>
      </c>
      <c r="DX16" s="174">
        <f>'Jul-24'!R63</f>
        <v>0</v>
      </c>
      <c r="DY16" s="174">
        <f>'Jul-24'!S63</f>
        <v>0</v>
      </c>
      <c r="DZ16" s="174">
        <f>'Jul-24'!T63</f>
        <v>0</v>
      </c>
      <c r="EA16" s="174">
        <f>'Jul-24'!U63</f>
        <v>0</v>
      </c>
      <c r="EB16" s="174">
        <f>'Jul-24'!V63</f>
        <v>0</v>
      </c>
      <c r="EC16" s="174">
        <f>'Jul-24'!W63</f>
        <v>0</v>
      </c>
      <c r="ED16" s="174">
        <f>'Jul-24'!X63</f>
        <v>0</v>
      </c>
      <c r="EE16" s="174">
        <f>'Jul-24'!Y63</f>
        <v>0</v>
      </c>
      <c r="EF16" s="174">
        <f>'Jul-24'!Z63</f>
        <v>0</v>
      </c>
      <c r="EG16" s="174">
        <f>'Jul-24'!AA63</f>
        <v>0</v>
      </c>
      <c r="EH16" s="174">
        <f>'Jul-24'!AB63</f>
        <v>0</v>
      </c>
      <c r="EI16" s="174">
        <f>'Jul-24'!AC63</f>
        <v>0</v>
      </c>
      <c r="EJ16" s="174">
        <f>'Jul-24'!AD63</f>
        <v>0</v>
      </c>
      <c r="EK16" s="174">
        <f>'Jul-24'!AE63</f>
        <v>0</v>
      </c>
      <c r="EL16" s="174" t="e">
        <f>'Jul-24'!AF63</f>
        <v>#DIV/0!</v>
      </c>
      <c r="EM16" s="174" t="e">
        <f>'Jul-24'!AG63</f>
        <v>#DIV/0!</v>
      </c>
      <c r="EN16" s="174" t="e">
        <f>'Jul-24'!AH63</f>
        <v>#DIV/0!</v>
      </c>
      <c r="EO16" s="174">
        <f>'Jul-24'!AI63</f>
        <v>0</v>
      </c>
      <c r="EP16" s="174" t="e">
        <f>'Aug-24'!E63</f>
        <v>#DIV/0!</v>
      </c>
      <c r="EQ16" s="174" t="e">
        <f>'Aug-24'!F63</f>
        <v>#DIV/0!</v>
      </c>
      <c r="ER16" s="174">
        <f>'Aug-24'!G63</f>
        <v>0</v>
      </c>
      <c r="ES16" s="174">
        <f>'Aug-24'!H63</f>
        <v>0</v>
      </c>
      <c r="ET16" s="174">
        <f>'Aug-24'!I63</f>
        <v>0</v>
      </c>
      <c r="EU16" s="174">
        <f>'Aug-24'!J63</f>
        <v>0</v>
      </c>
      <c r="EV16" s="174">
        <f>'Aug-24'!K63</f>
        <v>0</v>
      </c>
      <c r="EW16" s="174">
        <f>'Aug-24'!L63</f>
        <v>0</v>
      </c>
      <c r="EX16" s="174">
        <f>'Aug-24'!M63</f>
        <v>0.9995734284717106</v>
      </c>
      <c r="EY16" s="174">
        <f>'Aug-24'!N63</f>
        <v>1.0003634155867882</v>
      </c>
      <c r="EZ16" s="174">
        <f>'Aug-24'!O63</f>
        <v>0.69023970505135124</v>
      </c>
      <c r="FA16" s="174">
        <f>'Aug-24'!P63</f>
        <v>0</v>
      </c>
      <c r="FB16" s="174">
        <f>'Aug-24'!Q63</f>
        <v>0</v>
      </c>
      <c r="FC16" s="174">
        <f>'Aug-24'!R63</f>
        <v>0</v>
      </c>
      <c r="FD16" s="174">
        <f>'Aug-24'!S63</f>
        <v>0</v>
      </c>
      <c r="FE16" s="174">
        <f>'Aug-24'!T63</f>
        <v>0</v>
      </c>
      <c r="FF16" s="174" t="e">
        <f>'Aug-24'!U63</f>
        <v>#DIV/0!</v>
      </c>
      <c r="FG16" s="174" t="e">
        <f>'Aug-24'!V63</f>
        <v>#DIV/0!</v>
      </c>
      <c r="FH16" s="174" t="e">
        <f>'Aug-24'!W63</f>
        <v>#DIV/0!</v>
      </c>
      <c r="FI16" s="174" t="e">
        <f>'Aug-24'!X63</f>
        <v>#DIV/0!</v>
      </c>
      <c r="FJ16" s="174" t="e">
        <f>'Aug-24'!Y63</f>
        <v>#DIV/0!</v>
      </c>
      <c r="FK16" s="174" t="e">
        <f>'Aug-24'!Z63</f>
        <v>#DIV/0!</v>
      </c>
      <c r="FL16" s="174" t="e">
        <f>'Aug-24'!AA63</f>
        <v>#DIV/0!</v>
      </c>
      <c r="FM16" s="174" t="e">
        <f>'Aug-24'!AB63</f>
        <v>#DIV/0!</v>
      </c>
      <c r="FN16" s="174" t="e">
        <f>'Aug-24'!AC63</f>
        <v>#DIV/0!</v>
      </c>
      <c r="FO16" s="174" t="e">
        <f>'Aug-24'!AD63</f>
        <v>#DIV/0!</v>
      </c>
      <c r="FP16" s="174" t="e">
        <f>'Aug-24'!AE63</f>
        <v>#DIV/0!</v>
      </c>
      <c r="FQ16" s="174" t="e">
        <f>'Aug-24'!AF63</f>
        <v>#DIV/0!</v>
      </c>
      <c r="FR16" s="174" t="e">
        <f>'Aug-24'!AG63</f>
        <v>#DIV/0!</v>
      </c>
      <c r="FS16" s="174" t="e">
        <f>'Aug-24'!AH63</f>
        <v>#DIV/0!</v>
      </c>
      <c r="FT16" s="174" t="e">
        <f>'Aug-24'!AI63</f>
        <v>#DIV/0!</v>
      </c>
      <c r="FU16" s="174" t="e">
        <f>'Sep-24'!E63</f>
        <v>#DIV/0!</v>
      </c>
      <c r="FV16" s="174" t="e">
        <f>'Sep-24'!F63</f>
        <v>#DIV/0!</v>
      </c>
      <c r="FW16" s="174" t="e">
        <f>'Sep-24'!G63</f>
        <v>#DIV/0!</v>
      </c>
      <c r="FX16" s="174" t="e">
        <f>'Sep-24'!H63</f>
        <v>#DIV/0!</v>
      </c>
      <c r="FY16" s="174" t="e">
        <f>'Sep-24'!I63</f>
        <v>#DIV/0!</v>
      </c>
      <c r="FZ16" s="174" t="e">
        <f>'Sep-24'!J63</f>
        <v>#DIV/0!</v>
      </c>
      <c r="GA16" s="174" t="e">
        <f>'Sep-24'!K63</f>
        <v>#DIV/0!</v>
      </c>
      <c r="GB16" s="174" t="e">
        <f>'Sep-24'!L63</f>
        <v>#DIV/0!</v>
      </c>
      <c r="GC16" s="174" t="e">
        <f>'Sep-24'!M63</f>
        <v>#DIV/0!</v>
      </c>
      <c r="GD16" s="166">
        <v>8.8560996826153801E-2</v>
      </c>
      <c r="GE16" s="166">
        <v>8.8560996826153801E-2</v>
      </c>
      <c r="GF16" s="166">
        <v>8.8560996826153801E-2</v>
      </c>
      <c r="GG16" s="166">
        <v>0.2278679558941468</v>
      </c>
      <c r="GH16" s="166">
        <v>0.22602714507386609</v>
      </c>
      <c r="GI16" s="166">
        <v>0.22799999999999998</v>
      </c>
      <c r="GJ16" s="166">
        <v>0.22866658886800678</v>
      </c>
      <c r="GK16" s="166">
        <v>0.22855164738736591</v>
      </c>
      <c r="GL16" s="166">
        <v>0.22825527097874754</v>
      </c>
      <c r="GM16" s="166">
        <v>0.20838666640474146</v>
      </c>
      <c r="GN16" s="166">
        <v>0.20851627413786461</v>
      </c>
      <c r="GO16" s="166">
        <v>0.20864413041513472</v>
      </c>
    </row>
    <row r="17" spans="1:197" ht="19.2" customHeight="1" x14ac:dyDescent="0.3">
      <c r="A17" s="352"/>
      <c r="B17" s="359"/>
      <c r="C17" s="361"/>
      <c r="D17" s="157" t="s">
        <v>171</v>
      </c>
      <c r="E17" s="171"/>
      <c r="F17" s="167"/>
      <c r="G17" s="227">
        <v>0.15975296288949134</v>
      </c>
      <c r="H17" s="236">
        <v>0.18372984095574835</v>
      </c>
      <c r="I17" s="236">
        <v>0.18372984095574835</v>
      </c>
      <c r="J17" s="236">
        <v>0.18372984095574835</v>
      </c>
      <c r="K17" s="236">
        <v>0.20999998343413792</v>
      </c>
      <c r="L17" s="236">
        <v>0.20999996239650925</v>
      </c>
      <c r="M17" s="329">
        <v>0.20999996239650925</v>
      </c>
      <c r="N17" s="237">
        <v>0.19774170287578358</v>
      </c>
      <c r="O17" s="160">
        <f>'Apr-24'!AI49</f>
        <v>0.24926538710606691</v>
      </c>
      <c r="P17" s="160">
        <f>'May-24'!AJ49</f>
        <v>0.50718839263673576</v>
      </c>
      <c r="Q17" s="160">
        <f>'Jun-24'!AJ50</f>
        <v>0.13656481151658156</v>
      </c>
      <c r="R17" s="160">
        <f>'Jul-24'!AJ50</f>
        <v>9.226472775110213E-2</v>
      </c>
      <c r="S17" s="160">
        <f>'Aug-24'!AJ50</f>
        <v>8.1878763316810571E-2</v>
      </c>
      <c r="T17" s="160">
        <f>'Sep-24'!AJ50</f>
        <v>0.11505113712865647</v>
      </c>
      <c r="U17" s="185">
        <f>'Aug-24'!AK50</f>
        <v>0.22525141315597225</v>
      </c>
      <c r="V17" s="356"/>
      <c r="W17" s="189"/>
      <c r="X17" s="174">
        <f>'Apr-24'!E49</f>
        <v>0.18317855201144401</v>
      </c>
      <c r="Y17" s="174">
        <f>'Apr-24'!F49</f>
        <v>0.22419637550313781</v>
      </c>
      <c r="Z17" s="174">
        <f>'Apr-24'!G49</f>
        <v>0.17940916638247018</v>
      </c>
      <c r="AA17" s="174">
        <f>'Apr-24'!H49</f>
        <v>0.20554328394301594</v>
      </c>
      <c r="AB17" s="174">
        <f>'Apr-24'!I49</f>
        <v>0.19367940331257968</v>
      </c>
      <c r="AC17" s="174">
        <f>'Apr-24'!J49</f>
        <v>0.18679799006580583</v>
      </c>
      <c r="AD17" s="174">
        <f>'Apr-24'!K49</f>
        <v>0.17911112847379287</v>
      </c>
      <c r="AE17" s="174">
        <f>'Apr-24'!L49</f>
        <v>0.17789062880315099</v>
      </c>
      <c r="AF17" s="174">
        <f>'Apr-24'!M49</f>
        <v>0.18263076888041022</v>
      </c>
      <c r="AG17" s="174">
        <f>'Apr-24'!N49</f>
        <v>0.17460896591739805</v>
      </c>
      <c r="AH17" s="174">
        <f>'Apr-24'!O49</f>
        <v>0.19307924369953555</v>
      </c>
      <c r="AI17" s="174">
        <f>'Apr-24'!P49</f>
        <v>0.18710742827876695</v>
      </c>
      <c r="AJ17" s="174">
        <f>'Apr-24'!Q49</f>
        <v>0.20867236657614208</v>
      </c>
      <c r="AK17" s="174">
        <f>'Apr-24'!R49</f>
        <v>0.18547066933838266</v>
      </c>
      <c r="AL17" s="174">
        <f>'Apr-24'!S49</f>
        <v>0.19163983472349991</v>
      </c>
      <c r="AM17" s="174">
        <f>'Apr-24'!T49</f>
        <v>0.33217284135394409</v>
      </c>
      <c r="AN17" s="174">
        <f>'Apr-24'!U49</f>
        <v>0.30171074786090341</v>
      </c>
      <c r="AO17" s="174">
        <f>'Apr-24'!V49</f>
        <v>0.31227388362778424</v>
      </c>
      <c r="AP17" s="174" t="e">
        <f>'Apr-24'!W49</f>
        <v>#DIV/0!</v>
      </c>
      <c r="AQ17" s="174">
        <f>'Apr-24'!X49</f>
        <v>0.34149503321749047</v>
      </c>
      <c r="AR17" s="174">
        <f>'Apr-24'!Y49</f>
        <v>0.33081633399471105</v>
      </c>
      <c r="AS17" s="174">
        <f>'Apr-24'!Z49</f>
        <v>0.32601345470889953</v>
      </c>
      <c r="AT17" s="174">
        <f>'Apr-24'!AA49</f>
        <v>0.305969369980164</v>
      </c>
      <c r="AU17" s="174">
        <f>'Apr-24'!AB49</f>
        <v>0.32788427803877884</v>
      </c>
      <c r="AV17" s="174">
        <f>'Apr-24'!AC49</f>
        <v>0.3164494446720631</v>
      </c>
      <c r="AW17" s="174">
        <f>'Apr-24'!AD49</f>
        <v>0.32691745881929929</v>
      </c>
      <c r="AX17" s="174">
        <f>'Apr-24'!AE49</f>
        <v>0.2989316967296064</v>
      </c>
      <c r="AY17" s="174">
        <f>'Apr-24'!AF49</f>
        <v>0.28593513179696345</v>
      </c>
      <c r="AZ17" s="174">
        <f>'Apr-24'!AG49</f>
        <v>0.28049658940673683</v>
      </c>
      <c r="BA17" s="174">
        <f>'Apr-24'!AH49</f>
        <v>0.31986505690651956</v>
      </c>
      <c r="BB17" s="174">
        <f>'May-24'!E49</f>
        <v>0.29954688346883468</v>
      </c>
      <c r="BC17" s="174">
        <f>'May-24'!F49</f>
        <v>0.29682393910444083</v>
      </c>
      <c r="BD17" s="174">
        <f>'May-24'!G49</f>
        <v>0.30269109711084574</v>
      </c>
      <c r="BE17" s="174">
        <f>'May-24'!H49</f>
        <v>0.29446046779793245</v>
      </c>
      <c r="BF17" s="174">
        <f>'May-24'!I49</f>
        <v>0.30071056577094901</v>
      </c>
      <c r="BG17" s="174">
        <f>'May-24'!J49</f>
        <v>0.30998402693686328</v>
      </c>
      <c r="BH17" s="174">
        <f>'May-24'!K49</f>
        <v>0.35338421305778439</v>
      </c>
      <c r="BI17" s="174">
        <f>'May-24'!L49</f>
        <v>0.46966669081751222</v>
      </c>
      <c r="BJ17" s="174">
        <f>'May-24'!M49</f>
        <v>0.51243027863208335</v>
      </c>
      <c r="BK17" s="174">
        <f>'May-24'!N49</f>
        <v>0.48605272965219576</v>
      </c>
      <c r="BL17" s="174">
        <f>'May-24'!O49</f>
        <v>0.48186828177006602</v>
      </c>
      <c r="BM17" s="174">
        <f>'May-24'!P49</f>
        <v>0.48444766646605025</v>
      </c>
      <c r="BN17" s="174">
        <f>'May-24'!Q49</f>
        <v>0.47598313636049483</v>
      </c>
      <c r="BO17" s="174" t="e">
        <f>'May-24'!R49</f>
        <v>#DIV/0!</v>
      </c>
      <c r="BP17" s="174">
        <f>'May-24'!S49</f>
        <v>0.54058096428533275</v>
      </c>
      <c r="BQ17" s="174">
        <f>'May-24'!T49</f>
        <v>0.48866078474294516</v>
      </c>
      <c r="BR17" s="174">
        <f>'May-24'!U49</f>
        <v>0.48409314012446303</v>
      </c>
      <c r="BS17" s="174">
        <f>'May-24'!V49</f>
        <v>0.51297524008339379</v>
      </c>
      <c r="BT17" s="174">
        <f>'May-24'!W49</f>
        <v>0.48187679766627134</v>
      </c>
      <c r="BU17" s="174">
        <f>'May-24'!X49</f>
        <v>0.52664082458372063</v>
      </c>
      <c r="BV17" s="174">
        <f>'May-24'!Y49</f>
        <v>0.50894143157575211</v>
      </c>
      <c r="BW17" s="174">
        <f>'May-24'!Z49</f>
        <v>0.50109735374121067</v>
      </c>
      <c r="BX17" s="174">
        <f>'May-24'!AA49</f>
        <v>0.51794176623714561</v>
      </c>
      <c r="BY17" s="174">
        <f>'May-24'!AB49</f>
        <v>0.54035738488426011</v>
      </c>
      <c r="BZ17" s="174">
        <f>'May-24'!AC49</f>
        <v>0.53852681576268369</v>
      </c>
      <c r="CA17" s="174">
        <f>'May-24'!AD49</f>
        <v>0.87705189746006074</v>
      </c>
      <c r="CB17" s="174">
        <f>'May-24'!AE49</f>
        <v>0.9006953362357879</v>
      </c>
      <c r="CC17" s="174">
        <f>'May-24'!AF49</f>
        <v>0.89625550058188841</v>
      </c>
      <c r="CD17" s="174">
        <f>'May-24'!AG49</f>
        <v>0.90811451427724899</v>
      </c>
      <c r="CE17" s="174">
        <f>'May-24'!AH49</f>
        <v>0.49064198801095388</v>
      </c>
      <c r="CF17" s="174">
        <f>'May-24'!AI49</f>
        <v>0.28451792232727924</v>
      </c>
      <c r="CG17" s="174">
        <f>'Jun-24'!E50</f>
        <v>0.28699139654789357</v>
      </c>
      <c r="CH17" s="174">
        <f>'Jun-24'!F50</f>
        <v>0.28501795089346915</v>
      </c>
      <c r="CI17" s="174">
        <f>'Jun-24'!G50</f>
        <v>0.24668960974363799</v>
      </c>
      <c r="CJ17" s="174">
        <f>'Jun-24'!H50</f>
        <v>0.24019343399065068</v>
      </c>
      <c r="CK17" s="174" t="e">
        <f>'Jun-24'!I50</f>
        <v>#DIV/0!</v>
      </c>
      <c r="CL17" s="174" t="e">
        <f>'Jun-24'!J50</f>
        <v>#DIV/0!</v>
      </c>
      <c r="CM17" s="174">
        <f>'Jun-24'!K50</f>
        <v>0.26180001086307098</v>
      </c>
      <c r="CN17" s="174">
        <f>'Jun-24'!L50</f>
        <v>0.26835766890608503</v>
      </c>
      <c r="CO17" s="174">
        <f>'Jun-24'!M50</f>
        <v>0.2571789528327581</v>
      </c>
      <c r="CP17" s="174">
        <f>'Jun-24'!N50</f>
        <v>0.27011689531333322</v>
      </c>
      <c r="CQ17" s="174">
        <f>'Jun-24'!O50</f>
        <v>0.29518505412672619</v>
      </c>
      <c r="CR17" s="174">
        <f>'Jun-24'!P50</f>
        <v>0.28377911673643696</v>
      </c>
      <c r="CS17" s="174">
        <f>'Jun-24'!Q50</f>
        <v>0.29534914996926603</v>
      </c>
      <c r="CT17" s="174">
        <f>'Jun-24'!R50</f>
        <v>6.96948428440647E-2</v>
      </c>
      <c r="CU17" s="174">
        <f>'Jun-24'!S50</f>
        <v>5.8946903797475955E-2</v>
      </c>
      <c r="CV17" s="174">
        <f>'Jun-24'!T50</f>
        <v>6.2115544169225261E-2</v>
      </c>
      <c r="CW17" s="174">
        <f>'Jun-24'!U50</f>
        <v>6.3443235484570287E-2</v>
      </c>
      <c r="CX17" s="174">
        <f>'Jun-24'!V50</f>
        <v>6.42594886444455E-2</v>
      </c>
      <c r="CY17" s="174">
        <f>'Jun-24'!W50</f>
        <v>0.12674769827228988</v>
      </c>
      <c r="CZ17" s="174">
        <f>'Jun-24'!X50</f>
        <v>0.14006322414886832</v>
      </c>
      <c r="DA17" s="174">
        <f>'Jun-24'!Y50</f>
        <v>0.13690932030169636</v>
      </c>
      <c r="DB17" s="174">
        <f>'Jun-24'!Z50</f>
        <v>0</v>
      </c>
      <c r="DC17" s="174">
        <f>'Jun-24'!AA50</f>
        <v>0.10753196130135199</v>
      </c>
      <c r="DD17" s="174">
        <f>'Jun-24'!AB50</f>
        <v>0</v>
      </c>
      <c r="DE17" s="174">
        <f>'Jun-24'!AC50</f>
        <v>0</v>
      </c>
      <c r="DF17" s="174">
        <f>'Jun-24'!AD50</f>
        <v>0</v>
      </c>
      <c r="DG17" s="174">
        <f>'Jun-24'!AE50</f>
        <v>0</v>
      </c>
      <c r="DH17" s="174">
        <f>'Jun-24'!AF50</f>
        <v>0</v>
      </c>
      <c r="DI17" s="174">
        <f>'Jun-24'!AG50</f>
        <v>0</v>
      </c>
      <c r="DJ17" s="174">
        <f>'Jun-24'!AH50</f>
        <v>0</v>
      </c>
      <c r="DK17" s="174">
        <f>'Jul-24'!E50</f>
        <v>0</v>
      </c>
      <c r="DL17" s="174">
        <f>'Jul-24'!F50</f>
        <v>0</v>
      </c>
      <c r="DM17" s="174">
        <f>'Jul-24'!G50</f>
        <v>0</v>
      </c>
      <c r="DN17" s="174">
        <f>'Jul-24'!H50</f>
        <v>0</v>
      </c>
      <c r="DO17" s="174">
        <f>'Jul-24'!I50</f>
        <v>0</v>
      </c>
      <c r="DP17" s="174">
        <f>'Jul-24'!J50</f>
        <v>0</v>
      </c>
      <c r="DQ17" s="174">
        <f>'Jul-24'!K50</f>
        <v>0</v>
      </c>
      <c r="DR17" s="174">
        <f>'Jul-24'!L50</f>
        <v>0</v>
      </c>
      <c r="DS17" s="174">
        <f>'Jul-24'!M50</f>
        <v>0</v>
      </c>
      <c r="DT17" s="174">
        <f>'Jul-24'!N50</f>
        <v>0</v>
      </c>
      <c r="DU17" s="174">
        <f>'Jul-24'!O50</f>
        <v>0</v>
      </c>
      <c r="DV17" s="174">
        <f>'Jul-24'!P50</f>
        <v>0</v>
      </c>
      <c r="DW17" s="174">
        <f>'Jul-24'!Q50</f>
        <v>0</v>
      </c>
      <c r="DX17" s="174">
        <f>'Jul-24'!R50</f>
        <v>0</v>
      </c>
      <c r="DY17" s="174">
        <f>'Jul-24'!S50</f>
        <v>0.37588086705311036</v>
      </c>
      <c r="DZ17" s="174">
        <f>'Jul-24'!T50</f>
        <v>0.35842332295317686</v>
      </c>
      <c r="EA17" s="174">
        <f>'Jul-24'!U50</f>
        <v>0.35843088241360577</v>
      </c>
      <c r="EB17" s="174">
        <f>'Jul-24'!V50</f>
        <v>0.40832168431725585</v>
      </c>
      <c r="EC17" s="174" t="e">
        <f>'Jul-24'!W50</f>
        <v>#DIV/0!</v>
      </c>
      <c r="ED17" s="174" t="e">
        <f>'Jul-24'!X50</f>
        <v>#DIV/0!</v>
      </c>
      <c r="EE17" s="174" t="e">
        <f>'Jul-24'!Y50</f>
        <v>#DIV/0!</v>
      </c>
      <c r="EF17" s="174" t="e">
        <f>'Jul-24'!Z50</f>
        <v>#DIV/0!</v>
      </c>
      <c r="EG17" s="174" t="e">
        <f>'Jul-24'!AA50</f>
        <v>#DIV/0!</v>
      </c>
      <c r="EH17" s="174" t="e">
        <f>'Jul-24'!AB50</f>
        <v>#DIV/0!</v>
      </c>
      <c r="EI17" s="174" t="e">
        <f>'Jul-24'!AC50</f>
        <v>#DIV/0!</v>
      </c>
      <c r="EJ17" s="174" t="e">
        <f>'Jul-24'!AD50</f>
        <v>#DIV/0!</v>
      </c>
      <c r="EK17" s="174" t="e">
        <f>'Jul-24'!AE50</f>
        <v>#DIV/0!</v>
      </c>
      <c r="EL17" s="174" t="e">
        <f>'Jul-24'!AF50</f>
        <v>#DIV/0!</v>
      </c>
      <c r="EM17" s="174" t="e">
        <f>'Jul-24'!AG50</f>
        <v>#DIV/0!</v>
      </c>
      <c r="EN17" s="174" t="e">
        <f>'Jul-24'!AH50</f>
        <v>#DIV/0!</v>
      </c>
      <c r="EO17" s="174">
        <f>'Jul-24'!AI50</f>
        <v>0.47184593981108591</v>
      </c>
      <c r="EP17" s="174">
        <f>'Aug-24'!E50</f>
        <v>0.1645535052981161</v>
      </c>
      <c r="EQ17" s="174">
        <f>'Aug-24'!F50</f>
        <v>0.26302685364470263</v>
      </c>
      <c r="ER17" s="174">
        <f>'Aug-24'!G50</f>
        <v>0.40053751769923951</v>
      </c>
      <c r="ES17" s="174">
        <f>'Aug-24'!H50</f>
        <v>0</v>
      </c>
      <c r="ET17" s="174">
        <f>'Aug-24'!I50</f>
        <v>0</v>
      </c>
      <c r="EU17" s="174">
        <f>'Aug-24'!J50</f>
        <v>0</v>
      </c>
      <c r="EV17" s="174">
        <f>'Aug-24'!K50</f>
        <v>0</v>
      </c>
      <c r="EW17" s="174">
        <f>'Aug-24'!L50</f>
        <v>0</v>
      </c>
      <c r="EX17" s="174">
        <f>'Aug-24'!M50</f>
        <v>0</v>
      </c>
      <c r="EY17" s="174">
        <f>'Aug-24'!N50</f>
        <v>0</v>
      </c>
      <c r="EZ17" s="174">
        <f>'Aug-24'!O50</f>
        <v>0</v>
      </c>
      <c r="FA17" s="174">
        <f>'Aug-24'!P50</f>
        <v>0</v>
      </c>
      <c r="FB17" s="174">
        <f>'Aug-24'!Q50</f>
        <v>0</v>
      </c>
      <c r="FC17" s="174">
        <f>'Aug-24'!R50</f>
        <v>0</v>
      </c>
      <c r="FD17" s="174">
        <f>'Aug-24'!S50</f>
        <v>0</v>
      </c>
      <c r="FE17" s="174">
        <f>'Aug-24'!T50</f>
        <v>0</v>
      </c>
      <c r="FF17" s="174">
        <f>'Aug-24'!U50</f>
        <v>0</v>
      </c>
      <c r="FG17" s="174">
        <f>'Aug-24'!V50</f>
        <v>0</v>
      </c>
      <c r="FH17" s="174">
        <f>'Aug-24'!W50</f>
        <v>0</v>
      </c>
      <c r="FI17" s="174">
        <f>'Aug-24'!X50</f>
        <v>0</v>
      </c>
      <c r="FJ17" s="174">
        <f>'Aug-24'!Y50</f>
        <v>0</v>
      </c>
      <c r="FK17" s="174">
        <f>'Aug-24'!Z50</f>
        <v>0</v>
      </c>
      <c r="FL17" s="174">
        <f>'Aug-24'!AA50</f>
        <v>0</v>
      </c>
      <c r="FM17" s="174">
        <f>'Aug-24'!AB50</f>
        <v>0</v>
      </c>
      <c r="FN17" s="174">
        <f>'Aug-24'!AC50</f>
        <v>0</v>
      </c>
      <c r="FO17" s="174">
        <f>'Aug-24'!AD50</f>
        <v>0</v>
      </c>
      <c r="FP17" s="174">
        <f>'Aug-24'!AE50</f>
        <v>0</v>
      </c>
      <c r="FQ17" s="174">
        <f>'Aug-24'!AF50</f>
        <v>0.45774974900578186</v>
      </c>
      <c r="FR17" s="174">
        <f>'Aug-24'!AG50</f>
        <v>0.43463275019295083</v>
      </c>
      <c r="FS17" s="174">
        <f>'Aug-24'!AH50</f>
        <v>0.43569588043800428</v>
      </c>
      <c r="FT17" s="174">
        <f>'Aug-24'!AI50</f>
        <v>0.44867264539038232</v>
      </c>
      <c r="FU17" s="174">
        <f>'Sep-24'!E50</f>
        <v>0.45636981398487897</v>
      </c>
      <c r="FV17" s="174">
        <f>'Sep-24'!F50</f>
        <v>0</v>
      </c>
      <c r="FW17" s="174">
        <f>'Sep-24'!G50</f>
        <v>0</v>
      </c>
      <c r="FX17" s="174">
        <f>'Sep-24'!H50</f>
        <v>0</v>
      </c>
      <c r="FY17" s="174" t="e">
        <f>'Sep-24'!I50</f>
        <v>#DIV/0!</v>
      </c>
      <c r="FZ17" s="174" t="e">
        <f>'Sep-24'!J50</f>
        <v>#DIV/0!</v>
      </c>
      <c r="GA17" s="174" t="e">
        <f>'Sep-24'!K50</f>
        <v>#DIV/0!</v>
      </c>
      <c r="GB17" s="174" t="e">
        <f>'Sep-24'!L50</f>
        <v>#DIV/0!</v>
      </c>
      <c r="GC17" s="174" t="e">
        <f>'Sep-24'!M50</f>
        <v>#DIV/0!</v>
      </c>
      <c r="GD17" s="166">
        <v>0.18372984095574835</v>
      </c>
      <c r="GE17" s="166">
        <v>0.18372984095574835</v>
      </c>
      <c r="GF17" s="166">
        <v>0.18372984095574835</v>
      </c>
      <c r="GG17" s="166">
        <v>0.20999998343413792</v>
      </c>
      <c r="GH17" s="166">
        <v>0.20999996239650925</v>
      </c>
      <c r="GI17" s="166">
        <v>0.20999996239650925</v>
      </c>
      <c r="GJ17" s="166">
        <v>0.20999993597243474</v>
      </c>
      <c r="GK17" s="166">
        <v>0.21000000556463561</v>
      </c>
      <c r="GL17" s="166">
        <v>0.21000000556463561</v>
      </c>
      <c r="GM17" s="166">
        <v>0.18999995483045098</v>
      </c>
      <c r="GN17" s="166">
        <v>0.19000002730120485</v>
      </c>
      <c r="GO17" s="166">
        <v>0.19000000556463562</v>
      </c>
    </row>
    <row r="18" spans="1:197" ht="19.5" hidden="1" customHeight="1" x14ac:dyDescent="0.3">
      <c r="A18" s="134"/>
      <c r="B18" s="190" t="s">
        <v>172</v>
      </c>
      <c r="C18" s="157" t="s">
        <v>176</v>
      </c>
      <c r="D18" s="157" t="s">
        <v>171</v>
      </c>
      <c r="E18" s="171"/>
      <c r="F18" s="167"/>
      <c r="G18" s="186"/>
      <c r="H18" s="184"/>
      <c r="I18" s="184"/>
      <c r="J18" s="184"/>
      <c r="K18" s="184"/>
      <c r="L18" s="184"/>
      <c r="M18" s="134"/>
      <c r="N18" s="134"/>
      <c r="O18" s="187"/>
      <c r="P18" s="187"/>
      <c r="Q18" s="187"/>
      <c r="R18" s="187"/>
      <c r="S18" s="187"/>
      <c r="T18" s="187"/>
      <c r="U18" s="188"/>
      <c r="V18" s="356"/>
      <c r="W18" s="189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164"/>
      <c r="AN18" s="164"/>
      <c r="AO18" s="164"/>
      <c r="AP18" s="164"/>
      <c r="AQ18" s="164"/>
      <c r="AR18" s="164"/>
      <c r="AS18" s="164"/>
      <c r="AT18" s="164"/>
      <c r="AU18" s="164"/>
      <c r="AV18" s="164"/>
      <c r="AW18" s="164"/>
      <c r="AX18" s="164"/>
      <c r="AY18" s="164"/>
      <c r="AZ18" s="164"/>
      <c r="BA18" s="164"/>
      <c r="BB18" s="164"/>
      <c r="BC18" s="164"/>
      <c r="BD18" s="164"/>
      <c r="BE18" s="164"/>
      <c r="BF18" s="164"/>
      <c r="BG18" s="164"/>
      <c r="BH18" s="164"/>
      <c r="BI18" s="164"/>
      <c r="BJ18" s="164"/>
      <c r="BK18" s="164"/>
      <c r="BL18" s="164"/>
      <c r="BM18" s="164"/>
      <c r="BN18" s="164"/>
      <c r="BO18" s="164"/>
      <c r="BP18" s="164"/>
      <c r="BQ18" s="164"/>
      <c r="BR18" s="164"/>
      <c r="BS18" s="164"/>
      <c r="BT18" s="164"/>
      <c r="BU18" s="164"/>
      <c r="BV18" s="164"/>
      <c r="BW18" s="164"/>
      <c r="BX18" s="164"/>
      <c r="BY18" s="164"/>
      <c r="BZ18" s="164"/>
      <c r="CA18" s="164"/>
      <c r="CB18" s="164"/>
      <c r="CC18" s="164"/>
      <c r="CD18" s="164"/>
      <c r="CE18" s="164"/>
      <c r="CF18" s="164"/>
      <c r="CG18" s="164"/>
      <c r="CH18" s="164"/>
      <c r="CI18" s="164"/>
      <c r="CJ18" s="164"/>
      <c r="CK18" s="164"/>
      <c r="CL18" s="164"/>
      <c r="CM18" s="164"/>
      <c r="CN18" s="164"/>
      <c r="CO18" s="164"/>
      <c r="CP18" s="164"/>
      <c r="CQ18" s="164"/>
      <c r="CR18" s="164"/>
      <c r="CS18" s="164"/>
      <c r="CT18" s="164"/>
      <c r="CU18" s="164"/>
      <c r="CV18" s="164"/>
      <c r="CW18" s="164"/>
      <c r="CX18" s="164"/>
      <c r="CY18" s="164"/>
      <c r="CZ18" s="164"/>
      <c r="DA18" s="164"/>
      <c r="DB18" s="164"/>
      <c r="DC18" s="164"/>
      <c r="DD18" s="164"/>
      <c r="DE18" s="164"/>
      <c r="DF18" s="164"/>
      <c r="DG18" s="164"/>
      <c r="DH18" s="164"/>
      <c r="DI18" s="164"/>
      <c r="DJ18" s="164"/>
      <c r="DK18" s="164"/>
      <c r="DL18" s="164"/>
      <c r="DM18" s="164"/>
      <c r="DN18" s="164"/>
      <c r="DO18" s="164"/>
      <c r="DP18" s="164"/>
      <c r="DQ18" s="164"/>
      <c r="DR18" s="164"/>
      <c r="DS18" s="164"/>
      <c r="DT18" s="164"/>
      <c r="DU18" s="164"/>
      <c r="DV18" s="164"/>
      <c r="DW18" s="164"/>
      <c r="DX18" s="164"/>
      <c r="DY18" s="164"/>
      <c r="DZ18" s="164"/>
      <c r="EA18" s="164"/>
      <c r="EB18" s="164"/>
      <c r="EC18" s="164"/>
      <c r="ED18" s="164"/>
      <c r="EE18" s="164"/>
      <c r="EF18" s="164"/>
      <c r="EG18" s="164"/>
      <c r="EH18" s="164"/>
      <c r="EI18" s="164"/>
      <c r="EJ18" s="164"/>
      <c r="EK18" s="164"/>
      <c r="EL18" s="164"/>
      <c r="EM18" s="164"/>
      <c r="EN18" s="164"/>
      <c r="EO18" s="164"/>
      <c r="EP18" s="164"/>
      <c r="EQ18" s="164"/>
      <c r="ER18" s="164"/>
      <c r="ES18" s="164"/>
      <c r="ET18" s="164"/>
      <c r="EU18" s="164"/>
      <c r="EV18" s="164"/>
      <c r="EW18" s="164"/>
      <c r="EX18" s="164"/>
      <c r="EY18" s="164"/>
      <c r="EZ18" s="164"/>
      <c r="FA18" s="164"/>
      <c r="FB18" s="164"/>
      <c r="FC18" s="164"/>
      <c r="FD18" s="164"/>
      <c r="FE18" s="164"/>
      <c r="FF18" s="164"/>
      <c r="FG18" s="164"/>
      <c r="FH18" s="164"/>
      <c r="FI18" s="164"/>
      <c r="FJ18" s="164"/>
      <c r="FK18" s="164"/>
      <c r="FL18" s="164"/>
      <c r="FM18" s="164"/>
      <c r="FN18" s="164"/>
      <c r="FO18" s="164"/>
      <c r="FP18" s="164"/>
      <c r="FQ18" s="164"/>
      <c r="FR18" s="164"/>
      <c r="FS18" s="164"/>
      <c r="FT18" s="164"/>
      <c r="FU18" s="164"/>
      <c r="FV18" s="164"/>
      <c r="FW18" s="164"/>
      <c r="FX18" s="164"/>
      <c r="FY18" s="164"/>
      <c r="FZ18" s="164"/>
      <c r="GA18" s="164"/>
      <c r="GB18" s="164"/>
      <c r="GC18" s="164"/>
      <c r="GD18" s="169"/>
      <c r="GE18" s="169"/>
      <c r="GF18" s="169"/>
      <c r="GG18" s="169"/>
      <c r="GH18" s="169"/>
      <c r="GI18" s="169"/>
      <c r="GJ18" s="169"/>
      <c r="GK18" s="169"/>
      <c r="GL18" s="169"/>
      <c r="GM18" s="169"/>
      <c r="GN18" s="169"/>
      <c r="GO18" s="169"/>
    </row>
    <row r="19" spans="1:197" ht="18" hidden="1" customHeight="1" x14ac:dyDescent="0.3">
      <c r="A19" s="134"/>
      <c r="B19" s="156" t="s">
        <v>173</v>
      </c>
      <c r="C19" s="157" t="s">
        <v>51</v>
      </c>
      <c r="D19" s="157" t="s">
        <v>174</v>
      </c>
      <c r="E19" s="171"/>
      <c r="F19" s="167"/>
      <c r="G19" s="186"/>
      <c r="H19" s="184"/>
      <c r="I19" s="184"/>
      <c r="J19" s="184"/>
      <c r="K19" s="184"/>
      <c r="L19" s="184"/>
      <c r="M19" s="214"/>
      <c r="N19" s="134"/>
      <c r="O19" s="187"/>
      <c r="P19" s="187"/>
      <c r="Q19" s="187"/>
      <c r="R19" s="187"/>
      <c r="S19" s="187"/>
      <c r="T19" s="187"/>
      <c r="U19" s="188"/>
      <c r="V19" s="356"/>
      <c r="W19" s="189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164"/>
      <c r="AN19" s="164"/>
      <c r="AO19" s="164"/>
      <c r="AP19" s="164"/>
      <c r="AQ19" s="164"/>
      <c r="AR19" s="164"/>
      <c r="AS19" s="164"/>
      <c r="AT19" s="164"/>
      <c r="AU19" s="164"/>
      <c r="AV19" s="164"/>
      <c r="AW19" s="164"/>
      <c r="AX19" s="164"/>
      <c r="AY19" s="164"/>
      <c r="AZ19" s="164"/>
      <c r="BA19" s="164"/>
      <c r="BB19" s="164"/>
      <c r="BC19" s="164"/>
      <c r="BD19" s="164"/>
      <c r="BE19" s="164"/>
      <c r="BF19" s="164"/>
      <c r="BG19" s="164"/>
      <c r="BH19" s="164"/>
      <c r="BI19" s="164"/>
      <c r="BJ19" s="164"/>
      <c r="BK19" s="164"/>
      <c r="BL19" s="164"/>
      <c r="BM19" s="164"/>
      <c r="BN19" s="164"/>
      <c r="BO19" s="164"/>
      <c r="BP19" s="164"/>
      <c r="BQ19" s="164"/>
      <c r="BR19" s="164"/>
      <c r="BS19" s="164"/>
      <c r="BT19" s="164"/>
      <c r="BU19" s="164"/>
      <c r="BV19" s="164"/>
      <c r="BW19" s="164"/>
      <c r="BX19" s="164"/>
      <c r="BY19" s="164"/>
      <c r="BZ19" s="164"/>
      <c r="CA19" s="164"/>
      <c r="CB19" s="164"/>
      <c r="CC19" s="164"/>
      <c r="CD19" s="164"/>
      <c r="CE19" s="164"/>
      <c r="CF19" s="164"/>
      <c r="CG19" s="164"/>
      <c r="CH19" s="164"/>
      <c r="CI19" s="164"/>
      <c r="CJ19" s="164"/>
      <c r="CK19" s="164"/>
      <c r="CL19" s="164"/>
      <c r="CM19" s="164"/>
      <c r="CN19" s="164"/>
      <c r="CO19" s="164"/>
      <c r="CP19" s="164"/>
      <c r="CQ19" s="164"/>
      <c r="CR19" s="164"/>
      <c r="CS19" s="164"/>
      <c r="CT19" s="164"/>
      <c r="CU19" s="164"/>
      <c r="CV19" s="164"/>
      <c r="CW19" s="164"/>
      <c r="CX19" s="164"/>
      <c r="CY19" s="164"/>
      <c r="CZ19" s="164"/>
      <c r="DA19" s="164"/>
      <c r="DB19" s="164"/>
      <c r="DC19" s="164"/>
      <c r="DD19" s="164"/>
      <c r="DE19" s="164"/>
      <c r="DF19" s="164"/>
      <c r="DG19" s="164"/>
      <c r="DH19" s="164"/>
      <c r="DI19" s="164"/>
      <c r="DJ19" s="164"/>
      <c r="DK19" s="164"/>
      <c r="DL19" s="164"/>
      <c r="DM19" s="164"/>
      <c r="DN19" s="164"/>
      <c r="DO19" s="164"/>
      <c r="DP19" s="164"/>
      <c r="DQ19" s="164"/>
      <c r="DR19" s="164"/>
      <c r="DS19" s="164"/>
      <c r="DT19" s="164"/>
      <c r="DU19" s="164"/>
      <c r="DV19" s="164"/>
      <c r="DW19" s="164"/>
      <c r="DX19" s="164"/>
      <c r="DY19" s="164"/>
      <c r="DZ19" s="164"/>
      <c r="EA19" s="164"/>
      <c r="EB19" s="164"/>
      <c r="EC19" s="164"/>
      <c r="ED19" s="164"/>
      <c r="EE19" s="164"/>
      <c r="EF19" s="164"/>
      <c r="EG19" s="164"/>
      <c r="EH19" s="164"/>
      <c r="EI19" s="164"/>
      <c r="EJ19" s="164"/>
      <c r="EK19" s="164"/>
      <c r="EL19" s="164"/>
      <c r="EM19" s="164"/>
      <c r="EN19" s="164"/>
      <c r="EO19" s="164"/>
      <c r="EP19" s="164"/>
      <c r="EQ19" s="164"/>
      <c r="ER19" s="164"/>
      <c r="ES19" s="164"/>
      <c r="ET19" s="164"/>
      <c r="EU19" s="164"/>
      <c r="EV19" s="164"/>
      <c r="EW19" s="164"/>
      <c r="EX19" s="164"/>
      <c r="EY19" s="164"/>
      <c r="EZ19" s="164"/>
      <c r="FA19" s="164"/>
      <c r="FB19" s="164"/>
      <c r="FC19" s="164"/>
      <c r="FD19" s="164"/>
      <c r="FE19" s="164"/>
      <c r="FF19" s="164"/>
      <c r="FG19" s="164"/>
      <c r="FH19" s="164"/>
      <c r="FI19" s="164"/>
      <c r="FJ19" s="164"/>
      <c r="FK19" s="164"/>
      <c r="FL19" s="164"/>
      <c r="FM19" s="164"/>
      <c r="FN19" s="164"/>
      <c r="FO19" s="164"/>
      <c r="FP19" s="164"/>
      <c r="FQ19" s="164"/>
      <c r="FR19" s="164"/>
      <c r="FS19" s="164"/>
      <c r="FT19" s="164"/>
      <c r="FU19" s="164"/>
      <c r="FV19" s="164"/>
      <c r="FW19" s="164"/>
      <c r="FX19" s="164"/>
      <c r="FY19" s="164"/>
      <c r="FZ19" s="164"/>
      <c r="GA19" s="164"/>
      <c r="GB19" s="164"/>
      <c r="GC19" s="164"/>
      <c r="GD19" s="217"/>
    </row>
    <row r="20" spans="1:197" ht="18" hidden="1" customHeight="1" x14ac:dyDescent="0.3">
      <c r="A20" s="134"/>
      <c r="B20" s="156" t="s">
        <v>175</v>
      </c>
      <c r="C20" s="157" t="s">
        <v>51</v>
      </c>
      <c r="D20" s="157" t="s">
        <v>174</v>
      </c>
      <c r="E20" s="171"/>
      <c r="F20" s="167"/>
      <c r="G20" s="186"/>
      <c r="H20" s="184"/>
      <c r="I20" s="184"/>
      <c r="J20" s="184"/>
      <c r="K20" s="184"/>
      <c r="L20" s="184"/>
      <c r="M20" s="214"/>
      <c r="N20" s="134"/>
      <c r="O20" s="187"/>
      <c r="P20" s="187"/>
      <c r="Q20" s="187"/>
      <c r="R20" s="187"/>
      <c r="S20" s="187"/>
      <c r="T20" s="187"/>
      <c r="U20" s="188"/>
      <c r="V20" s="357"/>
      <c r="W20" s="189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164"/>
      <c r="AN20" s="164"/>
      <c r="AO20" s="164"/>
      <c r="AP20" s="164"/>
      <c r="AQ20" s="164"/>
      <c r="AR20" s="164"/>
      <c r="AS20" s="164"/>
      <c r="AT20" s="164"/>
      <c r="AU20" s="164"/>
      <c r="AV20" s="164"/>
      <c r="AW20" s="164"/>
      <c r="AX20" s="164"/>
      <c r="AY20" s="164"/>
      <c r="AZ20" s="164"/>
      <c r="BA20" s="164"/>
      <c r="BB20" s="164"/>
      <c r="BC20" s="164"/>
      <c r="BD20" s="164"/>
      <c r="BE20" s="164"/>
      <c r="BF20" s="164"/>
      <c r="BG20" s="164"/>
      <c r="BH20" s="164"/>
      <c r="BI20" s="164"/>
      <c r="BJ20" s="164"/>
      <c r="BK20" s="164"/>
      <c r="BL20" s="164"/>
      <c r="BM20" s="164"/>
      <c r="BN20" s="164"/>
      <c r="BO20" s="164"/>
      <c r="BP20" s="164"/>
      <c r="BQ20" s="164"/>
      <c r="BR20" s="164"/>
      <c r="BS20" s="164"/>
      <c r="BT20" s="164"/>
      <c r="BU20" s="164"/>
      <c r="BV20" s="164"/>
      <c r="BW20" s="164"/>
      <c r="BX20" s="164"/>
      <c r="BY20" s="164"/>
      <c r="BZ20" s="164"/>
      <c r="CA20" s="164"/>
      <c r="CB20" s="164"/>
      <c r="CC20" s="164"/>
      <c r="CD20" s="164"/>
      <c r="CE20" s="164"/>
      <c r="CF20" s="164"/>
      <c r="CG20" s="164"/>
      <c r="CH20" s="164"/>
      <c r="CI20" s="164"/>
      <c r="CJ20" s="164"/>
      <c r="CK20" s="164"/>
      <c r="CL20" s="164"/>
      <c r="CM20" s="164"/>
      <c r="CN20" s="164"/>
      <c r="CO20" s="164"/>
      <c r="CP20" s="164"/>
      <c r="CQ20" s="164"/>
      <c r="CR20" s="164"/>
      <c r="CS20" s="164"/>
      <c r="CT20" s="164"/>
      <c r="CU20" s="164"/>
      <c r="CV20" s="164"/>
      <c r="CW20" s="164"/>
      <c r="CX20" s="164"/>
      <c r="CY20" s="164"/>
      <c r="CZ20" s="164"/>
      <c r="DA20" s="164"/>
      <c r="DB20" s="164"/>
      <c r="DC20" s="164"/>
      <c r="DD20" s="164"/>
      <c r="DE20" s="164"/>
      <c r="DF20" s="164"/>
      <c r="DG20" s="164"/>
      <c r="DH20" s="164"/>
      <c r="DI20" s="164"/>
      <c r="DJ20" s="164"/>
      <c r="DK20" s="164"/>
      <c r="DL20" s="164"/>
      <c r="DM20" s="164"/>
      <c r="DN20" s="164"/>
      <c r="DO20" s="164"/>
      <c r="DP20" s="164"/>
      <c r="DQ20" s="164"/>
      <c r="DR20" s="164"/>
      <c r="DS20" s="164"/>
      <c r="DT20" s="164"/>
      <c r="DU20" s="164"/>
      <c r="DV20" s="164"/>
      <c r="DW20" s="164"/>
      <c r="DX20" s="164"/>
      <c r="DY20" s="164"/>
      <c r="DZ20" s="164"/>
      <c r="EA20" s="164"/>
      <c r="EB20" s="164"/>
      <c r="EC20" s="164"/>
      <c r="ED20" s="164"/>
      <c r="EE20" s="164"/>
      <c r="EF20" s="164"/>
      <c r="EG20" s="164"/>
      <c r="EH20" s="164"/>
      <c r="EI20" s="164"/>
      <c r="EJ20" s="164"/>
      <c r="EK20" s="164"/>
      <c r="EL20" s="164"/>
      <c r="EM20" s="164"/>
      <c r="EN20" s="164"/>
      <c r="EO20" s="164"/>
      <c r="EP20" s="164"/>
      <c r="EQ20" s="164"/>
      <c r="ER20" s="164"/>
      <c r="ES20" s="164"/>
      <c r="ET20" s="164"/>
      <c r="EU20" s="164"/>
      <c r="EV20" s="164"/>
      <c r="EW20" s="164"/>
      <c r="EX20" s="164"/>
      <c r="EY20" s="164"/>
      <c r="EZ20" s="164"/>
      <c r="FA20" s="164"/>
      <c r="FB20" s="164"/>
      <c r="FC20" s="164"/>
      <c r="FD20" s="164"/>
      <c r="FE20" s="164"/>
      <c r="FF20" s="164"/>
      <c r="FG20" s="164"/>
      <c r="FH20" s="164"/>
      <c r="FI20" s="164"/>
      <c r="FJ20" s="164"/>
      <c r="FK20" s="164"/>
      <c r="FL20" s="164"/>
      <c r="FM20" s="164"/>
      <c r="FN20" s="164"/>
      <c r="FO20" s="164"/>
      <c r="FP20" s="164"/>
      <c r="FQ20" s="164"/>
      <c r="FR20" s="164"/>
      <c r="FS20" s="164"/>
      <c r="FT20" s="164"/>
      <c r="FU20" s="164"/>
      <c r="FV20" s="164"/>
      <c r="FW20" s="164"/>
      <c r="FX20" s="164"/>
      <c r="FY20" s="164"/>
      <c r="FZ20" s="164"/>
      <c r="GA20" s="164"/>
      <c r="GB20" s="164"/>
      <c r="GC20" s="164"/>
      <c r="GD20" s="218"/>
    </row>
    <row r="21" spans="1:197" ht="35.25" customHeight="1" x14ac:dyDescent="0.3">
      <c r="A21" s="134">
        <v>11</v>
      </c>
      <c r="B21" s="156" t="s">
        <v>143</v>
      </c>
      <c r="C21" s="157" t="s">
        <v>176</v>
      </c>
      <c r="D21" s="157" t="s">
        <v>177</v>
      </c>
      <c r="E21" s="191">
        <v>740</v>
      </c>
      <c r="F21" s="171" t="s">
        <v>178</v>
      </c>
      <c r="G21" s="229">
        <v>726</v>
      </c>
      <c r="H21" s="239">
        <v>719</v>
      </c>
      <c r="I21" s="239">
        <v>719</v>
      </c>
      <c r="J21" s="239">
        <v>719</v>
      </c>
      <c r="K21" s="239">
        <v>719</v>
      </c>
      <c r="L21" s="239">
        <v>719</v>
      </c>
      <c r="M21" s="134">
        <v>719</v>
      </c>
      <c r="N21" s="240">
        <v>720</v>
      </c>
      <c r="O21" s="254">
        <f>'Apr-24'!AI77</f>
        <v>722.60963954926149</v>
      </c>
      <c r="P21" s="254">
        <f>'May-24'!AJ77</f>
        <v>724.58210197033577</v>
      </c>
      <c r="Q21" s="254">
        <f>'Jun-24'!AJ68</f>
        <v>724.9680164209741</v>
      </c>
      <c r="R21" s="254">
        <f>'Jul-24'!AJ68</f>
        <v>729.53478277257079</v>
      </c>
      <c r="S21" s="254">
        <f>'Aug-24'!AJ68</f>
        <v>732.28741444097886</v>
      </c>
      <c r="T21" s="254" t="str">
        <f>'Sep-24'!AJ68</f>
        <v>0</v>
      </c>
      <c r="U21" s="255">
        <f>'Aug-24'!AK68</f>
        <v>725.88903656299999</v>
      </c>
      <c r="V21" s="163" t="s">
        <v>179</v>
      </c>
      <c r="W21" s="163"/>
      <c r="X21" s="181">
        <f>'Apr-24'!E77</f>
        <v>722.5</v>
      </c>
      <c r="Y21" s="181">
        <f>'Apr-24'!F77</f>
        <v>731</v>
      </c>
      <c r="Z21" s="181">
        <f>'Apr-24'!G77</f>
        <v>721.4</v>
      </c>
      <c r="AA21" s="181">
        <f>'Apr-24'!H77</f>
        <v>720.4</v>
      </c>
      <c r="AB21" s="181">
        <f>'Apr-24'!I77</f>
        <v>722</v>
      </c>
      <c r="AC21" s="181">
        <f>'Apr-24'!J77</f>
        <v>722.4</v>
      </c>
      <c r="AD21" s="181">
        <f>'Apr-24'!K77</f>
        <v>721.6</v>
      </c>
      <c r="AE21" s="181">
        <f>'Apr-24'!L77</f>
        <v>722.4</v>
      </c>
      <c r="AF21" s="181">
        <f>'Apr-24'!M77</f>
        <v>721.5</v>
      </c>
      <c r="AG21" s="181">
        <f>'Apr-24'!N77</f>
        <v>721.8</v>
      </c>
      <c r="AH21" s="181">
        <f>'Apr-24'!O77</f>
        <v>722</v>
      </c>
      <c r="AI21" s="181">
        <f>'Apr-24'!P77</f>
        <v>722</v>
      </c>
      <c r="AJ21" s="181">
        <f>'Apr-24'!Q77</f>
        <v>722.4</v>
      </c>
      <c r="AK21" s="181">
        <f>'Apr-24'!R77</f>
        <v>722.4</v>
      </c>
      <c r="AL21" s="181">
        <f>'Apr-24'!S77</f>
        <v>720</v>
      </c>
      <c r="AM21" s="181">
        <f>'Apr-24'!T77</f>
        <v>723.4</v>
      </c>
      <c r="AN21" s="181">
        <f>'Apr-24'!U77</f>
        <v>722</v>
      </c>
      <c r="AO21" s="181">
        <f>'Apr-24'!V77</f>
        <v>721</v>
      </c>
      <c r="AP21" s="181">
        <f>'Apr-24'!W77</f>
        <v>720.5</v>
      </c>
      <c r="AQ21" s="181">
        <f>'Apr-24'!X77</f>
        <v>735</v>
      </c>
      <c r="AR21" s="181">
        <f>'Apr-24'!Y77</f>
        <v>721</v>
      </c>
      <c r="AS21" s="181">
        <f>'Apr-24'!Z77</f>
        <v>723</v>
      </c>
      <c r="AT21" s="181">
        <f>'Apr-24'!AA77</f>
        <v>720.4</v>
      </c>
      <c r="AU21" s="181">
        <f>'Apr-24'!AB77</f>
        <v>720</v>
      </c>
      <c r="AV21" s="181">
        <f>'Apr-24'!AC77</f>
        <v>720</v>
      </c>
      <c r="AW21" s="181">
        <f>'Apr-24'!AD77</f>
        <v>720</v>
      </c>
      <c r="AX21" s="181">
        <f>'Apr-24'!AE77</f>
        <v>721</v>
      </c>
      <c r="AY21" s="181">
        <f>'Apr-24'!AF77</f>
        <v>735</v>
      </c>
      <c r="AZ21" s="181">
        <f>'Apr-24'!AG77</f>
        <v>721</v>
      </c>
      <c r="BA21" s="181">
        <f>'Apr-24'!AH77</f>
        <v>723</v>
      </c>
      <c r="BB21" s="181">
        <f>'May-24'!E77</f>
        <v>730</v>
      </c>
      <c r="BC21" s="181">
        <f>'May-24'!F77</f>
        <v>721</v>
      </c>
      <c r="BD21" s="181">
        <f>'May-24'!G77</f>
        <v>731</v>
      </c>
      <c r="BE21" s="181">
        <f>'May-24'!H77</f>
        <v>730</v>
      </c>
      <c r="BF21" s="181">
        <f>'May-24'!I77</f>
        <v>730</v>
      </c>
      <c r="BG21" s="181">
        <f>'May-24'!J77</f>
        <v>728</v>
      </c>
      <c r="BH21" s="181">
        <f>'May-24'!K77</f>
        <v>726</v>
      </c>
      <c r="BI21" s="181">
        <f>'May-24'!L77</f>
        <v>721</v>
      </c>
      <c r="BJ21" s="181">
        <f>'May-24'!M77</f>
        <v>724</v>
      </c>
      <c r="BK21" s="181">
        <f>'May-24'!N77</f>
        <v>724</v>
      </c>
      <c r="BL21" s="181">
        <f>'May-24'!O77</f>
        <v>724</v>
      </c>
      <c r="BM21" s="181">
        <f>'May-24'!P77</f>
        <v>722</v>
      </c>
      <c r="BN21" s="181">
        <f>'May-24'!Q77</f>
        <v>722</v>
      </c>
      <c r="BO21" s="181">
        <f>'May-24'!R77</f>
        <v>723</v>
      </c>
      <c r="BP21" s="181">
        <f>'May-24'!S77</f>
        <v>724</v>
      </c>
      <c r="BQ21" s="181">
        <f>'May-24'!T77</f>
        <v>722</v>
      </c>
      <c r="BR21" s="181">
        <f>'May-24'!U77</f>
        <v>724</v>
      </c>
      <c r="BS21" s="181">
        <f>'May-24'!V77</f>
        <v>724</v>
      </c>
      <c r="BT21" s="181">
        <f>'May-24'!W77</f>
        <v>724</v>
      </c>
      <c r="BU21" s="181">
        <f>'May-24'!X77</f>
        <v>724</v>
      </c>
      <c r="BV21" s="181">
        <f>'May-24'!Y77</f>
        <v>724</v>
      </c>
      <c r="BW21" s="181">
        <f>'May-24'!Z77</f>
        <v>724</v>
      </c>
      <c r="BX21" s="181">
        <f>'May-24'!AA77</f>
        <v>721</v>
      </c>
      <c r="BY21" s="181">
        <f>'May-24'!AB77</f>
        <v>724</v>
      </c>
      <c r="BZ21" s="181">
        <f>'May-24'!AC77</f>
        <v>724</v>
      </c>
      <c r="CA21" s="181">
        <f>'May-24'!AD77</f>
        <v>724</v>
      </c>
      <c r="CB21" s="181">
        <f>'May-24'!AE77</f>
        <v>722</v>
      </c>
      <c r="CC21" s="181">
        <f>'May-24'!AF77</f>
        <v>740</v>
      </c>
      <c r="CD21" s="181">
        <f>'May-24'!AG77</f>
        <v>721</v>
      </c>
      <c r="CE21" s="181">
        <f>'May-24'!AH77</f>
        <v>720</v>
      </c>
      <c r="CF21" s="181">
        <f>'May-24'!AI77</f>
        <v>724</v>
      </c>
      <c r="CG21" s="181">
        <f>'Jun-24'!E68</f>
        <v>724</v>
      </c>
      <c r="CH21" s="181">
        <f>'Jun-24'!F68</f>
        <v>724</v>
      </c>
      <c r="CI21" s="181">
        <f>'Jun-24'!G68</f>
        <v>735</v>
      </c>
      <c r="CJ21" s="181">
        <f>'Jun-24'!H68</f>
        <v>724</v>
      </c>
      <c r="CK21" s="181">
        <f>'Jun-24'!I68</f>
        <v>724</v>
      </c>
      <c r="CL21" s="181">
        <f>'Jun-24'!J68</f>
        <v>724</v>
      </c>
      <c r="CM21" s="181">
        <f>'Jun-24'!K68</f>
        <v>723</v>
      </c>
      <c r="CN21" s="181">
        <f>'Jun-24'!L68</f>
        <v>724</v>
      </c>
      <c r="CO21" s="181">
        <f>'Jun-24'!M68</f>
        <v>724</v>
      </c>
      <c r="CP21" s="181">
        <f>'Jun-24'!N68</f>
        <v>724</v>
      </c>
      <c r="CQ21" s="181">
        <f>'Jun-24'!O68</f>
        <v>725</v>
      </c>
      <c r="CR21" s="181">
        <f>'Jun-24'!P68</f>
        <v>725</v>
      </c>
      <c r="CS21" s="181">
        <f>'Jun-24'!Q68</f>
        <v>725</v>
      </c>
      <c r="CT21" s="181">
        <f>'Jun-24'!R68</f>
        <v>724</v>
      </c>
      <c r="CU21" s="181">
        <f>'Jun-24'!S68</f>
        <v>725</v>
      </c>
      <c r="CV21" s="181">
        <f>'Jun-24'!T68</f>
        <v>724</v>
      </c>
      <c r="CW21" s="181">
        <f>'Jun-24'!U68</f>
        <v>725</v>
      </c>
      <c r="CX21" s="181">
        <f>'Jun-24'!V68</f>
        <v>726</v>
      </c>
      <c r="CY21" s="181">
        <f>'Jun-24'!W68</f>
        <v>725</v>
      </c>
      <c r="CZ21" s="181">
        <f>'Jun-24'!X68</f>
        <v>725</v>
      </c>
      <c r="DA21" s="181">
        <f>'Jun-24'!Y68</f>
        <v>726</v>
      </c>
      <c r="DB21" s="181">
        <f>'Jun-24'!Z68</f>
        <v>725</v>
      </c>
      <c r="DC21" s="181">
        <f>'Jun-24'!AA68</f>
        <v>725</v>
      </c>
      <c r="DD21" s="181">
        <f>'Jun-24'!AB68</f>
        <v>725</v>
      </c>
      <c r="DE21" s="181">
        <f>'Jun-24'!AC68</f>
        <v>725</v>
      </c>
      <c r="DF21" s="181">
        <f>'Jun-24'!AD68</f>
        <v>725</v>
      </c>
      <c r="DG21" s="181">
        <f>'Jun-24'!AE68</f>
        <v>725</v>
      </c>
      <c r="DH21" s="181">
        <f>'Jun-24'!AF68</f>
        <v>725</v>
      </c>
      <c r="DI21" s="181">
        <f>'Jun-24'!AG68</f>
        <v>725</v>
      </c>
      <c r="DJ21" s="181">
        <f>'Jun-24'!AH68</f>
        <v>725</v>
      </c>
      <c r="DK21" s="181">
        <f>'Jul-24'!E68</f>
        <v>725</v>
      </c>
      <c r="DL21" s="181">
        <f>'Jul-24'!F68</f>
        <v>723</v>
      </c>
      <c r="DM21" s="181">
        <f>'Jul-24'!G68</f>
        <v>724</v>
      </c>
      <c r="DN21" s="181">
        <f>'Jul-24'!H68</f>
        <v>723</v>
      </c>
      <c r="DO21" s="181">
        <f>'Jul-24'!I68</f>
        <v>724</v>
      </c>
      <c r="DP21" s="181">
        <f>'Jul-24'!J68</f>
        <v>725</v>
      </c>
      <c r="DQ21" s="181">
        <f>'Jul-24'!K68</f>
        <v>723</v>
      </c>
      <c r="DR21" s="181">
        <f>'Jul-24'!L68</f>
        <v>726</v>
      </c>
      <c r="DS21" s="181">
        <f>'Jul-24'!M68</f>
        <v>724</v>
      </c>
      <c r="DT21" s="181">
        <f>'Jul-24'!N68</f>
        <v>0</v>
      </c>
      <c r="DU21" s="181">
        <f>'Jul-24'!O68</f>
        <v>0</v>
      </c>
      <c r="DV21" s="181">
        <f>'Jul-24'!P68</f>
        <v>0</v>
      </c>
      <c r="DW21" s="181">
        <f>'Jul-24'!Q68</f>
        <v>801</v>
      </c>
      <c r="DX21" s="181">
        <f>'Jul-24'!R68</f>
        <v>760</v>
      </c>
      <c r="DY21" s="181">
        <f>'Jul-24'!S68</f>
        <v>725</v>
      </c>
      <c r="DZ21" s="181">
        <f>'Jul-24'!T68</f>
        <v>724</v>
      </c>
      <c r="EA21" s="181">
        <f>'Jul-24'!U68</f>
        <v>726</v>
      </c>
      <c r="EB21" s="181">
        <f>'Jul-24'!V68</f>
        <v>724</v>
      </c>
      <c r="EC21" s="181">
        <f>'Jul-24'!W68</f>
        <v>726</v>
      </c>
      <c r="ED21" s="181">
        <f>'Jul-24'!X68</f>
        <v>724</v>
      </c>
      <c r="EE21" s="181">
        <f>'Jul-24'!Y68</f>
        <v>723</v>
      </c>
      <c r="EF21" s="181">
        <f>'Jul-24'!Z68</f>
        <v>723</v>
      </c>
      <c r="EG21" s="181">
        <f>'Jul-24'!AA68</f>
        <v>723</v>
      </c>
      <c r="EH21" s="181">
        <f>'Jul-24'!AB68</f>
        <v>723</v>
      </c>
      <c r="EI21" s="181">
        <f>'Jul-24'!AC68</f>
        <v>723</v>
      </c>
      <c r="EJ21" s="181">
        <f>'Jul-24'!AD68</f>
        <v>723</v>
      </c>
      <c r="EK21" s="181">
        <f>'Jul-24'!AE68</f>
        <v>730</v>
      </c>
      <c r="EL21" s="181">
        <f>'Jul-24'!AF68</f>
        <v>0</v>
      </c>
      <c r="EM21" s="181">
        <f>'Jul-24'!AG68</f>
        <v>0</v>
      </c>
      <c r="EN21" s="181">
        <f>'Jul-24'!AH68</f>
        <v>0</v>
      </c>
      <c r="EO21" s="181">
        <f>'Jul-24'!AI68</f>
        <v>850</v>
      </c>
      <c r="EP21" s="181">
        <f>'Aug-24'!E68</f>
        <v>0</v>
      </c>
      <c r="EQ21" s="181">
        <f>'Aug-24'!F68</f>
        <v>0</v>
      </c>
      <c r="ER21" s="181">
        <f>'Aug-24'!G68</f>
        <v>909</v>
      </c>
      <c r="ES21" s="181">
        <f>'Aug-24'!H68</f>
        <v>739</v>
      </c>
      <c r="ET21" s="181">
        <f>'Aug-24'!I68</f>
        <v>726</v>
      </c>
      <c r="EU21" s="181">
        <f>'Aug-24'!J68</f>
        <v>725</v>
      </c>
      <c r="EV21" s="181">
        <f>'Aug-24'!K68</f>
        <v>726</v>
      </c>
      <c r="EW21" s="181">
        <f>'Aug-24'!L68</f>
        <v>726</v>
      </c>
      <c r="EX21" s="181">
        <f>'Aug-24'!M68</f>
        <v>723</v>
      </c>
      <c r="EY21" s="181">
        <f>'Aug-24'!N68</f>
        <v>724</v>
      </c>
      <c r="EZ21" s="181">
        <f>'Aug-24'!O68</f>
        <v>722</v>
      </c>
      <c r="FA21" s="181">
        <f>'Aug-24'!P68</f>
        <v>725</v>
      </c>
      <c r="FB21" s="181">
        <f>'Aug-24'!Q68</f>
        <v>725</v>
      </c>
      <c r="FC21" s="181">
        <f>'Aug-24'!R68</f>
        <v>726</v>
      </c>
      <c r="FD21" s="181">
        <f>'Aug-24'!S68</f>
        <v>726</v>
      </c>
      <c r="FE21" s="181">
        <f>'Aug-24'!T68</f>
        <v>727</v>
      </c>
      <c r="FF21" s="181">
        <f>'Aug-24'!U68</f>
        <v>0</v>
      </c>
      <c r="FG21" s="181">
        <f>'Aug-24'!V68</f>
        <v>0</v>
      </c>
      <c r="FH21" s="181">
        <f>'Aug-24'!W68</f>
        <v>0</v>
      </c>
      <c r="FI21" s="181">
        <f>'Aug-24'!X68</f>
        <v>0</v>
      </c>
      <c r="FJ21" s="181">
        <f>'Aug-24'!Y68</f>
        <v>0</v>
      </c>
      <c r="FK21" s="181">
        <f>'Aug-24'!Z68</f>
        <v>0</v>
      </c>
      <c r="FL21" s="181">
        <f>'Aug-24'!AA68</f>
        <v>0</v>
      </c>
      <c r="FM21" s="181">
        <f>'Aug-24'!AB68</f>
        <v>0</v>
      </c>
      <c r="FN21" s="181">
        <f>'Aug-24'!AC68</f>
        <v>0</v>
      </c>
      <c r="FO21" s="181">
        <f>'Aug-24'!AD68</f>
        <v>0</v>
      </c>
      <c r="FP21" s="181">
        <f>'Aug-24'!AE68</f>
        <v>0</v>
      </c>
      <c r="FQ21" s="181">
        <f>'Aug-24'!AF68</f>
        <v>0</v>
      </c>
      <c r="FR21" s="181">
        <f>'Aug-24'!AG68</f>
        <v>0</v>
      </c>
      <c r="FS21" s="181">
        <f>'Aug-24'!AH68</f>
        <v>0</v>
      </c>
      <c r="FT21" s="181">
        <f>'Aug-24'!AI68</f>
        <v>0</v>
      </c>
      <c r="FU21" s="181">
        <f>'Sep-24'!E68</f>
        <v>0</v>
      </c>
      <c r="FV21" s="181">
        <f>'Sep-24'!F68</f>
        <v>0</v>
      </c>
      <c r="FW21" s="181">
        <f>'Sep-24'!G68</f>
        <v>0</v>
      </c>
      <c r="FX21" s="181">
        <f>'Sep-24'!H68</f>
        <v>0</v>
      </c>
      <c r="FY21" s="181">
        <f>'Sep-24'!I68</f>
        <v>0</v>
      </c>
      <c r="FZ21" s="181">
        <f>'Sep-24'!J68</f>
        <v>0</v>
      </c>
      <c r="GA21" s="181">
        <f>'Sep-24'!K68</f>
        <v>0</v>
      </c>
      <c r="GB21" s="181">
        <f>'Sep-24'!L68</f>
        <v>0</v>
      </c>
      <c r="GC21" s="181">
        <f>'Sep-24'!M68</f>
        <v>0</v>
      </c>
      <c r="GD21" s="169">
        <v>719</v>
      </c>
      <c r="GE21" s="169">
        <v>719</v>
      </c>
      <c r="GF21" s="169">
        <v>719</v>
      </c>
      <c r="GG21" s="169">
        <v>719</v>
      </c>
      <c r="GH21" s="169">
        <v>719</v>
      </c>
      <c r="GI21" s="169">
        <v>719</v>
      </c>
      <c r="GJ21" s="169">
        <v>725</v>
      </c>
      <c r="GK21" s="169">
        <v>740</v>
      </c>
      <c r="GL21" s="169">
        <v>719</v>
      </c>
      <c r="GM21" s="169">
        <v>719</v>
      </c>
      <c r="GN21" s="169">
        <v>719</v>
      </c>
      <c r="GO21" s="169">
        <v>719</v>
      </c>
    </row>
    <row r="22" spans="1:197" ht="30" customHeight="1" x14ac:dyDescent="0.3">
      <c r="A22" s="134">
        <v>12</v>
      </c>
      <c r="B22" s="156" t="s">
        <v>145</v>
      </c>
      <c r="C22" s="157" t="s">
        <v>176</v>
      </c>
      <c r="D22" s="157" t="s">
        <v>177</v>
      </c>
      <c r="E22" s="191">
        <v>746</v>
      </c>
      <c r="F22" s="171" t="s">
        <v>180</v>
      </c>
      <c r="G22" s="229">
        <v>727.52693957948429</v>
      </c>
      <c r="H22" s="239">
        <v>735</v>
      </c>
      <c r="I22" s="239">
        <v>735</v>
      </c>
      <c r="J22" s="239">
        <v>735</v>
      </c>
      <c r="K22" s="239">
        <v>735</v>
      </c>
      <c r="L22" s="239">
        <v>735</v>
      </c>
      <c r="M22" s="134">
        <v>735</v>
      </c>
      <c r="N22" s="240">
        <v>737</v>
      </c>
      <c r="O22" s="254">
        <f>'Apr-24'!AI78</f>
        <v>737.94454051761716</v>
      </c>
      <c r="P22" s="254">
        <f>'May-24'!AJ78</f>
        <v>740.75648844955742</v>
      </c>
      <c r="Q22" s="254">
        <f>'Jun-24'!AJ69</f>
        <v>734.18246291395872</v>
      </c>
      <c r="R22" s="254">
        <f>'Jul-24'!AJ69</f>
        <v>735.17152455788266</v>
      </c>
      <c r="S22" s="254">
        <f>'Aug-24'!AJ69</f>
        <v>743.15887832178782</v>
      </c>
      <c r="T22" s="254">
        <f>'Sep-24'!AJ69</f>
        <v>737.7611470693995</v>
      </c>
      <c r="U22" s="255">
        <f>'Aug-24'!AK69</f>
        <v>738.54222620248231</v>
      </c>
      <c r="V22" s="163" t="s">
        <v>181</v>
      </c>
      <c r="W22" s="163"/>
      <c r="X22" s="181">
        <f>'Apr-24'!E78</f>
        <v>735</v>
      </c>
      <c r="Y22" s="181">
        <f>'Apr-24'!F78</f>
        <v>739.4</v>
      </c>
      <c r="Z22" s="181">
        <f>'Apr-24'!G78</f>
        <v>738</v>
      </c>
      <c r="AA22" s="181">
        <f>'Apr-24'!H78</f>
        <v>722</v>
      </c>
      <c r="AB22" s="181">
        <f>'Apr-24'!I78</f>
        <v>733</v>
      </c>
      <c r="AC22" s="181">
        <f>'Apr-24'!J78</f>
        <v>737</v>
      </c>
      <c r="AD22" s="181">
        <f>'Apr-24'!K78</f>
        <v>728</v>
      </c>
      <c r="AE22" s="181">
        <f>'Apr-24'!L78</f>
        <v>738</v>
      </c>
      <c r="AF22" s="181">
        <f>'Apr-24'!M78</f>
        <v>738</v>
      </c>
      <c r="AG22" s="181">
        <f>'Apr-24'!N78</f>
        <v>739.4</v>
      </c>
      <c r="AH22" s="181">
        <f>'Apr-24'!O78</f>
        <v>739</v>
      </c>
      <c r="AI22" s="181">
        <f>'Apr-24'!P78</f>
        <v>739.6</v>
      </c>
      <c r="AJ22" s="181">
        <f>'Apr-24'!Q78</f>
        <v>738</v>
      </c>
      <c r="AK22" s="181">
        <f>'Apr-24'!R78</f>
        <v>741</v>
      </c>
      <c r="AL22" s="181">
        <f>'Apr-24'!S78</f>
        <v>741</v>
      </c>
      <c r="AM22" s="181">
        <f>'Apr-24'!T78</f>
        <v>737.5</v>
      </c>
      <c r="AN22" s="181">
        <f>'Apr-24'!U78</f>
        <v>737.5</v>
      </c>
      <c r="AO22" s="181">
        <f>'Apr-24'!V78</f>
        <v>737</v>
      </c>
      <c r="AP22" s="181">
        <f>'Apr-24'!W78</f>
        <v>0</v>
      </c>
      <c r="AQ22" s="181">
        <f>'Apr-24'!X78</f>
        <v>742</v>
      </c>
      <c r="AR22" s="181">
        <f>'Apr-24'!Y78</f>
        <v>740.5</v>
      </c>
      <c r="AS22" s="181">
        <f>'Apr-24'!Z78</f>
        <v>740.4</v>
      </c>
      <c r="AT22" s="181">
        <f>'Apr-24'!AA78</f>
        <v>743</v>
      </c>
      <c r="AU22" s="181">
        <f>'Apr-24'!AB78</f>
        <v>741</v>
      </c>
      <c r="AV22" s="181">
        <f>'Apr-24'!AC78</f>
        <v>735</v>
      </c>
      <c r="AW22" s="181">
        <f>'Apr-24'!AD78</f>
        <v>741</v>
      </c>
      <c r="AX22" s="181">
        <f>'Apr-24'!AE78</f>
        <v>743</v>
      </c>
      <c r="AY22" s="181">
        <f>'Apr-24'!AF78</f>
        <v>742</v>
      </c>
      <c r="AZ22" s="181">
        <f>'Apr-24'!AG78</f>
        <v>738</v>
      </c>
      <c r="BA22" s="181">
        <f>'Apr-24'!AH78</f>
        <v>738</v>
      </c>
      <c r="BB22" s="181">
        <f>'May-24'!E78</f>
        <v>738</v>
      </c>
      <c r="BC22" s="181">
        <f>'May-24'!F78</f>
        <v>740</v>
      </c>
      <c r="BD22" s="181">
        <f>'May-24'!G78</f>
        <v>747</v>
      </c>
      <c r="BE22" s="181">
        <f>'May-24'!H78</f>
        <v>746</v>
      </c>
      <c r="BF22" s="181">
        <f>'May-24'!I78</f>
        <v>752</v>
      </c>
      <c r="BG22" s="181">
        <f>'May-24'!J78</f>
        <v>749</v>
      </c>
      <c r="BH22" s="181">
        <f>'May-24'!K78</f>
        <v>745</v>
      </c>
      <c r="BI22" s="181">
        <f>'May-24'!L78</f>
        <v>742</v>
      </c>
      <c r="BJ22" s="181">
        <f>'May-24'!M78</f>
        <v>742</v>
      </c>
      <c r="BK22" s="181">
        <f>'May-24'!N78</f>
        <v>742</v>
      </c>
      <c r="BL22" s="181">
        <f>'May-24'!O78</f>
        <v>745</v>
      </c>
      <c r="BM22" s="181">
        <f>'May-24'!P78</f>
        <v>746</v>
      </c>
      <c r="BN22" s="181">
        <f>'May-24'!Q78</f>
        <v>742</v>
      </c>
      <c r="BO22" s="181">
        <f>'May-24'!R78</f>
        <v>0</v>
      </c>
      <c r="BP22" s="181">
        <f>'May-24'!S78</f>
        <v>761</v>
      </c>
      <c r="BQ22" s="181">
        <f>'May-24'!T78</f>
        <v>742</v>
      </c>
      <c r="BR22" s="181">
        <f>'May-24'!U78</f>
        <v>740</v>
      </c>
      <c r="BS22" s="181">
        <f>'May-24'!V78</f>
        <v>738</v>
      </c>
      <c r="BT22" s="181">
        <f>'May-24'!W78</f>
        <v>741</v>
      </c>
      <c r="BU22" s="181">
        <f>'May-24'!X78</f>
        <v>739</v>
      </c>
      <c r="BV22" s="181">
        <f>'May-24'!Y78</f>
        <v>739</v>
      </c>
      <c r="BW22" s="181">
        <f>'May-24'!Z78</f>
        <v>740</v>
      </c>
      <c r="BX22" s="181">
        <f>'May-24'!AA78</f>
        <v>739</v>
      </c>
      <c r="BY22" s="181">
        <f>'May-24'!AB78</f>
        <v>736</v>
      </c>
      <c r="BZ22" s="181">
        <f>'May-24'!AC78</f>
        <v>737</v>
      </c>
      <c r="CA22" s="181">
        <f>'May-24'!AD78</f>
        <v>735</v>
      </c>
      <c r="CB22" s="181">
        <f>'May-24'!AE78</f>
        <v>735</v>
      </c>
      <c r="CC22" s="181">
        <f>'May-24'!AF78</f>
        <v>739</v>
      </c>
      <c r="CD22" s="181">
        <f>'May-24'!AG78</f>
        <v>737</v>
      </c>
      <c r="CE22" s="181">
        <f>'May-24'!AH78</f>
        <v>730</v>
      </c>
      <c r="CF22" s="181">
        <f>'May-24'!AI78</f>
        <v>725</v>
      </c>
      <c r="CG22" s="181">
        <f>'Jun-24'!E69</f>
        <v>725</v>
      </c>
      <c r="CH22" s="181">
        <f>'Jun-24'!F69</f>
        <v>725</v>
      </c>
      <c r="CI22" s="181">
        <f>'Jun-24'!G69</f>
        <v>730</v>
      </c>
      <c r="CJ22" s="181">
        <f>'Jun-24'!H69</f>
        <v>740</v>
      </c>
      <c r="CK22" s="181">
        <f>'Jun-24'!I69</f>
        <v>0</v>
      </c>
      <c r="CL22" s="181">
        <f>'Jun-24'!J69</f>
        <v>0</v>
      </c>
      <c r="CM22" s="181">
        <f>'Jun-24'!K69</f>
        <v>765</v>
      </c>
      <c r="CN22" s="181">
        <f>'Jun-24'!L69</f>
        <v>741</v>
      </c>
      <c r="CO22" s="181">
        <f>'Jun-24'!M69</f>
        <v>743</v>
      </c>
      <c r="CP22" s="181">
        <f>'Jun-24'!N69</f>
        <v>736</v>
      </c>
      <c r="CQ22" s="181">
        <f>'Jun-24'!O69</f>
        <v>723</v>
      </c>
      <c r="CR22" s="181">
        <f>'Jun-24'!P69</f>
        <v>732</v>
      </c>
      <c r="CS22" s="181">
        <f>'Jun-24'!Q69</f>
        <v>735</v>
      </c>
      <c r="CT22" s="181">
        <f>'Jun-24'!R69</f>
        <v>725</v>
      </c>
      <c r="CU22" s="181">
        <f>'Jun-24'!S69</f>
        <v>740</v>
      </c>
      <c r="CV22" s="181">
        <f>'Jun-24'!T69</f>
        <v>737</v>
      </c>
      <c r="CW22" s="181">
        <f>'Jun-24'!U69</f>
        <v>747</v>
      </c>
      <c r="CX22" s="181">
        <f>'Jun-24'!V69</f>
        <v>736</v>
      </c>
      <c r="CY22" s="181">
        <f>'Jun-24'!W69</f>
        <v>741</v>
      </c>
      <c r="CZ22" s="181">
        <f>'Jun-24'!X69</f>
        <v>738</v>
      </c>
      <c r="DA22" s="181">
        <f>'Jun-24'!Y69</f>
        <v>738</v>
      </c>
      <c r="DB22" s="181">
        <f>'Jun-24'!Z69</f>
        <v>735</v>
      </c>
      <c r="DC22" s="181">
        <f>'Jun-24'!AA69</f>
        <v>735</v>
      </c>
      <c r="DD22" s="181">
        <f>'Jun-24'!AB69</f>
        <v>731</v>
      </c>
      <c r="DE22" s="181">
        <f>'Jun-24'!AC69</f>
        <v>728</v>
      </c>
      <c r="DF22" s="181">
        <f>'Jun-24'!AD69</f>
        <v>724</v>
      </c>
      <c r="DG22" s="181">
        <f>'Jun-24'!AE69</f>
        <v>726</v>
      </c>
      <c r="DH22" s="181">
        <f>'Jun-24'!AF69</f>
        <v>730</v>
      </c>
      <c r="DI22" s="181">
        <f>'Jun-24'!AG69</f>
        <v>730</v>
      </c>
      <c r="DJ22" s="181">
        <f>'Jun-24'!AH69</f>
        <v>732</v>
      </c>
      <c r="DK22" s="181">
        <f>'Jul-24'!E69</f>
        <v>734</v>
      </c>
      <c r="DL22" s="181">
        <f>'Jul-24'!F69</f>
        <v>730</v>
      </c>
      <c r="DM22" s="181">
        <f>'Jul-24'!G69</f>
        <v>745</v>
      </c>
      <c r="DN22" s="181">
        <f>'Jul-24'!H69</f>
        <v>735</v>
      </c>
      <c r="DO22" s="181">
        <f>'Jul-24'!I69</f>
        <v>737</v>
      </c>
      <c r="DP22" s="181">
        <f>'Jul-24'!J69</f>
        <v>738</v>
      </c>
      <c r="DQ22" s="181">
        <f>'Jul-24'!K69</f>
        <v>735</v>
      </c>
      <c r="DR22" s="181">
        <f>'Jul-24'!L69</f>
        <v>734</v>
      </c>
      <c r="DS22" s="181">
        <f>'Jul-24'!M69</f>
        <v>735</v>
      </c>
      <c r="DT22" s="181">
        <f>'Jul-24'!N69</f>
        <v>735</v>
      </c>
      <c r="DU22" s="181">
        <f>'Jul-24'!O69</f>
        <v>725</v>
      </c>
      <c r="DV22" s="181">
        <f>'Jul-24'!P69</f>
        <v>726</v>
      </c>
      <c r="DW22" s="181">
        <f>'Jul-24'!Q69</f>
        <v>725</v>
      </c>
      <c r="DX22" s="181">
        <f>'Jul-24'!R69</f>
        <v>724</v>
      </c>
      <c r="DY22" s="181">
        <f>'Jul-24'!S69</f>
        <v>739</v>
      </c>
      <c r="DZ22" s="181">
        <f>'Jul-24'!T69</f>
        <v>738</v>
      </c>
      <c r="EA22" s="181">
        <f>'Jul-24'!U69</f>
        <v>742</v>
      </c>
      <c r="EB22" s="181">
        <f>'Jul-24'!V69</f>
        <v>727</v>
      </c>
      <c r="EC22" s="181">
        <f>'Jul-24'!W69</f>
        <v>0</v>
      </c>
      <c r="ED22" s="181">
        <f>'Jul-24'!X69</f>
        <v>0</v>
      </c>
      <c r="EE22" s="181">
        <f>'Jul-24'!Y69</f>
        <v>0</v>
      </c>
      <c r="EF22" s="181">
        <f>'Jul-24'!Z69</f>
        <v>0</v>
      </c>
      <c r="EG22" s="181">
        <f>'Jul-24'!AA69</f>
        <v>0</v>
      </c>
      <c r="EH22" s="181">
        <f>'Jul-24'!AB69</f>
        <v>0</v>
      </c>
      <c r="EI22" s="181">
        <f>'Jul-24'!AC69</f>
        <v>0</v>
      </c>
      <c r="EJ22" s="181">
        <f>'Jul-24'!AD69</f>
        <v>0</v>
      </c>
      <c r="EK22" s="181">
        <f>'Jul-24'!AE69</f>
        <v>0</v>
      </c>
      <c r="EL22" s="181">
        <f>'Jul-24'!AF69</f>
        <v>0</v>
      </c>
      <c r="EM22" s="181">
        <f>'Jul-24'!AG69</f>
        <v>0</v>
      </c>
      <c r="EN22" s="181">
        <f>'Jul-24'!AH69</f>
        <v>0</v>
      </c>
      <c r="EO22" s="181">
        <f>'Jul-24'!AI69</f>
        <v>875</v>
      </c>
      <c r="EP22" s="181">
        <f>'Aug-24'!E69</f>
        <v>852</v>
      </c>
      <c r="EQ22" s="181">
        <f>'Aug-24'!F69</f>
        <v>741</v>
      </c>
      <c r="ER22" s="181">
        <f>'Aug-24'!G69</f>
        <v>752</v>
      </c>
      <c r="ES22" s="181">
        <f>'Aug-24'!H69</f>
        <v>755</v>
      </c>
      <c r="ET22" s="181">
        <f>'Aug-24'!I69</f>
        <v>756</v>
      </c>
      <c r="EU22" s="181">
        <f>'Aug-24'!J69</f>
        <v>741</v>
      </c>
      <c r="EV22" s="181">
        <f>'Aug-24'!K69</f>
        <v>740</v>
      </c>
      <c r="EW22" s="181">
        <f>'Aug-24'!L69</f>
        <v>736</v>
      </c>
      <c r="EX22" s="181">
        <f>'Aug-24'!M69</f>
        <v>734</v>
      </c>
      <c r="EY22" s="181">
        <f>'Aug-24'!N69</f>
        <v>734</v>
      </c>
      <c r="EZ22" s="181">
        <f>'Aug-24'!O69</f>
        <v>736</v>
      </c>
      <c r="FA22" s="181">
        <f>'Aug-24'!P69</f>
        <v>734</v>
      </c>
      <c r="FB22" s="181">
        <f>'Aug-24'!Q69</f>
        <v>738</v>
      </c>
      <c r="FC22" s="181">
        <f>'Aug-24'!R69</f>
        <v>739</v>
      </c>
      <c r="FD22" s="181">
        <f>'Aug-24'!S69</f>
        <v>738</v>
      </c>
      <c r="FE22" s="181">
        <f>'Aug-24'!T69</f>
        <v>739</v>
      </c>
      <c r="FF22" s="181">
        <f>'Aug-24'!U69</f>
        <v>739</v>
      </c>
      <c r="FG22" s="181">
        <f>'Aug-24'!V69</f>
        <v>739</v>
      </c>
      <c r="FH22" s="181">
        <f>'Aug-24'!W69</f>
        <v>738</v>
      </c>
      <c r="FI22" s="181">
        <f>'Aug-24'!X69</f>
        <v>736</v>
      </c>
      <c r="FJ22" s="181">
        <f>'Aug-24'!Y69</f>
        <v>750</v>
      </c>
      <c r="FK22" s="181">
        <f>'Aug-24'!Z69</f>
        <v>760</v>
      </c>
      <c r="FL22" s="181">
        <f>'Aug-24'!AA69</f>
        <v>739</v>
      </c>
      <c r="FM22" s="181">
        <f>'Aug-24'!AB69</f>
        <v>739</v>
      </c>
      <c r="FN22" s="181">
        <f>'Aug-24'!AC69</f>
        <v>752</v>
      </c>
      <c r="FO22" s="181">
        <f>'Aug-24'!AD69</f>
        <v>736</v>
      </c>
      <c r="FP22" s="181">
        <f>'Aug-24'!AE69</f>
        <v>736</v>
      </c>
      <c r="FQ22" s="181">
        <f>'Aug-24'!AF69</f>
        <v>737</v>
      </c>
      <c r="FR22" s="181">
        <f>'Aug-24'!AG69</f>
        <v>736</v>
      </c>
      <c r="FS22" s="181">
        <f>'Aug-24'!AH69</f>
        <v>739</v>
      </c>
      <c r="FT22" s="181">
        <f>'Aug-24'!AI69</f>
        <v>739</v>
      </c>
      <c r="FU22" s="181">
        <f>'Sep-24'!E69</f>
        <v>739</v>
      </c>
      <c r="FV22" s="181">
        <f>'Sep-24'!F69</f>
        <v>739</v>
      </c>
      <c r="FW22" s="181">
        <f>'Sep-24'!G69</f>
        <v>736</v>
      </c>
      <c r="FX22" s="181">
        <f>'Sep-24'!H69</f>
        <v>737</v>
      </c>
      <c r="FY22" s="181">
        <f>'Sep-24'!I69</f>
        <v>738</v>
      </c>
      <c r="FZ22" s="181">
        <f>'Sep-24'!J69</f>
        <v>0</v>
      </c>
      <c r="GA22" s="181">
        <f>'Sep-24'!K69</f>
        <v>0</v>
      </c>
      <c r="GB22" s="181">
        <f>'Sep-24'!L69</f>
        <v>0</v>
      </c>
      <c r="GC22" s="181">
        <f>'Sep-24'!M69</f>
        <v>0</v>
      </c>
      <c r="GD22" s="169">
        <v>735</v>
      </c>
      <c r="GE22" s="169">
        <v>735</v>
      </c>
      <c r="GF22" s="169">
        <v>735</v>
      </c>
      <c r="GG22" s="169">
        <v>735</v>
      </c>
      <c r="GH22" s="169">
        <v>735</v>
      </c>
      <c r="GI22" s="169">
        <v>735</v>
      </c>
      <c r="GJ22" s="169">
        <v>735</v>
      </c>
      <c r="GK22" s="169">
        <v>735</v>
      </c>
      <c r="GL22" s="169">
        <v>735</v>
      </c>
      <c r="GM22" s="169">
        <v>745</v>
      </c>
      <c r="GN22" s="169">
        <v>770</v>
      </c>
      <c r="GO22" s="169">
        <v>735</v>
      </c>
    </row>
    <row r="23" spans="1:197" ht="36" hidden="1" x14ac:dyDescent="0.3">
      <c r="A23" s="246">
        <v>12</v>
      </c>
      <c r="B23" s="247" t="s">
        <v>182</v>
      </c>
      <c r="C23" s="248" t="s">
        <v>183</v>
      </c>
      <c r="D23" s="248" t="s">
        <v>34</v>
      </c>
      <c r="E23" s="192"/>
      <c r="F23" s="193" t="s">
        <v>160</v>
      </c>
      <c r="G23" s="234">
        <v>9.7407855191256845E-2</v>
      </c>
      <c r="H23" s="167"/>
      <c r="I23" s="167"/>
      <c r="J23" s="167"/>
      <c r="K23" s="167"/>
      <c r="L23" s="167"/>
      <c r="M23" s="214"/>
      <c r="N23" s="178">
        <v>142.75458122958122</v>
      </c>
      <c r="O23" s="254" t="e">
        <f>'Apr-24'!AI27</f>
        <v>#DIV/0!</v>
      </c>
      <c r="P23" s="254" t="e">
        <f>'May-24'!AJ27</f>
        <v>#DIV/0!</v>
      </c>
      <c r="Q23" s="254" t="e">
        <f>'Jun-24'!AJ27</f>
        <v>#DIV/0!</v>
      </c>
      <c r="R23" s="254" t="e">
        <f>'Jul-24'!AJ27</f>
        <v>#DIV/0!</v>
      </c>
      <c r="S23" s="254" t="e">
        <f>'Aug-24'!AJ27</f>
        <v>#DIV/0!</v>
      </c>
      <c r="T23" s="254" t="e">
        <f>'Sep-24'!AJ27</f>
        <v>#DIV/0!</v>
      </c>
      <c r="U23" s="256">
        <f>(AVERAGE(X23:BA23)*275)/1000</f>
        <v>0</v>
      </c>
      <c r="V23" s="163"/>
      <c r="W23" s="163"/>
      <c r="X23" s="181">
        <f>'Apr-24'!E79</f>
        <v>0</v>
      </c>
      <c r="Y23" s="181">
        <f>'Apr-24'!F79</f>
        <v>0</v>
      </c>
      <c r="Z23" s="181">
        <f>'Apr-24'!G79</f>
        <v>0</v>
      </c>
      <c r="AA23" s="181">
        <f>'Apr-24'!H79</f>
        <v>0</v>
      </c>
      <c r="AB23" s="181">
        <f>'Apr-24'!I79</f>
        <v>0</v>
      </c>
      <c r="AC23" s="181">
        <f>'Apr-24'!J79</f>
        <v>0</v>
      </c>
      <c r="AD23" s="181">
        <f>'Apr-24'!K79</f>
        <v>0</v>
      </c>
      <c r="AE23" s="181">
        <f>'Apr-24'!L79</f>
        <v>0</v>
      </c>
      <c r="AF23" s="181">
        <f>'Apr-24'!M79</f>
        <v>0</v>
      </c>
      <c r="AG23" s="181">
        <f>'Apr-24'!N79</f>
        <v>0</v>
      </c>
      <c r="AH23" s="181">
        <f>'Apr-24'!O79</f>
        <v>0</v>
      </c>
      <c r="AI23" s="181">
        <f>'Apr-24'!P79</f>
        <v>0</v>
      </c>
      <c r="AJ23" s="181">
        <f>'Apr-24'!Q79</f>
        <v>0</v>
      </c>
      <c r="AK23" s="181">
        <f>'Apr-24'!R79</f>
        <v>0</v>
      </c>
      <c r="AL23" s="181">
        <f>'Apr-24'!S79</f>
        <v>0</v>
      </c>
      <c r="AM23" s="181">
        <f>'Apr-24'!T79</f>
        <v>0</v>
      </c>
      <c r="AN23" s="181">
        <f>'Apr-24'!U79</f>
        <v>0</v>
      </c>
      <c r="AO23" s="181">
        <f>'Apr-24'!V79</f>
        <v>0</v>
      </c>
      <c r="AP23" s="181">
        <f>'Apr-24'!W79</f>
        <v>0</v>
      </c>
      <c r="AQ23" s="181">
        <f>'Apr-24'!X79</f>
        <v>0</v>
      </c>
      <c r="AR23" s="181">
        <f>'Apr-24'!Y79</f>
        <v>0</v>
      </c>
      <c r="AS23" s="181">
        <f>'Apr-24'!Z79</f>
        <v>0</v>
      </c>
      <c r="AT23" s="181">
        <f>'Apr-24'!AA79</f>
        <v>0</v>
      </c>
      <c r="AU23" s="181">
        <f>'Apr-24'!AB79</f>
        <v>0</v>
      </c>
      <c r="AV23" s="181">
        <f>'Apr-24'!AC79</f>
        <v>0</v>
      </c>
      <c r="AW23" s="181">
        <f>'Apr-24'!AD79</f>
        <v>0</v>
      </c>
      <c r="AX23" s="181">
        <f>'Apr-24'!AE79</f>
        <v>0</v>
      </c>
      <c r="AY23" s="181">
        <f>'Apr-24'!AF79</f>
        <v>0</v>
      </c>
      <c r="AZ23" s="181">
        <f>'Apr-24'!AG79</f>
        <v>0</v>
      </c>
      <c r="BA23" s="181">
        <f>'Apr-24'!AH79</f>
        <v>0</v>
      </c>
      <c r="BB23" s="181">
        <f>'May-24'!E79</f>
        <v>0</v>
      </c>
      <c r="BC23" s="181">
        <f>'May-24'!F79</f>
        <v>0</v>
      </c>
      <c r="BD23" s="181">
        <f>'May-24'!G79</f>
        <v>0</v>
      </c>
      <c r="BE23" s="181">
        <f>'May-24'!H79</f>
        <v>0</v>
      </c>
      <c r="BF23" s="181">
        <f>'May-24'!I79</f>
        <v>0</v>
      </c>
      <c r="BG23" s="181">
        <f>'May-24'!J79</f>
        <v>0</v>
      </c>
      <c r="BH23" s="181">
        <f>'May-24'!K79</f>
        <v>0</v>
      </c>
      <c r="BI23" s="181">
        <f>'May-24'!L79</f>
        <v>0</v>
      </c>
      <c r="BJ23" s="181">
        <f>'May-24'!M79</f>
        <v>0</v>
      </c>
      <c r="BK23" s="181">
        <f>'May-24'!N79</f>
        <v>0</v>
      </c>
      <c r="BL23" s="181">
        <f>'May-24'!O79</f>
        <v>0</v>
      </c>
      <c r="BM23" s="181">
        <f>'May-24'!P79</f>
        <v>0</v>
      </c>
      <c r="BN23" s="181">
        <f>'May-24'!Q79</f>
        <v>0</v>
      </c>
      <c r="BO23" s="181">
        <f>'May-24'!R79</f>
        <v>0</v>
      </c>
      <c r="BP23" s="181">
        <f>'May-24'!S79</f>
        <v>0</v>
      </c>
      <c r="BQ23" s="181">
        <f>'May-24'!T79</f>
        <v>0</v>
      </c>
      <c r="BR23" s="181">
        <f>'May-24'!U79</f>
        <v>0</v>
      </c>
      <c r="BS23" s="181">
        <f>'May-24'!V79</f>
        <v>0</v>
      </c>
      <c r="BT23" s="181">
        <f>'May-24'!W79</f>
        <v>0</v>
      </c>
      <c r="BU23" s="181">
        <f>'May-24'!X79</f>
        <v>0</v>
      </c>
      <c r="BV23" s="181">
        <f>'May-24'!Y79</f>
        <v>0</v>
      </c>
      <c r="BW23" s="181">
        <f>'May-24'!Z79</f>
        <v>0</v>
      </c>
      <c r="BX23" s="181">
        <f>'May-24'!AA79</f>
        <v>0</v>
      </c>
      <c r="BY23" s="181">
        <f>'May-24'!AB79</f>
        <v>0</v>
      </c>
      <c r="BZ23" s="181">
        <f>'May-24'!AC79</f>
        <v>0</v>
      </c>
      <c r="CA23" s="181">
        <f>'May-24'!AD79</f>
        <v>0</v>
      </c>
      <c r="CB23" s="181">
        <f>'May-24'!AE79</f>
        <v>0</v>
      </c>
      <c r="CC23" s="181">
        <f>'May-24'!AF79</f>
        <v>0</v>
      </c>
      <c r="CD23" s="181">
        <f>'May-24'!AG79</f>
        <v>0</v>
      </c>
      <c r="CE23" s="181">
        <f>'May-24'!AH79</f>
        <v>0</v>
      </c>
      <c r="CF23" s="181">
        <f>'May-24'!AI79</f>
        <v>0</v>
      </c>
      <c r="CG23" s="181" t="e">
        <f>'Jun-24'!#REF!</f>
        <v>#REF!</v>
      </c>
      <c r="CH23" s="181" t="e">
        <f>'Jun-24'!#REF!</f>
        <v>#REF!</v>
      </c>
      <c r="CI23" s="181" t="e">
        <f>'Jun-24'!#REF!</f>
        <v>#REF!</v>
      </c>
      <c r="CJ23" s="181" t="e">
        <f>'Jun-24'!#REF!</f>
        <v>#REF!</v>
      </c>
      <c r="CK23" s="181" t="e">
        <f>'Jun-24'!#REF!</f>
        <v>#REF!</v>
      </c>
      <c r="CL23" s="181" t="e">
        <f>'Jun-24'!#REF!</f>
        <v>#REF!</v>
      </c>
      <c r="CM23" s="181" t="e">
        <f>'Jun-24'!#REF!</f>
        <v>#REF!</v>
      </c>
      <c r="CN23" s="181" t="e">
        <f>'Jun-24'!#REF!</f>
        <v>#REF!</v>
      </c>
      <c r="CO23" s="181" t="e">
        <f>'Jun-24'!#REF!</f>
        <v>#REF!</v>
      </c>
      <c r="CP23" s="181" t="e">
        <f>'Jun-24'!#REF!</f>
        <v>#REF!</v>
      </c>
      <c r="CQ23" s="181" t="e">
        <f>'Jun-24'!#REF!</f>
        <v>#REF!</v>
      </c>
      <c r="CR23" s="181" t="e">
        <f>'Jun-24'!#REF!</f>
        <v>#REF!</v>
      </c>
      <c r="CS23" s="181" t="e">
        <f>'Jun-24'!#REF!</f>
        <v>#REF!</v>
      </c>
      <c r="CT23" s="181" t="e">
        <f>'Jun-24'!#REF!</f>
        <v>#REF!</v>
      </c>
      <c r="CU23" s="181" t="e">
        <f>'Jun-24'!#REF!</f>
        <v>#REF!</v>
      </c>
      <c r="CV23" s="181" t="e">
        <f>'Jun-24'!#REF!</f>
        <v>#REF!</v>
      </c>
      <c r="CW23" s="181" t="e">
        <f>'Jun-24'!#REF!</f>
        <v>#REF!</v>
      </c>
      <c r="CX23" s="181" t="e">
        <f>'Jun-24'!#REF!</f>
        <v>#REF!</v>
      </c>
      <c r="CY23" s="181" t="e">
        <f>'Jun-24'!#REF!</f>
        <v>#REF!</v>
      </c>
      <c r="CZ23" s="181" t="e">
        <f>'Jun-24'!#REF!</f>
        <v>#REF!</v>
      </c>
      <c r="DA23" s="181" t="e">
        <f>'Jun-24'!#REF!</f>
        <v>#REF!</v>
      </c>
      <c r="DB23" s="181" t="e">
        <f>'Jun-24'!#REF!</f>
        <v>#REF!</v>
      </c>
      <c r="DC23" s="181" t="e">
        <f>'Jun-24'!#REF!</f>
        <v>#REF!</v>
      </c>
      <c r="DD23" s="181" t="e">
        <f>'Jun-24'!#REF!</f>
        <v>#REF!</v>
      </c>
      <c r="DE23" s="181" t="e">
        <f>'Jun-24'!#REF!</f>
        <v>#REF!</v>
      </c>
      <c r="DF23" s="181" t="e">
        <f>'Jun-24'!#REF!</f>
        <v>#REF!</v>
      </c>
      <c r="DG23" s="181" t="e">
        <f>'Jun-24'!#REF!</f>
        <v>#REF!</v>
      </c>
      <c r="DH23" s="181" t="e">
        <f>'Jun-24'!#REF!</f>
        <v>#REF!</v>
      </c>
      <c r="DI23" s="181" t="e">
        <f>'Jun-24'!#REF!</f>
        <v>#REF!</v>
      </c>
      <c r="DJ23" s="181" t="e">
        <f>'Jun-24'!#REF!</f>
        <v>#REF!</v>
      </c>
      <c r="DK23" s="181" t="e">
        <f>'Jul-24'!#REF!</f>
        <v>#REF!</v>
      </c>
      <c r="DL23" s="181" t="e">
        <f>'Jul-24'!#REF!</f>
        <v>#REF!</v>
      </c>
      <c r="DM23" s="181" t="e">
        <f>'Jul-24'!#REF!</f>
        <v>#REF!</v>
      </c>
      <c r="DN23" s="181" t="e">
        <f>'Jul-24'!#REF!</f>
        <v>#REF!</v>
      </c>
      <c r="DO23" s="181" t="e">
        <f>'Jul-24'!#REF!</f>
        <v>#REF!</v>
      </c>
      <c r="DP23" s="181" t="e">
        <f>'Jul-24'!#REF!</f>
        <v>#REF!</v>
      </c>
      <c r="DQ23" s="181" t="e">
        <f>'Jul-24'!#REF!</f>
        <v>#REF!</v>
      </c>
      <c r="DR23" s="181" t="e">
        <f>'Jul-24'!#REF!</f>
        <v>#REF!</v>
      </c>
      <c r="DS23" s="181" t="e">
        <f>'Jul-24'!#REF!</f>
        <v>#REF!</v>
      </c>
      <c r="DT23" s="181" t="e">
        <f>'Jul-24'!#REF!</f>
        <v>#REF!</v>
      </c>
      <c r="DU23" s="181" t="e">
        <f>'Jul-24'!#REF!</f>
        <v>#REF!</v>
      </c>
      <c r="DV23" s="181" t="e">
        <f>'Jul-24'!#REF!</f>
        <v>#REF!</v>
      </c>
      <c r="DW23" s="181" t="e">
        <f>'Jul-24'!#REF!</f>
        <v>#REF!</v>
      </c>
      <c r="DX23" s="181" t="e">
        <f>'Jul-24'!#REF!</f>
        <v>#REF!</v>
      </c>
      <c r="DY23" s="181" t="e">
        <f>'Jul-24'!#REF!</f>
        <v>#REF!</v>
      </c>
      <c r="DZ23" s="181" t="e">
        <f>'Jul-24'!#REF!</f>
        <v>#REF!</v>
      </c>
      <c r="EA23" s="181" t="e">
        <f>'Jul-24'!#REF!</f>
        <v>#REF!</v>
      </c>
      <c r="EB23" s="181" t="e">
        <f>'Jul-24'!#REF!</f>
        <v>#REF!</v>
      </c>
      <c r="EC23" s="181" t="e">
        <f>'Jul-24'!#REF!</f>
        <v>#REF!</v>
      </c>
      <c r="ED23" s="181" t="e">
        <f>'Jul-24'!#REF!</f>
        <v>#REF!</v>
      </c>
      <c r="EE23" s="181" t="e">
        <f>'Jul-24'!#REF!</f>
        <v>#REF!</v>
      </c>
      <c r="EF23" s="181" t="e">
        <f>'Jul-24'!#REF!</f>
        <v>#REF!</v>
      </c>
      <c r="EG23" s="181" t="e">
        <f>'Jul-24'!#REF!</f>
        <v>#REF!</v>
      </c>
      <c r="EH23" s="181" t="e">
        <f>'Jul-24'!#REF!</f>
        <v>#REF!</v>
      </c>
      <c r="EI23" s="181" t="e">
        <f>'Jul-24'!#REF!</f>
        <v>#REF!</v>
      </c>
      <c r="EJ23" s="181" t="e">
        <f>'Jul-24'!#REF!</f>
        <v>#REF!</v>
      </c>
      <c r="EK23" s="181" t="e">
        <f>'Jul-24'!#REF!</f>
        <v>#REF!</v>
      </c>
      <c r="EL23" s="181" t="e">
        <f>'Jul-24'!#REF!</f>
        <v>#REF!</v>
      </c>
      <c r="EM23" s="181" t="e">
        <f>'Jul-24'!#REF!</f>
        <v>#REF!</v>
      </c>
      <c r="EN23" s="181" t="e">
        <f>'Jul-24'!#REF!</f>
        <v>#REF!</v>
      </c>
      <c r="EO23" s="181" t="e">
        <f>'Jul-24'!#REF!</f>
        <v>#REF!</v>
      </c>
      <c r="EP23" s="181" t="e">
        <f>'Aug-24'!#REF!</f>
        <v>#REF!</v>
      </c>
      <c r="EQ23" s="181" t="e">
        <f>'Aug-24'!#REF!</f>
        <v>#REF!</v>
      </c>
      <c r="ER23" s="181" t="e">
        <f>'Aug-24'!#REF!</f>
        <v>#REF!</v>
      </c>
      <c r="ES23" s="181" t="e">
        <f>'Aug-24'!#REF!</f>
        <v>#REF!</v>
      </c>
      <c r="ET23" s="181" t="e">
        <f>'Aug-24'!#REF!</f>
        <v>#REF!</v>
      </c>
      <c r="EU23" s="181" t="e">
        <f>'Aug-24'!#REF!</f>
        <v>#REF!</v>
      </c>
      <c r="EV23" s="181" t="e">
        <f>'Aug-24'!#REF!</f>
        <v>#REF!</v>
      </c>
      <c r="EW23" s="181" t="e">
        <f>'Aug-24'!#REF!</f>
        <v>#REF!</v>
      </c>
      <c r="EX23" s="181" t="e">
        <f>'Aug-24'!#REF!</f>
        <v>#REF!</v>
      </c>
      <c r="EY23" s="181" t="e">
        <f>'Aug-24'!#REF!</f>
        <v>#REF!</v>
      </c>
      <c r="EZ23" s="181" t="e">
        <f>'Aug-24'!#REF!</f>
        <v>#REF!</v>
      </c>
      <c r="FA23" s="181" t="e">
        <f>'Aug-24'!#REF!</f>
        <v>#REF!</v>
      </c>
      <c r="FB23" s="181" t="e">
        <f>'Aug-24'!#REF!</f>
        <v>#REF!</v>
      </c>
      <c r="FC23" s="181" t="e">
        <f>'Aug-24'!#REF!</f>
        <v>#REF!</v>
      </c>
      <c r="FD23" s="181" t="e">
        <f>'Aug-24'!#REF!</f>
        <v>#REF!</v>
      </c>
      <c r="FE23" s="181" t="e">
        <f>'Aug-24'!#REF!</f>
        <v>#REF!</v>
      </c>
      <c r="FF23" s="181" t="e">
        <f>'Aug-24'!#REF!</f>
        <v>#REF!</v>
      </c>
      <c r="FG23" s="181" t="e">
        <f>'Aug-24'!#REF!</f>
        <v>#REF!</v>
      </c>
      <c r="FH23" s="181" t="e">
        <f>'Aug-24'!#REF!</f>
        <v>#REF!</v>
      </c>
      <c r="FI23" s="181" t="e">
        <f>'Aug-24'!#REF!</f>
        <v>#REF!</v>
      </c>
      <c r="FJ23" s="181" t="e">
        <f>'Aug-24'!#REF!</f>
        <v>#REF!</v>
      </c>
      <c r="FK23" s="181" t="e">
        <f>'Aug-24'!#REF!</f>
        <v>#REF!</v>
      </c>
      <c r="FL23" s="181" t="e">
        <f>'Aug-24'!#REF!</f>
        <v>#REF!</v>
      </c>
      <c r="FM23" s="181" t="e">
        <f>'Aug-24'!#REF!</f>
        <v>#REF!</v>
      </c>
      <c r="FN23" s="181" t="e">
        <f>'Aug-24'!#REF!</f>
        <v>#REF!</v>
      </c>
      <c r="FO23" s="181" t="e">
        <f>'Aug-24'!#REF!</f>
        <v>#REF!</v>
      </c>
      <c r="FP23" s="181" t="e">
        <f>'Aug-24'!#REF!</f>
        <v>#REF!</v>
      </c>
      <c r="FQ23" s="181" t="e">
        <f>'Aug-24'!#REF!</f>
        <v>#REF!</v>
      </c>
      <c r="FR23" s="181" t="e">
        <f>'Aug-24'!#REF!</f>
        <v>#REF!</v>
      </c>
      <c r="FS23" s="181" t="e">
        <f>'Aug-24'!#REF!</f>
        <v>#REF!</v>
      </c>
      <c r="FT23" s="181" t="e">
        <f>'Aug-24'!#REF!</f>
        <v>#REF!</v>
      </c>
      <c r="FU23" s="181" t="e">
        <f>'Sep-24'!#REF!</f>
        <v>#REF!</v>
      </c>
      <c r="FV23" s="181" t="e">
        <f>'Sep-24'!#REF!</f>
        <v>#REF!</v>
      </c>
      <c r="FW23" s="181" t="e">
        <f>'Sep-24'!#REF!</f>
        <v>#REF!</v>
      </c>
      <c r="FX23" s="181" t="e">
        <f>'Sep-24'!#REF!</f>
        <v>#REF!</v>
      </c>
      <c r="FY23" s="181" t="e">
        <f>'Sep-24'!#REF!</f>
        <v>#REF!</v>
      </c>
      <c r="FZ23" s="181" t="e">
        <f>'Sep-24'!#REF!</f>
        <v>#REF!</v>
      </c>
      <c r="GA23" s="181" t="e">
        <f>'Sep-24'!#REF!</f>
        <v>#REF!</v>
      </c>
      <c r="GB23" s="181" t="e">
        <f>'Sep-24'!#REF!</f>
        <v>#REF!</v>
      </c>
      <c r="GC23" s="181" t="e">
        <f>'Sep-24'!#REF!</f>
        <v>#REF!</v>
      </c>
      <c r="GD23" s="219"/>
    </row>
    <row r="24" spans="1:197" ht="25.2" customHeight="1" x14ac:dyDescent="0.3">
      <c r="A24" s="134">
        <v>13</v>
      </c>
      <c r="B24" s="156" t="s">
        <v>83</v>
      </c>
      <c r="C24" s="157" t="s">
        <v>184</v>
      </c>
      <c r="D24" s="157" t="s">
        <v>185</v>
      </c>
      <c r="E24" s="167"/>
      <c r="F24" s="167" t="s">
        <v>160</v>
      </c>
      <c r="G24" s="230">
        <v>84.769230769230774</v>
      </c>
      <c r="H24" s="239">
        <v>512.60711248489588</v>
      </c>
      <c r="I24" s="239">
        <v>512.60711248489611</v>
      </c>
      <c r="J24" s="239">
        <v>512.60711248489588</v>
      </c>
      <c r="K24" s="239">
        <v>427.17265146867442</v>
      </c>
      <c r="L24" s="239">
        <v>332.24533144090128</v>
      </c>
      <c r="M24" s="321">
        <v>332.24533144090123</v>
      </c>
      <c r="N24" s="240">
        <v>456.20261710914434</v>
      </c>
      <c r="O24" s="196">
        <f>'Apr-24'!AJ92</f>
        <v>359.14675928571432</v>
      </c>
      <c r="P24" s="196">
        <f>'May-24'!AJ92</f>
        <v>10549</v>
      </c>
      <c r="Q24" s="196">
        <f>'Jun-24'!AK75</f>
        <v>231.35294117647058</v>
      </c>
      <c r="R24" s="196">
        <f>'Jul-24'!AK75</f>
        <v>210.53846153846155</v>
      </c>
      <c r="S24" s="196">
        <f>'Aug-24'!AK75</f>
        <v>233.44827586206895</v>
      </c>
      <c r="T24" s="196">
        <f>'Sep-24'!AL75</f>
        <v>0</v>
      </c>
      <c r="U24" s="255">
        <f>SUM(X24:FT24)/COUNTIF(X24:FT24,"&gt;0")</f>
        <v>293.49232120689652</v>
      </c>
      <c r="V24" s="163" t="s">
        <v>186</v>
      </c>
      <c r="W24" s="163"/>
      <c r="X24" s="181">
        <f>'Apr-24'!E92</f>
        <v>115</v>
      </c>
      <c r="Y24" s="181">
        <f>'Apr-24'!F92</f>
        <v>330</v>
      </c>
      <c r="Z24" s="181">
        <f>'Apr-24'!G92</f>
        <v>400</v>
      </c>
      <c r="AA24" s="181">
        <f>'Apr-24'!H92</f>
        <v>0</v>
      </c>
      <c r="AB24" s="181">
        <f>'Apr-24'!I92</f>
        <v>181</v>
      </c>
      <c r="AC24" s="181">
        <f>'Apr-24'!J92</f>
        <v>438</v>
      </c>
      <c r="AD24" s="181">
        <f>'Apr-24'!K92</f>
        <v>339</v>
      </c>
      <c r="AE24" s="181">
        <f>'Apr-24'!L92</f>
        <v>359.66700000000003</v>
      </c>
      <c r="AF24" s="181">
        <f>'Apr-24'!M92</f>
        <v>304.08210000000003</v>
      </c>
      <c r="AG24" s="181">
        <f>'Apr-24'!N92</f>
        <v>363.04425000000003</v>
      </c>
      <c r="AH24" s="181">
        <f>'Apr-24'!O92</f>
        <v>412.96302000000003</v>
      </c>
      <c r="AI24" s="181">
        <f>'Apr-24'!P92</f>
        <v>404.77085999999997</v>
      </c>
      <c r="AJ24" s="181">
        <f>'Apr-24'!Q92</f>
        <v>233.1096</v>
      </c>
      <c r="AK24" s="181">
        <f>'Apr-24'!R92</f>
        <v>415.62144000000001</v>
      </c>
      <c r="AL24" s="181">
        <f>'Apr-24'!S92</f>
        <v>390.56688000000003</v>
      </c>
      <c r="AM24" s="181">
        <f>'Apr-24'!T92</f>
        <v>188.16767999999999</v>
      </c>
      <c r="AN24" s="181">
        <f>'Apr-24'!U92</f>
        <v>333.07060000000001</v>
      </c>
      <c r="AO24" s="181">
        <f>'Apr-24'!V92</f>
        <v>276.38225999999997</v>
      </c>
      <c r="AP24" s="181">
        <f>'Apr-24'!W92</f>
        <v>0</v>
      </c>
      <c r="AQ24" s="181">
        <f>'Apr-24'!X92</f>
        <v>103.22399999999999</v>
      </c>
      <c r="AR24" s="181">
        <f>'Apr-24'!Y92</f>
        <v>364.88475</v>
      </c>
      <c r="AS24" s="181">
        <f>'Apr-24'!Z92</f>
        <v>407.59749999999997</v>
      </c>
      <c r="AT24" s="181">
        <f>'Apr-24'!AA92</f>
        <v>469.95732000000004</v>
      </c>
      <c r="AU24" s="181">
        <f>'Apr-24'!AB92</f>
        <v>490</v>
      </c>
      <c r="AV24" s="181">
        <f>'Apr-24'!AC92</f>
        <v>456</v>
      </c>
      <c r="AW24" s="181">
        <f>'Apr-24'!AD92</f>
        <v>461</v>
      </c>
      <c r="AX24" s="181">
        <f>'Apr-24'!AE92</f>
        <v>470</v>
      </c>
      <c r="AY24" s="181">
        <f>'Apr-24'!AF92</f>
        <v>505</v>
      </c>
      <c r="AZ24" s="181">
        <f>'Apr-24'!AG92</f>
        <v>426</v>
      </c>
      <c r="BA24" s="181">
        <f>'Apr-24'!AH92</f>
        <v>418</v>
      </c>
      <c r="BB24" s="181">
        <f>'May-24'!E92</f>
        <v>483</v>
      </c>
      <c r="BC24" s="181">
        <f>'May-24'!F92</f>
        <v>444</v>
      </c>
      <c r="BD24" s="181">
        <f>'May-24'!G92</f>
        <v>375</v>
      </c>
      <c r="BE24" s="181">
        <f>'May-24'!H92</f>
        <v>400</v>
      </c>
      <c r="BF24" s="181">
        <f>'May-24'!I92</f>
        <v>315</v>
      </c>
      <c r="BG24" s="181">
        <f>'May-24'!J92</f>
        <v>385</v>
      </c>
      <c r="BH24" s="181">
        <f>'May-24'!K92</f>
        <v>430</v>
      </c>
      <c r="BI24" s="181">
        <f>'May-24'!L92</f>
        <v>460</v>
      </c>
      <c r="BJ24" s="181">
        <f>'May-24'!M92</f>
        <v>364</v>
      </c>
      <c r="BK24" s="181">
        <f>'May-24'!N92</f>
        <v>465</v>
      </c>
      <c r="BL24" s="181">
        <f>'May-24'!O92</f>
        <v>499</v>
      </c>
      <c r="BM24" s="181">
        <f>'May-24'!P92</f>
        <v>490</v>
      </c>
      <c r="BN24" s="181">
        <f>'May-24'!Q92</f>
        <v>375</v>
      </c>
      <c r="BO24" s="181">
        <f>'May-24'!R92</f>
        <v>0</v>
      </c>
      <c r="BP24" s="181">
        <f>'May-24'!S92</f>
        <v>221</v>
      </c>
      <c r="BQ24" s="181">
        <f>'May-24'!T92</f>
        <v>435</v>
      </c>
      <c r="BR24" s="181">
        <f>'May-24'!U92</f>
        <v>445</v>
      </c>
      <c r="BS24" s="181">
        <f>'May-24'!V92</f>
        <v>404</v>
      </c>
      <c r="BT24" s="181">
        <f>'May-24'!W92</f>
        <v>430</v>
      </c>
      <c r="BU24" s="181">
        <f>'May-24'!X92</f>
        <v>320</v>
      </c>
      <c r="BV24" s="181">
        <f>'May-24'!Y92</f>
        <v>344</v>
      </c>
      <c r="BW24" s="181">
        <f>'May-24'!Z92</f>
        <v>392</v>
      </c>
      <c r="BX24" s="181">
        <f>'May-24'!AA92</f>
        <v>395</v>
      </c>
      <c r="BY24" s="181">
        <f>'May-24'!AB92</f>
        <v>228</v>
      </c>
      <c r="BZ24" s="181">
        <f>'May-24'!AC92</f>
        <v>287</v>
      </c>
      <c r="CA24" s="181">
        <f>'May-24'!AD92</f>
        <v>264</v>
      </c>
      <c r="CB24" s="181">
        <f>'May-24'!AE92</f>
        <v>227</v>
      </c>
      <c r="CC24" s="181">
        <f>'May-24'!AF92</f>
        <v>287</v>
      </c>
      <c r="CD24" s="181">
        <f>'May-24'!AG92</f>
        <v>234</v>
      </c>
      <c r="CE24" s="181">
        <f>'May-24'!AH92</f>
        <v>151</v>
      </c>
      <c r="CF24" s="181">
        <f>'May-24'!AI92</f>
        <v>0</v>
      </c>
      <c r="CG24" s="181">
        <f>'Jun-24'!E75</f>
        <v>0</v>
      </c>
      <c r="CH24" s="181">
        <f>'Jun-24'!F75</f>
        <v>0</v>
      </c>
      <c r="CI24" s="181">
        <f>'Jun-24'!G75</f>
        <v>136</v>
      </c>
      <c r="CJ24" s="181">
        <f>'Jun-24'!H75</f>
        <v>194</v>
      </c>
      <c r="CK24" s="181">
        <f>'Jun-24'!I75</f>
        <v>0</v>
      </c>
      <c r="CL24" s="181">
        <f>'Jun-24'!J75</f>
        <v>0</v>
      </c>
      <c r="CM24" s="181">
        <f>'Jun-24'!K75</f>
        <v>0</v>
      </c>
      <c r="CN24" s="181">
        <f>'Jun-24'!L75</f>
        <v>348</v>
      </c>
      <c r="CO24" s="181">
        <f>'Jun-24'!M75</f>
        <v>410</v>
      </c>
      <c r="CP24" s="181">
        <f>'Jun-24'!N75</f>
        <v>208</v>
      </c>
      <c r="CQ24" s="181">
        <f>'Jun-24'!O75</f>
        <v>0</v>
      </c>
      <c r="CR24" s="181">
        <f>'Jun-24'!P75</f>
        <v>102</v>
      </c>
      <c r="CS24" s="181">
        <f>'Jun-24'!Q75</f>
        <v>0</v>
      </c>
      <c r="CT24" s="181">
        <f>'Jun-24'!R75</f>
        <v>0</v>
      </c>
      <c r="CU24" s="181">
        <f>'Jun-24'!S75</f>
        <v>351</v>
      </c>
      <c r="CV24" s="181">
        <f>'Jun-24'!T75</f>
        <v>289</v>
      </c>
      <c r="CW24" s="181">
        <f>'Jun-24'!U75</f>
        <v>248</v>
      </c>
      <c r="CX24" s="181">
        <f>'Jun-24'!V75</f>
        <v>201</v>
      </c>
      <c r="CY24" s="181">
        <f>'Jun-24'!W75</f>
        <v>322</v>
      </c>
      <c r="CZ24" s="181">
        <f>'Jun-24'!X75</f>
        <v>238</v>
      </c>
      <c r="DA24" s="181">
        <f>'Jun-24'!Y75</f>
        <v>249</v>
      </c>
      <c r="DB24" s="181">
        <f>'Jun-24'!Z75</f>
        <v>212</v>
      </c>
      <c r="DC24" s="181">
        <f>'Jun-24'!AA75</f>
        <v>167</v>
      </c>
      <c r="DD24" s="181">
        <f>'Jun-24'!AB75</f>
        <v>0</v>
      </c>
      <c r="DE24" s="181">
        <f>'Jun-24'!AC75</f>
        <v>0</v>
      </c>
      <c r="DF24" s="181">
        <f>'Jun-24'!AD75</f>
        <v>0</v>
      </c>
      <c r="DG24" s="181">
        <f>'Jun-24'!AE75</f>
        <v>0</v>
      </c>
      <c r="DH24" s="181">
        <f>'Jun-24'!AF75</f>
        <v>0</v>
      </c>
      <c r="DI24" s="181">
        <f>'Jun-24'!AG75</f>
        <v>101</v>
      </c>
      <c r="DJ24" s="181">
        <f>'Jun-24'!AH75</f>
        <v>157</v>
      </c>
      <c r="DK24" s="181">
        <f>'Jul-24'!E75</f>
        <v>175</v>
      </c>
      <c r="DL24" s="181">
        <f>'Jul-24'!F75</f>
        <v>105</v>
      </c>
      <c r="DM24" s="181">
        <f>'Jul-24'!G75</f>
        <v>177</v>
      </c>
      <c r="DN24" s="181">
        <f>'Jul-24'!H75</f>
        <v>285</v>
      </c>
      <c r="DO24" s="181">
        <f>'Jul-24'!I75</f>
        <v>301</v>
      </c>
      <c r="DP24" s="181">
        <f>'Jul-24'!J75</f>
        <v>289</v>
      </c>
      <c r="DQ24" s="181">
        <f>'Jul-24'!K75</f>
        <v>204</v>
      </c>
      <c r="DR24" s="181">
        <f>'Jul-24'!L75</f>
        <v>155</v>
      </c>
      <c r="DS24" s="181">
        <f>'Jul-24'!M75</f>
        <v>193</v>
      </c>
      <c r="DT24" s="181">
        <f>'Jul-24'!N75</f>
        <v>199</v>
      </c>
      <c r="DU24" s="181">
        <f>'Jul-24'!O75</f>
        <v>0</v>
      </c>
      <c r="DV24" s="181">
        <f>'Jul-24'!P75</f>
        <v>0</v>
      </c>
      <c r="DW24" s="181">
        <f>'Jul-24'!Q75</f>
        <v>0</v>
      </c>
      <c r="DX24" s="181">
        <f>'Jul-24'!R75</f>
        <v>0</v>
      </c>
      <c r="DY24" s="181">
        <f>'Jul-24'!S75</f>
        <v>101</v>
      </c>
      <c r="DZ24" s="181">
        <f>'Jul-24'!T75</f>
        <v>260</v>
      </c>
      <c r="EA24" s="181">
        <f>'Jul-24'!U75</f>
        <v>293</v>
      </c>
      <c r="EB24" s="181">
        <f>'Jul-24'!V75</f>
        <v>0</v>
      </c>
      <c r="EC24" s="181">
        <f>'Jul-24'!W75</f>
        <v>0</v>
      </c>
      <c r="ED24" s="181">
        <f>'Jul-24'!X75</f>
        <v>0</v>
      </c>
      <c r="EE24" s="181">
        <f>'Jul-24'!Y75</f>
        <v>0</v>
      </c>
      <c r="EF24" s="181">
        <f>'Jul-24'!Z75</f>
        <v>0</v>
      </c>
      <c r="EG24" s="181">
        <f>'Jul-24'!AA75</f>
        <v>0</v>
      </c>
      <c r="EH24" s="181">
        <f>'Jul-24'!AB75</f>
        <v>0</v>
      </c>
      <c r="EI24" s="181">
        <f>'Jul-24'!AC75</f>
        <v>0</v>
      </c>
      <c r="EJ24" s="181">
        <f>'Jul-24'!AD75</f>
        <v>0</v>
      </c>
      <c r="EK24" s="181">
        <f>'Jul-24'!AE75</f>
        <v>0</v>
      </c>
      <c r="EL24" s="181">
        <f>'Jul-24'!AF75</f>
        <v>0</v>
      </c>
      <c r="EM24" s="181">
        <f>'Jul-24'!AG75</f>
        <v>0</v>
      </c>
      <c r="EN24" s="181">
        <f>'Jul-24'!AH75</f>
        <v>0</v>
      </c>
      <c r="EO24" s="181">
        <f>'Jul-24'!AI75</f>
        <v>0</v>
      </c>
      <c r="EP24" s="181">
        <f>'Aug-24'!E75</f>
        <v>0</v>
      </c>
      <c r="EQ24" s="181">
        <f>'Aug-24'!F75</f>
        <v>0</v>
      </c>
      <c r="ER24" s="181">
        <f>'Aug-24'!G75</f>
        <v>295</v>
      </c>
      <c r="ES24" s="181">
        <f>'Aug-24'!H75</f>
        <v>268</v>
      </c>
      <c r="ET24" s="181">
        <f>'Aug-24'!I75</f>
        <v>296</v>
      </c>
      <c r="EU24" s="181">
        <f>'Aug-24'!J75</f>
        <v>399</v>
      </c>
      <c r="EV24" s="181">
        <f>'Aug-24'!K75</f>
        <v>348</v>
      </c>
      <c r="EW24" s="181">
        <f>'Aug-24'!L75</f>
        <v>243</v>
      </c>
      <c r="EX24" s="181">
        <f>'Aug-24'!M75</f>
        <v>257</v>
      </c>
      <c r="EY24" s="181">
        <f>'Aug-24'!N75</f>
        <v>215</v>
      </c>
      <c r="EZ24" s="181">
        <f>'Aug-24'!O75</f>
        <v>218</v>
      </c>
      <c r="FA24" s="181">
        <f>'Aug-24'!P75</f>
        <v>390</v>
      </c>
      <c r="FB24" s="181">
        <f>'Aug-24'!Q75</f>
        <v>260</v>
      </c>
      <c r="FC24" s="181">
        <f>'Aug-24'!R75</f>
        <v>226</v>
      </c>
      <c r="FD24" s="181">
        <f>'Aug-24'!S75</f>
        <v>231</v>
      </c>
      <c r="FE24" s="181">
        <f>'Aug-24'!T75</f>
        <v>176</v>
      </c>
      <c r="FF24" s="181">
        <f>'Aug-24'!U75</f>
        <v>288</v>
      </c>
      <c r="FG24" s="181">
        <f>'Aug-24'!V75</f>
        <v>234</v>
      </c>
      <c r="FH24" s="181">
        <f>'Aug-24'!W75</f>
        <v>223</v>
      </c>
      <c r="FI24" s="181">
        <f>'Aug-24'!X75</f>
        <v>276</v>
      </c>
      <c r="FJ24" s="181">
        <f>'Aug-24'!Y75</f>
        <v>230</v>
      </c>
      <c r="FK24" s="181">
        <f>'Aug-24'!Z75</f>
        <v>95</v>
      </c>
      <c r="FL24" s="181">
        <f>'Aug-24'!AA75</f>
        <v>63</v>
      </c>
      <c r="FM24" s="181">
        <f>'Aug-24'!AB75</f>
        <v>172</v>
      </c>
      <c r="FN24" s="181">
        <f>'Aug-24'!AC75</f>
        <v>326</v>
      </c>
      <c r="FO24" s="181">
        <f>'Aug-24'!AD75</f>
        <v>148</v>
      </c>
      <c r="FP24" s="181">
        <f>'Aug-24'!AE75</f>
        <v>230</v>
      </c>
      <c r="FQ24" s="181">
        <f>'Aug-24'!AF75</f>
        <v>162</v>
      </c>
      <c r="FR24" s="181">
        <f>'Aug-24'!AG75</f>
        <v>182</v>
      </c>
      <c r="FS24" s="181">
        <f>'Aug-24'!AH75</f>
        <v>174</v>
      </c>
      <c r="FT24" s="181">
        <f>'Aug-24'!AI75</f>
        <v>145</v>
      </c>
      <c r="FU24" s="181">
        <f>'Sep-24'!E75</f>
        <v>185</v>
      </c>
      <c r="FV24" s="181">
        <f>'Sep-24'!F75</f>
        <v>215</v>
      </c>
      <c r="FW24" s="181">
        <f>'Sep-24'!G75</f>
        <v>130</v>
      </c>
      <c r="FX24" s="181">
        <f>'Sep-24'!H75</f>
        <v>144</v>
      </c>
      <c r="FY24" s="181">
        <f>'Sep-24'!I75</f>
        <v>100</v>
      </c>
      <c r="FZ24" s="181">
        <f>'Sep-24'!J75</f>
        <v>0</v>
      </c>
      <c r="GA24" s="181">
        <f>'Sep-24'!K75</f>
        <v>0</v>
      </c>
      <c r="GB24" s="181">
        <f>'Sep-24'!L75</f>
        <v>0</v>
      </c>
      <c r="GC24" s="181">
        <f>'Sep-24'!M75</f>
        <v>0</v>
      </c>
      <c r="GD24" s="194">
        <v>512.60711248489588</v>
      </c>
      <c r="GE24" s="194">
        <v>512.60711248489611</v>
      </c>
      <c r="GF24" s="194">
        <v>512.60711248489588</v>
      </c>
      <c r="GG24" s="194">
        <v>427.17265146867442</v>
      </c>
      <c r="GH24" s="194">
        <v>332.24533144090128</v>
      </c>
      <c r="GI24" s="194">
        <v>332.24533144090123</v>
      </c>
      <c r="GJ24" s="194">
        <v>398.69447470409608</v>
      </c>
      <c r="GK24" s="194">
        <v>493.62166387434434</v>
      </c>
      <c r="GL24" s="194">
        <v>493.62166387434434</v>
      </c>
      <c r="GM24" s="194">
        <v>493.71072396631655</v>
      </c>
      <c r="GN24" s="194">
        <v>493.92306724178269</v>
      </c>
      <c r="GO24" s="194">
        <v>493.62166387434434</v>
      </c>
    </row>
    <row r="25" spans="1:197" ht="25.2" customHeight="1" x14ac:dyDescent="0.3">
      <c r="A25" s="134">
        <v>14</v>
      </c>
      <c r="B25" s="156" t="s">
        <v>187</v>
      </c>
      <c r="C25" s="157" t="s">
        <v>184</v>
      </c>
      <c r="D25" s="157" t="s">
        <v>204</v>
      </c>
      <c r="E25" s="167"/>
      <c r="F25" s="167" t="s">
        <v>160</v>
      </c>
      <c r="G25" s="230">
        <v>77.747639593908644</v>
      </c>
      <c r="H25" s="242">
        <v>79</v>
      </c>
      <c r="I25" s="242">
        <v>80</v>
      </c>
      <c r="J25" s="242">
        <v>79</v>
      </c>
      <c r="K25" s="242">
        <v>70</v>
      </c>
      <c r="L25" s="242">
        <v>67.333333333333343</v>
      </c>
      <c r="M25" s="321">
        <v>69</v>
      </c>
      <c r="N25" s="242">
        <v>103.21681864344481</v>
      </c>
      <c r="O25" s="257">
        <f>'Apr-24'!AK118+'Apr-24'!AK122</f>
        <v>43.44305555555556</v>
      </c>
      <c r="P25" s="257">
        <f>'May-24'!AL118+'May-24'!AL122</f>
        <v>79.496785714285721</v>
      </c>
      <c r="Q25" s="257">
        <f>'Jun-24'!AL101+'Jun-24'!AL105</f>
        <v>39.865666666666662</v>
      </c>
      <c r="R25" s="257">
        <f>'Jul-24'!AN101+'Jul-24'!AN105</f>
        <v>0</v>
      </c>
      <c r="S25" s="257">
        <f>'Aug-24'!AL101+'Aug-24'!AL105</f>
        <v>14.898387096774194</v>
      </c>
      <c r="T25" s="257">
        <f>'Sep-24'!AM102+'Sep-24'!AM106</f>
        <v>0</v>
      </c>
      <c r="U25" s="256">
        <f>IFERROR(SUM(X25:FT25)/COUNTIF(X25:FT25,"&gt;0"),"0")</f>
        <v>63.924928571428559</v>
      </c>
      <c r="V25" s="163" t="s">
        <v>188</v>
      </c>
      <c r="W25" s="163"/>
      <c r="X25" s="181">
        <f>'Apr-24'!E118+'Apr-24'!E122</f>
        <v>0</v>
      </c>
      <c r="Y25" s="181">
        <f>'Apr-24'!F118+'Apr-24'!F122</f>
        <v>0</v>
      </c>
      <c r="Z25" s="181">
        <f>'Apr-24'!G118+'Apr-24'!G122</f>
        <v>100.55</v>
      </c>
      <c r="AA25" s="181">
        <f>'Apr-24'!H118+'Apr-24'!H122</f>
        <v>0</v>
      </c>
      <c r="AB25" s="181">
        <f>'Apr-24'!I118+'Apr-24'!I122</f>
        <v>67.25</v>
      </c>
      <c r="AC25" s="181">
        <f>'Apr-24'!J118+'Apr-24'!J122</f>
        <v>0</v>
      </c>
      <c r="AD25" s="181">
        <f>'Apr-24'!K118+'Apr-24'!K122</f>
        <v>0</v>
      </c>
      <c r="AE25" s="181">
        <f>'Apr-24'!L118+'Apr-24'!L122</f>
        <v>34.020000000000003</v>
      </c>
      <c r="AF25" s="181">
        <f>'Apr-24'!M118+'Apr-24'!M122</f>
        <v>34.32</v>
      </c>
      <c r="AG25" s="181">
        <f>'Apr-24'!N118+'Apr-24'!N122</f>
        <v>0</v>
      </c>
      <c r="AH25" s="181">
        <f>'Apr-24'!O118+'Apr-24'!O122</f>
        <v>0</v>
      </c>
      <c r="AI25" s="181">
        <f>'Apr-24'!P118+'Apr-24'!P122</f>
        <v>0</v>
      </c>
      <c r="AJ25" s="181">
        <f>'Apr-24'!Q118+'Apr-24'!Q122</f>
        <v>30.15</v>
      </c>
      <c r="AK25" s="181">
        <f>'Apr-24'!R118+'Apr-24'!R122</f>
        <v>0</v>
      </c>
      <c r="AL25" s="181">
        <f>'Apr-24'!S118+'Apr-24'!S122</f>
        <v>0</v>
      </c>
      <c r="AM25" s="181">
        <f>'Apr-24'!T118+'Apr-24'!T122</f>
        <v>26.45</v>
      </c>
      <c r="AN25" s="181">
        <f>'Apr-24'!U118+'Apr-24'!U122</f>
        <v>33.14</v>
      </c>
      <c r="AO25" s="181">
        <f>'Apr-24'!V118+'Apr-24'!V122</f>
        <v>83.27000000000001</v>
      </c>
      <c r="AP25" s="181">
        <f>'Apr-24'!W118+'Apr-24'!W122</f>
        <v>0</v>
      </c>
      <c r="AQ25" s="181">
        <f>'Apr-24'!X118+'Apr-24'!X122</f>
        <v>0</v>
      </c>
      <c r="AR25" s="181">
        <f>'Apr-24'!Y118+'Apr-24'!Y122</f>
        <v>55.62</v>
      </c>
      <c r="AS25" s="181">
        <f>'Apr-24'!Z118+'Apr-24'!Z122</f>
        <v>52.03</v>
      </c>
      <c r="AT25" s="181">
        <f>'Apr-24'!AA118+'Apr-24'!AA122</f>
        <v>35.43</v>
      </c>
      <c r="AU25" s="181">
        <f>'Apr-24'!AB118+'Apr-24'!AB122</f>
        <v>0</v>
      </c>
      <c r="AV25" s="181">
        <f>'Apr-24'!AC118+'Apr-24'!AC122</f>
        <v>87.63</v>
      </c>
      <c r="AW25" s="181">
        <f>'Apr-24'!AD118+'Apr-24'!AD122</f>
        <v>54.23</v>
      </c>
      <c r="AX25" s="181">
        <f>'Apr-24'!AE118+'Apr-24'!AE122</f>
        <v>0</v>
      </c>
      <c r="AY25" s="181">
        <f>'Apr-24'!AF118+'Apr-24'!AF122</f>
        <v>0</v>
      </c>
      <c r="AZ25" s="181">
        <f>'Apr-24'!AG118+'Apr-24'!AG122</f>
        <v>0</v>
      </c>
      <c r="BA25" s="181">
        <f>'Apr-24'!AH118+'Apr-24'!AH122</f>
        <v>145.29</v>
      </c>
      <c r="BB25" s="181">
        <f>'May-24'!E118+'May-24'!E122</f>
        <v>57.855000000000004</v>
      </c>
      <c r="BC25" s="181">
        <f>'May-24'!F118+'May-24'!F122</f>
        <v>54.26</v>
      </c>
      <c r="BD25" s="181">
        <f>'May-24'!G118+'May-24'!G122</f>
        <v>31.29</v>
      </c>
      <c r="BE25" s="181">
        <f>'May-24'!H118+'May-24'!H122</f>
        <v>0</v>
      </c>
      <c r="BF25" s="181">
        <f>'May-24'!I118+'May-24'!I122</f>
        <v>29.36</v>
      </c>
      <c r="BG25" s="181">
        <f>'May-24'!J118+'May-24'!J122</f>
        <v>84.44</v>
      </c>
      <c r="BH25" s="181">
        <f>'May-24'!K118+'May-24'!K122</f>
        <v>58.35</v>
      </c>
      <c r="BI25" s="181">
        <f>'May-24'!L118+'May-24'!L122</f>
        <v>0</v>
      </c>
      <c r="BJ25" s="181">
        <f>'May-24'!M118+'May-24'!M122</f>
        <v>27.43</v>
      </c>
      <c r="BK25" s="181">
        <f>'May-24'!N118+'May-24'!N122</f>
        <v>0</v>
      </c>
      <c r="BL25" s="181">
        <f>'May-24'!O118+'May-24'!O122</f>
        <v>0</v>
      </c>
      <c r="BM25" s="181">
        <f>'May-24'!P118+'May-24'!P122</f>
        <v>0</v>
      </c>
      <c r="BN25" s="181">
        <f>'May-24'!Q118+'May-24'!Q122</f>
        <v>90.13</v>
      </c>
      <c r="BO25" s="181">
        <f>'May-24'!R118+'May-24'!R122</f>
        <v>0</v>
      </c>
      <c r="BP25" s="181">
        <f>'May-24'!S118+'May-24'!S122</f>
        <v>0</v>
      </c>
      <c r="BQ25" s="181">
        <f>'May-24'!T118+'May-24'!T122</f>
        <v>59.1</v>
      </c>
      <c r="BR25" s="181">
        <f>'May-24'!U118+'May-24'!U122</f>
        <v>63.620000000000005</v>
      </c>
      <c r="BS25" s="181">
        <f>'May-24'!V118+'May-24'!V122</f>
        <v>0</v>
      </c>
      <c r="BT25" s="181">
        <f>'May-24'!W118+'May-24'!W122</f>
        <v>102.44</v>
      </c>
      <c r="BU25" s="181">
        <f>'May-24'!X118+'May-24'!X122</f>
        <v>0</v>
      </c>
      <c r="BV25" s="181">
        <f>'May-24'!Y118+'May-24'!Y122</f>
        <v>115.57000000000001</v>
      </c>
      <c r="BW25" s="181">
        <f>'May-24'!Z118+'May-24'!Z122</f>
        <v>0</v>
      </c>
      <c r="BX25" s="181">
        <f>'May-24'!AA118+'May-24'!AA122</f>
        <v>51.64</v>
      </c>
      <c r="BY25" s="181">
        <f>'May-24'!AB118+'May-24'!AB122</f>
        <v>34.299999999999997</v>
      </c>
      <c r="BZ25" s="181">
        <f>'May-24'!AC118+'May-24'!AC122</f>
        <v>0</v>
      </c>
      <c r="CA25" s="181">
        <f>'May-24'!AD118+'May-24'!AD122</f>
        <v>78.94</v>
      </c>
      <c r="CB25" s="181">
        <f>'May-24'!AE118+'May-24'!AE122</f>
        <v>32.82</v>
      </c>
      <c r="CC25" s="181">
        <f>'May-24'!AF118+'May-24'!AF122</f>
        <v>26.64</v>
      </c>
      <c r="CD25" s="181">
        <f>'May-24'!AG118+'May-24'!AG122</f>
        <v>56.72</v>
      </c>
      <c r="CE25" s="181">
        <f>'May-24'!AH118+'May-24'!AH122</f>
        <v>0</v>
      </c>
      <c r="CF25" s="181">
        <f>'May-24'!AI118+'May-24'!AI122</f>
        <v>58.05</v>
      </c>
      <c r="CG25" s="181">
        <f>'Jun-24'!E101+'Jun-24'!E105</f>
        <v>0</v>
      </c>
      <c r="CH25" s="181">
        <f>'Jun-24'!F101+'Jun-24'!F105</f>
        <v>107.21</v>
      </c>
      <c r="CI25" s="181">
        <f>'Jun-24'!G101+'Jun-24'!G105</f>
        <v>32.770000000000003</v>
      </c>
      <c r="CJ25" s="181">
        <f>'Jun-24'!H101+'Jun-24'!H105</f>
        <v>0</v>
      </c>
      <c r="CK25" s="181">
        <f>'Jun-24'!I101+'Jun-24'!I105</f>
        <v>82.18</v>
      </c>
      <c r="CL25" s="181">
        <f>'Jun-24'!J101+'Jun-24'!J105</f>
        <v>0</v>
      </c>
      <c r="CM25" s="181">
        <f>'Jun-24'!K101+'Jun-24'!K105</f>
        <v>23.01</v>
      </c>
      <c r="CN25" s="181">
        <f>'Jun-24'!L101+'Jun-24'!L105</f>
        <v>0</v>
      </c>
      <c r="CO25" s="181">
        <f>'Jun-24'!M101+'Jun-24'!M105</f>
        <v>48</v>
      </c>
      <c r="CP25" s="181">
        <f>'Jun-24'!N101+'Jun-24'!N105</f>
        <v>0</v>
      </c>
      <c r="CQ25" s="181">
        <f>'Jun-24'!O101+'Jun-24'!O105</f>
        <v>63.709999999999994</v>
      </c>
      <c r="CR25" s="181">
        <f>'Jun-24'!P101+'Jun-24'!P105</f>
        <v>0</v>
      </c>
      <c r="CS25" s="181">
        <f>'Jun-24'!Q101+'Jun-24'!Q105</f>
        <v>60.239999999999995</v>
      </c>
      <c r="CT25" s="181">
        <f>'Jun-24'!R101+'Jun-24'!R105</f>
        <v>0</v>
      </c>
      <c r="CU25" s="181">
        <f>'Jun-24'!S101+'Jun-24'!S105</f>
        <v>0</v>
      </c>
      <c r="CV25" s="181">
        <f>'Jun-24'!T101+'Jun-24'!T105</f>
        <v>154.44</v>
      </c>
      <c r="CW25" s="181">
        <f>'Jun-24'!U101+'Jun-24'!U105</f>
        <v>25.72</v>
      </c>
      <c r="CX25" s="181">
        <f>'Jun-24'!V101+'Jun-24'!V105</f>
        <v>0</v>
      </c>
      <c r="CY25" s="181">
        <f>'Jun-24'!W101+'Jun-24'!W105</f>
        <v>92.9</v>
      </c>
      <c r="CZ25" s="181">
        <f>'Jun-24'!X101+'Jun-24'!X105</f>
        <v>41.12</v>
      </c>
      <c r="DA25" s="181">
        <f>'Jun-24'!Y101+'Jun-24'!Y105</f>
        <v>23.74</v>
      </c>
      <c r="DB25" s="181">
        <f>'Jun-24'!Z101+'Jun-24'!Z105</f>
        <v>0</v>
      </c>
      <c r="DC25" s="181">
        <f>'Jun-24'!AA101+'Jun-24'!AA105</f>
        <v>59.31</v>
      </c>
      <c r="DD25" s="181">
        <f>'Jun-24'!AB101+'Jun-24'!AB105</f>
        <v>0</v>
      </c>
      <c r="DE25" s="181">
        <f>'Jun-24'!AC101+'Jun-24'!AC105</f>
        <v>0</v>
      </c>
      <c r="DF25" s="181">
        <f>'Jun-24'!AD101+'Jun-24'!AD105</f>
        <v>196.08</v>
      </c>
      <c r="DG25" s="181">
        <f>'Jun-24'!AE101+'Jun-24'!AE105</f>
        <v>0</v>
      </c>
      <c r="DH25" s="181">
        <f>'Jun-24'!AF101+'Jun-24'!AF105</f>
        <v>53.3</v>
      </c>
      <c r="DI25" s="181">
        <f>'Jun-24'!AG101+'Jun-24'!AG105</f>
        <v>0</v>
      </c>
      <c r="DJ25" s="181">
        <f>'Jun-24'!AH101+'Jun-24'!AH105</f>
        <v>132.24</v>
      </c>
      <c r="DK25" s="181">
        <f>'Jul-24'!E101+'Jul-24'!E105</f>
        <v>58.230000000000004</v>
      </c>
      <c r="DL25" s="181">
        <f>'Jul-24'!F101+'Jul-24'!F105</f>
        <v>0</v>
      </c>
      <c r="DM25" s="181">
        <f>'Jul-24'!G101+'Jul-24'!G105</f>
        <v>71.91</v>
      </c>
      <c r="DN25" s="181">
        <f>'Jul-24'!H101+'Jul-24'!H105</f>
        <v>28.09</v>
      </c>
      <c r="DO25" s="181">
        <f>'Jul-24'!I101+'Jul-24'!I105</f>
        <v>0</v>
      </c>
      <c r="DP25" s="181">
        <f>'Jul-24'!J101+'Jul-24'!J105</f>
        <v>0</v>
      </c>
      <c r="DQ25" s="181">
        <f>'Jul-24'!K101+'Jul-24'!K105</f>
        <v>153.11000000000001</v>
      </c>
      <c r="DR25" s="181">
        <f>'Jul-24'!L101+'Jul-24'!L105</f>
        <v>59.58</v>
      </c>
      <c r="DS25" s="181">
        <f>'Jul-24'!M101+'Jul-24'!M105</f>
        <v>0</v>
      </c>
      <c r="DT25" s="181">
        <f>'Jul-24'!N101+'Jul-24'!N105</f>
        <v>34.51</v>
      </c>
      <c r="DU25" s="181">
        <f>'Jul-24'!O101+'Jul-24'!O105</f>
        <v>0</v>
      </c>
      <c r="DV25" s="181">
        <f>'Jul-24'!P101+'Jul-24'!P105</f>
        <v>28.47</v>
      </c>
      <c r="DW25" s="181">
        <f>'Jul-24'!Q101+'Jul-24'!Q105</f>
        <v>0</v>
      </c>
      <c r="DX25" s="181">
        <f>'Jul-24'!R101+'Jul-24'!R105</f>
        <v>138.82</v>
      </c>
      <c r="DY25" s="181">
        <f>'Jul-24'!S101+'Jul-24'!S105</f>
        <v>0</v>
      </c>
      <c r="DZ25" s="181">
        <f>'Jul-24'!T101+'Jul-24'!T105</f>
        <v>74.790000000000006</v>
      </c>
      <c r="EA25" s="181">
        <f>'Jul-24'!U101+'Jul-24'!U105</f>
        <v>52.510000000000005</v>
      </c>
      <c r="EB25" s="181">
        <f>'Jul-24'!V101+'Jul-24'!V105</f>
        <v>0</v>
      </c>
      <c r="EC25" s="181">
        <f>'Jul-24'!W101+'Jul-24'!W105</f>
        <v>0</v>
      </c>
      <c r="ED25" s="181">
        <f>'Jul-24'!X101+'Jul-24'!X105</f>
        <v>0</v>
      </c>
      <c r="EE25" s="181">
        <f>'Jul-24'!Y101+'Jul-24'!Y105</f>
        <v>66.75</v>
      </c>
      <c r="EF25" s="181">
        <f>'Jul-24'!Z101+'Jul-24'!Z105</f>
        <v>0</v>
      </c>
      <c r="EG25" s="181">
        <f>'Jul-24'!AA101+'Jul-24'!AA105</f>
        <v>34.5</v>
      </c>
      <c r="EH25" s="181">
        <f>'Jul-24'!AB101+'Jul-24'!AB105</f>
        <v>0</v>
      </c>
      <c r="EI25" s="181">
        <f>'Jul-24'!AC101+'Jul-24'!AC105</f>
        <v>0</v>
      </c>
      <c r="EJ25" s="181">
        <f>'Jul-24'!AD101+'Jul-24'!AD105</f>
        <v>29.39</v>
      </c>
      <c r="EK25" s="181">
        <f>'Jul-24'!AE101+'Jul-24'!AE105</f>
        <v>0</v>
      </c>
      <c r="EL25" s="181">
        <f>'Jul-24'!AF101+'Jul-24'!AF105</f>
        <v>0</v>
      </c>
      <c r="EM25" s="181">
        <f>'Jul-24'!AG101+'Jul-24'!AG105</f>
        <v>0</v>
      </c>
      <c r="EN25" s="181">
        <f>'Jul-24'!AH101+'Jul-24'!AH105</f>
        <v>0</v>
      </c>
      <c r="EO25" s="181">
        <f>'Jul-24'!AI101+'Jul-24'!AI105</f>
        <v>33.93</v>
      </c>
      <c r="EP25" s="181">
        <f>'Aug-24'!E101+'Aug-24'!E105</f>
        <v>0</v>
      </c>
      <c r="EQ25" s="181">
        <f>'Aug-24'!F101+'Aug-24'!F105</f>
        <v>0</v>
      </c>
      <c r="ER25" s="181">
        <f>'Aug-24'!G101+'Aug-24'!G105</f>
        <v>0</v>
      </c>
      <c r="ES25" s="181">
        <f>'Aug-24'!H101+'Aug-24'!H105</f>
        <v>0</v>
      </c>
      <c r="ET25" s="181">
        <f>'Aug-24'!I101+'Aug-24'!I105</f>
        <v>0</v>
      </c>
      <c r="EU25" s="181">
        <f>'Aug-24'!J101+'Aug-24'!J105</f>
        <v>0</v>
      </c>
      <c r="EV25" s="181">
        <f>'Aug-24'!K101+'Aug-24'!K105</f>
        <v>47.2</v>
      </c>
      <c r="EW25" s="181">
        <f>'Aug-24'!L101+'Aug-24'!L105</f>
        <v>58.22</v>
      </c>
      <c r="EX25" s="181">
        <f>'Aug-24'!M101+'Aug-24'!M105</f>
        <v>0</v>
      </c>
      <c r="EY25" s="181">
        <f>'Aug-24'!N101+'Aug-24'!N105</f>
        <v>0</v>
      </c>
      <c r="EZ25" s="181">
        <f>'Aug-24'!O101+'Aug-24'!O105</f>
        <v>89.72999999999999</v>
      </c>
      <c r="FA25" s="181">
        <f>'Aug-24'!P101+'Aug-24'!P105</f>
        <v>0</v>
      </c>
      <c r="FB25" s="181">
        <f>'Aug-24'!Q101+'Aug-24'!Q105</f>
        <v>0</v>
      </c>
      <c r="FC25" s="181">
        <f>'Aug-24'!R101+'Aug-24'!R105</f>
        <v>0</v>
      </c>
      <c r="FD25" s="181">
        <f>'Aug-24'!S101+'Aug-24'!S105</f>
        <v>119.82</v>
      </c>
      <c r="FE25" s="181">
        <f>'Aug-24'!T101+'Aug-24'!T105</f>
        <v>0</v>
      </c>
      <c r="FF25" s="181">
        <f>'Aug-24'!U101+'Aug-24'!U105</f>
        <v>0</v>
      </c>
      <c r="FG25" s="181">
        <f>'Aug-24'!V101+'Aug-24'!V105</f>
        <v>0</v>
      </c>
      <c r="FH25" s="181">
        <f>'Aug-24'!W101+'Aug-24'!W105</f>
        <v>28.55</v>
      </c>
      <c r="FI25" s="181">
        <f>'Aug-24'!X101+'Aug-24'!X105</f>
        <v>0</v>
      </c>
      <c r="FJ25" s="181">
        <f>'Aug-24'!Y101+'Aug-24'!Y105</f>
        <v>0</v>
      </c>
      <c r="FK25" s="181">
        <f>'Aug-24'!Z101+'Aug-24'!Z105</f>
        <v>56.88</v>
      </c>
      <c r="FL25" s="181">
        <f>'Aug-24'!AA101+'Aug-24'!AA105</f>
        <v>0</v>
      </c>
      <c r="FM25" s="181">
        <f>'Aug-24'!AB101+'Aug-24'!AB105</f>
        <v>0</v>
      </c>
      <c r="FN25" s="181">
        <f>'Aug-24'!AC101+'Aug-24'!AC105</f>
        <v>0</v>
      </c>
      <c r="FO25" s="181">
        <f>'Aug-24'!AD101+'Aug-24'!AD105</f>
        <v>61.45</v>
      </c>
      <c r="FP25" s="181">
        <f>'Aug-24'!AE101+'Aug-24'!AE105</f>
        <v>0</v>
      </c>
      <c r="FQ25" s="181">
        <f>'Aug-24'!AF101+'Aug-24'!AF105</f>
        <v>0</v>
      </c>
      <c r="FR25" s="181">
        <f>'Aug-24'!AG101+'Aug-24'!AG105</f>
        <v>0</v>
      </c>
      <c r="FS25" s="181">
        <f>'Aug-24'!AH101+'Aug-24'!AH105</f>
        <v>0</v>
      </c>
      <c r="FT25" s="181">
        <f>'Aug-24'!AI101+'Aug-24'!AI105</f>
        <v>0</v>
      </c>
      <c r="FU25" s="181">
        <f>'Sep-24'!E102+'Sep-24'!E106</f>
        <v>0</v>
      </c>
      <c r="FV25" s="181">
        <f>'Sep-24'!F102+'Sep-24'!F106</f>
        <v>57.115000000000002</v>
      </c>
      <c r="FW25" s="181">
        <f>'Sep-24'!G102+'Sep-24'!G106</f>
        <v>0</v>
      </c>
      <c r="FX25" s="181">
        <f>'Sep-24'!H102+'Sep-24'!H106</f>
        <v>0</v>
      </c>
      <c r="FY25" s="181">
        <f>'Sep-24'!I102+'Sep-24'!I106</f>
        <v>0</v>
      </c>
      <c r="FZ25" s="181">
        <f>'Sep-24'!J102+'Sep-24'!J106</f>
        <v>0</v>
      </c>
      <c r="GA25" s="181">
        <f>'Sep-24'!K102+'Sep-24'!K106</f>
        <v>0</v>
      </c>
      <c r="GB25" s="181">
        <f>'Sep-24'!L102+'Sep-24'!L106</f>
        <v>0</v>
      </c>
      <c r="GC25" s="181">
        <f>'Sep-24'!M102+'Sep-24'!M106</f>
        <v>0</v>
      </c>
      <c r="GD25" s="194">
        <v>79</v>
      </c>
      <c r="GE25" s="194">
        <v>80</v>
      </c>
      <c r="GF25" s="194">
        <v>79</v>
      </c>
      <c r="GG25" s="194">
        <v>70</v>
      </c>
      <c r="GH25" s="194">
        <v>67.333333333333343</v>
      </c>
      <c r="GI25" s="194">
        <v>69</v>
      </c>
      <c r="GJ25" s="194">
        <v>80</v>
      </c>
      <c r="GK25" s="194">
        <v>80</v>
      </c>
      <c r="GL25" s="194">
        <v>80</v>
      </c>
      <c r="GM25" s="194">
        <v>78</v>
      </c>
      <c r="GN25" s="194">
        <v>64</v>
      </c>
      <c r="GO25" s="194">
        <v>80</v>
      </c>
    </row>
    <row r="26" spans="1:197" ht="34.950000000000003" customHeight="1" x14ac:dyDescent="0.3">
      <c r="A26" s="368">
        <v>15</v>
      </c>
      <c r="B26" s="364" t="s">
        <v>189</v>
      </c>
      <c r="C26" s="157" t="s">
        <v>190</v>
      </c>
      <c r="D26" s="157" t="s">
        <v>22</v>
      </c>
      <c r="E26" s="195">
        <v>34.9</v>
      </c>
      <c r="F26" s="167"/>
      <c r="G26" s="235">
        <v>36.630000000000003</v>
      </c>
      <c r="H26" s="241">
        <v>32.859135875304027</v>
      </c>
      <c r="I26" s="241">
        <v>32.606481082489438</v>
      </c>
      <c r="J26" s="241">
        <v>32.839767051790986</v>
      </c>
      <c r="K26" s="241">
        <v>34.27293435524016</v>
      </c>
      <c r="L26" s="241">
        <v>36.932681650898665</v>
      </c>
      <c r="M26" s="167">
        <v>34.967542935777409</v>
      </c>
      <c r="N26" s="241">
        <v>33.95008133029598</v>
      </c>
      <c r="O26" s="180">
        <v>34.6</v>
      </c>
      <c r="P26" s="180">
        <v>33.42</v>
      </c>
      <c r="Q26" s="180">
        <v>31.32</v>
      </c>
      <c r="R26" s="180">
        <v>32.57</v>
      </c>
      <c r="S26" s="180">
        <v>33.18</v>
      </c>
      <c r="T26" s="180">
        <v>0</v>
      </c>
      <c r="U26" s="196">
        <v>33.020000000000003</v>
      </c>
      <c r="V26" s="365" t="s">
        <v>191</v>
      </c>
      <c r="W26" s="163"/>
      <c r="X26" s="181">
        <v>36.4</v>
      </c>
      <c r="Y26" s="181">
        <v>34.15</v>
      </c>
      <c r="Z26" s="181">
        <v>31.172999999999998</v>
      </c>
      <c r="AA26" s="181">
        <v>31.952000000000002</v>
      </c>
      <c r="AB26" s="181">
        <v>35.08</v>
      </c>
      <c r="AC26" s="181">
        <v>33.098999999999997</v>
      </c>
      <c r="AD26" s="181">
        <v>38.067</v>
      </c>
      <c r="AE26" s="181">
        <v>34.42</v>
      </c>
      <c r="AF26" s="181">
        <v>32.39</v>
      </c>
      <c r="AG26" s="181">
        <v>38.97</v>
      </c>
      <c r="AH26" s="181">
        <v>33.979999999999997</v>
      </c>
      <c r="AI26" s="181">
        <v>41.17</v>
      </c>
      <c r="AJ26" s="181">
        <v>30.31</v>
      </c>
      <c r="AK26" s="181">
        <v>37.22</v>
      </c>
      <c r="AL26" s="181">
        <v>31.93</v>
      </c>
      <c r="AM26" s="181">
        <v>36.93</v>
      </c>
      <c r="AN26" s="181">
        <v>34.57</v>
      </c>
      <c r="AO26" s="181">
        <v>31.3</v>
      </c>
      <c r="AP26" s="181">
        <v>30.04</v>
      </c>
      <c r="AQ26" s="181">
        <v>40.26</v>
      </c>
      <c r="AR26" s="181">
        <v>35.82</v>
      </c>
      <c r="AS26" s="181">
        <v>41.57</v>
      </c>
      <c r="AT26" s="181">
        <v>32.979999999999997</v>
      </c>
      <c r="AU26" s="181">
        <v>36.159999999999997</v>
      </c>
      <c r="AV26" s="181">
        <v>30.68</v>
      </c>
      <c r="AW26" s="181">
        <v>33.56</v>
      </c>
      <c r="AX26" s="181">
        <v>30.86</v>
      </c>
      <c r="AY26" s="181">
        <v>38.04</v>
      </c>
      <c r="AZ26" s="181">
        <v>39.24</v>
      </c>
      <c r="BA26" s="181">
        <v>31.86</v>
      </c>
      <c r="BB26" s="181">
        <v>35.42</v>
      </c>
      <c r="BC26" s="181">
        <v>30.91</v>
      </c>
      <c r="BD26" s="181">
        <v>33.44</v>
      </c>
      <c r="BE26" s="181">
        <v>30.32</v>
      </c>
      <c r="BF26" s="181">
        <v>36.39</v>
      </c>
      <c r="BG26" s="181">
        <v>34.409999999999997</v>
      </c>
      <c r="BH26" s="181">
        <v>30.5</v>
      </c>
      <c r="BI26" s="181">
        <v>37.659999999999997</v>
      </c>
      <c r="BJ26" s="181">
        <v>30.78</v>
      </c>
      <c r="BK26" s="181">
        <v>30.35</v>
      </c>
      <c r="BL26" s="181">
        <v>34</v>
      </c>
      <c r="BM26" s="181">
        <v>35.43</v>
      </c>
      <c r="BN26" s="181">
        <v>33.090000000000003</v>
      </c>
      <c r="BO26" s="181">
        <v>30.78</v>
      </c>
      <c r="BP26" s="181">
        <v>34.86</v>
      </c>
      <c r="BQ26" s="181">
        <v>32.72</v>
      </c>
      <c r="BR26" s="181">
        <v>32.869999999999997</v>
      </c>
      <c r="BS26" s="181">
        <v>35.35</v>
      </c>
      <c r="BT26" s="181">
        <v>31.07</v>
      </c>
      <c r="BU26" s="181">
        <v>36.76</v>
      </c>
      <c r="BV26" s="181">
        <v>29.34</v>
      </c>
      <c r="BW26" s="181">
        <v>38.229999999999997</v>
      </c>
      <c r="BX26" s="181">
        <v>33.1</v>
      </c>
      <c r="BY26" s="181">
        <v>36.25</v>
      </c>
      <c r="BZ26" s="181">
        <v>31.24</v>
      </c>
      <c r="CA26" s="181">
        <v>31.72</v>
      </c>
      <c r="CB26" s="181">
        <v>34.380000000000003</v>
      </c>
      <c r="CC26" s="181">
        <v>32.44</v>
      </c>
      <c r="CD26" s="181">
        <v>31.46</v>
      </c>
      <c r="CE26" s="181">
        <v>30.82</v>
      </c>
      <c r="CF26" s="181">
        <v>39.549999999999997</v>
      </c>
      <c r="CG26" s="181">
        <v>32.53</v>
      </c>
      <c r="CH26" s="181">
        <v>36.1</v>
      </c>
      <c r="CI26" s="181">
        <v>35.53</v>
      </c>
      <c r="CJ26" s="181">
        <v>28.45</v>
      </c>
      <c r="CK26" s="181">
        <v>35.130000000000003</v>
      </c>
      <c r="CL26" s="181">
        <v>29.34</v>
      </c>
      <c r="CM26" s="181">
        <v>31.07</v>
      </c>
      <c r="CN26" s="181">
        <v>29.1</v>
      </c>
      <c r="CO26" s="181">
        <v>33.56</v>
      </c>
      <c r="CP26" s="181">
        <v>33.159999999999997</v>
      </c>
      <c r="CQ26" s="181">
        <v>30.04</v>
      </c>
      <c r="CR26" s="181">
        <v>28.05</v>
      </c>
      <c r="CS26" s="181">
        <v>27.7</v>
      </c>
      <c r="CT26" s="181">
        <v>30.7</v>
      </c>
      <c r="CU26" s="181">
        <v>31.6</v>
      </c>
      <c r="CV26" s="181">
        <v>31.45</v>
      </c>
      <c r="CW26" s="181">
        <v>29.59</v>
      </c>
      <c r="CX26" s="181">
        <v>33.93</v>
      </c>
      <c r="CY26" s="181">
        <v>28.39</v>
      </c>
      <c r="CZ26" s="181">
        <v>28.57</v>
      </c>
      <c r="DA26" s="181">
        <v>33.19</v>
      </c>
      <c r="DB26" s="181">
        <v>29.5</v>
      </c>
      <c r="DC26" s="181">
        <v>29.8</v>
      </c>
      <c r="DD26" s="181">
        <v>29.86</v>
      </c>
      <c r="DE26" s="181">
        <v>28.16</v>
      </c>
      <c r="DF26" s="181">
        <v>37.049999999999997</v>
      </c>
      <c r="DG26" s="181">
        <v>32.840000000000003</v>
      </c>
      <c r="DH26" s="181">
        <v>32.26</v>
      </c>
      <c r="DI26" s="181">
        <v>34.15</v>
      </c>
      <c r="DJ26" s="181">
        <v>29.31</v>
      </c>
      <c r="DK26" s="181">
        <v>35.71</v>
      </c>
      <c r="DL26" s="181">
        <v>27.86</v>
      </c>
      <c r="DM26" s="181">
        <v>31.31</v>
      </c>
      <c r="DN26" s="181">
        <v>37.049999999999997</v>
      </c>
      <c r="DO26" s="181">
        <v>36.61</v>
      </c>
      <c r="DP26" s="181">
        <v>31.46</v>
      </c>
      <c r="DQ26" s="181">
        <v>32.76</v>
      </c>
      <c r="DR26" s="181">
        <v>29.83</v>
      </c>
      <c r="DS26" s="181">
        <v>28.67</v>
      </c>
      <c r="DT26" s="181">
        <v>0.8</v>
      </c>
      <c r="DU26" s="181">
        <v>0</v>
      </c>
      <c r="DV26" s="181">
        <v>0</v>
      </c>
      <c r="DW26" s="181">
        <v>36.68</v>
      </c>
      <c r="DX26" s="181">
        <v>34.83</v>
      </c>
      <c r="DY26" s="181">
        <v>30.37</v>
      </c>
      <c r="DZ26" s="181">
        <v>30.49</v>
      </c>
      <c r="EA26" s="181">
        <v>27.19</v>
      </c>
      <c r="EB26" s="181">
        <v>29.68</v>
      </c>
      <c r="EC26" s="181">
        <v>29.1</v>
      </c>
      <c r="ED26" s="181">
        <v>30.95</v>
      </c>
      <c r="EE26" s="181">
        <v>37.479999999999997</v>
      </c>
      <c r="EF26" s="181">
        <v>32.700000000000003</v>
      </c>
      <c r="EG26" s="181">
        <v>34.130000000000003</v>
      </c>
      <c r="EH26" s="181">
        <v>29.04</v>
      </c>
      <c r="EI26" s="181">
        <v>35.659999999999997</v>
      </c>
      <c r="EJ26" s="181">
        <v>29.23</v>
      </c>
      <c r="EK26" s="181">
        <v>28.82</v>
      </c>
      <c r="EL26" s="181">
        <v>1.01</v>
      </c>
      <c r="EM26" s="181">
        <v>0.86</v>
      </c>
      <c r="EN26" s="181">
        <v>0.88</v>
      </c>
      <c r="EO26" s="181">
        <v>32.94</v>
      </c>
      <c r="EP26" s="181">
        <v>0</v>
      </c>
      <c r="EQ26" s="181">
        <v>0</v>
      </c>
      <c r="ER26" s="181">
        <v>39.18</v>
      </c>
      <c r="ES26" s="181">
        <v>33.99</v>
      </c>
      <c r="ET26" s="181">
        <v>32.51</v>
      </c>
      <c r="EU26" s="181">
        <v>30.31</v>
      </c>
      <c r="EV26" s="181">
        <v>29.39</v>
      </c>
      <c r="EW26" s="181">
        <v>29.94</v>
      </c>
      <c r="EX26" s="181">
        <v>29.37</v>
      </c>
      <c r="EY26" s="181">
        <v>38.4</v>
      </c>
      <c r="EZ26" s="181">
        <v>33.659999999999997</v>
      </c>
      <c r="FA26" s="181">
        <v>31.42</v>
      </c>
      <c r="FB26" s="181">
        <v>33.04</v>
      </c>
      <c r="FC26" s="181">
        <v>29.24</v>
      </c>
      <c r="FD26" s="181">
        <v>29.02</v>
      </c>
      <c r="FE26" s="181">
        <v>33.76</v>
      </c>
      <c r="FF26" s="181">
        <v>0</v>
      </c>
      <c r="FG26" s="181">
        <v>0</v>
      </c>
      <c r="FH26" s="181">
        <v>0</v>
      </c>
      <c r="FI26" s="181">
        <v>0</v>
      </c>
      <c r="FJ26" s="181">
        <v>0</v>
      </c>
      <c r="FK26" s="181">
        <v>0</v>
      </c>
      <c r="FL26" s="181">
        <v>0</v>
      </c>
      <c r="FM26" s="181">
        <v>0</v>
      </c>
      <c r="FN26" s="181">
        <v>0</v>
      </c>
      <c r="FO26" s="181">
        <v>0</v>
      </c>
      <c r="FP26" s="181">
        <v>0</v>
      </c>
      <c r="FQ26" s="181">
        <v>0</v>
      </c>
      <c r="FR26" s="181">
        <v>0</v>
      </c>
      <c r="FS26" s="181">
        <v>0</v>
      </c>
      <c r="FT26" s="181">
        <v>0</v>
      </c>
      <c r="FU26" s="181">
        <v>0</v>
      </c>
      <c r="FV26" s="181">
        <v>0</v>
      </c>
      <c r="FW26" s="181">
        <v>0</v>
      </c>
      <c r="FX26" s="181">
        <v>0</v>
      </c>
      <c r="FY26" s="181"/>
      <c r="FZ26" s="181"/>
      <c r="GA26" s="181"/>
      <c r="GB26" s="181"/>
      <c r="GC26" s="181"/>
      <c r="GD26" s="198">
        <v>32.859135875304027</v>
      </c>
      <c r="GE26" s="198">
        <v>32.606481082489438</v>
      </c>
      <c r="GF26" s="198">
        <v>32.839767051790986</v>
      </c>
      <c r="GG26" s="198">
        <v>34.27293435524016</v>
      </c>
      <c r="GH26" s="198">
        <v>36.932681650898665</v>
      </c>
      <c r="GI26" s="198">
        <v>34.967542935777409</v>
      </c>
      <c r="GJ26" s="198">
        <v>35.630825132324006</v>
      </c>
      <c r="GK26" s="198">
        <v>33.954239861216607</v>
      </c>
      <c r="GL26" s="198">
        <v>33.827046095525382</v>
      </c>
      <c r="GM26" s="198">
        <v>33.862064623975591</v>
      </c>
      <c r="GN26" s="198">
        <v>33.331444303994829</v>
      </c>
      <c r="GO26" s="198">
        <v>32.850603327014653</v>
      </c>
    </row>
    <row r="27" spans="1:197" x14ac:dyDescent="0.3">
      <c r="A27" s="368"/>
      <c r="B27" s="364"/>
      <c r="C27" s="157"/>
      <c r="D27" s="157" t="s">
        <v>22</v>
      </c>
      <c r="E27" s="195">
        <v>34.299999999999997</v>
      </c>
      <c r="F27" s="167"/>
      <c r="G27" s="235">
        <v>34.439999999999991</v>
      </c>
      <c r="H27" s="241">
        <v>36.428050766192271</v>
      </c>
      <c r="I27" s="241">
        <v>36.160676303629486</v>
      </c>
      <c r="J27" s="241">
        <v>36.631174186428723</v>
      </c>
      <c r="K27" s="241">
        <v>36.411114847372041</v>
      </c>
      <c r="L27" s="241">
        <v>36.962282428762592</v>
      </c>
      <c r="M27" s="167">
        <v>36.533136460438783</v>
      </c>
      <c r="N27" s="241">
        <v>36.929965103804712</v>
      </c>
      <c r="O27" s="180">
        <f t="shared" ref="O27:U27" si="0">O28-O26</f>
        <v>33.889999999999993</v>
      </c>
      <c r="P27" s="180">
        <f t="shared" si="0"/>
        <v>34.010000000000005</v>
      </c>
      <c r="Q27" s="180">
        <f t="shared" si="0"/>
        <v>32.54</v>
      </c>
      <c r="R27" s="180">
        <f t="shared" si="0"/>
        <v>33.360000000000007</v>
      </c>
      <c r="S27" s="180">
        <f t="shared" si="0"/>
        <v>34.190000000000005</v>
      </c>
      <c r="T27" s="180">
        <f t="shared" si="0"/>
        <v>33</v>
      </c>
      <c r="U27" s="180">
        <f t="shared" si="0"/>
        <v>33.529999999999994</v>
      </c>
      <c r="V27" s="365"/>
      <c r="W27" s="163"/>
      <c r="X27" s="181">
        <f>X28-X26</f>
        <v>37.01</v>
      </c>
      <c r="Y27" s="181">
        <f>Y28-Y26</f>
        <v>32.830000000000005</v>
      </c>
      <c r="Z27" s="181">
        <f t="shared" ref="Z27:CF27" si="1">Z28-Z26</f>
        <v>32.918999999999997</v>
      </c>
      <c r="AA27" s="181">
        <f t="shared" si="1"/>
        <v>33.131</v>
      </c>
      <c r="AB27" s="181">
        <f t="shared" si="1"/>
        <v>33.42</v>
      </c>
      <c r="AC27" s="181">
        <f t="shared" si="1"/>
        <v>32.488000000000007</v>
      </c>
      <c r="AD27" s="181">
        <f t="shared" si="1"/>
        <v>33.473999999999997</v>
      </c>
      <c r="AE27" s="181">
        <f>AE28-AE26</f>
        <v>33.14</v>
      </c>
      <c r="AF27" s="181">
        <f t="shared" si="1"/>
        <v>35.519999999999996</v>
      </c>
      <c r="AG27" s="181">
        <f t="shared" si="1"/>
        <v>35.89</v>
      </c>
      <c r="AH27" s="181">
        <f t="shared" si="1"/>
        <v>33.21</v>
      </c>
      <c r="AI27" s="181">
        <f t="shared" si="1"/>
        <v>35.789999999999992</v>
      </c>
      <c r="AJ27" s="181">
        <f t="shared" si="1"/>
        <v>32.090000000000003</v>
      </c>
      <c r="AK27" s="181">
        <f t="shared" si="1"/>
        <v>35.11</v>
      </c>
      <c r="AL27" s="181">
        <f t="shared" si="1"/>
        <v>32.220000000000006</v>
      </c>
      <c r="AM27" s="181">
        <f t="shared" si="1"/>
        <v>35.300000000000004</v>
      </c>
      <c r="AN27" s="181">
        <f t="shared" si="1"/>
        <v>33.74</v>
      </c>
      <c r="AO27" s="181">
        <f t="shared" si="1"/>
        <v>33.950000000000003</v>
      </c>
      <c r="AP27" s="181">
        <f t="shared" si="1"/>
        <v>35.880000000000003</v>
      </c>
      <c r="AQ27" s="181">
        <f t="shared" si="1"/>
        <v>34.690000000000005</v>
      </c>
      <c r="AR27" s="181">
        <f t="shared" si="1"/>
        <v>35.699999999999996</v>
      </c>
      <c r="AS27" s="181">
        <f t="shared" si="1"/>
        <v>38.779999999999994</v>
      </c>
      <c r="AT27" s="181">
        <f t="shared" si="1"/>
        <v>32.140000000000008</v>
      </c>
      <c r="AU27" s="181">
        <f t="shared" si="1"/>
        <v>33.710000000000008</v>
      </c>
      <c r="AV27" s="181">
        <f t="shared" si="1"/>
        <v>32.479999999999997</v>
      </c>
      <c r="AW27" s="181">
        <f t="shared" si="1"/>
        <v>35.17</v>
      </c>
      <c r="AX27" s="181">
        <f t="shared" si="1"/>
        <v>34.36</v>
      </c>
      <c r="AY27" s="181">
        <f t="shared" si="1"/>
        <v>35.04</v>
      </c>
      <c r="AZ27" s="181">
        <f t="shared" si="1"/>
        <v>36.4</v>
      </c>
      <c r="BA27" s="181">
        <f t="shared" si="1"/>
        <v>35.650000000000006</v>
      </c>
      <c r="BB27" s="181">
        <f t="shared" si="1"/>
        <v>35.58</v>
      </c>
      <c r="BC27" s="181">
        <f t="shared" si="1"/>
        <v>32.400000000000006</v>
      </c>
      <c r="BD27" s="181">
        <f t="shared" si="1"/>
        <v>32.97</v>
      </c>
      <c r="BE27" s="181">
        <f t="shared" si="1"/>
        <v>32.92</v>
      </c>
      <c r="BF27" s="181">
        <f t="shared" si="1"/>
        <v>34.370000000000005</v>
      </c>
      <c r="BG27" s="181">
        <f t="shared" si="1"/>
        <v>36.159999999999997</v>
      </c>
      <c r="BH27" s="181">
        <f t="shared" si="1"/>
        <v>34.56</v>
      </c>
      <c r="BI27" s="181">
        <f t="shared" si="1"/>
        <v>37.299999999999997</v>
      </c>
      <c r="BJ27" s="181">
        <f t="shared" si="1"/>
        <v>35.510000000000005</v>
      </c>
      <c r="BK27" s="181">
        <f t="shared" si="1"/>
        <v>33.669999999999995</v>
      </c>
      <c r="BL27" s="181">
        <f t="shared" si="1"/>
        <v>34.760000000000005</v>
      </c>
      <c r="BM27" s="181">
        <f t="shared" si="1"/>
        <v>36.229999999999997</v>
      </c>
      <c r="BN27" s="181">
        <f t="shared" si="1"/>
        <v>34.92</v>
      </c>
      <c r="BO27" s="181">
        <f t="shared" si="1"/>
        <v>36.69</v>
      </c>
      <c r="BP27" s="181">
        <f t="shared" si="1"/>
        <v>33.070000000000007</v>
      </c>
      <c r="BQ27" s="181">
        <f t="shared" si="1"/>
        <v>37.78</v>
      </c>
      <c r="BR27" s="181">
        <f t="shared" si="1"/>
        <v>32.839999999999996</v>
      </c>
      <c r="BS27" s="181">
        <f t="shared" si="1"/>
        <v>37.080000000000005</v>
      </c>
      <c r="BT27" s="181">
        <f t="shared" si="1"/>
        <v>31.299999999999997</v>
      </c>
      <c r="BU27" s="181">
        <f t="shared" si="1"/>
        <v>34.170000000000009</v>
      </c>
      <c r="BV27" s="181">
        <f t="shared" si="1"/>
        <v>30.819999999999997</v>
      </c>
      <c r="BW27" s="181">
        <f t="shared" si="1"/>
        <v>35.96</v>
      </c>
      <c r="BX27" s="181">
        <f t="shared" si="1"/>
        <v>33.949999999999996</v>
      </c>
      <c r="BY27" s="181">
        <f t="shared" si="1"/>
        <v>35.150000000000006</v>
      </c>
      <c r="BZ27" s="181">
        <f t="shared" si="1"/>
        <v>35.22</v>
      </c>
      <c r="CA27" s="181">
        <f t="shared" si="1"/>
        <v>31.6</v>
      </c>
      <c r="CB27" s="181">
        <f t="shared" si="1"/>
        <v>33.749999999999993</v>
      </c>
      <c r="CC27" s="181">
        <f t="shared" si="1"/>
        <v>30.1</v>
      </c>
      <c r="CD27" s="181">
        <f t="shared" si="1"/>
        <v>33.35</v>
      </c>
      <c r="CE27" s="181">
        <f t="shared" si="1"/>
        <v>32.22</v>
      </c>
      <c r="CF27" s="181">
        <f t="shared" si="1"/>
        <v>36.44</v>
      </c>
      <c r="CG27" s="181">
        <f t="shared" ref="CG27:CU27" si="2">CG28-CG26</f>
        <v>32.44</v>
      </c>
      <c r="CH27" s="181">
        <f t="shared" si="2"/>
        <v>33.26</v>
      </c>
      <c r="CI27" s="181">
        <f t="shared" si="2"/>
        <v>33.11</v>
      </c>
      <c r="CJ27" s="181">
        <f t="shared" si="2"/>
        <v>32.44</v>
      </c>
      <c r="CK27" s="181">
        <f t="shared" si="2"/>
        <v>35.160000000000004</v>
      </c>
      <c r="CL27" s="181">
        <f t="shared" si="2"/>
        <v>32.290000000000006</v>
      </c>
      <c r="CM27" s="181">
        <f t="shared" si="2"/>
        <v>31.64</v>
      </c>
      <c r="CN27" s="181">
        <f t="shared" si="2"/>
        <v>32.94</v>
      </c>
      <c r="CO27" s="181">
        <f t="shared" si="2"/>
        <v>32.009999999999991</v>
      </c>
      <c r="CP27" s="181">
        <f t="shared" si="2"/>
        <v>32.63000000000001</v>
      </c>
      <c r="CQ27" s="181">
        <f t="shared" si="2"/>
        <v>33.25</v>
      </c>
      <c r="CR27" s="181">
        <f t="shared" si="2"/>
        <v>30.779999999999998</v>
      </c>
      <c r="CS27" s="181">
        <f t="shared" si="2"/>
        <v>30.19</v>
      </c>
      <c r="CT27" s="181">
        <f t="shared" si="2"/>
        <v>30.279999999999998</v>
      </c>
      <c r="CU27" s="181">
        <f t="shared" si="2"/>
        <v>32.749999999999993</v>
      </c>
      <c r="CV27" s="181">
        <f t="shared" ref="CV27:DJ27" si="3">CV28-CV26</f>
        <v>30.419999999999998</v>
      </c>
      <c r="CW27" s="181">
        <f t="shared" si="3"/>
        <v>30.569999999999997</v>
      </c>
      <c r="CX27" s="181">
        <f t="shared" si="3"/>
        <v>35.229999999999997</v>
      </c>
      <c r="CY27" s="181">
        <f t="shared" si="3"/>
        <v>30.990000000000002</v>
      </c>
      <c r="CZ27" s="181">
        <f t="shared" si="3"/>
        <v>30.97</v>
      </c>
      <c r="DA27" s="181">
        <f t="shared" si="3"/>
        <v>32.42</v>
      </c>
      <c r="DB27" s="181">
        <f t="shared" si="3"/>
        <v>33.49</v>
      </c>
      <c r="DC27" s="181">
        <f t="shared" si="3"/>
        <v>34.42</v>
      </c>
      <c r="DD27" s="181">
        <f t="shared" si="3"/>
        <v>30.630000000000003</v>
      </c>
      <c r="DE27" s="181">
        <f t="shared" si="3"/>
        <v>41.91</v>
      </c>
      <c r="DF27" s="181">
        <f t="shared" si="3"/>
        <v>36.92</v>
      </c>
      <c r="DG27" s="181">
        <f t="shared" si="3"/>
        <v>32.049999999999997</v>
      </c>
      <c r="DH27" s="181">
        <f t="shared" si="3"/>
        <v>34.43</v>
      </c>
      <c r="DI27" s="181">
        <f t="shared" si="3"/>
        <v>35.720000000000006</v>
      </c>
      <c r="DJ27" s="181">
        <f t="shared" si="3"/>
        <v>30.7</v>
      </c>
      <c r="DK27" s="181">
        <f t="shared" ref="DK27:EH27" si="4">DK28-DK26</f>
        <v>34.76</v>
      </c>
      <c r="DL27" s="181">
        <f t="shared" si="4"/>
        <v>31.090000000000003</v>
      </c>
      <c r="DM27" s="181">
        <f t="shared" si="4"/>
        <v>37.409999999999997</v>
      </c>
      <c r="DN27" s="181">
        <f t="shared" si="4"/>
        <v>35.67</v>
      </c>
      <c r="DO27" s="181">
        <f t="shared" si="4"/>
        <v>36.19</v>
      </c>
      <c r="DP27" s="181">
        <f t="shared" si="4"/>
        <v>39.529999999999994</v>
      </c>
      <c r="DQ27" s="181">
        <f t="shared" si="4"/>
        <v>33.300000000000004</v>
      </c>
      <c r="DR27" s="181">
        <f t="shared" si="4"/>
        <v>32.18</v>
      </c>
      <c r="DS27" s="181">
        <f t="shared" si="4"/>
        <v>34.08</v>
      </c>
      <c r="DT27" s="181">
        <f t="shared" si="4"/>
        <v>29.71</v>
      </c>
      <c r="DU27" s="181">
        <f t="shared" si="4"/>
        <v>36.11</v>
      </c>
      <c r="DV27" s="181">
        <f t="shared" si="4"/>
        <v>32.950000000000003</v>
      </c>
      <c r="DW27" s="181">
        <f t="shared" si="4"/>
        <v>33.779999999999994</v>
      </c>
      <c r="DX27" s="181">
        <f t="shared" si="4"/>
        <v>35.260000000000005</v>
      </c>
      <c r="DY27" s="181">
        <f t="shared" si="4"/>
        <v>34.159999999999997</v>
      </c>
      <c r="DZ27" s="181">
        <f t="shared" si="4"/>
        <v>34.730000000000004</v>
      </c>
      <c r="EA27" s="181">
        <f t="shared" si="4"/>
        <v>37.64</v>
      </c>
      <c r="EB27" s="181">
        <f t="shared" si="4"/>
        <v>37.000000000000007</v>
      </c>
      <c r="EC27" s="181">
        <f t="shared" si="4"/>
        <v>34.799999999999997</v>
      </c>
      <c r="ED27" s="181">
        <f t="shared" si="4"/>
        <v>31.95</v>
      </c>
      <c r="EE27" s="181">
        <f t="shared" si="4"/>
        <v>36.440000000000005</v>
      </c>
      <c r="EF27" s="181">
        <f t="shared" si="4"/>
        <v>25.79</v>
      </c>
      <c r="EG27" s="181">
        <f t="shared" si="4"/>
        <v>35.619999999999997</v>
      </c>
      <c r="EH27" s="181">
        <f t="shared" si="4"/>
        <v>31.740000000000002</v>
      </c>
      <c r="EI27" s="181">
        <f t="shared" ref="EI27:EO27" si="5">EI28-EI26</f>
        <v>33</v>
      </c>
      <c r="EJ27" s="181">
        <f t="shared" si="5"/>
        <v>30.27</v>
      </c>
      <c r="EK27" s="181">
        <f t="shared" si="5"/>
        <v>31.5</v>
      </c>
      <c r="EL27" s="181">
        <f t="shared" si="5"/>
        <v>35.200000000000003</v>
      </c>
      <c r="EM27" s="181">
        <f t="shared" si="5"/>
        <v>31.39</v>
      </c>
      <c r="EN27" s="181">
        <f t="shared" si="5"/>
        <v>34.26</v>
      </c>
      <c r="EO27" s="181">
        <f t="shared" si="5"/>
        <v>31.650000000000006</v>
      </c>
      <c r="EP27" s="181">
        <f t="shared" ref="EP27:EV27" si="6">EP28-EP26</f>
        <v>38.479999999999997</v>
      </c>
      <c r="EQ27" s="181">
        <f t="shared" si="6"/>
        <v>38.53</v>
      </c>
      <c r="ER27" s="181">
        <f t="shared" si="6"/>
        <v>37.250000000000007</v>
      </c>
      <c r="ES27" s="181">
        <f t="shared" si="6"/>
        <v>35.139999999999993</v>
      </c>
      <c r="ET27" s="181">
        <f t="shared" si="6"/>
        <v>39.01</v>
      </c>
      <c r="EU27" s="181">
        <f t="shared" si="6"/>
        <v>34.81</v>
      </c>
      <c r="EV27" s="181">
        <f t="shared" si="6"/>
        <v>30.72</v>
      </c>
      <c r="EW27" s="181">
        <f t="shared" ref="EW27:FF27" si="7">EW28-EW26</f>
        <v>29.969999999999995</v>
      </c>
      <c r="EX27" s="181">
        <f t="shared" si="7"/>
        <v>31.41</v>
      </c>
      <c r="EY27" s="181">
        <f t="shared" si="7"/>
        <v>36.369999999999997</v>
      </c>
      <c r="EZ27" s="181">
        <f t="shared" si="7"/>
        <v>34.14</v>
      </c>
      <c r="FA27" s="181">
        <f t="shared" si="7"/>
        <v>33.879999999999995</v>
      </c>
      <c r="FB27" s="181">
        <f t="shared" si="7"/>
        <v>32.96</v>
      </c>
      <c r="FC27" s="181">
        <f t="shared" si="7"/>
        <v>30.73</v>
      </c>
      <c r="FD27" s="181">
        <f t="shared" si="7"/>
        <v>35.049999999999997</v>
      </c>
      <c r="FE27" s="181">
        <f t="shared" si="7"/>
        <v>33.270000000000003</v>
      </c>
      <c r="FF27" s="181">
        <f t="shared" si="7"/>
        <v>38.67</v>
      </c>
      <c r="FG27" s="181">
        <f t="shared" ref="FG27:FN27" si="8">FG28-FG26</f>
        <v>35.79</v>
      </c>
      <c r="FH27" s="181">
        <f t="shared" si="8"/>
        <v>32.369999999999997</v>
      </c>
      <c r="FI27" s="181">
        <f t="shared" si="8"/>
        <v>35.01</v>
      </c>
      <c r="FJ27" s="181">
        <f t="shared" si="8"/>
        <v>32.28</v>
      </c>
      <c r="FK27" s="181">
        <f t="shared" si="8"/>
        <v>30.26</v>
      </c>
      <c r="FL27" s="181">
        <f t="shared" si="8"/>
        <v>43.09</v>
      </c>
      <c r="FM27" s="181">
        <f t="shared" si="8"/>
        <v>33.19</v>
      </c>
      <c r="FN27" s="181">
        <f t="shared" si="8"/>
        <v>37.46</v>
      </c>
      <c r="FO27" s="181">
        <f t="shared" ref="FO27:FS27" si="9">FO28-FO26</f>
        <v>32.54</v>
      </c>
      <c r="FP27" s="181">
        <f t="shared" si="9"/>
        <v>33.35</v>
      </c>
      <c r="FQ27" s="181">
        <f t="shared" si="9"/>
        <v>34.39</v>
      </c>
      <c r="FR27" s="181">
        <f t="shared" si="9"/>
        <v>35.22</v>
      </c>
      <c r="FS27" s="181">
        <f t="shared" si="9"/>
        <v>31.43</v>
      </c>
      <c r="FT27" s="181">
        <f t="shared" ref="FT27:GC27" si="10">FT28-FT26</f>
        <v>36.93</v>
      </c>
      <c r="FU27" s="181">
        <f t="shared" si="10"/>
        <v>31.77</v>
      </c>
      <c r="FV27" s="181">
        <f t="shared" si="10"/>
        <v>32.47</v>
      </c>
      <c r="FW27" s="181">
        <f t="shared" si="10"/>
        <v>35.020000000000003</v>
      </c>
      <c r="FX27" s="181">
        <f t="shared" si="10"/>
        <v>33.020000000000003</v>
      </c>
      <c r="FY27" s="181">
        <f t="shared" si="10"/>
        <v>0</v>
      </c>
      <c r="FZ27" s="181">
        <f t="shared" si="10"/>
        <v>0</v>
      </c>
      <c r="GA27" s="181">
        <f t="shared" si="10"/>
        <v>0</v>
      </c>
      <c r="GB27" s="181">
        <f t="shared" si="10"/>
        <v>0</v>
      </c>
      <c r="GC27" s="181">
        <f t="shared" si="10"/>
        <v>0</v>
      </c>
      <c r="GD27" s="198">
        <v>36.4280507661923</v>
      </c>
      <c r="GE27" s="198">
        <v>36.160676303629486</v>
      </c>
      <c r="GF27" s="198">
        <v>36.631174186428723</v>
      </c>
      <c r="GG27" s="198">
        <v>36.411114847372041</v>
      </c>
      <c r="GH27" s="198">
        <v>36.962282428762592</v>
      </c>
      <c r="GI27" s="198">
        <v>36.533136460438783</v>
      </c>
      <c r="GJ27" s="198">
        <v>37.461411987162307</v>
      </c>
      <c r="GK27" s="198">
        <v>37.038462938675508</v>
      </c>
      <c r="GL27" s="198">
        <v>37.304209439007209</v>
      </c>
      <c r="GM27" s="198">
        <v>37.406371119925268</v>
      </c>
      <c r="GN27" s="198">
        <v>37.532146902326176</v>
      </c>
      <c r="GO27" s="198">
        <v>37.364185078382199</v>
      </c>
    </row>
    <row r="28" spans="1:197" x14ac:dyDescent="0.3">
      <c r="A28" s="368"/>
      <c r="B28" s="364"/>
      <c r="C28" s="157"/>
      <c r="D28" s="157" t="s">
        <v>22</v>
      </c>
      <c r="E28" s="195">
        <v>69.2</v>
      </c>
      <c r="F28" s="171" t="s">
        <v>158</v>
      </c>
      <c r="G28" s="235">
        <v>71.069999999999993</v>
      </c>
      <c r="H28" s="241">
        <v>69.287186641496305</v>
      </c>
      <c r="I28" s="241">
        <v>68.767157386118939</v>
      </c>
      <c r="J28" s="241">
        <v>69.470941238219709</v>
      </c>
      <c r="K28" s="241">
        <v>70.684049202612201</v>
      </c>
      <c r="L28" s="241">
        <v>73.894964079661264</v>
      </c>
      <c r="M28" s="167">
        <v>71.500679396216199</v>
      </c>
      <c r="N28" s="243">
        <v>70.880046434100691</v>
      </c>
      <c r="O28" s="180">
        <v>68.489999999999995</v>
      </c>
      <c r="P28" s="180">
        <v>67.430000000000007</v>
      </c>
      <c r="Q28" s="180">
        <v>63.86</v>
      </c>
      <c r="R28" s="180">
        <v>65.930000000000007</v>
      </c>
      <c r="S28" s="180">
        <v>67.37</v>
      </c>
      <c r="T28" s="180">
        <v>33</v>
      </c>
      <c r="U28" s="258">
        <v>66.55</v>
      </c>
      <c r="V28" s="369"/>
      <c r="W28" s="197"/>
      <c r="X28" s="179">
        <v>73.41</v>
      </c>
      <c r="Y28" s="179">
        <v>66.98</v>
      </c>
      <c r="Z28" s="179">
        <v>64.091999999999999</v>
      </c>
      <c r="AA28" s="179">
        <v>65.082999999999998</v>
      </c>
      <c r="AB28" s="179">
        <v>68.5</v>
      </c>
      <c r="AC28" s="179">
        <v>65.587000000000003</v>
      </c>
      <c r="AD28" s="179">
        <v>71.540999999999997</v>
      </c>
      <c r="AE28" s="179">
        <v>67.56</v>
      </c>
      <c r="AF28" s="179">
        <v>67.91</v>
      </c>
      <c r="AG28" s="179">
        <v>74.86</v>
      </c>
      <c r="AH28" s="179">
        <v>67.19</v>
      </c>
      <c r="AI28" s="179">
        <v>76.959999999999994</v>
      </c>
      <c r="AJ28" s="179">
        <v>62.4</v>
      </c>
      <c r="AK28" s="179">
        <v>72.33</v>
      </c>
      <c r="AL28" s="179">
        <v>64.150000000000006</v>
      </c>
      <c r="AM28" s="179">
        <v>72.23</v>
      </c>
      <c r="AN28" s="179">
        <v>68.31</v>
      </c>
      <c r="AO28" s="179">
        <v>65.25</v>
      </c>
      <c r="AP28" s="179">
        <v>65.92</v>
      </c>
      <c r="AQ28" s="179">
        <v>74.95</v>
      </c>
      <c r="AR28" s="179">
        <v>71.52</v>
      </c>
      <c r="AS28" s="179">
        <v>80.349999999999994</v>
      </c>
      <c r="AT28" s="179">
        <v>65.12</v>
      </c>
      <c r="AU28" s="179">
        <v>69.87</v>
      </c>
      <c r="AV28" s="179">
        <v>63.16</v>
      </c>
      <c r="AW28" s="179">
        <v>68.73</v>
      </c>
      <c r="AX28" s="179">
        <v>65.22</v>
      </c>
      <c r="AY28" s="179">
        <v>73.08</v>
      </c>
      <c r="AZ28" s="179">
        <v>75.64</v>
      </c>
      <c r="BA28" s="179">
        <v>67.510000000000005</v>
      </c>
      <c r="BB28" s="179">
        <v>71</v>
      </c>
      <c r="BC28" s="179">
        <v>63.31</v>
      </c>
      <c r="BD28" s="179">
        <v>66.41</v>
      </c>
      <c r="BE28" s="179">
        <v>63.24</v>
      </c>
      <c r="BF28" s="179">
        <v>70.760000000000005</v>
      </c>
      <c r="BG28" s="179">
        <v>70.569999999999993</v>
      </c>
      <c r="BH28" s="179">
        <v>65.06</v>
      </c>
      <c r="BI28" s="179">
        <v>74.959999999999994</v>
      </c>
      <c r="BJ28" s="179">
        <v>66.290000000000006</v>
      </c>
      <c r="BK28" s="179">
        <v>64.02</v>
      </c>
      <c r="BL28" s="179">
        <v>68.760000000000005</v>
      </c>
      <c r="BM28" s="179">
        <v>71.66</v>
      </c>
      <c r="BN28" s="179">
        <v>68.010000000000005</v>
      </c>
      <c r="BO28" s="179">
        <v>67.47</v>
      </c>
      <c r="BP28" s="179">
        <v>67.930000000000007</v>
      </c>
      <c r="BQ28" s="179">
        <v>70.5</v>
      </c>
      <c r="BR28" s="179">
        <v>65.709999999999994</v>
      </c>
      <c r="BS28" s="179">
        <v>72.430000000000007</v>
      </c>
      <c r="BT28" s="179">
        <v>62.37</v>
      </c>
      <c r="BU28" s="179">
        <v>70.930000000000007</v>
      </c>
      <c r="BV28" s="179">
        <v>60.16</v>
      </c>
      <c r="BW28" s="179">
        <v>74.19</v>
      </c>
      <c r="BX28" s="179">
        <v>67.05</v>
      </c>
      <c r="BY28" s="179">
        <v>71.400000000000006</v>
      </c>
      <c r="BZ28" s="179">
        <v>66.459999999999994</v>
      </c>
      <c r="CA28" s="179">
        <v>63.32</v>
      </c>
      <c r="CB28" s="179">
        <v>68.13</v>
      </c>
      <c r="CC28" s="179">
        <v>62.54</v>
      </c>
      <c r="CD28" s="179">
        <v>64.81</v>
      </c>
      <c r="CE28" s="179">
        <v>63.04</v>
      </c>
      <c r="CF28" s="179">
        <v>75.989999999999995</v>
      </c>
      <c r="CG28" s="179">
        <v>64.97</v>
      </c>
      <c r="CH28" s="179">
        <v>69.36</v>
      </c>
      <c r="CI28" s="179">
        <v>68.64</v>
      </c>
      <c r="CJ28" s="179">
        <v>60.89</v>
      </c>
      <c r="CK28" s="179">
        <v>70.290000000000006</v>
      </c>
      <c r="CL28" s="179">
        <v>61.63</v>
      </c>
      <c r="CM28" s="179">
        <v>62.71</v>
      </c>
      <c r="CN28" s="179">
        <v>62.04</v>
      </c>
      <c r="CO28" s="179">
        <v>65.569999999999993</v>
      </c>
      <c r="CP28" s="179">
        <v>65.790000000000006</v>
      </c>
      <c r="CQ28" s="179">
        <v>63.29</v>
      </c>
      <c r="CR28" s="179">
        <v>58.83</v>
      </c>
      <c r="CS28" s="179">
        <v>57.89</v>
      </c>
      <c r="CT28" s="179">
        <v>60.98</v>
      </c>
      <c r="CU28" s="179">
        <v>64.349999999999994</v>
      </c>
      <c r="CV28" s="179">
        <v>61.87</v>
      </c>
      <c r="CW28" s="179">
        <v>60.16</v>
      </c>
      <c r="CX28" s="179">
        <v>69.16</v>
      </c>
      <c r="CY28" s="179">
        <v>59.38</v>
      </c>
      <c r="CZ28" s="179">
        <v>59.54</v>
      </c>
      <c r="DA28" s="179">
        <v>65.61</v>
      </c>
      <c r="DB28" s="179">
        <v>62.99</v>
      </c>
      <c r="DC28" s="179">
        <v>64.22</v>
      </c>
      <c r="DD28" s="179">
        <v>60.49</v>
      </c>
      <c r="DE28" s="179">
        <v>70.069999999999993</v>
      </c>
      <c r="DF28" s="179">
        <v>73.97</v>
      </c>
      <c r="DG28" s="179">
        <v>64.89</v>
      </c>
      <c r="DH28" s="179">
        <v>66.69</v>
      </c>
      <c r="DI28" s="179">
        <v>69.87</v>
      </c>
      <c r="DJ28" s="179">
        <v>60.01</v>
      </c>
      <c r="DK28" s="179">
        <v>70.47</v>
      </c>
      <c r="DL28" s="179">
        <v>58.95</v>
      </c>
      <c r="DM28" s="179">
        <v>68.72</v>
      </c>
      <c r="DN28" s="179">
        <v>72.72</v>
      </c>
      <c r="DO28" s="179">
        <v>72.8</v>
      </c>
      <c r="DP28" s="179">
        <v>70.989999999999995</v>
      </c>
      <c r="DQ28" s="179">
        <v>66.06</v>
      </c>
      <c r="DR28" s="179">
        <v>62.01</v>
      </c>
      <c r="DS28" s="179">
        <v>62.75</v>
      </c>
      <c r="DT28" s="179">
        <v>30.51</v>
      </c>
      <c r="DU28" s="179">
        <v>36.11</v>
      </c>
      <c r="DV28" s="179">
        <v>32.950000000000003</v>
      </c>
      <c r="DW28" s="179">
        <v>70.459999999999994</v>
      </c>
      <c r="DX28" s="179">
        <v>70.09</v>
      </c>
      <c r="DY28" s="179">
        <v>64.53</v>
      </c>
      <c r="DZ28" s="179">
        <v>65.22</v>
      </c>
      <c r="EA28" s="179">
        <v>64.83</v>
      </c>
      <c r="EB28" s="179">
        <v>66.680000000000007</v>
      </c>
      <c r="EC28" s="179">
        <v>63.9</v>
      </c>
      <c r="ED28" s="179">
        <v>62.9</v>
      </c>
      <c r="EE28" s="179">
        <v>73.92</v>
      </c>
      <c r="EF28" s="179">
        <v>58.49</v>
      </c>
      <c r="EG28" s="179">
        <v>69.75</v>
      </c>
      <c r="EH28" s="179">
        <v>60.78</v>
      </c>
      <c r="EI28" s="179">
        <v>68.66</v>
      </c>
      <c r="EJ28" s="179">
        <v>59.5</v>
      </c>
      <c r="EK28" s="179">
        <v>60.32</v>
      </c>
      <c r="EL28" s="179">
        <v>36.21</v>
      </c>
      <c r="EM28" s="179">
        <v>32.25</v>
      </c>
      <c r="EN28" s="179">
        <v>35.14</v>
      </c>
      <c r="EO28" s="179">
        <v>64.59</v>
      </c>
      <c r="EP28" s="179">
        <v>38.479999999999997</v>
      </c>
      <c r="EQ28" s="179">
        <v>38.53</v>
      </c>
      <c r="ER28" s="179">
        <v>76.430000000000007</v>
      </c>
      <c r="ES28" s="179">
        <v>69.13</v>
      </c>
      <c r="ET28" s="179">
        <v>71.52</v>
      </c>
      <c r="EU28" s="179">
        <v>65.12</v>
      </c>
      <c r="EV28" s="179">
        <v>60.11</v>
      </c>
      <c r="EW28" s="179">
        <v>59.91</v>
      </c>
      <c r="EX28" s="179">
        <v>60.78</v>
      </c>
      <c r="EY28" s="179">
        <v>74.77</v>
      </c>
      <c r="EZ28" s="179">
        <v>67.8</v>
      </c>
      <c r="FA28" s="179">
        <v>65.3</v>
      </c>
      <c r="FB28" s="179">
        <v>66</v>
      </c>
      <c r="FC28" s="179">
        <v>59.97</v>
      </c>
      <c r="FD28" s="179">
        <v>64.069999999999993</v>
      </c>
      <c r="FE28" s="179">
        <v>67.03</v>
      </c>
      <c r="FF28" s="179">
        <v>38.67</v>
      </c>
      <c r="FG28" s="179">
        <v>35.79</v>
      </c>
      <c r="FH28" s="179">
        <v>32.369999999999997</v>
      </c>
      <c r="FI28" s="179">
        <v>35.01</v>
      </c>
      <c r="FJ28" s="179">
        <v>32.28</v>
      </c>
      <c r="FK28" s="179">
        <v>30.26</v>
      </c>
      <c r="FL28" s="179">
        <v>43.09</v>
      </c>
      <c r="FM28" s="179">
        <v>33.19</v>
      </c>
      <c r="FN28" s="179">
        <v>37.46</v>
      </c>
      <c r="FO28" s="179">
        <v>32.54</v>
      </c>
      <c r="FP28" s="179">
        <v>33.35</v>
      </c>
      <c r="FQ28" s="179">
        <v>34.39</v>
      </c>
      <c r="FR28" s="179">
        <v>35.22</v>
      </c>
      <c r="FS28" s="179">
        <v>31.43</v>
      </c>
      <c r="FT28" s="179">
        <v>36.93</v>
      </c>
      <c r="FU28" s="179">
        <v>31.77</v>
      </c>
      <c r="FV28" s="179">
        <v>32.47</v>
      </c>
      <c r="FW28" s="179">
        <v>35.020000000000003</v>
      </c>
      <c r="FX28" s="179">
        <v>33.020000000000003</v>
      </c>
      <c r="FY28" s="179"/>
      <c r="FZ28" s="179"/>
      <c r="GA28" s="179"/>
      <c r="GB28" s="179"/>
      <c r="GC28" s="179"/>
      <c r="GD28" s="198">
        <v>69.287186641496305</v>
      </c>
      <c r="GE28" s="198">
        <v>68.767157386118939</v>
      </c>
      <c r="GF28" s="198">
        <v>69.470941238219709</v>
      </c>
      <c r="GG28" s="198">
        <v>70.684049202612201</v>
      </c>
      <c r="GH28" s="198">
        <v>73.894964079661264</v>
      </c>
      <c r="GI28" s="198">
        <v>71.500679396216199</v>
      </c>
      <c r="GJ28" s="198">
        <v>73.092237119486313</v>
      </c>
      <c r="GK28" s="198">
        <v>70.992702799892115</v>
      </c>
      <c r="GL28" s="198">
        <v>71.131255534532599</v>
      </c>
      <c r="GM28" s="198">
        <v>71.268435743900866</v>
      </c>
      <c r="GN28" s="198">
        <v>70.863591206321004</v>
      </c>
      <c r="GO28" s="198">
        <v>70.21478840539686</v>
      </c>
    </row>
    <row r="29" spans="1:197" ht="33" customHeight="1" x14ac:dyDescent="0.3">
      <c r="A29" s="362">
        <v>16</v>
      </c>
      <c r="B29" s="354" t="s">
        <v>192</v>
      </c>
      <c r="C29" s="199" t="s">
        <v>190</v>
      </c>
      <c r="D29" s="199" t="s">
        <v>22</v>
      </c>
      <c r="E29" s="200">
        <v>40.5</v>
      </c>
      <c r="F29" s="201"/>
      <c r="G29" s="235">
        <v>39.14</v>
      </c>
      <c r="H29" s="244">
        <v>38.779251809569026</v>
      </c>
      <c r="I29" s="244">
        <v>38.569013845346355</v>
      </c>
      <c r="J29" s="244">
        <v>38.729994587766143</v>
      </c>
      <c r="K29" s="244">
        <v>40.633294435227413</v>
      </c>
      <c r="L29" s="244">
        <v>41.091006625787287</v>
      </c>
      <c r="M29" s="167">
        <v>40.920825607214546</v>
      </c>
      <c r="N29" s="244">
        <v>39.762526109855436</v>
      </c>
      <c r="O29" s="196">
        <v>40.18</v>
      </c>
      <c r="P29" s="196">
        <v>39.58</v>
      </c>
      <c r="Q29" s="196">
        <v>36.83</v>
      </c>
      <c r="R29" s="196">
        <v>37.840000000000003</v>
      </c>
      <c r="S29" s="196">
        <v>36.58</v>
      </c>
      <c r="T29" s="196">
        <v>37.74</v>
      </c>
      <c r="U29" s="196">
        <v>38.159999999999997</v>
      </c>
      <c r="V29" s="365" t="s">
        <v>193</v>
      </c>
      <c r="W29" s="163"/>
      <c r="X29" s="181">
        <v>44.16</v>
      </c>
      <c r="Y29" s="181">
        <v>35.74</v>
      </c>
      <c r="Z29" s="181">
        <v>40.265999999999998</v>
      </c>
      <c r="AA29" s="181">
        <v>34.847000000000001</v>
      </c>
      <c r="AB29" s="181">
        <v>40.35</v>
      </c>
      <c r="AC29" s="181">
        <v>43.539000000000001</v>
      </c>
      <c r="AD29" s="181">
        <v>39.796999999999997</v>
      </c>
      <c r="AE29" s="181">
        <v>37.61</v>
      </c>
      <c r="AF29" s="181">
        <v>39.770000000000003</v>
      </c>
      <c r="AG29" s="181">
        <v>35.53</v>
      </c>
      <c r="AH29" s="181">
        <v>40.57</v>
      </c>
      <c r="AI29" s="181">
        <v>36.799999999999997</v>
      </c>
      <c r="AJ29" s="181">
        <v>35.57</v>
      </c>
      <c r="AK29" s="181">
        <v>40.54</v>
      </c>
      <c r="AL29" s="181">
        <v>38.24</v>
      </c>
      <c r="AM29" s="181">
        <v>38.630000000000003</v>
      </c>
      <c r="AN29" s="181">
        <v>36.29</v>
      </c>
      <c r="AO29" s="181">
        <v>40.729999999999997</v>
      </c>
      <c r="AP29" s="181">
        <v>0</v>
      </c>
      <c r="AQ29" s="181">
        <v>46.99</v>
      </c>
      <c r="AR29" s="181">
        <v>39.67</v>
      </c>
      <c r="AS29" s="181">
        <v>45.31</v>
      </c>
      <c r="AT29" s="181">
        <v>42.5</v>
      </c>
      <c r="AU29" s="181">
        <v>41.26</v>
      </c>
      <c r="AV29" s="181">
        <v>42.58</v>
      </c>
      <c r="AW29" s="181">
        <v>41.17</v>
      </c>
      <c r="AX29" s="181">
        <v>40.229999999999997</v>
      </c>
      <c r="AY29" s="181">
        <v>40.200000000000003</v>
      </c>
      <c r="AZ29" s="181">
        <v>44.58</v>
      </c>
      <c r="BA29" s="181">
        <v>43.04</v>
      </c>
      <c r="BB29" s="181">
        <v>44.21</v>
      </c>
      <c r="BC29" s="181">
        <v>43.87</v>
      </c>
      <c r="BD29" s="181">
        <v>42.52</v>
      </c>
      <c r="BE29" s="181">
        <v>41.18</v>
      </c>
      <c r="BF29" s="181">
        <v>38.51</v>
      </c>
      <c r="BG29" s="181">
        <v>44.14</v>
      </c>
      <c r="BH29" s="181">
        <v>39.65</v>
      </c>
      <c r="BI29" s="181">
        <v>42.15</v>
      </c>
      <c r="BJ29" s="181">
        <v>41.63</v>
      </c>
      <c r="BK29" s="181">
        <v>37.380000000000003</v>
      </c>
      <c r="BL29" s="181">
        <v>38.58</v>
      </c>
      <c r="BM29" s="181">
        <v>44.98</v>
      </c>
      <c r="BN29" s="181">
        <v>36.9</v>
      </c>
      <c r="BO29" s="181">
        <v>0</v>
      </c>
      <c r="BP29" s="181">
        <v>39.32</v>
      </c>
      <c r="BQ29" s="181">
        <v>37.54</v>
      </c>
      <c r="BR29" s="181">
        <v>36.799999999999997</v>
      </c>
      <c r="BS29" s="181">
        <v>35.619999999999997</v>
      </c>
      <c r="BT29" s="181">
        <v>40.24</v>
      </c>
      <c r="BU29" s="181">
        <v>41.78</v>
      </c>
      <c r="BV29" s="181">
        <v>40.71</v>
      </c>
      <c r="BW29" s="181">
        <v>38.61</v>
      </c>
      <c r="BX29" s="181">
        <v>38.159999999999997</v>
      </c>
      <c r="BY29" s="181">
        <v>43.52</v>
      </c>
      <c r="BZ29" s="181">
        <v>36.17</v>
      </c>
      <c r="CA29" s="181">
        <v>35.39</v>
      </c>
      <c r="CB29" s="181">
        <v>36.71</v>
      </c>
      <c r="CC29" s="181">
        <v>38.17</v>
      </c>
      <c r="CD29" s="181">
        <v>37.5</v>
      </c>
      <c r="CE29" s="181">
        <v>40.630000000000003</v>
      </c>
      <c r="CF29" s="181">
        <v>37.68</v>
      </c>
      <c r="CG29" s="181">
        <v>37.69</v>
      </c>
      <c r="CH29" s="181">
        <v>39.15</v>
      </c>
      <c r="CI29" s="181">
        <v>35.19</v>
      </c>
      <c r="CJ29" s="181">
        <v>34.979999999999997</v>
      </c>
      <c r="CK29" s="181">
        <v>0.97</v>
      </c>
      <c r="CL29" s="181">
        <v>0</v>
      </c>
      <c r="CM29" s="181">
        <v>33.97</v>
      </c>
      <c r="CN29" s="181">
        <v>36.03</v>
      </c>
      <c r="CO29" s="181">
        <v>38.049999999999997</v>
      </c>
      <c r="CP29" s="181">
        <v>37.22</v>
      </c>
      <c r="CQ29" s="181">
        <v>36.51</v>
      </c>
      <c r="CR29" s="181">
        <v>35.21</v>
      </c>
      <c r="CS29" s="181">
        <v>35.31</v>
      </c>
      <c r="CT29" s="181">
        <v>32.01</v>
      </c>
      <c r="CU29" s="181">
        <v>37.35</v>
      </c>
      <c r="CV29" s="181">
        <v>37.380000000000003</v>
      </c>
      <c r="CW29" s="181">
        <v>36.96</v>
      </c>
      <c r="CX29" s="181">
        <v>35.17</v>
      </c>
      <c r="CY29" s="181">
        <v>34.32</v>
      </c>
      <c r="CZ29" s="181">
        <v>37.89</v>
      </c>
      <c r="DA29" s="181">
        <v>35.229999999999997</v>
      </c>
      <c r="DB29" s="181">
        <v>33.619999999999997</v>
      </c>
      <c r="DC29" s="181">
        <v>41.22</v>
      </c>
      <c r="DD29" s="181">
        <v>34.43</v>
      </c>
      <c r="DE29" s="181">
        <v>34.659999999999997</v>
      </c>
      <c r="DF29" s="181">
        <v>37.799999999999997</v>
      </c>
      <c r="DG29" s="181">
        <v>36.1</v>
      </c>
      <c r="DH29" s="181">
        <v>41</v>
      </c>
      <c r="DI29" s="181">
        <v>40.22</v>
      </c>
      <c r="DJ29" s="181">
        <v>33.79</v>
      </c>
      <c r="DK29" s="181">
        <v>39.06</v>
      </c>
      <c r="DL29" s="181">
        <v>40.93</v>
      </c>
      <c r="DM29" s="181">
        <v>38.450000000000003</v>
      </c>
      <c r="DN29" s="181">
        <v>40.06</v>
      </c>
      <c r="DO29" s="181">
        <v>37.35</v>
      </c>
      <c r="DP29" s="181">
        <v>37.130000000000003</v>
      </c>
      <c r="DQ29" s="181">
        <v>34.36</v>
      </c>
      <c r="DR29" s="181">
        <v>34.659999999999997</v>
      </c>
      <c r="DS29" s="181">
        <v>38.82</v>
      </c>
      <c r="DT29" s="181">
        <v>48.48</v>
      </c>
      <c r="DU29" s="181">
        <v>33.56</v>
      </c>
      <c r="DV29" s="181">
        <v>34.46</v>
      </c>
      <c r="DW29" s="181">
        <v>34.590000000000003</v>
      </c>
      <c r="DX29" s="181">
        <v>40.33</v>
      </c>
      <c r="DY29" s="181">
        <v>33.9</v>
      </c>
      <c r="DZ29" s="181">
        <v>34.01</v>
      </c>
      <c r="EA29" s="181">
        <v>43.27</v>
      </c>
      <c r="EB29" s="181">
        <v>33.18</v>
      </c>
      <c r="EC29" s="181">
        <v>0.86</v>
      </c>
      <c r="ED29" s="181">
        <v>0</v>
      </c>
      <c r="EE29" s="181">
        <v>0</v>
      </c>
      <c r="EF29" s="181">
        <v>0</v>
      </c>
      <c r="EG29" s="181">
        <v>0</v>
      </c>
      <c r="EH29" s="181">
        <v>0</v>
      </c>
      <c r="EI29" s="181">
        <v>0</v>
      </c>
      <c r="EJ29" s="181">
        <v>0</v>
      </c>
      <c r="EK29" s="181">
        <v>0</v>
      </c>
      <c r="EL29" s="181">
        <v>0</v>
      </c>
      <c r="EM29" s="181">
        <v>0</v>
      </c>
      <c r="EN29" s="181">
        <v>0</v>
      </c>
      <c r="EO29" s="181">
        <v>42.95</v>
      </c>
      <c r="EP29" s="181">
        <v>43.22</v>
      </c>
      <c r="EQ29" s="181">
        <v>33.549999999999997</v>
      </c>
      <c r="ER29" s="181">
        <v>41.07</v>
      </c>
      <c r="ES29" s="181">
        <v>41.91</v>
      </c>
      <c r="ET29" s="181">
        <v>33.770000000000003</v>
      </c>
      <c r="EU29" s="181">
        <v>34.6</v>
      </c>
      <c r="EV29" s="181">
        <v>39.15</v>
      </c>
      <c r="EW29" s="181">
        <v>35.479999999999997</v>
      </c>
      <c r="EX29" s="181">
        <v>33.270000000000003</v>
      </c>
      <c r="EY29" s="181">
        <v>37.54</v>
      </c>
      <c r="EZ29" s="181">
        <v>31.55</v>
      </c>
      <c r="FA29" s="181">
        <v>35.950000000000003</v>
      </c>
      <c r="FB29" s="181">
        <v>37.89</v>
      </c>
      <c r="FC29" s="181">
        <v>33.08</v>
      </c>
      <c r="FD29" s="181">
        <v>37.049999999999997</v>
      </c>
      <c r="FE29" s="181">
        <v>32.25</v>
      </c>
      <c r="FF29" s="181">
        <v>33.61</v>
      </c>
      <c r="FG29" s="181">
        <v>38.21</v>
      </c>
      <c r="FH29" s="181">
        <v>33.270000000000003</v>
      </c>
      <c r="FI29" s="181">
        <v>34.21</v>
      </c>
      <c r="FJ29" s="181">
        <v>39.549999999999997</v>
      </c>
      <c r="FK29" s="181">
        <v>45.92</v>
      </c>
      <c r="FL29" s="181">
        <v>43.23</v>
      </c>
      <c r="FM29" s="181">
        <v>34.21</v>
      </c>
      <c r="FN29" s="181">
        <v>33.71</v>
      </c>
      <c r="FO29" s="181">
        <v>39.94</v>
      </c>
      <c r="FP29" s="181">
        <v>34.08</v>
      </c>
      <c r="FQ29" s="181">
        <v>37.659999999999997</v>
      </c>
      <c r="FR29" s="181">
        <v>35.6</v>
      </c>
      <c r="FS29" s="181">
        <v>38.07</v>
      </c>
      <c r="FT29" s="181">
        <v>41.5</v>
      </c>
      <c r="FU29" s="181">
        <v>38.590000000000003</v>
      </c>
      <c r="FV29" s="181">
        <v>34.68</v>
      </c>
      <c r="FW29" s="181">
        <v>38.979999999999997</v>
      </c>
      <c r="FX29" s="181">
        <v>38.43</v>
      </c>
      <c r="FY29" s="181"/>
      <c r="FZ29" s="181"/>
      <c r="GA29" s="181"/>
      <c r="GB29" s="181"/>
      <c r="GC29" s="181"/>
      <c r="GD29" s="198">
        <v>38.779251809569026</v>
      </c>
      <c r="GE29" s="198">
        <v>38.569013845346355</v>
      </c>
      <c r="GF29" s="198">
        <v>38.729994587766143</v>
      </c>
      <c r="GG29" s="198">
        <v>40.633294435227413</v>
      </c>
      <c r="GH29" s="198">
        <v>41.091006625787287</v>
      </c>
      <c r="GI29" s="198">
        <v>40.920825607214546</v>
      </c>
      <c r="GJ29" s="198">
        <v>41.880800130176006</v>
      </c>
      <c r="GK29" s="198">
        <v>40.226518725081235</v>
      </c>
      <c r="GL29" s="198">
        <v>39.954956999588688</v>
      </c>
      <c r="GM29" s="198">
        <v>40.073995298341558</v>
      </c>
      <c r="GN29" s="198">
        <v>39.634598993719038</v>
      </c>
      <c r="GO29" s="198">
        <v>38.659016252995869</v>
      </c>
    </row>
    <row r="30" spans="1:197" x14ac:dyDescent="0.3">
      <c r="A30" s="362"/>
      <c r="B30" s="364"/>
      <c r="C30" s="157"/>
      <c r="D30" s="157" t="s">
        <v>22</v>
      </c>
      <c r="E30" s="195">
        <v>36.5</v>
      </c>
      <c r="F30" s="171"/>
      <c r="G30" s="235">
        <v>36.879999999999995</v>
      </c>
      <c r="H30" s="241">
        <v>37.093595439426267</v>
      </c>
      <c r="I30" s="241">
        <v>36.974897735988357</v>
      </c>
      <c r="J30" s="241">
        <v>37.065785433144335</v>
      </c>
      <c r="K30" s="241">
        <v>37.082875218002421</v>
      </c>
      <c r="L30" s="241">
        <v>37.466735325286031</v>
      </c>
      <c r="M30" s="167">
        <v>37.366312100922414</v>
      </c>
      <c r="N30" s="241">
        <v>37.071337196676723</v>
      </c>
      <c r="O30" s="196">
        <f t="shared" ref="O30:U30" si="11">O31-O29</f>
        <v>38.729999999999997</v>
      </c>
      <c r="P30" s="196">
        <f t="shared" si="11"/>
        <v>36.64</v>
      </c>
      <c r="Q30" s="196">
        <f t="shared" si="11"/>
        <v>35.010000000000005</v>
      </c>
      <c r="R30" s="196">
        <f t="shared" si="11"/>
        <v>37.069999999999993</v>
      </c>
      <c r="S30" s="196">
        <f t="shared" si="11"/>
        <v>37.67</v>
      </c>
      <c r="T30" s="196">
        <f t="shared" si="11"/>
        <v>36.859999999999992</v>
      </c>
      <c r="U30" s="180">
        <f t="shared" si="11"/>
        <v>36.86</v>
      </c>
      <c r="V30" s="365"/>
      <c r="W30" s="163"/>
      <c r="X30" s="181">
        <f>X31-X29</f>
        <v>43.83</v>
      </c>
      <c r="Y30" s="181">
        <f>Y31-Y29</f>
        <v>37.96</v>
      </c>
      <c r="Z30" s="181">
        <f t="shared" ref="Z30:CF30" si="12">Z31-Z29</f>
        <v>39.356000000000002</v>
      </c>
      <c r="AA30" s="181">
        <f t="shared" si="12"/>
        <v>36.996000000000002</v>
      </c>
      <c r="AB30" s="181">
        <f t="shared" si="12"/>
        <v>38.419999999999995</v>
      </c>
      <c r="AC30" s="181">
        <f t="shared" si="12"/>
        <v>40.480000000000004</v>
      </c>
      <c r="AD30" s="181">
        <f t="shared" si="12"/>
        <v>37.953000000000003</v>
      </c>
      <c r="AE30" s="181">
        <f t="shared" si="12"/>
        <v>37.11</v>
      </c>
      <c r="AF30" s="181">
        <f t="shared" si="12"/>
        <v>38.499999999999993</v>
      </c>
      <c r="AG30" s="181">
        <f t="shared" si="12"/>
        <v>36.099999999999994</v>
      </c>
      <c r="AH30" s="181">
        <f t="shared" si="12"/>
        <v>35.979999999999997</v>
      </c>
      <c r="AI30" s="181">
        <f t="shared" si="12"/>
        <v>34.769999999999996</v>
      </c>
      <c r="AJ30" s="181">
        <f t="shared" si="12"/>
        <v>42.339999999999996</v>
      </c>
      <c r="AK30" s="181">
        <f t="shared" si="12"/>
        <v>43.85</v>
      </c>
      <c r="AL30" s="181">
        <f t="shared" si="12"/>
        <v>44.669999999999995</v>
      </c>
      <c r="AM30" s="181">
        <f t="shared" si="12"/>
        <v>43.639999999999993</v>
      </c>
      <c r="AN30" s="181">
        <f t="shared" si="12"/>
        <v>36.15</v>
      </c>
      <c r="AO30" s="181">
        <f t="shared" si="12"/>
        <v>40.140000000000008</v>
      </c>
      <c r="AP30" s="181">
        <f t="shared" si="12"/>
        <v>36.659999999999997</v>
      </c>
      <c r="AQ30" s="181">
        <f t="shared" si="12"/>
        <v>37.35</v>
      </c>
      <c r="AR30" s="181">
        <f t="shared" si="12"/>
        <v>36.06</v>
      </c>
      <c r="AS30" s="181">
        <f t="shared" si="12"/>
        <v>40.090000000000003</v>
      </c>
      <c r="AT30" s="181">
        <f t="shared" si="12"/>
        <v>39.760000000000005</v>
      </c>
      <c r="AU30" s="181">
        <f t="shared" si="12"/>
        <v>38.050000000000004</v>
      </c>
      <c r="AV30" s="181">
        <f t="shared" si="12"/>
        <v>40.36</v>
      </c>
      <c r="AW30" s="181">
        <f t="shared" si="12"/>
        <v>39.459999999999994</v>
      </c>
      <c r="AX30" s="181">
        <f t="shared" si="12"/>
        <v>39.750000000000007</v>
      </c>
      <c r="AY30" s="181">
        <f t="shared" si="12"/>
        <v>38.239999999999995</v>
      </c>
      <c r="AZ30" s="181">
        <f t="shared" si="12"/>
        <v>34.22</v>
      </c>
      <c r="BA30" s="181">
        <f t="shared" si="12"/>
        <v>39.550000000000004</v>
      </c>
      <c r="BB30" s="181">
        <f t="shared" si="12"/>
        <v>40.339999999999996</v>
      </c>
      <c r="BC30" s="181">
        <f t="shared" si="12"/>
        <v>39.82</v>
      </c>
      <c r="BD30" s="181">
        <f t="shared" si="12"/>
        <v>39.189999999999991</v>
      </c>
      <c r="BE30" s="181">
        <f t="shared" si="12"/>
        <v>41.610000000000007</v>
      </c>
      <c r="BF30" s="181">
        <f t="shared" si="12"/>
        <v>37.410000000000004</v>
      </c>
      <c r="BG30" s="181">
        <f t="shared" si="12"/>
        <v>38.230000000000004</v>
      </c>
      <c r="BH30" s="181">
        <f t="shared" si="12"/>
        <v>38.449999999999996</v>
      </c>
      <c r="BI30" s="181">
        <f t="shared" si="12"/>
        <v>38.729999999999997</v>
      </c>
      <c r="BJ30" s="181">
        <f t="shared" si="12"/>
        <v>36.68</v>
      </c>
      <c r="BK30" s="181">
        <f t="shared" si="12"/>
        <v>35.889999999999993</v>
      </c>
      <c r="BL30" s="181">
        <f t="shared" si="12"/>
        <v>35</v>
      </c>
      <c r="BM30" s="181">
        <f t="shared" si="12"/>
        <v>38.470000000000006</v>
      </c>
      <c r="BN30" s="181">
        <f t="shared" si="12"/>
        <v>35.65</v>
      </c>
      <c r="BO30" s="181">
        <f t="shared" si="12"/>
        <v>35.28</v>
      </c>
      <c r="BP30" s="181">
        <f t="shared" si="12"/>
        <v>38.15</v>
      </c>
      <c r="BQ30" s="181">
        <f t="shared" si="12"/>
        <v>34.140000000000008</v>
      </c>
      <c r="BR30" s="181">
        <f t="shared" si="12"/>
        <v>35.120000000000005</v>
      </c>
      <c r="BS30" s="181">
        <f t="shared" si="12"/>
        <v>34.690000000000005</v>
      </c>
      <c r="BT30" s="181">
        <f t="shared" si="12"/>
        <v>35.9</v>
      </c>
      <c r="BU30" s="181">
        <f t="shared" si="12"/>
        <v>37.25</v>
      </c>
      <c r="BV30" s="181">
        <f t="shared" si="12"/>
        <v>37.889999999999993</v>
      </c>
      <c r="BW30" s="181">
        <f t="shared" si="12"/>
        <v>36.92</v>
      </c>
      <c r="BX30" s="181">
        <f t="shared" si="12"/>
        <v>36.19</v>
      </c>
      <c r="BY30" s="181">
        <f t="shared" si="12"/>
        <v>38.410000000000004</v>
      </c>
      <c r="BZ30" s="181">
        <f t="shared" si="12"/>
        <v>34.22</v>
      </c>
      <c r="CA30" s="181">
        <f t="shared" si="12"/>
        <v>34.739999999999995</v>
      </c>
      <c r="CB30" s="181">
        <f t="shared" si="12"/>
        <v>35.770000000000003</v>
      </c>
      <c r="CC30" s="181">
        <f t="shared" si="12"/>
        <v>33.83</v>
      </c>
      <c r="CD30" s="181">
        <f t="shared" si="12"/>
        <v>35.42</v>
      </c>
      <c r="CE30" s="181">
        <f t="shared" si="12"/>
        <v>36.609999999999992</v>
      </c>
      <c r="CF30" s="181">
        <f t="shared" si="12"/>
        <v>35.619999999999997</v>
      </c>
      <c r="CG30" s="181">
        <f t="shared" ref="CG30:CU30" si="13">CG31-CG29</f>
        <v>36.11</v>
      </c>
      <c r="CH30" s="181">
        <f t="shared" si="13"/>
        <v>37.110000000000007</v>
      </c>
      <c r="CI30" s="181">
        <f t="shared" si="13"/>
        <v>35.17</v>
      </c>
      <c r="CJ30" s="181">
        <f t="shared" si="13"/>
        <v>34.830000000000005</v>
      </c>
      <c r="CK30" s="181">
        <f t="shared" si="13"/>
        <v>35.96</v>
      </c>
      <c r="CL30" s="181">
        <f t="shared" si="13"/>
        <v>35.909999999999997</v>
      </c>
      <c r="CM30" s="181">
        <f t="shared" si="13"/>
        <v>33.460000000000008</v>
      </c>
      <c r="CN30" s="181">
        <f t="shared" si="13"/>
        <v>33.760000000000005</v>
      </c>
      <c r="CO30" s="181">
        <f t="shared" si="13"/>
        <v>34.58</v>
      </c>
      <c r="CP30" s="181">
        <f t="shared" si="13"/>
        <v>35.230000000000004</v>
      </c>
      <c r="CQ30" s="181">
        <f t="shared" si="13"/>
        <v>33.780000000000008</v>
      </c>
      <c r="CR30" s="181">
        <f t="shared" si="13"/>
        <v>33.889999999999993</v>
      </c>
      <c r="CS30" s="181">
        <f t="shared" si="13"/>
        <v>34.239999999999995</v>
      </c>
      <c r="CT30" s="181">
        <f t="shared" si="13"/>
        <v>33.1</v>
      </c>
      <c r="CU30" s="181">
        <f t="shared" si="13"/>
        <v>35.15</v>
      </c>
      <c r="CV30" s="181">
        <f t="shared" ref="CV30:DJ30" si="14">CV31-CV29</f>
        <v>35.469999999999992</v>
      </c>
      <c r="CW30" s="181">
        <f t="shared" si="14"/>
        <v>34.410000000000004</v>
      </c>
      <c r="CX30" s="181">
        <f t="shared" si="14"/>
        <v>40.120000000000005</v>
      </c>
      <c r="CY30" s="181">
        <f t="shared" si="14"/>
        <v>34.1</v>
      </c>
      <c r="CZ30" s="181">
        <f t="shared" si="14"/>
        <v>36.44</v>
      </c>
      <c r="DA30" s="181">
        <f t="shared" si="14"/>
        <v>34.520000000000003</v>
      </c>
      <c r="DB30" s="181">
        <f t="shared" si="14"/>
        <v>33.130000000000003</v>
      </c>
      <c r="DC30" s="181">
        <f t="shared" si="14"/>
        <v>35.900000000000006</v>
      </c>
      <c r="DD30" s="181">
        <f t="shared" si="14"/>
        <v>33.6</v>
      </c>
      <c r="DE30" s="181">
        <f t="shared" si="14"/>
        <v>45.44</v>
      </c>
      <c r="DF30" s="181">
        <f t="shared" si="14"/>
        <v>36.700000000000003</v>
      </c>
      <c r="DG30" s="181">
        <f t="shared" si="14"/>
        <v>35.839999999999996</v>
      </c>
      <c r="DH30" s="181">
        <f t="shared" si="14"/>
        <v>36.89</v>
      </c>
      <c r="DI30" s="181">
        <f t="shared" si="14"/>
        <v>37.480000000000004</v>
      </c>
      <c r="DJ30" s="181">
        <f t="shared" si="14"/>
        <v>33.4</v>
      </c>
      <c r="DK30" s="181">
        <f t="shared" ref="DK30:EO30" si="15">DK31-DK29</f>
        <v>37.519999999999996</v>
      </c>
      <c r="DL30" s="181">
        <f t="shared" si="15"/>
        <v>40.669999999999995</v>
      </c>
      <c r="DM30" s="181">
        <f t="shared" si="15"/>
        <v>35.44</v>
      </c>
      <c r="DN30" s="181">
        <f t="shared" si="15"/>
        <v>38.319999999999993</v>
      </c>
      <c r="DO30" s="181">
        <f t="shared" si="15"/>
        <v>38.199999999999996</v>
      </c>
      <c r="DP30" s="181">
        <f t="shared" si="15"/>
        <v>36.689999999999991</v>
      </c>
      <c r="DQ30" s="181">
        <f t="shared" si="15"/>
        <v>33.909999999999997</v>
      </c>
      <c r="DR30" s="181">
        <f t="shared" si="15"/>
        <v>34.260000000000005</v>
      </c>
      <c r="DS30" s="181">
        <f t="shared" si="15"/>
        <v>37.949999999999996</v>
      </c>
      <c r="DT30" s="181">
        <f t="shared" si="15"/>
        <v>42.030000000000008</v>
      </c>
      <c r="DU30" s="181">
        <f t="shared" si="15"/>
        <v>34.899999999999991</v>
      </c>
      <c r="DV30" s="181">
        <f t="shared" si="15"/>
        <v>35.059999999999995</v>
      </c>
      <c r="DW30" s="181">
        <f t="shared" si="15"/>
        <v>35.94</v>
      </c>
      <c r="DX30" s="181">
        <f t="shared" si="15"/>
        <v>38.67</v>
      </c>
      <c r="DY30" s="181">
        <f t="shared" si="15"/>
        <v>37.57</v>
      </c>
      <c r="DZ30" s="181">
        <f t="shared" si="15"/>
        <v>37.720000000000006</v>
      </c>
      <c r="EA30" s="181">
        <f t="shared" si="15"/>
        <v>41.38</v>
      </c>
      <c r="EB30" s="181">
        <f t="shared" si="15"/>
        <v>35.119999999999997</v>
      </c>
      <c r="EC30" s="181">
        <f t="shared" si="15"/>
        <v>34.72</v>
      </c>
      <c r="ED30" s="181">
        <f t="shared" si="15"/>
        <v>35.619999999999997</v>
      </c>
      <c r="EE30" s="181">
        <f t="shared" si="15"/>
        <v>38.33</v>
      </c>
      <c r="EF30" s="181">
        <f t="shared" si="15"/>
        <v>35.840000000000003</v>
      </c>
      <c r="EG30" s="181">
        <f t="shared" si="15"/>
        <v>37.020000000000003</v>
      </c>
      <c r="EH30" s="181">
        <f t="shared" si="15"/>
        <v>35.9</v>
      </c>
      <c r="EI30" s="181">
        <f t="shared" si="15"/>
        <v>37.43</v>
      </c>
      <c r="EJ30" s="181">
        <f t="shared" si="15"/>
        <v>37.15</v>
      </c>
      <c r="EK30" s="181">
        <f t="shared" si="15"/>
        <v>36.56</v>
      </c>
      <c r="EL30" s="181">
        <f t="shared" si="15"/>
        <v>36.24</v>
      </c>
      <c r="EM30" s="181">
        <f t="shared" si="15"/>
        <v>40.89</v>
      </c>
      <c r="EN30" s="181">
        <f t="shared" si="15"/>
        <v>38.1</v>
      </c>
      <c r="EO30" s="181">
        <f t="shared" si="15"/>
        <v>37.83</v>
      </c>
      <c r="EP30" s="181">
        <f t="shared" ref="EP30:EV30" si="16">EP31-EP29</f>
        <v>39.75</v>
      </c>
      <c r="EQ30" s="181">
        <f t="shared" si="16"/>
        <v>37.19</v>
      </c>
      <c r="ER30" s="181">
        <f t="shared" si="16"/>
        <v>40.46</v>
      </c>
      <c r="ES30" s="181">
        <f t="shared" si="16"/>
        <v>40.53</v>
      </c>
      <c r="ET30" s="181">
        <f t="shared" si="16"/>
        <v>37.160000000000004</v>
      </c>
      <c r="EU30" s="181">
        <f t="shared" si="16"/>
        <v>34.4</v>
      </c>
      <c r="EV30" s="181">
        <f t="shared" si="16"/>
        <v>38.18</v>
      </c>
      <c r="EW30" s="181">
        <f t="shared" ref="EW30:FF30" si="17">EW31-EW29</f>
        <v>35.20000000000001</v>
      </c>
      <c r="EX30" s="181">
        <f t="shared" si="17"/>
        <v>35.639999999999993</v>
      </c>
      <c r="EY30" s="181">
        <f t="shared" si="17"/>
        <v>39.440000000000005</v>
      </c>
      <c r="EZ30" s="181">
        <f t="shared" si="17"/>
        <v>36.019999999999996</v>
      </c>
      <c r="FA30" s="181">
        <f t="shared" si="17"/>
        <v>37.11</v>
      </c>
      <c r="FB30" s="181">
        <f t="shared" si="17"/>
        <v>38.42</v>
      </c>
      <c r="FC30" s="181">
        <f t="shared" si="17"/>
        <v>36.89</v>
      </c>
      <c r="FD30" s="181">
        <f t="shared" si="17"/>
        <v>38.980000000000004</v>
      </c>
      <c r="FE30" s="181">
        <f t="shared" si="17"/>
        <v>36.299999999999997</v>
      </c>
      <c r="FF30" s="181">
        <f t="shared" si="17"/>
        <v>38.159999999999997</v>
      </c>
      <c r="FG30" s="181">
        <f t="shared" ref="FG30:FN30" si="18">FG31-FG29</f>
        <v>41.35</v>
      </c>
      <c r="FH30" s="181">
        <f t="shared" si="18"/>
        <v>38.689999999999991</v>
      </c>
      <c r="FI30" s="181">
        <f t="shared" si="18"/>
        <v>38.49</v>
      </c>
      <c r="FJ30" s="181">
        <f t="shared" si="18"/>
        <v>38.269999999999996</v>
      </c>
      <c r="FK30" s="181">
        <f t="shared" si="18"/>
        <v>36.730000000000004</v>
      </c>
      <c r="FL30" s="181">
        <f t="shared" si="18"/>
        <v>41.37</v>
      </c>
      <c r="FM30" s="181">
        <f t="shared" si="18"/>
        <v>35.330000000000005</v>
      </c>
      <c r="FN30" s="181">
        <f t="shared" si="18"/>
        <v>36.449999999999996</v>
      </c>
      <c r="FO30" s="181">
        <f t="shared" ref="FO30:FS30" si="19">FO31-FO29</f>
        <v>39.06</v>
      </c>
      <c r="FP30" s="181">
        <f t="shared" si="19"/>
        <v>37.25</v>
      </c>
      <c r="FQ30" s="181">
        <f t="shared" si="19"/>
        <v>37.990000000000009</v>
      </c>
      <c r="FR30" s="181">
        <f t="shared" si="19"/>
        <v>36.330000000000005</v>
      </c>
      <c r="FS30" s="181">
        <f t="shared" si="19"/>
        <v>37.440000000000005</v>
      </c>
      <c r="FT30" s="181">
        <f t="shared" ref="FT30:GC30" si="20">FT31-FT29</f>
        <v>38.269999999999996</v>
      </c>
      <c r="FU30" s="181">
        <f t="shared" si="20"/>
        <v>37.67</v>
      </c>
      <c r="FV30" s="181">
        <f t="shared" si="20"/>
        <v>34.580000000000005</v>
      </c>
      <c r="FW30" s="181">
        <f t="shared" si="20"/>
        <v>37.979999999999997</v>
      </c>
      <c r="FX30" s="181">
        <f t="shared" si="20"/>
        <v>37.059999999999995</v>
      </c>
      <c r="FY30" s="181">
        <f t="shared" si="20"/>
        <v>0</v>
      </c>
      <c r="FZ30" s="181">
        <f t="shared" si="20"/>
        <v>0</v>
      </c>
      <c r="GA30" s="181">
        <f t="shared" si="20"/>
        <v>0</v>
      </c>
      <c r="GB30" s="181">
        <f t="shared" si="20"/>
        <v>0</v>
      </c>
      <c r="GC30" s="181">
        <f t="shared" si="20"/>
        <v>0</v>
      </c>
      <c r="GD30" s="198">
        <v>37.093595439426267</v>
      </c>
      <c r="GE30" s="198">
        <v>36.974897735988357</v>
      </c>
      <c r="GF30" s="198">
        <v>37.065785433144335</v>
      </c>
      <c r="GG30" s="198">
        <v>37.082875218002421</v>
      </c>
      <c r="GH30" s="198">
        <v>37.466735325286031</v>
      </c>
      <c r="GI30" s="198">
        <v>37.366312100922414</v>
      </c>
      <c r="GJ30" s="198">
        <v>37.110843935698902</v>
      </c>
      <c r="GK30" s="198">
        <v>37.340231793670867</v>
      </c>
      <c r="GL30" s="198">
        <v>37.190762620003881</v>
      </c>
      <c r="GM30" s="198">
        <v>37.22372050626214</v>
      </c>
      <c r="GN30" s="198">
        <v>36.910697776864076</v>
      </c>
      <c r="GO30" s="198">
        <v>36.474099599329399</v>
      </c>
    </row>
    <row r="31" spans="1:197" x14ac:dyDescent="0.3">
      <c r="A31" s="363"/>
      <c r="B31" s="364"/>
      <c r="C31" s="157"/>
      <c r="D31" s="157" t="s">
        <v>22</v>
      </c>
      <c r="E31" s="195">
        <v>77</v>
      </c>
      <c r="F31" s="171" t="s">
        <v>158</v>
      </c>
      <c r="G31" s="235">
        <v>76.02</v>
      </c>
      <c r="H31" s="241">
        <v>75.872847248995285</v>
      </c>
      <c r="I31" s="241">
        <v>75.543911581334697</v>
      </c>
      <c r="J31" s="241">
        <v>75.79578002091047</v>
      </c>
      <c r="K31" s="241">
        <v>77.716169653229827</v>
      </c>
      <c r="L31" s="241">
        <v>78.557741951073311</v>
      </c>
      <c r="M31" s="167">
        <v>78.287137708136953</v>
      </c>
      <c r="N31" s="243">
        <v>76.833863306532152</v>
      </c>
      <c r="O31" s="196">
        <v>78.91</v>
      </c>
      <c r="P31" s="196">
        <v>76.22</v>
      </c>
      <c r="Q31" s="196">
        <v>71.84</v>
      </c>
      <c r="R31" s="196">
        <v>74.91</v>
      </c>
      <c r="S31" s="196">
        <v>74.25</v>
      </c>
      <c r="T31" s="196">
        <v>74.599999999999994</v>
      </c>
      <c r="U31" s="258">
        <v>75.02</v>
      </c>
      <c r="V31" s="365"/>
      <c r="W31" s="163"/>
      <c r="X31" s="179">
        <v>87.99</v>
      </c>
      <c r="Y31" s="179">
        <v>73.7</v>
      </c>
      <c r="Z31" s="179">
        <v>79.622</v>
      </c>
      <c r="AA31" s="179">
        <v>71.843000000000004</v>
      </c>
      <c r="AB31" s="179">
        <v>78.77</v>
      </c>
      <c r="AC31" s="179">
        <v>84.019000000000005</v>
      </c>
      <c r="AD31" s="179">
        <v>77.75</v>
      </c>
      <c r="AE31" s="179">
        <v>74.72</v>
      </c>
      <c r="AF31" s="179">
        <v>78.27</v>
      </c>
      <c r="AG31" s="179">
        <v>71.63</v>
      </c>
      <c r="AH31" s="179">
        <v>76.55</v>
      </c>
      <c r="AI31" s="179">
        <v>71.569999999999993</v>
      </c>
      <c r="AJ31" s="179">
        <v>77.91</v>
      </c>
      <c r="AK31" s="179">
        <v>84.39</v>
      </c>
      <c r="AL31" s="179">
        <v>82.91</v>
      </c>
      <c r="AM31" s="179">
        <v>82.27</v>
      </c>
      <c r="AN31" s="179">
        <v>72.44</v>
      </c>
      <c r="AO31" s="179">
        <v>80.87</v>
      </c>
      <c r="AP31" s="179">
        <v>36.659999999999997</v>
      </c>
      <c r="AQ31" s="179">
        <v>84.34</v>
      </c>
      <c r="AR31" s="179">
        <v>75.73</v>
      </c>
      <c r="AS31" s="179">
        <v>85.4</v>
      </c>
      <c r="AT31" s="179">
        <v>82.26</v>
      </c>
      <c r="AU31" s="179">
        <v>79.31</v>
      </c>
      <c r="AV31" s="179">
        <v>82.94</v>
      </c>
      <c r="AW31" s="179">
        <v>80.63</v>
      </c>
      <c r="AX31" s="179">
        <v>79.98</v>
      </c>
      <c r="AY31" s="179">
        <v>78.44</v>
      </c>
      <c r="AZ31" s="179">
        <v>78.8</v>
      </c>
      <c r="BA31" s="179">
        <v>82.59</v>
      </c>
      <c r="BB31" s="179">
        <v>84.55</v>
      </c>
      <c r="BC31" s="179">
        <v>83.69</v>
      </c>
      <c r="BD31" s="179">
        <v>81.709999999999994</v>
      </c>
      <c r="BE31" s="179">
        <v>82.79</v>
      </c>
      <c r="BF31" s="179">
        <v>75.92</v>
      </c>
      <c r="BG31" s="179">
        <v>82.37</v>
      </c>
      <c r="BH31" s="179">
        <v>78.099999999999994</v>
      </c>
      <c r="BI31" s="179">
        <v>80.88</v>
      </c>
      <c r="BJ31" s="179">
        <v>78.31</v>
      </c>
      <c r="BK31" s="179">
        <v>73.27</v>
      </c>
      <c r="BL31" s="179">
        <v>73.58</v>
      </c>
      <c r="BM31" s="179">
        <v>83.45</v>
      </c>
      <c r="BN31" s="179">
        <v>72.55</v>
      </c>
      <c r="BO31" s="179">
        <v>35.28</v>
      </c>
      <c r="BP31" s="179">
        <v>77.47</v>
      </c>
      <c r="BQ31" s="179">
        <v>71.680000000000007</v>
      </c>
      <c r="BR31" s="179">
        <v>71.92</v>
      </c>
      <c r="BS31" s="179">
        <v>70.31</v>
      </c>
      <c r="BT31" s="179">
        <v>76.14</v>
      </c>
      <c r="BU31" s="179">
        <v>79.03</v>
      </c>
      <c r="BV31" s="179">
        <v>78.599999999999994</v>
      </c>
      <c r="BW31" s="179">
        <v>75.53</v>
      </c>
      <c r="BX31" s="179">
        <v>74.349999999999994</v>
      </c>
      <c r="BY31" s="179">
        <v>81.93</v>
      </c>
      <c r="BZ31" s="179">
        <v>70.39</v>
      </c>
      <c r="CA31" s="179">
        <v>70.13</v>
      </c>
      <c r="CB31" s="179">
        <v>72.48</v>
      </c>
      <c r="CC31" s="179">
        <v>72</v>
      </c>
      <c r="CD31" s="179">
        <v>72.92</v>
      </c>
      <c r="CE31" s="179">
        <v>77.239999999999995</v>
      </c>
      <c r="CF31" s="179">
        <v>73.3</v>
      </c>
      <c r="CG31" s="179">
        <v>73.8</v>
      </c>
      <c r="CH31" s="179">
        <v>76.260000000000005</v>
      </c>
      <c r="CI31" s="179">
        <v>70.36</v>
      </c>
      <c r="CJ31" s="179">
        <v>69.81</v>
      </c>
      <c r="CK31" s="179">
        <v>36.93</v>
      </c>
      <c r="CL31" s="179">
        <v>35.909999999999997</v>
      </c>
      <c r="CM31" s="179">
        <v>67.430000000000007</v>
      </c>
      <c r="CN31" s="179">
        <v>69.790000000000006</v>
      </c>
      <c r="CO31" s="179">
        <v>72.63</v>
      </c>
      <c r="CP31" s="179">
        <v>72.45</v>
      </c>
      <c r="CQ31" s="179">
        <v>70.290000000000006</v>
      </c>
      <c r="CR31" s="179">
        <v>69.099999999999994</v>
      </c>
      <c r="CS31" s="179">
        <v>69.55</v>
      </c>
      <c r="CT31" s="179">
        <v>65.11</v>
      </c>
      <c r="CU31" s="179">
        <v>72.5</v>
      </c>
      <c r="CV31" s="179">
        <v>72.849999999999994</v>
      </c>
      <c r="CW31" s="179">
        <v>71.37</v>
      </c>
      <c r="CX31" s="179">
        <v>75.290000000000006</v>
      </c>
      <c r="CY31" s="179">
        <v>68.42</v>
      </c>
      <c r="CZ31" s="179">
        <v>74.33</v>
      </c>
      <c r="DA31" s="179">
        <v>69.75</v>
      </c>
      <c r="DB31" s="179">
        <v>66.75</v>
      </c>
      <c r="DC31" s="179">
        <v>77.12</v>
      </c>
      <c r="DD31" s="179">
        <v>68.03</v>
      </c>
      <c r="DE31" s="179">
        <v>80.099999999999994</v>
      </c>
      <c r="DF31" s="179">
        <v>74.5</v>
      </c>
      <c r="DG31" s="179">
        <v>71.94</v>
      </c>
      <c r="DH31" s="179">
        <v>77.89</v>
      </c>
      <c r="DI31" s="179">
        <v>77.7</v>
      </c>
      <c r="DJ31" s="179">
        <v>67.19</v>
      </c>
      <c r="DK31" s="179">
        <v>76.58</v>
      </c>
      <c r="DL31" s="179">
        <v>81.599999999999994</v>
      </c>
      <c r="DM31" s="179">
        <v>73.89</v>
      </c>
      <c r="DN31" s="179">
        <v>78.38</v>
      </c>
      <c r="DO31" s="179">
        <v>75.55</v>
      </c>
      <c r="DP31" s="179">
        <v>73.819999999999993</v>
      </c>
      <c r="DQ31" s="179">
        <v>68.27</v>
      </c>
      <c r="DR31" s="179">
        <v>68.92</v>
      </c>
      <c r="DS31" s="179">
        <v>76.77</v>
      </c>
      <c r="DT31" s="179">
        <v>90.51</v>
      </c>
      <c r="DU31" s="179">
        <v>68.459999999999994</v>
      </c>
      <c r="DV31" s="179">
        <v>69.52</v>
      </c>
      <c r="DW31" s="179">
        <v>70.53</v>
      </c>
      <c r="DX31" s="179">
        <v>79</v>
      </c>
      <c r="DY31" s="179">
        <v>71.47</v>
      </c>
      <c r="DZ31" s="179">
        <v>71.73</v>
      </c>
      <c r="EA31" s="179">
        <v>84.65</v>
      </c>
      <c r="EB31" s="179">
        <v>68.3</v>
      </c>
      <c r="EC31" s="179">
        <v>35.58</v>
      </c>
      <c r="ED31" s="179">
        <v>35.619999999999997</v>
      </c>
      <c r="EE31" s="179">
        <v>38.33</v>
      </c>
      <c r="EF31" s="179">
        <v>35.840000000000003</v>
      </c>
      <c r="EG31" s="179">
        <v>37.020000000000003</v>
      </c>
      <c r="EH31" s="179">
        <v>35.9</v>
      </c>
      <c r="EI31" s="179">
        <v>37.43</v>
      </c>
      <c r="EJ31" s="179">
        <v>37.15</v>
      </c>
      <c r="EK31" s="179">
        <v>36.56</v>
      </c>
      <c r="EL31" s="179">
        <v>36.24</v>
      </c>
      <c r="EM31" s="179">
        <v>40.89</v>
      </c>
      <c r="EN31" s="179">
        <v>38.1</v>
      </c>
      <c r="EO31" s="179">
        <v>80.78</v>
      </c>
      <c r="EP31" s="179">
        <v>82.97</v>
      </c>
      <c r="EQ31" s="179">
        <v>70.739999999999995</v>
      </c>
      <c r="ER31" s="179">
        <v>81.53</v>
      </c>
      <c r="ES31" s="179">
        <v>82.44</v>
      </c>
      <c r="ET31" s="179">
        <v>70.930000000000007</v>
      </c>
      <c r="EU31" s="179">
        <v>69</v>
      </c>
      <c r="EV31" s="179">
        <v>77.33</v>
      </c>
      <c r="EW31" s="179">
        <v>70.680000000000007</v>
      </c>
      <c r="EX31" s="179">
        <v>68.91</v>
      </c>
      <c r="EY31" s="179">
        <v>76.98</v>
      </c>
      <c r="EZ31" s="179">
        <v>67.569999999999993</v>
      </c>
      <c r="FA31" s="179">
        <v>73.06</v>
      </c>
      <c r="FB31" s="179">
        <v>76.31</v>
      </c>
      <c r="FC31" s="179">
        <v>69.97</v>
      </c>
      <c r="FD31" s="179">
        <v>76.03</v>
      </c>
      <c r="FE31" s="179">
        <v>68.55</v>
      </c>
      <c r="FF31" s="179">
        <v>71.77</v>
      </c>
      <c r="FG31" s="179">
        <v>79.56</v>
      </c>
      <c r="FH31" s="179">
        <v>71.959999999999994</v>
      </c>
      <c r="FI31" s="179">
        <v>72.7</v>
      </c>
      <c r="FJ31" s="179">
        <v>77.819999999999993</v>
      </c>
      <c r="FK31" s="179">
        <v>82.65</v>
      </c>
      <c r="FL31" s="179">
        <v>84.6</v>
      </c>
      <c r="FM31" s="179">
        <v>69.540000000000006</v>
      </c>
      <c r="FN31" s="179">
        <v>70.16</v>
      </c>
      <c r="FO31" s="179">
        <v>79</v>
      </c>
      <c r="FP31" s="179">
        <v>71.33</v>
      </c>
      <c r="FQ31" s="179">
        <v>75.650000000000006</v>
      </c>
      <c r="FR31" s="179">
        <v>71.930000000000007</v>
      </c>
      <c r="FS31" s="179">
        <v>75.510000000000005</v>
      </c>
      <c r="FT31" s="179">
        <v>79.77</v>
      </c>
      <c r="FU31" s="179">
        <v>76.260000000000005</v>
      </c>
      <c r="FV31" s="179">
        <v>69.260000000000005</v>
      </c>
      <c r="FW31" s="179">
        <v>76.959999999999994</v>
      </c>
      <c r="FX31" s="179">
        <v>75.489999999999995</v>
      </c>
      <c r="FY31" s="179"/>
      <c r="FZ31" s="179"/>
      <c r="GA31" s="179"/>
      <c r="GB31" s="179"/>
      <c r="GC31" s="179"/>
      <c r="GD31" s="198">
        <v>75.872847248995285</v>
      </c>
      <c r="GE31" s="198">
        <v>75.543911581334697</v>
      </c>
      <c r="GF31" s="198">
        <v>75.79578002091047</v>
      </c>
      <c r="GG31" s="198">
        <v>77.716169653229827</v>
      </c>
      <c r="GH31" s="198">
        <v>78.557741951073311</v>
      </c>
      <c r="GI31" s="198">
        <v>78.287137708136953</v>
      </c>
      <c r="GJ31" s="198">
        <v>78.991644065874908</v>
      </c>
      <c r="GK31" s="198">
        <v>77.566750518752087</v>
      </c>
      <c r="GL31" s="198">
        <v>77.145719619592569</v>
      </c>
      <c r="GM31" s="198">
        <v>77.297715804603683</v>
      </c>
      <c r="GN31" s="198">
        <v>76.545296770583107</v>
      </c>
      <c r="GO31" s="198">
        <v>75.133115852325261</v>
      </c>
    </row>
    <row r="32" spans="1:197" s="141" customFormat="1" hidden="1" x14ac:dyDescent="0.3">
      <c r="A32" s="246">
        <v>17</v>
      </c>
      <c r="B32" s="247" t="s">
        <v>194</v>
      </c>
      <c r="C32" s="248" t="s">
        <v>195</v>
      </c>
      <c r="D32" s="248" t="s">
        <v>196</v>
      </c>
      <c r="E32" s="202"/>
      <c r="F32" s="202" t="s">
        <v>158</v>
      </c>
      <c r="G32" s="231"/>
      <c r="H32" s="167"/>
      <c r="I32" s="167"/>
      <c r="J32" s="167"/>
      <c r="K32" s="167"/>
      <c r="L32" s="167"/>
      <c r="M32" s="331"/>
      <c r="N32" s="203"/>
      <c r="O32" s="203"/>
      <c r="P32" s="203"/>
      <c r="Q32" s="203"/>
      <c r="R32" s="203"/>
      <c r="S32" s="203"/>
      <c r="T32" s="203"/>
      <c r="U32" s="203"/>
      <c r="V32" s="204"/>
      <c r="W32" s="205"/>
      <c r="X32" s="174"/>
      <c r="Y32" s="174"/>
      <c r="Z32" s="174"/>
      <c r="AA32" s="174"/>
      <c r="AB32" s="174"/>
      <c r="AC32" s="174"/>
      <c r="AD32" s="174"/>
      <c r="AE32" s="174"/>
      <c r="AF32" s="174"/>
      <c r="AG32" s="174"/>
      <c r="AH32" s="174"/>
      <c r="AI32" s="174"/>
      <c r="AJ32" s="174"/>
      <c r="AK32" s="174"/>
      <c r="AL32" s="174"/>
      <c r="AM32" s="174"/>
      <c r="AN32" s="174"/>
      <c r="AO32" s="174"/>
      <c r="AP32" s="174"/>
      <c r="AQ32" s="174"/>
      <c r="AR32" s="174"/>
      <c r="AS32" s="174"/>
      <c r="AT32" s="174"/>
      <c r="AU32" s="174"/>
      <c r="AV32" s="174"/>
      <c r="AW32" s="174"/>
      <c r="AX32" s="174"/>
      <c r="AY32" s="174"/>
      <c r="AZ32" s="174"/>
      <c r="BA32" s="174"/>
      <c r="BB32" s="174"/>
      <c r="BC32" s="174"/>
      <c r="BD32" s="174"/>
      <c r="BE32" s="174"/>
      <c r="BF32" s="174"/>
      <c r="BG32" s="174"/>
      <c r="BH32" s="174"/>
      <c r="BI32" s="174"/>
      <c r="BJ32" s="174"/>
      <c r="BK32" s="174"/>
      <c r="BL32" s="174"/>
      <c r="BM32" s="174"/>
      <c r="BN32" s="174"/>
      <c r="BO32" s="174"/>
      <c r="BP32" s="174"/>
      <c r="BQ32" s="174"/>
      <c r="BR32" s="174"/>
      <c r="BS32" s="174"/>
      <c r="BT32" s="174"/>
      <c r="BU32" s="174"/>
      <c r="BV32" s="174"/>
      <c r="BW32" s="174"/>
      <c r="BX32" s="174"/>
      <c r="BY32" s="174"/>
      <c r="BZ32" s="174"/>
      <c r="CA32" s="174"/>
      <c r="CB32" s="174"/>
      <c r="CC32" s="174"/>
      <c r="CD32" s="174"/>
      <c r="CE32" s="174"/>
      <c r="CF32" s="174"/>
      <c r="CG32" s="174"/>
      <c r="CH32" s="174"/>
      <c r="CI32" s="174"/>
      <c r="CJ32" s="174"/>
      <c r="CK32" s="174"/>
      <c r="CL32" s="174"/>
      <c r="CM32" s="174"/>
      <c r="CN32" s="174"/>
      <c r="CO32" s="174"/>
      <c r="CP32" s="174"/>
      <c r="CQ32" s="174"/>
      <c r="CR32" s="174"/>
      <c r="CS32" s="174"/>
      <c r="CT32" s="174"/>
      <c r="CU32" s="174"/>
      <c r="CV32" s="174"/>
      <c r="CW32" s="174"/>
      <c r="CX32" s="174"/>
      <c r="CY32" s="174"/>
      <c r="CZ32" s="174"/>
      <c r="DA32" s="174"/>
      <c r="DB32" s="174"/>
      <c r="DC32" s="174"/>
      <c r="DD32" s="174"/>
      <c r="DE32" s="174"/>
      <c r="DF32" s="174"/>
      <c r="DG32" s="174"/>
      <c r="DH32" s="174"/>
      <c r="DI32" s="174"/>
      <c r="DJ32" s="174"/>
      <c r="DK32" s="174"/>
      <c r="DL32" s="174"/>
      <c r="DM32" s="174"/>
      <c r="DN32" s="174"/>
      <c r="DO32" s="174"/>
      <c r="DP32" s="174"/>
      <c r="DQ32" s="174"/>
      <c r="DR32" s="174"/>
      <c r="DS32" s="174"/>
      <c r="DT32" s="174"/>
      <c r="DU32" s="174"/>
      <c r="DV32" s="174"/>
      <c r="DW32" s="174"/>
      <c r="DX32" s="174"/>
      <c r="DY32" s="174"/>
      <c r="DZ32" s="174"/>
      <c r="EA32" s="174"/>
      <c r="EB32" s="174"/>
      <c r="EC32" s="174"/>
      <c r="ED32" s="174"/>
      <c r="EE32" s="174"/>
      <c r="EF32" s="174"/>
      <c r="EG32" s="174"/>
      <c r="EH32" s="174"/>
      <c r="EI32" s="174"/>
      <c r="EJ32" s="174"/>
      <c r="EK32" s="174"/>
      <c r="EL32" s="174"/>
      <c r="EM32" s="174"/>
      <c r="EN32" s="174"/>
      <c r="EO32" s="174"/>
      <c r="EP32" s="174"/>
      <c r="EQ32" s="174"/>
      <c r="ER32" s="174"/>
      <c r="ES32" s="174"/>
      <c r="ET32" s="174"/>
      <c r="EU32" s="174"/>
      <c r="EV32" s="174"/>
      <c r="EW32" s="174"/>
      <c r="EX32" s="174"/>
      <c r="EY32" s="174"/>
      <c r="EZ32" s="174"/>
      <c r="FA32" s="174"/>
      <c r="FB32" s="174"/>
      <c r="FC32" s="174"/>
      <c r="FD32" s="174"/>
      <c r="FE32" s="174"/>
      <c r="FF32" s="174"/>
      <c r="FG32" s="174"/>
      <c r="FH32" s="174"/>
      <c r="FI32" s="174"/>
      <c r="FJ32" s="174"/>
      <c r="FK32" s="174"/>
      <c r="FL32" s="174"/>
      <c r="FM32" s="174"/>
      <c r="FN32" s="174"/>
      <c r="FO32" s="174"/>
      <c r="FP32" s="174"/>
      <c r="FQ32" s="174"/>
      <c r="FR32" s="174"/>
      <c r="FS32" s="174"/>
      <c r="FT32" s="174"/>
      <c r="FU32" s="174"/>
      <c r="FV32" s="174"/>
      <c r="FW32" s="174"/>
      <c r="FX32" s="174"/>
      <c r="FY32" s="174"/>
      <c r="FZ32" s="174"/>
      <c r="GA32" s="174"/>
      <c r="GB32" s="174"/>
      <c r="GC32" s="174"/>
      <c r="GD32" s="206"/>
      <c r="GE32" s="206"/>
      <c r="GF32" s="206"/>
      <c r="GG32" s="206"/>
      <c r="GH32" s="206"/>
      <c r="GI32" s="206"/>
      <c r="GJ32" s="206"/>
      <c r="GK32" s="206"/>
      <c r="GL32" s="206"/>
      <c r="GM32" s="206"/>
      <c r="GN32" s="206"/>
      <c r="GO32" s="206"/>
    </row>
    <row r="33" spans="1:197" hidden="1" x14ac:dyDescent="0.3">
      <c r="A33" s="134">
        <v>18</v>
      </c>
      <c r="B33" s="156" t="s">
        <v>197</v>
      </c>
      <c r="C33" s="157" t="s">
        <v>198</v>
      </c>
      <c r="D33" s="157" t="s">
        <v>199</v>
      </c>
      <c r="E33" s="171"/>
      <c r="F33" s="167" t="s">
        <v>160</v>
      </c>
      <c r="G33" s="232"/>
      <c r="H33" s="167"/>
      <c r="I33" s="167"/>
      <c r="J33" s="167"/>
      <c r="K33" s="167"/>
      <c r="L33" s="167"/>
      <c r="M33" s="134"/>
      <c r="N33" s="134"/>
      <c r="O33" s="134"/>
      <c r="P33" s="134"/>
      <c r="Q33" s="134"/>
      <c r="R33" s="134"/>
      <c r="S33" s="134"/>
      <c r="T33" s="134"/>
      <c r="U33" s="187"/>
      <c r="V33" s="207"/>
      <c r="W33" s="207"/>
      <c r="X33" s="179"/>
      <c r="Y33" s="179"/>
      <c r="Z33" s="179"/>
      <c r="AA33" s="179"/>
      <c r="AB33" s="179"/>
      <c r="AC33" s="179"/>
      <c r="AD33" s="179"/>
      <c r="AE33" s="179"/>
      <c r="AF33" s="179"/>
      <c r="AG33" s="179"/>
      <c r="AH33" s="179"/>
      <c r="AI33" s="179"/>
      <c r="AJ33" s="179"/>
      <c r="AK33" s="179"/>
      <c r="AL33" s="179"/>
      <c r="AM33" s="179"/>
      <c r="AN33" s="179"/>
      <c r="AO33" s="179"/>
      <c r="AP33" s="179"/>
      <c r="AQ33" s="179"/>
      <c r="AR33" s="179"/>
      <c r="AS33" s="179"/>
      <c r="AT33" s="179"/>
      <c r="AU33" s="179"/>
      <c r="AV33" s="179"/>
      <c r="AW33" s="179"/>
      <c r="AX33" s="179"/>
      <c r="AY33" s="179"/>
      <c r="AZ33" s="179"/>
      <c r="BA33" s="179"/>
      <c r="BB33" s="179"/>
      <c r="BC33" s="179"/>
      <c r="BD33" s="179"/>
      <c r="BE33" s="179"/>
      <c r="BF33" s="179"/>
      <c r="BG33" s="179"/>
      <c r="BH33" s="179"/>
      <c r="BI33" s="179"/>
      <c r="BJ33" s="179"/>
      <c r="BK33" s="179"/>
      <c r="BL33" s="179"/>
      <c r="BM33" s="179"/>
      <c r="BN33" s="179"/>
      <c r="BO33" s="179"/>
      <c r="BP33" s="179"/>
      <c r="BQ33" s="179"/>
      <c r="BR33" s="179"/>
      <c r="BS33" s="179"/>
      <c r="BT33" s="179"/>
      <c r="BU33" s="179"/>
      <c r="BV33" s="179"/>
      <c r="BW33" s="179"/>
      <c r="BX33" s="179"/>
      <c r="BY33" s="179"/>
      <c r="BZ33" s="179"/>
      <c r="CA33" s="179"/>
      <c r="CB33" s="179"/>
      <c r="CC33" s="179"/>
      <c r="CD33" s="179"/>
      <c r="CE33" s="179"/>
      <c r="CF33" s="179"/>
      <c r="CG33" s="179"/>
      <c r="CH33" s="179"/>
      <c r="CI33" s="179"/>
      <c r="CJ33" s="179"/>
      <c r="CK33" s="179"/>
      <c r="CL33" s="179"/>
      <c r="CM33" s="179"/>
      <c r="CN33" s="179"/>
      <c r="CO33" s="179"/>
      <c r="CP33" s="179"/>
      <c r="CQ33" s="179"/>
      <c r="CR33" s="179"/>
      <c r="CS33" s="179"/>
      <c r="CT33" s="179"/>
      <c r="CU33" s="179"/>
      <c r="CV33" s="179"/>
      <c r="CW33" s="179"/>
      <c r="CX33" s="179"/>
      <c r="CY33" s="179"/>
      <c r="CZ33" s="179"/>
      <c r="DA33" s="179"/>
      <c r="DB33" s="179"/>
      <c r="DC33" s="179"/>
      <c r="DD33" s="179"/>
      <c r="DE33" s="179"/>
      <c r="DF33" s="179"/>
      <c r="DG33" s="179"/>
      <c r="DH33" s="179"/>
      <c r="DI33" s="179"/>
      <c r="DJ33" s="179"/>
      <c r="DK33" s="179"/>
      <c r="DL33" s="179"/>
      <c r="DM33" s="179"/>
      <c r="DN33" s="179"/>
      <c r="DO33" s="179"/>
      <c r="DP33" s="179"/>
      <c r="DQ33" s="179"/>
      <c r="DR33" s="179"/>
      <c r="DS33" s="179"/>
      <c r="DT33" s="179"/>
      <c r="DU33" s="179"/>
      <c r="DV33" s="179"/>
      <c r="DW33" s="179"/>
      <c r="DX33" s="179"/>
      <c r="DY33" s="179"/>
      <c r="DZ33" s="179"/>
      <c r="EA33" s="179"/>
      <c r="EB33" s="179"/>
      <c r="EC33" s="179"/>
      <c r="ED33" s="179"/>
      <c r="EE33" s="179"/>
      <c r="EF33" s="179"/>
      <c r="EG33" s="179"/>
      <c r="EH33" s="179"/>
      <c r="EI33" s="179"/>
      <c r="EJ33" s="179"/>
      <c r="EK33" s="179"/>
      <c r="EL33" s="179"/>
      <c r="EM33" s="179"/>
      <c r="EN33" s="179"/>
      <c r="EO33" s="179"/>
      <c r="EP33" s="179"/>
      <c r="EQ33" s="179"/>
      <c r="ER33" s="179"/>
      <c r="ES33" s="179"/>
      <c r="ET33" s="179"/>
      <c r="EU33" s="179"/>
      <c r="EV33" s="179"/>
      <c r="EW33" s="179"/>
      <c r="EX33" s="179"/>
      <c r="EY33" s="179"/>
      <c r="EZ33" s="179"/>
      <c r="FA33" s="179"/>
      <c r="FB33" s="179"/>
      <c r="FC33" s="179"/>
      <c r="FD33" s="179"/>
      <c r="FE33" s="179"/>
      <c r="FF33" s="179"/>
      <c r="FG33" s="179"/>
      <c r="FH33" s="179"/>
      <c r="FI33" s="179"/>
      <c r="FJ33" s="179"/>
      <c r="FK33" s="179"/>
      <c r="FL33" s="179"/>
      <c r="FM33" s="179"/>
      <c r="FN33" s="179"/>
      <c r="FO33" s="179"/>
      <c r="FP33" s="179"/>
      <c r="FQ33" s="179"/>
      <c r="FR33" s="179"/>
      <c r="FS33" s="179"/>
      <c r="FT33" s="179"/>
      <c r="FU33" s="179"/>
      <c r="FV33" s="179"/>
      <c r="FW33" s="179"/>
      <c r="FX33" s="179"/>
      <c r="FY33" s="179"/>
      <c r="FZ33" s="179"/>
      <c r="GA33" s="179"/>
      <c r="GB33" s="179"/>
      <c r="GC33" s="179"/>
      <c r="GD33" s="169"/>
      <c r="GE33" s="169"/>
      <c r="GF33" s="169"/>
      <c r="GG33" s="169"/>
      <c r="GH33" s="169"/>
      <c r="GI33" s="169"/>
      <c r="GJ33" s="169"/>
      <c r="GK33" s="169"/>
      <c r="GL33" s="169"/>
      <c r="GM33" s="169"/>
      <c r="GN33" s="169"/>
      <c r="GO33" s="169"/>
    </row>
    <row r="34" spans="1:197" x14ac:dyDescent="0.3">
      <c r="A34" s="351">
        <v>18</v>
      </c>
      <c r="B34" s="156" t="s">
        <v>108</v>
      </c>
      <c r="C34" s="157" t="s">
        <v>109</v>
      </c>
      <c r="D34" s="360" t="s">
        <v>200</v>
      </c>
      <c r="E34" s="171"/>
      <c r="F34" s="167"/>
      <c r="G34" s="232"/>
      <c r="H34" s="259">
        <v>0.15</v>
      </c>
      <c r="I34" s="259">
        <v>0.15</v>
      </c>
      <c r="J34" s="259">
        <v>0.18</v>
      </c>
      <c r="K34" s="259">
        <v>0.19</v>
      </c>
      <c r="L34" s="259">
        <v>0.43</v>
      </c>
      <c r="M34" s="329">
        <v>0.46</v>
      </c>
      <c r="N34" s="253">
        <v>0.19</v>
      </c>
      <c r="O34" s="260">
        <f>'Apr-24'!AI126</f>
        <v>1.6370314487039562E-2</v>
      </c>
      <c r="P34" s="260">
        <f>'May-24'!AJ126</f>
        <v>1.5859566951021947E-2</v>
      </c>
      <c r="Q34" s="260">
        <f>'Jun-24'!AJ109</f>
        <v>3.8621334120042074E-2</v>
      </c>
      <c r="R34" s="260">
        <f>'Jul-24'!AJ109</f>
        <v>8.4858651958697129E-2</v>
      </c>
      <c r="S34" s="260">
        <f>'Aug-24'!AJ109</f>
        <v>0.20675430063086561</v>
      </c>
      <c r="T34" s="260">
        <f>'Sep-24'!AJ110</f>
        <v>0.18154859225089731</v>
      </c>
      <c r="U34" s="260">
        <f>SUMPRODUCT(X34:FT34,X38:FT38)/SUM(X38:FT38)</f>
        <v>6.1026228727324015E-2</v>
      </c>
      <c r="W34" s="207"/>
      <c r="X34" s="208">
        <f>'Apr-24'!E126</f>
        <v>0.03</v>
      </c>
      <c r="Y34" s="208">
        <f>'Apr-24'!F126</f>
        <v>0</v>
      </c>
      <c r="Z34" s="208">
        <f>'Apr-24'!G126</f>
        <v>0</v>
      </c>
      <c r="AA34" s="208">
        <f>'Apr-24'!H126</f>
        <v>0.01</v>
      </c>
      <c r="AB34" s="208">
        <f>'Apr-24'!I126</f>
        <v>0.01</v>
      </c>
      <c r="AC34" s="208">
        <f>'Apr-24'!J126</f>
        <v>0</v>
      </c>
      <c r="AD34" s="208">
        <f>'Apr-24'!K126</f>
        <v>0</v>
      </c>
      <c r="AE34" s="208">
        <f>'Apr-24'!L126</f>
        <v>0</v>
      </c>
      <c r="AF34" s="208">
        <f>'Apr-24'!M126</f>
        <v>0.01</v>
      </c>
      <c r="AG34" s="208">
        <f>'Apr-24'!N126</f>
        <v>0</v>
      </c>
      <c r="AH34" s="208">
        <f>'Apr-24'!O126</f>
        <v>0.01</v>
      </c>
      <c r="AI34" s="208">
        <f>'Apr-24'!P126</f>
        <v>0</v>
      </c>
      <c r="AJ34" s="208">
        <f>'Apr-24'!Q126</f>
        <v>0</v>
      </c>
      <c r="AK34" s="208">
        <f>'Apr-24'!R126</f>
        <v>0</v>
      </c>
      <c r="AL34" s="208">
        <f>'Apr-24'!S126</f>
        <v>0</v>
      </c>
      <c r="AM34" s="208">
        <f>'Apr-24'!T126</f>
        <v>0</v>
      </c>
      <c r="AN34" s="208">
        <f>'Apr-24'!U126</f>
        <v>0</v>
      </c>
      <c r="AO34" s="208">
        <f>'Apr-24'!V126</f>
        <v>0</v>
      </c>
      <c r="AP34" s="208">
        <f>'Apr-24'!W126</f>
        <v>0.03</v>
      </c>
      <c r="AQ34" s="208">
        <f>'Apr-24'!X126</f>
        <v>0.04</v>
      </c>
      <c r="AR34" s="208">
        <f>'Apr-24'!Y126</f>
        <v>0.05</v>
      </c>
      <c r="AS34" s="208">
        <f>'Apr-24'!Z126</f>
        <v>0</v>
      </c>
      <c r="AT34" s="208">
        <f>'Apr-24'!AA126</f>
        <v>0</v>
      </c>
      <c r="AU34" s="208">
        <f>'Apr-24'!AB126</f>
        <v>0</v>
      </c>
      <c r="AV34" s="208">
        <f>'Apr-24'!AC126</f>
        <v>0</v>
      </c>
      <c r="AW34" s="208">
        <f>'Apr-24'!AD126</f>
        <v>0</v>
      </c>
      <c r="AX34" s="208">
        <f>'Apr-24'!AE126</f>
        <v>0</v>
      </c>
      <c r="AY34" s="208">
        <f>'Apr-24'!AF126</f>
        <v>0.23</v>
      </c>
      <c r="AZ34" s="208">
        <f>'Apr-24'!AG126</f>
        <v>0.04</v>
      </c>
      <c r="BA34" s="208">
        <f>'Apr-24'!AH126</f>
        <v>0.04</v>
      </c>
      <c r="BB34" s="208">
        <f>'May-24'!E126</f>
        <v>0</v>
      </c>
      <c r="BC34" s="208">
        <f>'May-24'!F126</f>
        <v>0.01</v>
      </c>
      <c r="BD34" s="208">
        <f>'May-24'!G126</f>
        <v>0</v>
      </c>
      <c r="BE34" s="208">
        <f>'May-24'!H126</f>
        <v>0</v>
      </c>
      <c r="BF34" s="208">
        <f>'May-24'!I126</f>
        <v>0.06</v>
      </c>
      <c r="BG34" s="208">
        <f>'May-24'!J126</f>
        <v>0</v>
      </c>
      <c r="BH34" s="208">
        <f>'May-24'!K126</f>
        <v>0.01</v>
      </c>
      <c r="BI34" s="208">
        <f>'May-24'!L126</f>
        <v>0.03</v>
      </c>
      <c r="BJ34" s="208">
        <f>'May-24'!M126</f>
        <v>0.04</v>
      </c>
      <c r="BK34" s="208">
        <f>'May-24'!N126</f>
        <v>0</v>
      </c>
      <c r="BL34" s="208">
        <f>'May-24'!O126</f>
        <v>0.02</v>
      </c>
      <c r="BM34" s="208">
        <f>'May-24'!P126</f>
        <v>0.02</v>
      </c>
      <c r="BN34" s="208">
        <f>'May-24'!Q126</f>
        <v>0.03</v>
      </c>
      <c r="BO34" s="208">
        <f>'May-24'!R126</f>
        <v>0.03</v>
      </c>
      <c r="BP34" s="208">
        <f>'May-24'!S126</f>
        <v>0.05</v>
      </c>
      <c r="BQ34" s="208">
        <f>'May-24'!T126</f>
        <v>0.03</v>
      </c>
      <c r="BR34" s="208">
        <f>'May-24'!U126</f>
        <v>0.04</v>
      </c>
      <c r="BS34" s="208">
        <f>'May-24'!V126</f>
        <v>0.02</v>
      </c>
      <c r="BT34" s="208">
        <f>'May-24'!W126</f>
        <v>0</v>
      </c>
      <c r="BU34" s="208">
        <f>'May-24'!X126</f>
        <v>0</v>
      </c>
      <c r="BV34" s="208">
        <f>'May-24'!Y126</f>
        <v>0</v>
      </c>
      <c r="BW34" s="208">
        <f>'May-24'!Z126</f>
        <v>0.01</v>
      </c>
      <c r="BX34" s="208">
        <f>'May-24'!AA126</f>
        <v>0</v>
      </c>
      <c r="BY34" s="208">
        <f>'May-24'!AB126</f>
        <v>0</v>
      </c>
      <c r="BZ34" s="208">
        <f>'May-24'!AC126</f>
        <v>0</v>
      </c>
      <c r="CA34" s="208">
        <f>'May-24'!AD126</f>
        <v>0</v>
      </c>
      <c r="CB34" s="208">
        <f>'May-24'!AE126</f>
        <v>0</v>
      </c>
      <c r="CC34" s="208">
        <f>'May-24'!AF126</f>
        <v>0.03</v>
      </c>
      <c r="CD34" s="208">
        <f>'May-24'!AG126</f>
        <v>0.03</v>
      </c>
      <c r="CE34" s="208">
        <f>'May-24'!AH126</f>
        <v>0.02</v>
      </c>
      <c r="CF34" s="208">
        <f>'May-24'!AI126</f>
        <v>0.03</v>
      </c>
      <c r="CG34" s="208">
        <f>'Jun-24'!E109</f>
        <v>0.03</v>
      </c>
      <c r="CH34" s="208">
        <f>'Jun-24'!F109</f>
        <v>0</v>
      </c>
      <c r="CI34" s="208">
        <f>'Jun-24'!G109</f>
        <v>0.13</v>
      </c>
      <c r="CJ34" s="208">
        <f>'Jun-24'!H109</f>
        <v>0.08</v>
      </c>
      <c r="CK34" s="208">
        <f>'Jun-24'!I109</f>
        <v>0.05</v>
      </c>
      <c r="CL34" s="208">
        <f>'Jun-24'!J109</f>
        <v>0</v>
      </c>
      <c r="CM34" s="208">
        <f>'Jun-24'!K109</f>
        <v>0.01</v>
      </c>
      <c r="CN34" s="208">
        <f>'Jun-24'!L109</f>
        <v>0</v>
      </c>
      <c r="CO34" s="208">
        <f>'Jun-24'!M109</f>
        <v>0.16</v>
      </c>
      <c r="CP34" s="208">
        <f>'Jun-24'!N109</f>
        <v>0.04</v>
      </c>
      <c r="CQ34" s="208">
        <f>'Jun-24'!O109</f>
        <v>0.04</v>
      </c>
      <c r="CR34" s="208">
        <f>'Jun-24'!P109</f>
        <v>0.03</v>
      </c>
      <c r="CS34" s="208">
        <f>'Jun-24'!Q109</f>
        <v>0.02</v>
      </c>
      <c r="CT34" s="208">
        <f>'Jun-24'!R109</f>
        <v>0.05</v>
      </c>
      <c r="CU34" s="208">
        <f>'Jun-24'!S109</f>
        <v>0.01</v>
      </c>
      <c r="CV34" s="208">
        <f>'Jun-24'!T109</f>
        <v>0</v>
      </c>
      <c r="CW34" s="208">
        <f>'Jun-24'!U109</f>
        <v>0.08</v>
      </c>
      <c r="CX34" s="208">
        <f>'Jun-24'!V109</f>
        <v>0.05</v>
      </c>
      <c r="CY34" s="208">
        <f>'Jun-24'!W109</f>
        <v>0.01</v>
      </c>
      <c r="CZ34" s="208">
        <f>'Jun-24'!X109</f>
        <v>0</v>
      </c>
      <c r="DA34" s="208">
        <f>'Jun-24'!Y109</f>
        <v>0</v>
      </c>
      <c r="DB34" s="208">
        <f>'Jun-24'!Z109</f>
        <v>0</v>
      </c>
      <c r="DC34" s="208">
        <f>'Jun-24'!AA109</f>
        <v>0.11</v>
      </c>
      <c r="DD34" s="208">
        <f>'Jun-24'!AB109</f>
        <v>0</v>
      </c>
      <c r="DE34" s="208">
        <f>'Jun-24'!AC109</f>
        <v>0</v>
      </c>
      <c r="DF34" s="208">
        <f>'Jun-24'!AD109</f>
        <v>0</v>
      </c>
      <c r="DG34" s="208">
        <f>'Jun-24'!AE109</f>
        <v>0.05</v>
      </c>
      <c r="DH34" s="208">
        <f>'Jun-24'!AF109</f>
        <v>0.04</v>
      </c>
      <c r="DI34" s="208">
        <f>'Jun-24'!AG109</f>
        <v>0</v>
      </c>
      <c r="DJ34" s="208">
        <f>'Jun-24'!AH109</f>
        <v>0.12</v>
      </c>
      <c r="DK34" s="208">
        <f>'Jul-24'!E109</f>
        <v>0.06</v>
      </c>
      <c r="DL34" s="208">
        <f>'Jul-24'!F109</f>
        <v>0.01</v>
      </c>
      <c r="DM34" s="208">
        <f>'Jul-24'!G109</f>
        <v>0</v>
      </c>
      <c r="DN34" s="208">
        <f>'Jul-24'!H109</f>
        <v>7.0000000000000007E-2</v>
      </c>
      <c r="DO34" s="208">
        <f>'Jul-24'!I109</f>
        <v>0</v>
      </c>
      <c r="DP34" s="208">
        <f>'Jul-24'!J109</f>
        <v>0.1</v>
      </c>
      <c r="DQ34" s="208">
        <f>'Jul-24'!K109</f>
        <v>0.22</v>
      </c>
      <c r="DR34" s="208">
        <f>'Jul-24'!L109</f>
        <v>0.1</v>
      </c>
      <c r="DS34" s="208">
        <f>'Jul-24'!M109</f>
        <v>7.0000000000000007E-2</v>
      </c>
      <c r="DT34" s="208">
        <f>'Jul-24'!N109</f>
        <v>0.12</v>
      </c>
      <c r="DU34" s="208">
        <f>'Jul-24'!O109</f>
        <v>0.11</v>
      </c>
      <c r="DV34" s="208">
        <f>'Jul-24'!P109</f>
        <v>0.13</v>
      </c>
      <c r="DW34" s="208">
        <f>'Jul-24'!Q109</f>
        <v>0.16</v>
      </c>
      <c r="DX34" s="208">
        <f>'Jul-24'!R109</f>
        <v>0.15</v>
      </c>
      <c r="DY34" s="208">
        <f>'Jul-24'!S109</f>
        <v>0.11</v>
      </c>
      <c r="DZ34" s="208">
        <f>'Jul-24'!T109</f>
        <v>0.15</v>
      </c>
      <c r="EA34" s="208">
        <f>'Jul-24'!U109</f>
        <v>0.12</v>
      </c>
      <c r="EB34" s="208">
        <f>'Jul-24'!V109</f>
        <v>0.02</v>
      </c>
      <c r="EC34" s="208">
        <f>'Jul-24'!W109</f>
        <v>7.0000000000000007E-2</v>
      </c>
      <c r="ED34" s="208">
        <f>'Jul-24'!X109</f>
        <v>0</v>
      </c>
      <c r="EE34" s="208">
        <f>'Jul-24'!Y109</f>
        <v>0.04</v>
      </c>
      <c r="EF34" s="208">
        <f>'Jul-24'!Z109</f>
        <v>0.08</v>
      </c>
      <c r="EG34" s="208">
        <f>'Jul-24'!AA109</f>
        <v>0.05</v>
      </c>
      <c r="EH34" s="208">
        <f>'Jul-24'!AB109</f>
        <v>0.04</v>
      </c>
      <c r="EI34" s="208">
        <f>'Jul-24'!AC109</f>
        <v>0.12</v>
      </c>
      <c r="EJ34" s="208">
        <f>'Jul-24'!AD109</f>
        <v>0.03</v>
      </c>
      <c r="EK34" s="208">
        <f>'Jul-24'!AE109</f>
        <v>0</v>
      </c>
      <c r="EL34" s="208">
        <f>'Jul-24'!AF109</f>
        <v>0.13</v>
      </c>
      <c r="EM34" s="208">
        <f>'Jul-24'!AG109</f>
        <v>0</v>
      </c>
      <c r="EN34" s="208">
        <f>'Jul-24'!AH109</f>
        <v>0</v>
      </c>
      <c r="EO34" s="208">
        <f>'Jul-24'!AI109</f>
        <v>0</v>
      </c>
      <c r="EP34" s="208">
        <f>'Aug-24'!E109</f>
        <v>0</v>
      </c>
      <c r="EQ34" s="208">
        <f>'Aug-24'!F109</f>
        <v>0</v>
      </c>
      <c r="ER34" s="208">
        <f>'Aug-24'!G109</f>
        <v>0</v>
      </c>
      <c r="ES34" s="208">
        <f>'Aug-24'!H109</f>
        <v>0.06</v>
      </c>
      <c r="ET34" s="208">
        <f>'Aug-24'!I109</f>
        <v>0.09</v>
      </c>
      <c r="EU34" s="208">
        <f>'Aug-24'!J109</f>
        <v>0.18</v>
      </c>
      <c r="EV34" s="208">
        <f>'Aug-24'!K109</f>
        <v>0.21</v>
      </c>
      <c r="EW34" s="208">
        <f>'Aug-24'!L109</f>
        <v>0.25</v>
      </c>
      <c r="EX34" s="208">
        <f>'Aug-24'!M109</f>
        <v>0.17</v>
      </c>
      <c r="EY34" s="208">
        <f>'Aug-24'!N109</f>
        <v>0.28999999999999998</v>
      </c>
      <c r="EZ34" s="208">
        <f>'Aug-24'!O109</f>
        <v>0.39</v>
      </c>
      <c r="FA34" s="208">
        <f>'Aug-24'!P109</f>
        <v>0.43</v>
      </c>
      <c r="FB34" s="208">
        <f>'Aug-24'!Q109</f>
        <v>0.27</v>
      </c>
      <c r="FC34" s="208">
        <f>'Aug-24'!R109</f>
        <v>0.15081633060890073</v>
      </c>
      <c r="FD34" s="208">
        <f>'Aug-24'!S109</f>
        <v>0.12912477651776824</v>
      </c>
      <c r="FE34" s="208">
        <f>'Aug-24'!T109</f>
        <v>0.23</v>
      </c>
      <c r="FF34" s="208">
        <f>'Aug-24'!U109</f>
        <v>0.16</v>
      </c>
      <c r="FG34" s="208">
        <f>'Aug-24'!V109</f>
        <v>0.28999999999999998</v>
      </c>
      <c r="FH34" s="208">
        <f>'Aug-24'!W109</f>
        <v>0.23</v>
      </c>
      <c r="FI34" s="208">
        <f>'Aug-24'!X109</f>
        <v>0.08</v>
      </c>
      <c r="FJ34" s="208">
        <f>'Aug-24'!Y109</f>
        <v>0.25</v>
      </c>
      <c r="FK34" s="208">
        <f>'Aug-24'!Z109</f>
        <v>0.17</v>
      </c>
      <c r="FL34" s="208">
        <f>'Aug-24'!AA109</f>
        <v>0</v>
      </c>
      <c r="FM34" s="208">
        <f>'Aug-24'!AB109</f>
        <v>0.2</v>
      </c>
      <c r="FN34" s="208">
        <f>'Aug-24'!AC109</f>
        <v>0.22</v>
      </c>
      <c r="FO34" s="208">
        <f>'Aug-24'!AD109</f>
        <v>0.25</v>
      </c>
      <c r="FP34" s="208">
        <f>'Aug-24'!AE109</f>
        <v>0.13</v>
      </c>
      <c r="FQ34" s="208">
        <f>'Aug-24'!AF109</f>
        <v>0.18</v>
      </c>
      <c r="FR34" s="208">
        <f>'Aug-24'!AG109</f>
        <v>0.15</v>
      </c>
      <c r="FS34" s="208">
        <f>'Aug-24'!AH109</f>
        <v>0.16</v>
      </c>
      <c r="FT34" s="208">
        <f>'Aug-24'!AI109</f>
        <v>0.22</v>
      </c>
      <c r="FU34" s="208">
        <f>'Sep-24'!E110</f>
        <v>0.18</v>
      </c>
      <c r="FV34" s="208">
        <f>'Sep-24'!F110</f>
        <v>0.21</v>
      </c>
      <c r="FW34" s="208">
        <f>'Sep-24'!G110</f>
        <v>0.16</v>
      </c>
      <c r="FX34" s="208">
        <f>'Sep-24'!H110</f>
        <v>0.2</v>
      </c>
      <c r="FY34" s="208"/>
      <c r="FZ34" s="208"/>
      <c r="GA34" s="208"/>
      <c r="GB34" s="208"/>
      <c r="GC34" s="208"/>
      <c r="GD34" s="166">
        <v>0.15</v>
      </c>
      <c r="GE34" s="166">
        <v>0.15</v>
      </c>
      <c r="GF34" s="166">
        <v>0.18</v>
      </c>
      <c r="GG34" s="166">
        <v>0.19</v>
      </c>
      <c r="GH34" s="166">
        <v>0.43</v>
      </c>
      <c r="GI34" s="166">
        <v>0.46</v>
      </c>
      <c r="GJ34" s="166">
        <v>0.28999999999999998</v>
      </c>
      <c r="GK34" s="166">
        <v>0.2</v>
      </c>
      <c r="GL34" s="166">
        <v>0.2</v>
      </c>
      <c r="GM34" s="166">
        <v>0.13</v>
      </c>
      <c r="GN34" s="166">
        <v>0.1</v>
      </c>
      <c r="GO34" s="166">
        <v>0.09</v>
      </c>
    </row>
    <row r="35" spans="1:197" ht="20.399999999999999" customHeight="1" x14ac:dyDescent="0.3">
      <c r="A35" s="367"/>
      <c r="B35" s="156" t="s">
        <v>110</v>
      </c>
      <c r="C35" s="157" t="s">
        <v>109</v>
      </c>
      <c r="D35" s="366"/>
      <c r="E35" s="171"/>
      <c r="F35" s="167"/>
      <c r="G35" s="232"/>
      <c r="H35" s="245">
        <v>0.11799999999999999</v>
      </c>
      <c r="I35" s="245">
        <v>0.11799999999999999</v>
      </c>
      <c r="J35" s="245">
        <v>0.11669211070010266</v>
      </c>
      <c r="K35" s="245">
        <v>0.14736955544014482</v>
      </c>
      <c r="L35" s="245">
        <v>0.14736955544014482</v>
      </c>
      <c r="M35" s="329">
        <v>0.14736955544014485</v>
      </c>
      <c r="N35" s="245">
        <v>0.13852314196824006</v>
      </c>
      <c r="O35" s="260">
        <f>'Apr-24'!AI127</f>
        <v>6.6364531486841252E-2</v>
      </c>
      <c r="P35" s="260">
        <f>'May-24'!AJ127</f>
        <v>5.0635390575027348E-2</v>
      </c>
      <c r="Q35" s="260">
        <f>'Jun-24'!AJ110</f>
        <v>7.3669208539084957E-2</v>
      </c>
      <c r="R35" s="260">
        <f>'Jul-24'!AJ110</f>
        <v>0.13296190033254512</v>
      </c>
      <c r="S35" s="260">
        <f>'Aug-24'!AJ110</f>
        <v>9.8291370473064923E-2</v>
      </c>
      <c r="T35" s="260">
        <f>'Sep-24'!AJ111</f>
        <v>8.9481118556630684E-2</v>
      </c>
      <c r="U35" s="260">
        <f>SUMPRODUCT(X35:FT35,X37:FT37)/SUM(X37:FT37)</f>
        <v>7.4881507728645644E-2</v>
      </c>
      <c r="V35" s="209" t="s">
        <v>201</v>
      </c>
      <c r="W35" s="207"/>
      <c r="X35" s="208">
        <f>'Apr-24'!E127</f>
        <v>0.02</v>
      </c>
      <c r="Y35" s="208">
        <f>'Apr-24'!F127</f>
        <v>0.05</v>
      </c>
      <c r="Z35" s="208">
        <f>'Apr-24'!G127</f>
        <v>7.0000000000000007E-2</v>
      </c>
      <c r="AA35" s="208">
        <f>'Apr-24'!H127</f>
        <v>0.03</v>
      </c>
      <c r="AB35" s="208">
        <f>'Apr-24'!I127</f>
        <v>0.06</v>
      </c>
      <c r="AC35" s="208">
        <f>'Apr-24'!J127</f>
        <v>0.09</v>
      </c>
      <c r="AD35" s="208">
        <f>'Apr-24'!K127</f>
        <v>0.15</v>
      </c>
      <c r="AE35" s="208">
        <f>'Apr-24'!L127</f>
        <v>0.13</v>
      </c>
      <c r="AF35" s="208">
        <f>'Apr-24'!M127</f>
        <v>0.06</v>
      </c>
      <c r="AG35" s="208">
        <f>'Apr-24'!N127</f>
        <v>0.13</v>
      </c>
      <c r="AH35" s="208">
        <f>'Apr-24'!O127</f>
        <v>0.02</v>
      </c>
      <c r="AI35" s="208">
        <f>'Apr-24'!P127</f>
        <v>7.0000000000000007E-2</v>
      </c>
      <c r="AJ35" s="208">
        <f>'Apr-24'!Q127</f>
        <v>0.08</v>
      </c>
      <c r="AK35" s="208">
        <f>'Apr-24'!R127</f>
        <v>0.09</v>
      </c>
      <c r="AL35" s="208">
        <f>'Apr-24'!S127</f>
        <v>7.0000000000000007E-2</v>
      </c>
      <c r="AM35" s="208">
        <f>'Apr-24'!T127</f>
        <v>0.09</v>
      </c>
      <c r="AN35" s="208">
        <f>'Apr-24'!U127</f>
        <v>0.03</v>
      </c>
      <c r="AO35" s="208">
        <f>'Apr-24'!V127</f>
        <v>0.06</v>
      </c>
      <c r="AP35" s="208">
        <f>'Apr-24'!W127</f>
        <v>7.0000000000000007E-2</v>
      </c>
      <c r="AQ35" s="208">
        <f>'Apr-24'!X127</f>
        <v>0.09</v>
      </c>
      <c r="AR35" s="208">
        <f>'Apr-24'!Y127</f>
        <v>0.05</v>
      </c>
      <c r="AS35" s="208">
        <f>'Apr-24'!Z127</f>
        <v>0.06</v>
      </c>
      <c r="AT35" s="208">
        <f>'Apr-24'!AA127</f>
        <v>0.04</v>
      </c>
      <c r="AU35" s="208">
        <f>'Apr-24'!AB127</f>
        <v>0.03</v>
      </c>
      <c r="AV35" s="208">
        <f>'Apr-24'!AC127</f>
        <v>0.14000000000000001</v>
      </c>
      <c r="AW35" s="208">
        <f>'Apr-24'!AD127</f>
        <v>0.03</v>
      </c>
      <c r="AX35" s="208">
        <f>'Apr-24'!AE127</f>
        <v>0.15</v>
      </c>
      <c r="AY35" s="208">
        <f>'Apr-24'!AF127</f>
        <v>0.03</v>
      </c>
      <c r="AZ35" s="208">
        <f>'Apr-24'!AG127</f>
        <v>0.04</v>
      </c>
      <c r="BA35" s="208">
        <f>'Apr-24'!AH127</f>
        <v>0</v>
      </c>
      <c r="BB35" s="208">
        <f>'May-24'!E127</f>
        <v>0.05</v>
      </c>
      <c r="BC35" s="208">
        <f>'May-24'!F127</f>
        <v>7.0000000000000007E-2</v>
      </c>
      <c r="BD35" s="208">
        <f>'May-24'!G127</f>
        <v>0.08</v>
      </c>
      <c r="BE35" s="208">
        <f>'May-24'!H127</f>
        <v>0.06</v>
      </c>
      <c r="BF35" s="208">
        <f>'May-24'!I127</f>
        <v>0.02</v>
      </c>
      <c r="BG35" s="208">
        <f>'May-24'!J127</f>
        <v>0.1</v>
      </c>
      <c r="BH35" s="208">
        <f>'May-24'!K127</f>
        <v>0.01</v>
      </c>
      <c r="BI35" s="208">
        <f>'May-24'!L127</f>
        <v>0</v>
      </c>
      <c r="BJ35" s="208">
        <f>'May-24'!M127</f>
        <v>0.03</v>
      </c>
      <c r="BK35" s="208">
        <f>'May-24'!N127</f>
        <v>0.11</v>
      </c>
      <c r="BL35" s="208">
        <f>'May-24'!O127</f>
        <v>7.0000000000000007E-2</v>
      </c>
      <c r="BM35" s="208">
        <f>'May-24'!P127</f>
        <v>0.05</v>
      </c>
      <c r="BN35" s="208">
        <f>'May-24'!Q127</f>
        <v>0.01</v>
      </c>
      <c r="BO35" s="208">
        <f>'May-24'!R127</f>
        <v>0.05</v>
      </c>
      <c r="BP35" s="208">
        <f>'May-24'!S127</f>
        <v>7.0000000000000007E-2</v>
      </c>
      <c r="BQ35" s="208">
        <f>'May-24'!T127</f>
        <v>0.02</v>
      </c>
      <c r="BR35" s="208">
        <f>'May-24'!U127</f>
        <v>0.01</v>
      </c>
      <c r="BS35" s="208">
        <f>'May-24'!V127</f>
        <v>0.11</v>
      </c>
      <c r="BT35" s="208">
        <f>'May-24'!W127</f>
        <v>0.05</v>
      </c>
      <c r="BU35" s="208">
        <f>'May-24'!X127</f>
        <v>0.06</v>
      </c>
      <c r="BV35" s="208">
        <f>'May-24'!Y127</f>
        <v>0.06</v>
      </c>
      <c r="BW35" s="208">
        <f>'May-24'!Z127</f>
        <v>7.0000000000000007E-2</v>
      </c>
      <c r="BX35" s="208">
        <f>'May-24'!AA127</f>
        <v>7.0000000000000007E-2</v>
      </c>
      <c r="BY35" s="208">
        <f>'May-24'!AB127</f>
        <v>0.08</v>
      </c>
      <c r="BZ35" s="208">
        <f>'May-24'!AC127</f>
        <v>0.05</v>
      </c>
      <c r="CA35" s="208">
        <f>'May-24'!AD127</f>
        <v>0.05</v>
      </c>
      <c r="CB35" s="208">
        <f>'May-24'!AE127</f>
        <v>0.04</v>
      </c>
      <c r="CC35" s="208">
        <f>'May-24'!AF127</f>
        <v>0.02</v>
      </c>
      <c r="CD35" s="208">
        <f>'May-24'!AG127</f>
        <v>0.03</v>
      </c>
      <c r="CE35" s="208">
        <f>'May-24'!AH127</f>
        <v>0.05</v>
      </c>
      <c r="CF35" s="208">
        <f>'May-24'!AI127</f>
        <v>0.04</v>
      </c>
      <c r="CG35" s="208">
        <f>'Jun-24'!E110</f>
        <v>0.03</v>
      </c>
      <c r="CH35" s="208">
        <f>'Jun-24'!F110</f>
        <v>7.0000000000000007E-2</v>
      </c>
      <c r="CI35" s="208">
        <f>'Jun-24'!G110</f>
        <v>7.0000000000000007E-2</v>
      </c>
      <c r="CJ35" s="208">
        <f>'Jun-24'!H110</f>
        <v>0.06</v>
      </c>
      <c r="CK35" s="208">
        <f>'Jun-24'!I110</f>
        <v>0</v>
      </c>
      <c r="CL35" s="208">
        <f>'Jun-24'!J110</f>
        <v>0.1</v>
      </c>
      <c r="CM35" s="208">
        <f>'Jun-24'!K110</f>
        <v>0</v>
      </c>
      <c r="CN35" s="208">
        <f>'Jun-24'!L110</f>
        <v>0.04</v>
      </c>
      <c r="CO35" s="208">
        <f>'Jun-24'!M110</f>
        <v>0.05</v>
      </c>
      <c r="CP35" s="208">
        <f>'Jun-24'!N110</f>
        <v>0.05</v>
      </c>
      <c r="CQ35" s="208">
        <f>'Jun-24'!O110</f>
        <v>0.06</v>
      </c>
      <c r="CR35" s="208">
        <f>'Jun-24'!P110</f>
        <v>0.02</v>
      </c>
      <c r="CS35" s="208">
        <f>'Jun-24'!Q110</f>
        <v>0.03</v>
      </c>
      <c r="CT35" s="208">
        <f>'Jun-24'!R110</f>
        <v>0.03</v>
      </c>
      <c r="CU35" s="208">
        <f>'Jun-24'!S110</f>
        <v>0.04</v>
      </c>
      <c r="CV35" s="208">
        <f>'Jun-24'!T110</f>
        <v>7.0000000000000007E-2</v>
      </c>
      <c r="CW35" s="208">
        <f>'Jun-24'!U110</f>
        <v>0.09</v>
      </c>
      <c r="CX35" s="208">
        <f>'Jun-24'!V110</f>
        <v>7.0000000000000007E-2</v>
      </c>
      <c r="CY35" s="208">
        <f>'Jun-24'!W110</f>
        <v>0.08</v>
      </c>
      <c r="CZ35" s="208">
        <f>'Jun-24'!X110</f>
        <v>0.09</v>
      </c>
      <c r="DA35" s="208">
        <f>'Jun-24'!Y110</f>
        <v>0.24</v>
      </c>
      <c r="DB35" s="208">
        <f>'Jun-24'!Z110</f>
        <v>0.08</v>
      </c>
      <c r="DC35" s="208">
        <f>'Jun-24'!AA110</f>
        <v>7.0000000000000007E-2</v>
      </c>
      <c r="DD35" s="208">
        <f>'Jun-24'!AB110</f>
        <v>0.05</v>
      </c>
      <c r="DE35" s="208">
        <f>'Jun-24'!AC110</f>
        <v>0.11</v>
      </c>
      <c r="DF35" s="208">
        <f>'Jun-24'!AD110</f>
        <v>0.12</v>
      </c>
      <c r="DG35" s="208">
        <f>'Jun-24'!AE110</f>
        <v>0.01</v>
      </c>
      <c r="DH35" s="208">
        <f>'Jun-24'!AF110</f>
        <v>0.11</v>
      </c>
      <c r="DI35" s="208">
        <f>'Jun-24'!AG110</f>
        <v>0.16</v>
      </c>
      <c r="DJ35" s="208">
        <f>'Jun-24'!AH110</f>
        <v>0.14000000000000001</v>
      </c>
      <c r="DK35" s="208">
        <f>'Jul-24'!E110</f>
        <v>0.11</v>
      </c>
      <c r="DL35" s="208">
        <f>'Jul-24'!F110</f>
        <v>0.13</v>
      </c>
      <c r="DM35" s="208">
        <f>'Jul-24'!G110</f>
        <v>0.14000000000000001</v>
      </c>
      <c r="DN35" s="208">
        <f>'Jul-24'!H110</f>
        <v>0.19</v>
      </c>
      <c r="DO35" s="208">
        <f>'Jul-24'!I110</f>
        <v>0.21</v>
      </c>
      <c r="DP35" s="208">
        <f>'Jul-24'!J110</f>
        <v>0.26</v>
      </c>
      <c r="DQ35" s="208">
        <f>'Jul-24'!K110</f>
        <v>0.14000000000000001</v>
      </c>
      <c r="DR35" s="208">
        <f>'Jul-24'!L110</f>
        <v>0.18</v>
      </c>
      <c r="DS35" s="208">
        <f>'Jul-24'!M110</f>
        <v>0.25</v>
      </c>
      <c r="DT35" s="208">
        <f>'Jul-24'!N110</f>
        <v>0.05</v>
      </c>
      <c r="DU35" s="208">
        <f>'Jul-24'!O110</f>
        <v>0.03</v>
      </c>
      <c r="DV35" s="208">
        <f>'Jul-24'!P110</f>
        <v>0.08</v>
      </c>
      <c r="DW35" s="208">
        <f>'Jul-24'!Q110</f>
        <v>0.15</v>
      </c>
      <c r="DX35" s="208">
        <f>'Jul-24'!R110</f>
        <v>0.18</v>
      </c>
      <c r="DY35" s="208">
        <f>'Jul-24'!S110</f>
        <v>0.11</v>
      </c>
      <c r="DZ35" s="208">
        <f>'Jul-24'!T110</f>
        <v>0.06</v>
      </c>
      <c r="EA35" s="208">
        <f>'Jul-24'!U110</f>
        <v>0.14000000000000001</v>
      </c>
      <c r="EB35" s="208">
        <f>'Jul-24'!V110</f>
        <v>0.04</v>
      </c>
      <c r="EC35" s="208">
        <f>'Jul-24'!W110</f>
        <v>0.08</v>
      </c>
      <c r="ED35" s="208">
        <f>'Jul-24'!X110</f>
        <v>0.25</v>
      </c>
      <c r="EE35" s="208">
        <f>'Jul-24'!Y110</f>
        <v>0.03</v>
      </c>
      <c r="EF35" s="208">
        <f>'Jul-24'!Z110</f>
        <v>0.25</v>
      </c>
      <c r="EG35" s="208">
        <f>'Jul-24'!AA110</f>
        <v>0</v>
      </c>
      <c r="EH35" s="208">
        <f>'Jul-24'!AB110</f>
        <v>0</v>
      </c>
      <c r="EI35" s="208">
        <f>'Jul-24'!AC110</f>
        <v>0.02</v>
      </c>
      <c r="EJ35" s="208">
        <f>'Jul-24'!AD110</f>
        <v>0.2</v>
      </c>
      <c r="EK35" s="208">
        <f>'Jul-24'!AE110</f>
        <v>0</v>
      </c>
      <c r="EL35" s="208">
        <f>'Jul-24'!AF110</f>
        <v>0</v>
      </c>
      <c r="EM35" s="208">
        <f>'Jul-24'!AG110</f>
        <v>0</v>
      </c>
      <c r="EN35" s="208">
        <f>'Jul-24'!AH110</f>
        <v>0</v>
      </c>
      <c r="EO35" s="208">
        <f>'Jul-24'!AI110</f>
        <v>0</v>
      </c>
      <c r="EP35" s="208">
        <f>'Aug-24'!E110</f>
        <v>0</v>
      </c>
      <c r="EQ35" s="208">
        <f>'Aug-24'!F110</f>
        <v>0.1</v>
      </c>
      <c r="ER35" s="208">
        <f>'Aug-24'!G110</f>
        <v>0.09</v>
      </c>
      <c r="ES35" s="208">
        <f>'Aug-24'!H110</f>
        <v>0.16</v>
      </c>
      <c r="ET35" s="208">
        <f>'Aug-24'!I110</f>
        <v>0.16</v>
      </c>
      <c r="EU35" s="208">
        <f>'Aug-24'!J110</f>
        <v>0.15</v>
      </c>
      <c r="EV35" s="208">
        <f>'Aug-24'!K110</f>
        <v>0.13</v>
      </c>
      <c r="EW35" s="208">
        <f>'Aug-24'!L110</f>
        <v>0.12</v>
      </c>
      <c r="EX35" s="208">
        <f>'Aug-24'!M110</f>
        <v>0.15</v>
      </c>
      <c r="EY35" s="208">
        <f>'Aug-24'!N110</f>
        <v>0.06</v>
      </c>
      <c r="EZ35" s="208">
        <f>'Aug-24'!O110</f>
        <v>0.19</v>
      </c>
      <c r="FA35" s="208">
        <f>'Aug-24'!P110</f>
        <v>0.03</v>
      </c>
      <c r="FB35" s="208">
        <f>'Aug-24'!Q110</f>
        <v>0.05</v>
      </c>
      <c r="FC35" s="208">
        <f>'Aug-24'!R110</f>
        <v>3.6236373130554694E-2</v>
      </c>
      <c r="FD35" s="208">
        <f>'Aug-24'!S110</f>
        <v>9.3590681025294886E-2</v>
      </c>
      <c r="FE35" s="208">
        <f>'Aug-24'!T110</f>
        <v>0</v>
      </c>
      <c r="FF35" s="208">
        <f>'Aug-24'!U110</f>
        <v>0</v>
      </c>
      <c r="FG35" s="208">
        <f>'Aug-24'!V110</f>
        <v>0</v>
      </c>
      <c r="FH35" s="208">
        <f>'Aug-24'!W110</f>
        <v>0.1</v>
      </c>
      <c r="FI35" s="208">
        <f>'Aug-24'!X110</f>
        <v>0.23</v>
      </c>
      <c r="FJ35" s="208">
        <f>'Aug-24'!Y110</f>
        <v>7.0000000000000007E-2</v>
      </c>
      <c r="FK35" s="208">
        <f>'Aug-24'!Z110</f>
        <v>0.18</v>
      </c>
      <c r="FL35" s="208">
        <f>'Aug-24'!AA110</f>
        <v>0</v>
      </c>
      <c r="FM35" s="208">
        <f>'Aug-24'!AB110</f>
        <v>0.1</v>
      </c>
      <c r="FN35" s="208">
        <f>'Aug-24'!AC110</f>
        <v>0.28999999999999998</v>
      </c>
      <c r="FO35" s="208">
        <f>'Aug-24'!AD110</f>
        <v>0.1</v>
      </c>
      <c r="FP35" s="208">
        <f>'Aug-24'!AE110</f>
        <v>0.12</v>
      </c>
      <c r="FQ35" s="208">
        <f>'Aug-24'!AF110</f>
        <v>0</v>
      </c>
      <c r="FR35" s="208">
        <f>'Aug-24'!AG110</f>
        <v>0.02</v>
      </c>
      <c r="FS35" s="208">
        <f>'Aug-24'!AH110</f>
        <v>0</v>
      </c>
      <c r="FT35" s="208">
        <f>'Aug-24'!AI110</f>
        <v>0.03</v>
      </c>
      <c r="FU35" s="208">
        <f>'Sep-24'!E111</f>
        <v>0</v>
      </c>
      <c r="FV35" s="208">
        <f>'Sep-24'!F111</f>
        <v>0.17</v>
      </c>
      <c r="FW35" s="208">
        <f>'Sep-24'!G111</f>
        <v>0.05</v>
      </c>
      <c r="FX35" s="208">
        <f>'Sep-24'!H111</f>
        <v>0.22</v>
      </c>
      <c r="FY35" s="208"/>
      <c r="FZ35" s="208"/>
      <c r="GA35" s="208"/>
      <c r="GB35" s="208"/>
      <c r="GC35" s="208"/>
      <c r="GD35" s="166">
        <v>0.11669211070010266</v>
      </c>
      <c r="GE35" s="166">
        <v>0.11669211070010269</v>
      </c>
      <c r="GF35" s="166">
        <v>0.11669211070010266</v>
      </c>
      <c r="GG35" s="166">
        <v>0.14736955544014482</v>
      </c>
      <c r="GH35" s="166">
        <v>0.14736955544014482</v>
      </c>
      <c r="GI35" s="166">
        <v>0.14736955544014485</v>
      </c>
      <c r="GJ35" s="166">
        <v>0.13905313805248815</v>
      </c>
      <c r="GK35" s="166">
        <v>0.13834551806422876</v>
      </c>
      <c r="GL35" s="166">
        <v>0.1475815211494233</v>
      </c>
      <c r="GM35" s="166">
        <v>0.14826852816938221</v>
      </c>
      <c r="GN35" s="166">
        <v>0.15363303304684825</v>
      </c>
      <c r="GO35" s="166">
        <v>0.14776647064442733</v>
      </c>
    </row>
    <row r="36" spans="1:197" ht="17.399999999999999" customHeight="1" x14ac:dyDescent="0.3">
      <c r="A36" s="352"/>
      <c r="B36" s="156" t="s">
        <v>111</v>
      </c>
      <c r="C36" s="157" t="s">
        <v>109</v>
      </c>
      <c r="D36" s="361"/>
      <c r="E36" s="171"/>
      <c r="F36" s="167"/>
      <c r="G36" s="232"/>
      <c r="H36" s="245">
        <v>5.6000000000000001E-2</v>
      </c>
      <c r="I36" s="245">
        <v>5.3499999999999999E-2</v>
      </c>
      <c r="J36" s="245">
        <v>5.3499999999999999E-2</v>
      </c>
      <c r="K36" s="245">
        <v>0</v>
      </c>
      <c r="L36" s="245">
        <v>0</v>
      </c>
      <c r="M36" s="171">
        <v>0</v>
      </c>
      <c r="N36" s="171">
        <v>0</v>
      </c>
      <c r="O36" s="260">
        <f>'Apr-24'!AI128</f>
        <v>1.8617474645635224E-2</v>
      </c>
      <c r="P36" s="260">
        <f>'May-24'!AJ128</f>
        <v>2.4589174373352302E-2</v>
      </c>
      <c r="Q36" s="260">
        <f>'Jun-24'!AJ111</f>
        <v>3.101259918167875E-2</v>
      </c>
      <c r="R36" s="260">
        <f>'Jul-24'!AJ111</f>
        <v>8.8790566462073908E-2</v>
      </c>
      <c r="S36" s="260">
        <f>'Aug-24'!AJ111</f>
        <v>1.5640405625471854E-2</v>
      </c>
      <c r="T36" s="260">
        <f>'Sep-24'!AJ112</f>
        <v>0</v>
      </c>
      <c r="U36" s="260">
        <f>SUMPRODUCT(X36:FT36,X38:FT38)/SUM(X38:FT38)</f>
        <v>3.2760718016615141E-2</v>
      </c>
      <c r="V36" s="210"/>
      <c r="W36" s="207"/>
      <c r="X36" s="208">
        <f>'Apr-24'!E128</f>
        <v>0.02</v>
      </c>
      <c r="Y36" s="208">
        <f>'Apr-24'!F128</f>
        <v>0.01</v>
      </c>
      <c r="Z36" s="208">
        <f>'Apr-24'!G128</f>
        <v>0</v>
      </c>
      <c r="AA36" s="208">
        <f>'Apr-24'!H128</f>
        <v>0.05</v>
      </c>
      <c r="AB36" s="208">
        <f>'Apr-24'!I128</f>
        <v>0.03</v>
      </c>
      <c r="AC36" s="208">
        <f>'Apr-24'!J128</f>
        <v>0</v>
      </c>
      <c r="AD36" s="208">
        <f>'Apr-24'!K128</f>
        <v>0.17</v>
      </c>
      <c r="AE36" s="208">
        <f>'Apr-24'!L128</f>
        <v>0</v>
      </c>
      <c r="AF36" s="208">
        <f>'Apr-24'!M128</f>
        <v>0.01</v>
      </c>
      <c r="AG36" s="208">
        <f>'Apr-24'!N128</f>
        <v>0.02</v>
      </c>
      <c r="AH36" s="208">
        <f>'Apr-24'!O128</f>
        <v>0.04</v>
      </c>
      <c r="AI36" s="208">
        <f>'Apr-24'!P128</f>
        <v>0.01</v>
      </c>
      <c r="AJ36" s="208">
        <f>'Apr-24'!Q128</f>
        <v>0.01</v>
      </c>
      <c r="AK36" s="208">
        <f>'Apr-24'!R128</f>
        <v>0</v>
      </c>
      <c r="AL36" s="208">
        <f>'Apr-24'!S128</f>
        <v>0.01</v>
      </c>
      <c r="AM36" s="208">
        <f>'Apr-24'!T128</f>
        <v>0</v>
      </c>
      <c r="AN36" s="208">
        <f>'Apr-24'!U128</f>
        <v>0.03</v>
      </c>
      <c r="AO36" s="208">
        <f>'Apr-24'!V128</f>
        <v>0.03</v>
      </c>
      <c r="AP36" s="208">
        <f>'Apr-24'!W128</f>
        <v>0.01</v>
      </c>
      <c r="AQ36" s="208">
        <f>'Apr-24'!X128</f>
        <v>0</v>
      </c>
      <c r="AR36" s="208">
        <f>'Apr-24'!Y128</f>
        <v>0</v>
      </c>
      <c r="AS36" s="208">
        <f>'Apr-24'!Z128</f>
        <v>0.01</v>
      </c>
      <c r="AT36" s="208">
        <f>'Apr-24'!AA128</f>
        <v>0.02</v>
      </c>
      <c r="AU36" s="208">
        <f>'Apr-24'!AB128</f>
        <v>0.04</v>
      </c>
      <c r="AV36" s="208">
        <f>'Apr-24'!AC128</f>
        <v>0</v>
      </c>
      <c r="AW36" s="208">
        <f>'Apr-24'!AD128</f>
        <v>0.01</v>
      </c>
      <c r="AX36" s="208">
        <f>'Apr-24'!AE128</f>
        <v>0</v>
      </c>
      <c r="AY36" s="208">
        <f>'Apr-24'!AF128</f>
        <v>0</v>
      </c>
      <c r="AZ36" s="208">
        <f>'Apr-24'!AG128</f>
        <v>0</v>
      </c>
      <c r="BA36" s="208">
        <f>'Apr-24'!AH128</f>
        <v>0.01</v>
      </c>
      <c r="BB36" s="208">
        <f>'May-24'!E128</f>
        <v>0.01</v>
      </c>
      <c r="BC36" s="208">
        <f>'May-24'!F128</f>
        <v>0</v>
      </c>
      <c r="BD36" s="208">
        <f>'May-24'!G128</f>
        <v>0</v>
      </c>
      <c r="BE36" s="208">
        <f>'May-24'!H128</f>
        <v>0.04</v>
      </c>
      <c r="BF36" s="208">
        <f>'May-24'!I128</f>
        <v>0.05</v>
      </c>
      <c r="BG36" s="208">
        <f>'May-24'!J128</f>
        <v>7.0000000000000007E-2</v>
      </c>
      <c r="BH36" s="208">
        <f>'May-24'!K128</f>
        <v>0.06</v>
      </c>
      <c r="BI36" s="208">
        <f>'May-24'!L128</f>
        <v>0.02</v>
      </c>
      <c r="BJ36" s="208">
        <f>'May-24'!M128</f>
        <v>0</v>
      </c>
      <c r="BK36" s="208">
        <f>'May-24'!N128</f>
        <v>0</v>
      </c>
      <c r="BL36" s="208">
        <f>'May-24'!O128</f>
        <v>0</v>
      </c>
      <c r="BM36" s="208">
        <f>'May-24'!P128</f>
        <v>0.15</v>
      </c>
      <c r="BN36" s="208">
        <f>'May-24'!Q128</f>
        <v>0.04</v>
      </c>
      <c r="BO36" s="208">
        <f>'May-24'!R128</f>
        <v>0</v>
      </c>
      <c r="BP36" s="208">
        <f>'May-24'!S128</f>
        <v>0</v>
      </c>
      <c r="BQ36" s="208">
        <f>'May-24'!T128</f>
        <v>7.0000000000000007E-2</v>
      </c>
      <c r="BR36" s="208">
        <f>'May-24'!U128</f>
        <v>0.05</v>
      </c>
      <c r="BS36" s="208">
        <f>'May-24'!V128</f>
        <v>0</v>
      </c>
      <c r="BT36" s="208">
        <f>'May-24'!W128</f>
        <v>0.01</v>
      </c>
      <c r="BU36" s="208">
        <f>'May-24'!X128</f>
        <v>0</v>
      </c>
      <c r="BV36" s="208">
        <f>'May-24'!Y128</f>
        <v>0</v>
      </c>
      <c r="BW36" s="208">
        <f>'May-24'!Z128</f>
        <v>0</v>
      </c>
      <c r="BX36" s="208">
        <f>'May-24'!AA128</f>
        <v>0</v>
      </c>
      <c r="BY36" s="208">
        <f>'May-24'!AB128</f>
        <v>0.03</v>
      </c>
      <c r="BZ36" s="208">
        <f>'May-24'!AC128</f>
        <v>0.05</v>
      </c>
      <c r="CA36" s="208">
        <f>'May-24'!AD128</f>
        <v>0</v>
      </c>
      <c r="CB36" s="208">
        <f>'May-24'!AE128</f>
        <v>0.03</v>
      </c>
      <c r="CC36" s="208">
        <f>'May-24'!AF128</f>
        <v>0</v>
      </c>
      <c r="CD36" s="208">
        <f>'May-24'!AG128</f>
        <v>0</v>
      </c>
      <c r="CE36" s="208">
        <f>'May-24'!AH128</f>
        <v>0</v>
      </c>
      <c r="CF36" s="208">
        <f>'May-24'!AI128</f>
        <v>0</v>
      </c>
      <c r="CG36" s="208">
        <f>'Jun-24'!E111</f>
        <v>0.05</v>
      </c>
      <c r="CH36" s="208">
        <f>'Jun-24'!F111</f>
        <v>0.04</v>
      </c>
      <c r="CI36" s="208">
        <f>'Jun-24'!G111</f>
        <v>0.01</v>
      </c>
      <c r="CJ36" s="208">
        <f>'Jun-24'!H111</f>
        <v>0</v>
      </c>
      <c r="CK36" s="208">
        <f>'Jun-24'!I111</f>
        <v>0</v>
      </c>
      <c r="CL36" s="208">
        <f>'Jun-24'!J111</f>
        <v>0</v>
      </c>
      <c r="CM36" s="208">
        <f>'Jun-24'!K111</f>
        <v>0</v>
      </c>
      <c r="CN36" s="208">
        <f>'Jun-24'!L111</f>
        <v>0.01</v>
      </c>
      <c r="CO36" s="208">
        <f>'Jun-24'!M111</f>
        <v>0</v>
      </c>
      <c r="CP36" s="208">
        <f>'Jun-24'!N111</f>
        <v>0</v>
      </c>
      <c r="CQ36" s="208">
        <f>'Jun-24'!O111</f>
        <v>0.03</v>
      </c>
      <c r="CR36" s="208">
        <f>'Jun-24'!P111</f>
        <v>0</v>
      </c>
      <c r="CS36" s="208">
        <f>'Jun-24'!Q111</f>
        <v>0</v>
      </c>
      <c r="CT36" s="208">
        <f>'Jun-24'!R111</f>
        <v>0</v>
      </c>
      <c r="CU36" s="208">
        <f>'Jun-24'!S111</f>
        <v>0</v>
      </c>
      <c r="CV36" s="208">
        <f>'Jun-24'!T111</f>
        <v>0</v>
      </c>
      <c r="CW36" s="208">
        <f>'Jun-24'!U111</f>
        <v>0</v>
      </c>
      <c r="CX36" s="208">
        <f>'Jun-24'!V111</f>
        <v>0</v>
      </c>
      <c r="CY36" s="208">
        <f>'Jun-24'!W111</f>
        <v>0.01</v>
      </c>
      <c r="CZ36" s="208">
        <f>'Jun-24'!X111</f>
        <v>0.1</v>
      </c>
      <c r="DA36" s="208">
        <f>'Jun-24'!Y111</f>
        <v>0</v>
      </c>
      <c r="DB36" s="208">
        <f>'Jun-24'!Z111</f>
        <v>0.06</v>
      </c>
      <c r="DC36" s="208">
        <f>'Jun-24'!AA111</f>
        <v>0.12</v>
      </c>
      <c r="DD36" s="208">
        <f>'Jun-24'!AB111</f>
        <v>0</v>
      </c>
      <c r="DE36" s="208">
        <f>'Jun-24'!AC111</f>
        <v>0.1</v>
      </c>
      <c r="DF36" s="208">
        <f>'Jun-24'!AD111</f>
        <v>0.01</v>
      </c>
      <c r="DG36" s="208">
        <f>'Jun-24'!AE111</f>
        <v>0</v>
      </c>
      <c r="DH36" s="208">
        <f>'Jun-24'!AF111</f>
        <v>0.1</v>
      </c>
      <c r="DI36" s="208">
        <f>'Jun-24'!AG111</f>
        <v>0.15</v>
      </c>
      <c r="DJ36" s="208">
        <f>'Jun-24'!AH111</f>
        <v>0.05</v>
      </c>
      <c r="DK36" s="208">
        <f>'Jul-24'!E111</f>
        <v>0</v>
      </c>
      <c r="DL36" s="208">
        <f>'Jul-24'!F111</f>
        <v>0.03</v>
      </c>
      <c r="DM36" s="208">
        <f>'Jul-24'!G111</f>
        <v>7.0000000000000007E-2</v>
      </c>
      <c r="DN36" s="208">
        <f>'Jul-24'!H111</f>
        <v>0.06</v>
      </c>
      <c r="DO36" s="208">
        <f>'Jul-24'!I111</f>
        <v>0.04</v>
      </c>
      <c r="DP36" s="208">
        <f>'Jul-24'!J111</f>
        <v>7.0000000000000007E-2</v>
      </c>
      <c r="DQ36" s="208">
        <f>'Jul-24'!K111</f>
        <v>0.28999999999999998</v>
      </c>
      <c r="DR36" s="208">
        <f>'Jul-24'!L111</f>
        <v>0.13</v>
      </c>
      <c r="DS36" s="208">
        <f>'Jul-24'!M111</f>
        <v>0.09</v>
      </c>
      <c r="DT36" s="208">
        <f>'Jul-24'!N111</f>
        <v>0.14000000000000001</v>
      </c>
      <c r="DU36" s="208">
        <f>'Jul-24'!O111</f>
        <v>0.11</v>
      </c>
      <c r="DV36" s="208">
        <f>'Jul-24'!P111</f>
        <v>0.02</v>
      </c>
      <c r="DW36" s="208">
        <f>'Jul-24'!Q111</f>
        <v>0</v>
      </c>
      <c r="DX36" s="208">
        <f>'Jul-24'!R111</f>
        <v>0.02</v>
      </c>
      <c r="DY36" s="208">
        <f>'Jul-24'!S111</f>
        <v>0.12</v>
      </c>
      <c r="DZ36" s="208">
        <f>'Jul-24'!T111</f>
        <v>0.16</v>
      </c>
      <c r="EA36" s="208">
        <f>'Jul-24'!U111</f>
        <v>0.15</v>
      </c>
      <c r="EB36" s="208">
        <f>'Jul-24'!V111</f>
        <v>0.09</v>
      </c>
      <c r="EC36" s="208">
        <f>'Jul-24'!W111</f>
        <v>0</v>
      </c>
      <c r="ED36" s="208">
        <f>'Jul-24'!X111</f>
        <v>0.03</v>
      </c>
      <c r="EE36" s="208">
        <f>'Jul-24'!Y111</f>
        <v>0.12</v>
      </c>
      <c r="EF36" s="208">
        <f>'Jul-24'!Z111</f>
        <v>0</v>
      </c>
      <c r="EG36" s="208">
        <f>'Jul-24'!AA111</f>
        <v>0.22</v>
      </c>
      <c r="EH36" s="208">
        <f>'Jul-24'!AB111</f>
        <v>0.19</v>
      </c>
      <c r="EI36" s="208">
        <f>'Jul-24'!AC111</f>
        <v>0.15</v>
      </c>
      <c r="EJ36" s="208">
        <f>'Jul-24'!AD111</f>
        <v>0.05</v>
      </c>
      <c r="EK36" s="208">
        <f>'Jul-24'!AE111</f>
        <v>0</v>
      </c>
      <c r="EL36" s="208">
        <f>'Jul-24'!AF111</f>
        <v>0</v>
      </c>
      <c r="EM36" s="208">
        <f>'Jul-24'!AG111</f>
        <v>0</v>
      </c>
      <c r="EN36" s="208">
        <f>'Jul-24'!AH111</f>
        <v>0</v>
      </c>
      <c r="EO36" s="208">
        <f>'Jul-24'!AI111</f>
        <v>0</v>
      </c>
      <c r="EP36" s="208">
        <f>'Aug-24'!E111</f>
        <v>0</v>
      </c>
      <c r="EQ36" s="208">
        <f>'Aug-24'!F111</f>
        <v>0</v>
      </c>
      <c r="ER36" s="208">
        <f>'Aug-24'!G111</f>
        <v>0</v>
      </c>
      <c r="ES36" s="208">
        <f>'Aug-24'!H111</f>
        <v>0</v>
      </c>
      <c r="ET36" s="208">
        <f>'Aug-24'!I111</f>
        <v>0</v>
      </c>
      <c r="EU36" s="208">
        <f>'Aug-24'!J111</f>
        <v>0.05</v>
      </c>
      <c r="EV36" s="208">
        <f>'Aug-24'!K111</f>
        <v>0.05</v>
      </c>
      <c r="EW36" s="208">
        <f>'Aug-24'!L111</f>
        <v>0.08</v>
      </c>
      <c r="EX36" s="208">
        <f>'Aug-24'!M111</f>
        <v>0.04</v>
      </c>
      <c r="EY36" s="208">
        <f>'Aug-24'!N111</f>
        <v>0.04</v>
      </c>
      <c r="EZ36" s="208">
        <f>'Aug-24'!O111</f>
        <v>0</v>
      </c>
      <c r="FA36" s="208">
        <f>'Aug-24'!P111</f>
        <v>0.03</v>
      </c>
      <c r="FB36" s="208">
        <f>'Aug-24'!Q111</f>
        <v>0</v>
      </c>
      <c r="FC36" s="208">
        <f>'Aug-24'!R111</f>
        <v>3.3614175506519448E-2</v>
      </c>
      <c r="FD36" s="208">
        <f>'Aug-24'!S111</f>
        <v>0</v>
      </c>
      <c r="FE36" s="208">
        <f>'Aug-24'!T111</f>
        <v>0</v>
      </c>
      <c r="FF36" s="208">
        <f>'Aug-24'!U111</f>
        <v>0</v>
      </c>
      <c r="FG36" s="208">
        <f>'Aug-24'!V111</f>
        <v>0</v>
      </c>
      <c r="FH36" s="208">
        <f>'Aug-24'!W111</f>
        <v>0</v>
      </c>
      <c r="FI36" s="208">
        <f>'Aug-24'!X111</f>
        <v>0</v>
      </c>
      <c r="FJ36" s="208">
        <f>'Aug-24'!Y111</f>
        <v>0</v>
      </c>
      <c r="FK36" s="208">
        <f>'Aug-24'!Z111</f>
        <v>0</v>
      </c>
      <c r="FL36" s="208">
        <f>'Aug-24'!AA111</f>
        <v>0</v>
      </c>
      <c r="FM36" s="208">
        <f>'Aug-24'!AB111</f>
        <v>0</v>
      </c>
      <c r="FN36" s="208">
        <f>'Aug-24'!AC111</f>
        <v>0</v>
      </c>
      <c r="FO36" s="208">
        <f>'Aug-24'!AD111</f>
        <v>0</v>
      </c>
      <c r="FP36" s="208">
        <f>'Aug-24'!AE111</f>
        <v>0</v>
      </c>
      <c r="FQ36" s="208">
        <f>'Aug-24'!AF111</f>
        <v>0</v>
      </c>
      <c r="FR36" s="208">
        <f>'Aug-24'!AG111</f>
        <v>0</v>
      </c>
      <c r="FS36" s="208">
        <f>'Aug-24'!AH111</f>
        <v>0</v>
      </c>
      <c r="FT36" s="208">
        <f>'Aug-24'!AI111</f>
        <v>0</v>
      </c>
      <c r="FU36" s="208">
        <f>'Sep-24'!E112</f>
        <v>0</v>
      </c>
      <c r="FV36" s="208">
        <f>'Sep-24'!F112</f>
        <v>0</v>
      </c>
      <c r="FW36" s="208">
        <f>'Sep-24'!G112</f>
        <v>0</v>
      </c>
      <c r="FX36" s="208">
        <f>'Sep-24'!H112</f>
        <v>0</v>
      </c>
      <c r="FY36" s="208"/>
      <c r="FZ36" s="208"/>
      <c r="GA36" s="208"/>
      <c r="GB36" s="208"/>
      <c r="GC36" s="208"/>
      <c r="GD36" s="172">
        <v>5.6000000000000001E-2</v>
      </c>
      <c r="GE36" s="172">
        <v>5.3499999999999999E-2</v>
      </c>
      <c r="GF36" s="172">
        <v>5.3499999999999999E-2</v>
      </c>
      <c r="GG36" s="171">
        <v>0</v>
      </c>
      <c r="GH36" s="171">
        <v>0</v>
      </c>
      <c r="GI36" s="171">
        <v>0</v>
      </c>
      <c r="GJ36" s="171">
        <v>0</v>
      </c>
      <c r="GK36" s="171">
        <v>0</v>
      </c>
      <c r="GL36" s="171">
        <v>0</v>
      </c>
      <c r="GM36" s="171">
        <v>0</v>
      </c>
      <c r="GN36" s="171">
        <v>0</v>
      </c>
      <c r="GO36" s="171">
        <v>0</v>
      </c>
    </row>
    <row r="37" spans="1:197" s="141" customFormat="1" x14ac:dyDescent="0.3">
      <c r="A37" s="250"/>
      <c r="B37" s="251"/>
      <c r="C37" s="251"/>
      <c r="D37" s="250"/>
      <c r="E37" s="252"/>
      <c r="F37" s="250"/>
      <c r="G37" s="250"/>
      <c r="H37" s="224"/>
      <c r="I37" s="224"/>
      <c r="J37" s="224"/>
      <c r="K37" s="224"/>
      <c r="L37" s="224"/>
      <c r="M37" s="224"/>
      <c r="N37" s="250"/>
      <c r="O37" s="250"/>
      <c r="P37" s="250"/>
      <c r="Q37" s="250"/>
      <c r="R37" s="250"/>
      <c r="S37" s="250"/>
      <c r="T37" s="250"/>
      <c r="U37" s="250"/>
      <c r="V37" s="211"/>
      <c r="W37" s="212"/>
      <c r="X37" s="213">
        <f>'Apr-24'!E129</f>
        <v>26317</v>
      </c>
      <c r="Y37" s="213">
        <f>'Apr-24'!F129</f>
        <v>30930</v>
      </c>
      <c r="Z37" s="213">
        <f>'Apr-24'!G129</f>
        <v>27626</v>
      </c>
      <c r="AA37" s="213">
        <f>'Apr-24'!H129</f>
        <v>29012</v>
      </c>
      <c r="AB37" s="213">
        <f>'Apr-24'!I129</f>
        <v>29311</v>
      </c>
      <c r="AC37" s="213">
        <f>'Apr-24'!J129</f>
        <v>32899</v>
      </c>
      <c r="AD37" s="213">
        <f>'Apr-24'!K129</f>
        <v>23157</v>
      </c>
      <c r="AE37" s="213">
        <f>'Apr-24'!L129</f>
        <v>30039</v>
      </c>
      <c r="AF37" s="213">
        <f>'Apr-24'!M129</f>
        <v>30926</v>
      </c>
      <c r="AG37" s="213">
        <f>'Apr-24'!N129</f>
        <v>27894</v>
      </c>
      <c r="AH37" s="213">
        <f>'Apr-24'!O129</f>
        <v>29236</v>
      </c>
      <c r="AI37" s="213">
        <f>'Apr-24'!P129</f>
        <v>28521</v>
      </c>
      <c r="AJ37" s="213">
        <f>'Apr-24'!Q129</f>
        <v>29373</v>
      </c>
      <c r="AK37" s="213">
        <f>'Apr-24'!R129</f>
        <v>26306</v>
      </c>
      <c r="AL37" s="213">
        <f>'Apr-24'!S129</f>
        <v>25857</v>
      </c>
      <c r="AM37" s="213">
        <f>'Apr-24'!T129</f>
        <v>31411</v>
      </c>
      <c r="AN37" s="213">
        <f>'Apr-24'!U129</f>
        <v>19648</v>
      </c>
      <c r="AO37" s="213">
        <f>'Apr-24'!V129</f>
        <v>23780</v>
      </c>
      <c r="AP37" s="213">
        <f>'Apr-24'!W129</f>
        <v>21141</v>
      </c>
      <c r="AQ37" s="213">
        <f>'Apr-24'!X129</f>
        <v>16743</v>
      </c>
      <c r="AR37" s="213">
        <f>'Apr-24'!Y129</f>
        <v>15634</v>
      </c>
      <c r="AS37" s="213">
        <f>'Apr-24'!Z129</f>
        <v>27783</v>
      </c>
      <c r="AT37" s="213">
        <f>'Apr-24'!AA129</f>
        <v>28354</v>
      </c>
      <c r="AU37" s="213">
        <f>'Apr-24'!AB129</f>
        <v>29009</v>
      </c>
      <c r="AV37" s="213">
        <f>'Apr-24'!AC129</f>
        <v>26723</v>
      </c>
      <c r="AW37" s="213">
        <f>'Apr-24'!AD129</f>
        <v>29873</v>
      </c>
      <c r="AX37" s="213">
        <f>'Apr-24'!AE129</f>
        <v>29678</v>
      </c>
      <c r="AY37" s="213">
        <f>'Apr-24'!AF129</f>
        <v>20629</v>
      </c>
      <c r="AZ37" s="213">
        <f>'Apr-24'!AG129</f>
        <v>25022</v>
      </c>
      <c r="BA37" s="213">
        <f>'Apr-24'!AH129</f>
        <v>29807</v>
      </c>
      <c r="BB37" s="213">
        <f>'May-24'!E129</f>
        <v>28371</v>
      </c>
      <c r="BC37" s="213">
        <f>'May-24'!F129</f>
        <v>23176</v>
      </c>
      <c r="BD37" s="213">
        <f>'May-24'!G129</f>
        <v>20735</v>
      </c>
      <c r="BE37" s="213">
        <f>'May-24'!H129</f>
        <v>13307</v>
      </c>
      <c r="BF37" s="213">
        <f>'May-24'!I129</f>
        <v>26399</v>
      </c>
      <c r="BG37" s="213">
        <f>'May-24'!J129</f>
        <v>16795</v>
      </c>
      <c r="BH37" s="213">
        <f>'May-24'!K129</f>
        <v>22437</v>
      </c>
      <c r="BI37" s="213">
        <f>'May-24'!L129</f>
        <v>23641</v>
      </c>
      <c r="BJ37" s="213">
        <f>'May-24'!M129</f>
        <v>27272</v>
      </c>
      <c r="BK37" s="213">
        <f>'May-24'!N129</f>
        <v>28117</v>
      </c>
      <c r="BL37" s="213">
        <f>'May-24'!O129</f>
        <v>22355</v>
      </c>
      <c r="BM37" s="213">
        <f>'May-24'!P129</f>
        <v>25389</v>
      </c>
      <c r="BN37" s="213">
        <f>'May-24'!Q129</f>
        <v>19141</v>
      </c>
      <c r="BO37" s="213">
        <f>'May-24'!R129</f>
        <v>14749</v>
      </c>
      <c r="BP37" s="213">
        <f>'May-24'!S129</f>
        <v>19933</v>
      </c>
      <c r="BQ37" s="213">
        <f>'May-24'!T129</f>
        <v>24706</v>
      </c>
      <c r="BR37" s="213">
        <f>'May-24'!U129</f>
        <v>23692</v>
      </c>
      <c r="BS37" s="213">
        <f>'May-24'!V129</f>
        <v>18375</v>
      </c>
      <c r="BT37" s="213">
        <f>'May-24'!W129</f>
        <v>23029</v>
      </c>
      <c r="BU37" s="213">
        <f>'May-24'!X129</f>
        <v>25174</v>
      </c>
      <c r="BV37" s="213">
        <f>'May-24'!Y129</f>
        <v>22510</v>
      </c>
      <c r="BW37" s="213">
        <f>'May-24'!Z129</f>
        <v>24324</v>
      </c>
      <c r="BX37" s="213">
        <f>'May-24'!AA129</f>
        <v>24850</v>
      </c>
      <c r="BY37" s="213">
        <f>'May-24'!AB129</f>
        <v>21836</v>
      </c>
      <c r="BZ37" s="213">
        <f>'May-24'!AC129</f>
        <v>26640</v>
      </c>
      <c r="CA37" s="213">
        <f>'May-24'!AD129</f>
        <v>16729</v>
      </c>
      <c r="CB37" s="213">
        <f>'May-24'!AE129</f>
        <v>25776</v>
      </c>
      <c r="CC37" s="213">
        <f>'May-24'!AF129</f>
        <v>21512</v>
      </c>
      <c r="CD37" s="213">
        <f>'May-24'!AG129</f>
        <v>20281</v>
      </c>
      <c r="CE37" s="213">
        <f>'May-24'!AH129</f>
        <v>24373</v>
      </c>
      <c r="CF37" s="213">
        <f>'May-24'!AI129</f>
        <v>22310</v>
      </c>
      <c r="CG37" s="213">
        <f>'Jun-24'!E112</f>
        <v>20070</v>
      </c>
      <c r="CH37" s="213">
        <f>'Jun-24'!F112</f>
        <v>19623</v>
      </c>
      <c r="CI37" s="213">
        <f>'Jun-24'!G112</f>
        <v>18204</v>
      </c>
      <c r="CJ37" s="213">
        <f>'Jun-24'!H112</f>
        <v>22007</v>
      </c>
      <c r="CK37" s="213">
        <f>'Jun-24'!I112</f>
        <v>22544</v>
      </c>
      <c r="CL37" s="213">
        <f>'Jun-24'!J112</f>
        <v>5811</v>
      </c>
      <c r="CM37" s="213">
        <f>'Jun-24'!K112</f>
        <v>19544</v>
      </c>
      <c r="CN37" s="213">
        <f>'Jun-24'!L112</f>
        <v>11716</v>
      </c>
      <c r="CO37" s="213">
        <f>'Jun-24'!M112</f>
        <v>19202</v>
      </c>
      <c r="CP37" s="213">
        <f>'Jun-24'!N112</f>
        <v>19101</v>
      </c>
      <c r="CQ37" s="213">
        <f>'Jun-24'!O112</f>
        <v>21142</v>
      </c>
      <c r="CR37" s="213">
        <f>'Jun-24'!P112</f>
        <v>25825</v>
      </c>
      <c r="CS37" s="213">
        <f>'Jun-24'!Q112</f>
        <v>22816</v>
      </c>
      <c r="CT37" s="213">
        <f>'Jun-24'!R112</f>
        <v>20065</v>
      </c>
      <c r="CU37" s="213">
        <f>'Jun-24'!S112</f>
        <v>26494</v>
      </c>
      <c r="CV37" s="213">
        <f>'Jun-24'!T112</f>
        <v>15583</v>
      </c>
      <c r="CW37" s="213">
        <f>'Jun-24'!U112</f>
        <v>18568</v>
      </c>
      <c r="CX37" s="213">
        <f>'Jun-24'!V112</f>
        <v>22020</v>
      </c>
      <c r="CY37" s="213">
        <f>'Jun-24'!W112</f>
        <v>21037</v>
      </c>
      <c r="CZ37" s="213">
        <f>'Jun-24'!X112</f>
        <v>18310</v>
      </c>
      <c r="DA37" s="213">
        <f>'Jun-24'!Y112</f>
        <v>20462</v>
      </c>
      <c r="DB37" s="213">
        <f>'Jun-24'!Z112</f>
        <v>23592</v>
      </c>
      <c r="DC37" s="213">
        <f>'Jun-24'!AA112</f>
        <v>14972</v>
      </c>
      <c r="DD37" s="213">
        <f>'Jun-24'!AB112</f>
        <v>20636</v>
      </c>
      <c r="DE37" s="213">
        <f>'Jun-24'!AC112</f>
        <v>19633</v>
      </c>
      <c r="DF37" s="213">
        <f>'Jun-24'!AD112</f>
        <v>19935</v>
      </c>
      <c r="DG37" s="213">
        <f>'Jun-24'!AE112</f>
        <v>18909</v>
      </c>
      <c r="DH37" s="213">
        <f>'Jun-24'!AF112</f>
        <v>21414</v>
      </c>
      <c r="DI37" s="213">
        <f>'Jun-24'!AG112</f>
        <v>20774</v>
      </c>
      <c r="DJ37" s="213">
        <f>'Jun-24'!AH112</f>
        <v>16282</v>
      </c>
      <c r="DK37" s="213">
        <f>'Jul-24'!E112</f>
        <v>21253</v>
      </c>
      <c r="DL37" s="213">
        <f>'Jul-24'!F112</f>
        <v>23383</v>
      </c>
      <c r="DM37" s="213">
        <f>'Jul-24'!G112</f>
        <v>18764</v>
      </c>
      <c r="DN37" s="213">
        <f>'Jul-24'!H112</f>
        <v>19472</v>
      </c>
      <c r="DO37" s="213">
        <f>'Jul-24'!I112</f>
        <v>16995</v>
      </c>
      <c r="DP37" s="213">
        <f>'Jul-24'!J112</f>
        <v>18862</v>
      </c>
      <c r="DQ37" s="213">
        <f>'Jul-24'!K112</f>
        <v>8849</v>
      </c>
      <c r="DR37" s="213">
        <f>'Jul-24'!L112</f>
        <v>14876</v>
      </c>
      <c r="DS37" s="213">
        <f>'Jul-24'!M112</f>
        <v>13948</v>
      </c>
      <c r="DT37" s="213">
        <f>'Jul-24'!N112</f>
        <v>11084</v>
      </c>
      <c r="DU37" s="213">
        <f>'Jul-24'!O112</f>
        <v>4742</v>
      </c>
      <c r="DV37" s="213">
        <f>'Jul-24'!P112</f>
        <v>9740</v>
      </c>
      <c r="DW37" s="213">
        <f>'Jul-24'!Q112</f>
        <v>11000</v>
      </c>
      <c r="DX37" s="213">
        <f>'Jul-24'!R112</f>
        <v>16556</v>
      </c>
      <c r="DY37" s="213">
        <f>'Jul-24'!S112</f>
        <v>12392</v>
      </c>
      <c r="DZ37" s="213">
        <f>'Jul-24'!T112</f>
        <v>14574</v>
      </c>
      <c r="EA37" s="213">
        <f>'Jul-24'!U112</f>
        <v>19163</v>
      </c>
      <c r="EB37" s="213">
        <f>'Jul-24'!V112</f>
        <v>28788</v>
      </c>
      <c r="EC37" s="213">
        <f>'Jul-24'!W112</f>
        <v>24264</v>
      </c>
      <c r="ED37" s="213">
        <f>'Jul-24'!X112</f>
        <v>18640</v>
      </c>
      <c r="EE37" s="213">
        <f>'Jul-24'!Y112</f>
        <v>17067</v>
      </c>
      <c r="EF37" s="213">
        <f>'Jul-24'!Z112</f>
        <v>14048</v>
      </c>
      <c r="EG37" s="213">
        <f>'Jul-24'!AA112</f>
        <v>12530</v>
      </c>
      <c r="EH37" s="213">
        <f>'Jul-24'!AB112</f>
        <v>13972</v>
      </c>
      <c r="EI37" s="213">
        <f>'Jul-24'!AC112</f>
        <v>14650</v>
      </c>
      <c r="EJ37" s="213">
        <f>'Jul-24'!AD112</f>
        <v>17466</v>
      </c>
      <c r="EK37" s="213">
        <f>'Jul-24'!AE112</f>
        <v>10229</v>
      </c>
      <c r="EL37" s="213">
        <f>'Jul-24'!AF112</f>
        <v>12693</v>
      </c>
      <c r="EM37" s="213">
        <f>'Jul-24'!AG112</f>
        <v>7909</v>
      </c>
      <c r="EN37" s="213">
        <f>'Jul-24'!AH112</f>
        <v>7587</v>
      </c>
      <c r="EO37" s="213">
        <f>'Jul-24'!AI112</f>
        <v>9303</v>
      </c>
      <c r="EP37" s="213">
        <f>'Aug-24'!E112</f>
        <v>10613</v>
      </c>
      <c r="EQ37" s="213">
        <f>'Aug-24'!F112</f>
        <v>18036</v>
      </c>
      <c r="ER37" s="213">
        <f>'Aug-24'!G112</f>
        <v>11562</v>
      </c>
      <c r="ES37" s="213">
        <f>'Aug-24'!H112</f>
        <v>13779</v>
      </c>
      <c r="ET37" s="213">
        <f>'Aug-24'!I112</f>
        <v>16751</v>
      </c>
      <c r="EU37" s="213">
        <f>'Aug-24'!J112</f>
        <v>16970</v>
      </c>
      <c r="EV37" s="213">
        <f>'Aug-24'!K112</f>
        <v>14800</v>
      </c>
      <c r="EW37" s="213">
        <f>'Aug-24'!L112</f>
        <v>14398</v>
      </c>
      <c r="EX37" s="213">
        <f>'Aug-24'!M112</f>
        <v>13376</v>
      </c>
      <c r="EY37" s="213">
        <f>'Aug-24'!N112</f>
        <v>12924</v>
      </c>
      <c r="EZ37" s="213">
        <f>'Aug-24'!O112</f>
        <v>10838</v>
      </c>
      <c r="FA37" s="213">
        <f>'Aug-24'!P112</f>
        <v>12905</v>
      </c>
      <c r="FB37" s="213">
        <f>'Aug-24'!Q112</f>
        <v>20758</v>
      </c>
      <c r="FC37" s="213">
        <f>'Aug-24'!R112</f>
        <v>24146.479999999992</v>
      </c>
      <c r="FD37" s="213">
        <f>'Aug-24'!S112</f>
        <v>18512.23</v>
      </c>
      <c r="FE37" s="213">
        <f>'Aug-24'!T112</f>
        <v>19339</v>
      </c>
      <c r="FF37" s="213">
        <f>'Aug-24'!U112</f>
        <v>6378</v>
      </c>
      <c r="FG37" s="213">
        <f>'Aug-24'!V112</f>
        <v>11459</v>
      </c>
      <c r="FH37" s="213">
        <f>'Aug-24'!W112</f>
        <v>10557</v>
      </c>
      <c r="FI37" s="213">
        <f>'Aug-24'!X112</f>
        <v>14393</v>
      </c>
      <c r="FJ37" s="213">
        <f>'Aug-24'!Y112</f>
        <v>13068</v>
      </c>
      <c r="FK37" s="213">
        <f>'Aug-24'!Z112</f>
        <v>10219</v>
      </c>
      <c r="FL37" s="213">
        <f>'Aug-24'!AA112</f>
        <v>1743</v>
      </c>
      <c r="FM37" s="213">
        <f>'Aug-24'!AB112</f>
        <v>9049</v>
      </c>
      <c r="FN37" s="213">
        <f>'Aug-24'!AC112</f>
        <v>6876</v>
      </c>
      <c r="FO37" s="213">
        <f>'Aug-24'!AD112</f>
        <v>12732</v>
      </c>
      <c r="FP37" s="213">
        <f>'Aug-24'!AE112</f>
        <v>12044</v>
      </c>
      <c r="FQ37" s="213">
        <f>'Aug-24'!AF112</f>
        <v>12941</v>
      </c>
      <c r="FR37" s="213">
        <f>'Aug-24'!AG112</f>
        <v>10010</v>
      </c>
      <c r="FS37" s="213">
        <f>'Aug-24'!AH112</f>
        <v>4291</v>
      </c>
      <c r="FT37" s="213">
        <f>'Aug-24'!AI112</f>
        <v>15806</v>
      </c>
      <c r="FU37" s="213">
        <f>'Sep-24'!E113</f>
        <v>12828</v>
      </c>
      <c r="FV37" s="213">
        <f>'Sep-24'!F113</f>
        <v>11830</v>
      </c>
      <c r="FW37" s="213">
        <f>'Sep-24'!G113</f>
        <v>17448</v>
      </c>
      <c r="FX37" s="213">
        <f>'Sep-24'!H113</f>
        <v>9396</v>
      </c>
      <c r="FY37" s="213"/>
      <c r="FZ37" s="213"/>
      <c r="GA37" s="213"/>
      <c r="GB37" s="213"/>
      <c r="GC37" s="213"/>
      <c r="GD37" s="206"/>
      <c r="GE37" s="206"/>
      <c r="GF37" s="206"/>
      <c r="GG37" s="206"/>
      <c r="GH37" s="206"/>
      <c r="GI37" s="206"/>
      <c r="GJ37" s="206"/>
      <c r="GK37" s="206"/>
      <c r="GL37" s="206"/>
      <c r="GM37" s="206"/>
      <c r="GN37" s="206"/>
      <c r="GO37" s="206"/>
    </row>
    <row r="38" spans="1:197" x14ac:dyDescent="0.3">
      <c r="X38" s="277">
        <f>'Apr-24'!E130</f>
        <v>24075</v>
      </c>
      <c r="Y38" s="277">
        <f>'Apr-24'!F130</f>
        <v>29181</v>
      </c>
      <c r="Z38" s="277">
        <f>'Apr-24'!G130</f>
        <v>14128</v>
      </c>
      <c r="AA38" s="277">
        <f>'Apr-24'!H130</f>
        <v>25001</v>
      </c>
      <c r="AB38" s="277">
        <f>'Apr-24'!I130</f>
        <v>25033</v>
      </c>
      <c r="AC38" s="277">
        <f>'Apr-24'!J130</f>
        <v>32430</v>
      </c>
      <c r="AD38" s="277">
        <f>'Apr-24'!K130</f>
        <v>25594</v>
      </c>
      <c r="AE38" s="277">
        <f>'Apr-24'!L130</f>
        <v>16643</v>
      </c>
      <c r="AF38" s="277">
        <f>'Apr-24'!M130</f>
        <v>29627</v>
      </c>
      <c r="AG38" s="277">
        <f>'Apr-24'!N130</f>
        <v>17390</v>
      </c>
      <c r="AH38" s="277">
        <f>'Apr-24'!O130</f>
        <v>26584</v>
      </c>
      <c r="AI38" s="277">
        <f>'Apr-24'!P130</f>
        <v>26562</v>
      </c>
      <c r="AJ38" s="277">
        <f>'Apr-24'!Q130</f>
        <v>25669</v>
      </c>
      <c r="AK38" s="277">
        <f>'Apr-24'!R130</f>
        <v>26546</v>
      </c>
      <c r="AL38" s="277">
        <f>'Apr-24'!S130</f>
        <v>21748</v>
      </c>
      <c r="AM38" s="277">
        <f>'Apr-24'!T130</f>
        <v>33052</v>
      </c>
      <c r="AN38" s="277">
        <f>'Apr-24'!U130</f>
        <v>14972</v>
      </c>
      <c r="AO38" s="277">
        <f>'Apr-24'!V130</f>
        <v>24815</v>
      </c>
      <c r="AP38" s="277">
        <f>'Apr-24'!W130</f>
        <v>19573</v>
      </c>
      <c r="AQ38" s="277">
        <f>'Apr-24'!X130</f>
        <v>14152</v>
      </c>
      <c r="AR38" s="277">
        <f>'Apr-24'!Y130</f>
        <v>12695</v>
      </c>
      <c r="AS38" s="277">
        <f>'Apr-24'!Z130</f>
        <v>27204</v>
      </c>
      <c r="AT38" s="277">
        <f>'Apr-24'!AA130</f>
        <v>26492</v>
      </c>
      <c r="AU38" s="277">
        <f>'Apr-24'!AB130</f>
        <v>28225</v>
      </c>
      <c r="AV38" s="277">
        <f>'Apr-24'!AC130</f>
        <v>22066</v>
      </c>
      <c r="AW38" s="277">
        <f>'Apr-24'!AD130</f>
        <v>24122</v>
      </c>
      <c r="AX38" s="277">
        <f>'Apr-24'!AE130</f>
        <v>26726</v>
      </c>
      <c r="AY38" s="277">
        <f>'Apr-24'!AF130</f>
        <v>26319</v>
      </c>
      <c r="AZ38" s="277">
        <f>'Apr-24'!AG130</f>
        <v>25387</v>
      </c>
      <c r="BA38" s="277">
        <f>'Apr-24'!AH130</f>
        <v>29068</v>
      </c>
      <c r="BB38" s="277">
        <f>'May-24'!E130</f>
        <v>27046</v>
      </c>
      <c r="BC38" s="277">
        <f>'May-24'!F130</f>
        <v>20231</v>
      </c>
      <c r="BD38" s="277">
        <f>'May-24'!G130</f>
        <v>20996</v>
      </c>
      <c r="BE38" s="277">
        <f>'May-24'!H130</f>
        <v>13946</v>
      </c>
      <c r="BF38" s="277">
        <f>'May-24'!I130</f>
        <v>28573</v>
      </c>
      <c r="BG38" s="277">
        <f>'May-24'!J130</f>
        <v>20072</v>
      </c>
      <c r="BH38" s="277">
        <f>'May-24'!K130</f>
        <v>22938</v>
      </c>
      <c r="BI38" s="277">
        <f>'May-24'!L130</f>
        <v>22951</v>
      </c>
      <c r="BJ38" s="277">
        <f>'May-24'!M130</f>
        <v>26326</v>
      </c>
      <c r="BK38" s="277">
        <f>'May-24'!N130</f>
        <v>28568</v>
      </c>
      <c r="BL38" s="277">
        <f>'May-24'!O130</f>
        <v>18667</v>
      </c>
      <c r="BM38" s="277">
        <f>'May-24'!P130</f>
        <v>26930</v>
      </c>
      <c r="BN38" s="277">
        <f>'May-24'!Q130</f>
        <v>18334</v>
      </c>
      <c r="BO38" s="277">
        <f>'May-24'!R130</f>
        <v>12386</v>
      </c>
      <c r="BP38" s="277">
        <f>'May-24'!S130</f>
        <v>16015</v>
      </c>
      <c r="BQ38" s="277">
        <f>'May-24'!T130</f>
        <v>24971</v>
      </c>
      <c r="BR38" s="277">
        <f>'May-24'!U130</f>
        <v>24923</v>
      </c>
      <c r="BS38" s="277">
        <f>'May-24'!V130</f>
        <v>15785</v>
      </c>
      <c r="BT38" s="277">
        <f>'May-24'!W130</f>
        <v>19816</v>
      </c>
      <c r="BU38" s="277">
        <f>'May-24'!X130</f>
        <v>24513</v>
      </c>
      <c r="BV38" s="277">
        <f>'May-24'!Y130</f>
        <v>21388</v>
      </c>
      <c r="BW38" s="277">
        <f>'May-24'!Z130</f>
        <v>24561</v>
      </c>
      <c r="BX38" s="277">
        <f>'May-24'!AA130</f>
        <v>24295</v>
      </c>
      <c r="BY38" s="277">
        <f>'May-24'!AB130</f>
        <v>23973</v>
      </c>
      <c r="BZ38" s="277">
        <f>'May-24'!AC130</f>
        <v>29049</v>
      </c>
      <c r="CA38" s="277">
        <f>'May-24'!AD130</f>
        <v>16575</v>
      </c>
      <c r="CB38" s="277">
        <f>'May-24'!AE130</f>
        <v>27298</v>
      </c>
      <c r="CC38" s="277">
        <f>'May-24'!AF130</f>
        <v>21578</v>
      </c>
      <c r="CD38" s="277">
        <f>'May-24'!AG130</f>
        <v>20702</v>
      </c>
      <c r="CE38" s="277">
        <f>'May-24'!AH130</f>
        <v>25710</v>
      </c>
      <c r="CF38" s="277">
        <f>'May-24'!AI130</f>
        <v>23834</v>
      </c>
      <c r="CG38" s="277">
        <f>'Jun-24'!E113</f>
        <v>22404</v>
      </c>
      <c r="CH38" s="277">
        <f>'Jun-24'!F113</f>
        <v>19998</v>
      </c>
      <c r="CI38" s="277">
        <f>'Jun-24'!G113</f>
        <v>22964</v>
      </c>
      <c r="CJ38" s="277">
        <f>'Jun-24'!H113</f>
        <v>25515</v>
      </c>
      <c r="CK38" s="277">
        <f>'Jun-24'!I113</f>
        <v>22979</v>
      </c>
      <c r="CL38" s="277">
        <f>'Jun-24'!J113</f>
        <v>4962</v>
      </c>
      <c r="CM38" s="277">
        <f>'Jun-24'!K113</f>
        <v>18016</v>
      </c>
      <c r="CN38" s="277">
        <f>'Jun-24'!L113</f>
        <v>12052</v>
      </c>
      <c r="CO38" s="277">
        <f>'Jun-24'!M113</f>
        <v>22089</v>
      </c>
      <c r="CP38" s="277">
        <f>'Jun-24'!N113</f>
        <v>20501</v>
      </c>
      <c r="CQ38" s="277">
        <f>'Jun-24'!O113</f>
        <v>24064</v>
      </c>
      <c r="CR38" s="277">
        <f>'Jun-24'!P113</f>
        <v>26113</v>
      </c>
      <c r="CS38" s="277">
        <f>'Jun-24'!Q113</f>
        <v>21788</v>
      </c>
      <c r="CT38" s="277">
        <f>'Jun-24'!R113</f>
        <v>20093</v>
      </c>
      <c r="CU38" s="277">
        <f>'Jun-24'!S113</f>
        <v>24209</v>
      </c>
      <c r="CV38" s="277">
        <f>'Jun-24'!T113</f>
        <v>14151</v>
      </c>
      <c r="CW38" s="277">
        <f>'Jun-24'!U113</f>
        <v>21784</v>
      </c>
      <c r="CX38" s="277">
        <f>'Jun-24'!V113</f>
        <v>24569</v>
      </c>
      <c r="CY38" s="277">
        <f>'Jun-24'!W113</f>
        <v>22363</v>
      </c>
      <c r="CZ38" s="277">
        <f>'Jun-24'!X113</f>
        <v>20006</v>
      </c>
      <c r="DA38" s="277">
        <f>'Jun-24'!Y113</f>
        <v>26044</v>
      </c>
      <c r="DB38" s="277">
        <f>'Jun-24'!Z113</f>
        <v>27132</v>
      </c>
      <c r="DC38" s="277">
        <f>'Jun-24'!AA113</f>
        <v>20877</v>
      </c>
      <c r="DD38" s="277">
        <f>'Jun-24'!AB113</f>
        <v>20641</v>
      </c>
      <c r="DE38" s="277">
        <f>'Jun-24'!AC113</f>
        <v>23883</v>
      </c>
      <c r="DF38" s="277">
        <f>'Jun-24'!AD113</f>
        <v>20898</v>
      </c>
      <c r="DG38" s="277">
        <f>'Jun-24'!AE113</f>
        <v>19391</v>
      </c>
      <c r="DH38" s="277">
        <f>'Jun-24'!AF113</f>
        <v>26897</v>
      </c>
      <c r="DI38" s="277">
        <f>'Jun-24'!AG113</f>
        <v>28897</v>
      </c>
      <c r="DJ38" s="277">
        <f>'Jun-24'!AH113</f>
        <v>22143</v>
      </c>
      <c r="DK38" s="277">
        <f>'Jul-24'!E113</f>
        <v>24865</v>
      </c>
      <c r="DL38" s="277">
        <f>'Jul-24'!F113</f>
        <v>24965</v>
      </c>
      <c r="DM38" s="277">
        <f>'Jul-24'!G113</f>
        <v>15533</v>
      </c>
      <c r="DN38" s="277">
        <f>'Jul-24'!H113</f>
        <v>23795</v>
      </c>
      <c r="DO38" s="277">
        <f>'Jul-24'!I113</f>
        <v>18036</v>
      </c>
      <c r="DP38" s="277">
        <f>'Jul-24'!J113</f>
        <v>26367</v>
      </c>
      <c r="DQ38" s="277">
        <f>'Jul-24'!K113</f>
        <v>20261</v>
      </c>
      <c r="DR38" s="277">
        <f>'Jul-24'!L113</f>
        <v>24315</v>
      </c>
      <c r="DS38" s="277">
        <f>'Jul-24'!M113</f>
        <v>19772</v>
      </c>
      <c r="DT38" s="277">
        <f>'Jul-24'!N113</f>
        <v>15990</v>
      </c>
      <c r="DU38" s="277">
        <f>'Jul-24'!O113</f>
        <v>6323</v>
      </c>
      <c r="DV38" s="277">
        <f>'Jul-24'!P113</f>
        <v>11567</v>
      </c>
      <c r="DW38" s="277">
        <f>'Jul-24'!Q113</f>
        <v>14000</v>
      </c>
      <c r="DX38" s="277">
        <f>'Jul-24'!R113</f>
        <v>21694</v>
      </c>
      <c r="DY38" s="277">
        <f>'Jul-24'!S113</f>
        <v>18747</v>
      </c>
      <c r="DZ38" s="277">
        <f>'Jul-24'!T113</f>
        <v>23202</v>
      </c>
      <c r="EA38" s="277">
        <f>'Jul-24'!U113</f>
        <v>26421</v>
      </c>
      <c r="EB38" s="277">
        <f>'Jul-24'!V113</f>
        <v>17935</v>
      </c>
      <c r="EC38" s="277">
        <f>'Jul-24'!W113</f>
        <v>18327</v>
      </c>
      <c r="ED38" s="277">
        <f>'Jul-24'!X113</f>
        <v>12062</v>
      </c>
      <c r="EE38" s="277">
        <f>'Jul-24'!Y113</f>
        <v>17246</v>
      </c>
      <c r="EF38" s="277">
        <f>'Jul-24'!Z113</f>
        <v>6448</v>
      </c>
      <c r="EG38" s="277">
        <f>'Jul-24'!AA113</f>
        <v>8000</v>
      </c>
      <c r="EH38" s="277">
        <f>'Jul-24'!AB113</f>
        <v>11013</v>
      </c>
      <c r="EI38" s="277">
        <f>'Jul-24'!AC113</f>
        <v>12693</v>
      </c>
      <c r="EJ38" s="277">
        <f>'Jul-24'!AD113</f>
        <v>13819</v>
      </c>
      <c r="EK38" s="277" t="str">
        <f>'Jul-24'!AE113</f>
        <v xml:space="preserve">  -   </v>
      </c>
      <c r="EL38" s="277">
        <f>'Jul-24'!AF113</f>
        <v>4587</v>
      </c>
      <c r="EM38" s="277" t="str">
        <f>'Jul-24'!AG113</f>
        <v xml:space="preserve">  -   </v>
      </c>
      <c r="EN38" s="277" t="str">
        <f>'Jul-24'!AH113</f>
        <v xml:space="preserve">  -   </v>
      </c>
      <c r="EO38" s="277" t="str">
        <f>'Jul-24'!AI113</f>
        <v xml:space="preserve">  -   </v>
      </c>
      <c r="EP38" s="277">
        <f>'Aug-24'!E113</f>
        <v>5467</v>
      </c>
      <c r="EQ38" s="277">
        <f>'Aug-24'!F113</f>
        <v>14025</v>
      </c>
      <c r="ER38" s="277">
        <f>'Aug-24'!G113</f>
        <v>2389</v>
      </c>
      <c r="ES38" s="277">
        <f>'Aug-24'!H113</f>
        <v>11949</v>
      </c>
      <c r="ET38" s="277">
        <f>'Aug-24'!I113</f>
        <v>20220</v>
      </c>
      <c r="EU38" s="277">
        <f>'Aug-24'!J113</f>
        <v>23650</v>
      </c>
      <c r="EV38" s="277">
        <f>'Aug-24'!K113</f>
        <v>22111</v>
      </c>
      <c r="EW38" s="277">
        <f>'Aug-24'!L113</f>
        <v>23406</v>
      </c>
      <c r="EX38" s="277">
        <f>'Aug-24'!M113</f>
        <v>13919</v>
      </c>
      <c r="EY38" s="277">
        <f>'Aug-24'!N113</f>
        <v>16874</v>
      </c>
      <c r="EZ38" s="277">
        <f>'Aug-24'!O113</f>
        <v>21376</v>
      </c>
      <c r="FA38" s="277">
        <f>'Aug-24'!P113</f>
        <v>23588</v>
      </c>
      <c r="FB38" s="277">
        <f>'Aug-24'!Q113</f>
        <v>28269</v>
      </c>
      <c r="FC38" s="277">
        <f>'Aug-24'!R113</f>
        <v>23018.859999999997</v>
      </c>
      <c r="FD38" s="277">
        <f>'Aug-24'!S113</f>
        <v>20801.43</v>
      </c>
      <c r="FE38" s="277">
        <f>'Aug-24'!T113</f>
        <v>20920</v>
      </c>
      <c r="FF38" s="277">
        <f>'Aug-24'!U113</f>
        <v>5881</v>
      </c>
      <c r="FG38" s="277">
        <f>'Aug-24'!V113</f>
        <v>15176</v>
      </c>
      <c r="FH38" s="277">
        <f>'Aug-24'!W113</f>
        <v>13758</v>
      </c>
      <c r="FI38" s="277">
        <f>'Aug-24'!X113</f>
        <v>13087</v>
      </c>
      <c r="FJ38" s="277">
        <f>'Aug-24'!Y113</f>
        <v>12455</v>
      </c>
      <c r="FK38" s="277">
        <f>'Aug-24'!Z113</f>
        <v>13259</v>
      </c>
      <c r="FL38" s="277" t="str">
        <f>'Aug-24'!AA113</f>
        <v xml:space="preserve">  -   </v>
      </c>
      <c r="FM38" s="277">
        <f>'Aug-24'!AB113</f>
        <v>11943</v>
      </c>
      <c r="FN38" s="277">
        <f>'Aug-24'!AC113</f>
        <v>12536</v>
      </c>
      <c r="FO38" s="277">
        <f>'Aug-24'!AD113</f>
        <v>14674</v>
      </c>
      <c r="FP38" s="277">
        <f>'Aug-24'!AE113</f>
        <v>8768</v>
      </c>
      <c r="FQ38" s="277">
        <f>'Aug-24'!AF113</f>
        <v>13882</v>
      </c>
      <c r="FR38" s="277">
        <f>'Aug-24'!AG113</f>
        <v>7229</v>
      </c>
      <c r="FS38" s="277">
        <f>'Aug-24'!AH113</f>
        <v>4849</v>
      </c>
      <c r="FT38" s="277">
        <f>'Aug-24'!AI113</f>
        <v>17032</v>
      </c>
      <c r="FU38" s="277">
        <f>'Sep-24'!E114</f>
        <v>13231</v>
      </c>
      <c r="FV38" s="277">
        <f>'Sep-24'!F114</f>
        <v>16129</v>
      </c>
      <c r="FW38" s="277">
        <f>'Sep-24'!G114</f>
        <v>18768</v>
      </c>
      <c r="FX38" s="277">
        <f>'Sep-24'!H114</f>
        <v>8547</v>
      </c>
      <c r="FY38" s="277"/>
      <c r="FZ38" s="277"/>
      <c r="GA38" s="277"/>
      <c r="GB38" s="277"/>
      <c r="GC38" s="277"/>
    </row>
  </sheetData>
  <mergeCells count="17">
    <mergeCell ref="A29:A31"/>
    <mergeCell ref="B29:B31"/>
    <mergeCell ref="V29:V31"/>
    <mergeCell ref="D34:D36"/>
    <mergeCell ref="A14:A15"/>
    <mergeCell ref="A34:A36"/>
    <mergeCell ref="A16:A17"/>
    <mergeCell ref="A26:A28"/>
    <mergeCell ref="B26:B28"/>
    <mergeCell ref="V26:V28"/>
    <mergeCell ref="V4:V5"/>
    <mergeCell ref="A12:A13"/>
    <mergeCell ref="B12:B13"/>
    <mergeCell ref="V12:V20"/>
    <mergeCell ref="B14:B15"/>
    <mergeCell ref="B16:B17"/>
    <mergeCell ref="C16:C17"/>
  </mergeCells>
  <conditionalFormatting sqref="O4">
    <cfRule type="cellIs" dxfId="85" priority="71" operator="lessThan">
      <formula>$H$4</formula>
    </cfRule>
    <cfRule type="cellIs" dxfId="84" priority="127" stopIfTrue="1" operator="lessThan">
      <formula>#REF!</formula>
    </cfRule>
  </conditionalFormatting>
  <conditionalFormatting sqref="O5">
    <cfRule type="cellIs" dxfId="83" priority="70" operator="greaterThan">
      <formula>$H$5</formula>
    </cfRule>
    <cfRule type="cellIs" dxfId="82" priority="69" operator="lessThan">
      <formula>$H$5</formula>
    </cfRule>
  </conditionalFormatting>
  <conditionalFormatting sqref="O5:O6">
    <cfRule type="cellIs" dxfId="81" priority="126" operator="lessThan">
      <formula>#REF!</formula>
    </cfRule>
  </conditionalFormatting>
  <conditionalFormatting sqref="O6">
    <cfRule type="cellIs" dxfId="80" priority="68" operator="lessThan">
      <formula>$H$6</formula>
    </cfRule>
  </conditionalFormatting>
  <conditionalFormatting sqref="O7">
    <cfRule type="cellIs" dxfId="79" priority="125" operator="lessThan">
      <formula>#REF!</formula>
    </cfRule>
    <cfRule type="cellIs" dxfId="78" priority="67" operator="lessThan">
      <formula>$H$7</formula>
    </cfRule>
  </conditionalFormatting>
  <conditionalFormatting sqref="O8">
    <cfRule type="cellIs" dxfId="77" priority="66" operator="lessThan">
      <formula>$H$8</formula>
    </cfRule>
    <cfRule type="cellIs" dxfId="76" priority="124" operator="lessThan">
      <formula>#REF!</formula>
    </cfRule>
  </conditionalFormatting>
  <conditionalFormatting sqref="O9">
    <cfRule type="cellIs" dxfId="75" priority="65" operator="lessThan">
      <formula>$H$9</formula>
    </cfRule>
    <cfRule type="cellIs" dxfId="74" priority="123" operator="lessThan">
      <formula>#REF!</formula>
    </cfRule>
  </conditionalFormatting>
  <conditionalFormatting sqref="O10">
    <cfRule type="cellIs" dxfId="73" priority="41" operator="lessThan">
      <formula>#REF!</formula>
    </cfRule>
    <cfRule type="cellIs" dxfId="72" priority="40" operator="lessThan">
      <formula>$H$8</formula>
    </cfRule>
  </conditionalFormatting>
  <conditionalFormatting sqref="O12">
    <cfRule type="cellIs" dxfId="71" priority="63" operator="lessThan">
      <formula>$H$12</formula>
    </cfRule>
  </conditionalFormatting>
  <conditionalFormatting sqref="O12:O17">
    <cfRule type="cellIs" dxfId="70" priority="128" operator="lessThan">
      <formula>#REF!</formula>
    </cfRule>
  </conditionalFormatting>
  <conditionalFormatting sqref="O13">
    <cfRule type="cellIs" dxfId="69" priority="62" operator="lessThan">
      <formula>$H$13</formula>
    </cfRule>
  </conditionalFormatting>
  <conditionalFormatting sqref="O14">
    <cfRule type="cellIs" dxfId="68" priority="61" operator="lessThan">
      <formula>$H$14</formula>
    </cfRule>
  </conditionalFormatting>
  <conditionalFormatting sqref="O15">
    <cfRule type="cellIs" dxfId="67" priority="59" operator="lessThan">
      <formula>$H$15</formula>
    </cfRule>
  </conditionalFormatting>
  <conditionalFormatting sqref="O16">
    <cfRule type="cellIs" dxfId="66" priority="58" operator="lessThan">
      <formula>$H$16</formula>
    </cfRule>
  </conditionalFormatting>
  <conditionalFormatting sqref="O17">
    <cfRule type="cellIs" dxfId="65" priority="57" operator="lessThan">
      <formula>$H$17</formula>
    </cfRule>
  </conditionalFormatting>
  <conditionalFormatting sqref="O21">
    <cfRule type="cellIs" dxfId="64" priority="55" operator="greaterThan">
      <formula>$H$21</formula>
    </cfRule>
  </conditionalFormatting>
  <conditionalFormatting sqref="O22">
    <cfRule type="cellIs" dxfId="63" priority="54" operator="greaterThan">
      <formula>$H$22</formula>
    </cfRule>
  </conditionalFormatting>
  <conditionalFormatting sqref="O24">
    <cfRule type="cellIs" dxfId="62" priority="53" operator="lessThan">
      <formula>$H$24</formula>
    </cfRule>
  </conditionalFormatting>
  <conditionalFormatting sqref="O25">
    <cfRule type="cellIs" dxfId="61" priority="52" operator="lessThan">
      <formula>$H$25</formula>
    </cfRule>
  </conditionalFormatting>
  <conditionalFormatting sqref="O26 X26:GC26 X29:GC29">
    <cfRule type="cellIs" dxfId="60" priority="132" operator="lessThan">
      <formula>#REF!</formula>
    </cfRule>
  </conditionalFormatting>
  <conditionalFormatting sqref="O26">
    <cfRule type="cellIs" dxfId="59" priority="51" operator="greaterThan">
      <formula>$H$26</formula>
    </cfRule>
  </conditionalFormatting>
  <conditionalFormatting sqref="O27">
    <cfRule type="cellIs" dxfId="58" priority="50" operator="greaterThan">
      <formula>$H$27</formula>
    </cfRule>
  </conditionalFormatting>
  <conditionalFormatting sqref="O27:O28 U30 X27:GC28 X30:GC30">
    <cfRule type="cellIs" dxfId="57" priority="99" operator="lessThan">
      <formula>#REF!</formula>
    </cfRule>
  </conditionalFormatting>
  <conditionalFormatting sqref="O28">
    <cfRule type="cellIs" dxfId="56" priority="49" operator="greaterThan">
      <formula>$H$28</formula>
    </cfRule>
  </conditionalFormatting>
  <conditionalFormatting sqref="O29">
    <cfRule type="cellIs" dxfId="55" priority="48" operator="greaterThan">
      <formula>$H$29</formula>
    </cfRule>
    <cfRule type="cellIs" dxfId="54" priority="94" operator="lessThan">
      <formula>#REF!</formula>
    </cfRule>
  </conditionalFormatting>
  <conditionalFormatting sqref="O29:O31">
    <cfRule type="cellIs" dxfId="53" priority="92" operator="lessThan">
      <formula>#REF!</formula>
    </cfRule>
  </conditionalFormatting>
  <conditionalFormatting sqref="O30">
    <cfRule type="cellIs" dxfId="52" priority="47" operator="greaterThan">
      <formula>$H$30</formula>
    </cfRule>
    <cfRule type="cellIs" dxfId="51" priority="129" operator="lessThan">
      <formula>#REF!</formula>
    </cfRule>
  </conditionalFormatting>
  <conditionalFormatting sqref="O31">
    <cfRule type="cellIs" dxfId="50" priority="46" operator="greaterThan">
      <formula>$H$31</formula>
    </cfRule>
    <cfRule type="cellIs" dxfId="49" priority="93" operator="lessThan">
      <formula>#REF!</formula>
    </cfRule>
  </conditionalFormatting>
  <conditionalFormatting sqref="O34">
    <cfRule type="cellIs" dxfId="48" priority="44" operator="greaterThan">
      <formula>$H$34</formula>
    </cfRule>
  </conditionalFormatting>
  <conditionalFormatting sqref="O35">
    <cfRule type="cellIs" dxfId="47" priority="43" operator="greaterThan">
      <formula>$H$35</formula>
    </cfRule>
  </conditionalFormatting>
  <conditionalFormatting sqref="O36">
    <cfRule type="cellIs" dxfId="46" priority="42" operator="greaterThan">
      <formula>$H$36</formula>
    </cfRule>
  </conditionalFormatting>
  <conditionalFormatting sqref="P4:T4">
    <cfRule type="cellIs" dxfId="45" priority="39" operator="lessThan">
      <formula>$I$4</formula>
    </cfRule>
  </conditionalFormatting>
  <conditionalFormatting sqref="P5:T5">
    <cfRule type="cellIs" dxfId="44" priority="37" operator="lessThan">
      <formula>$I$5</formula>
    </cfRule>
  </conditionalFormatting>
  <conditionalFormatting sqref="P6:T6">
    <cfRule type="cellIs" dxfId="43" priority="36" operator="lessThan">
      <formula>$I$6</formula>
    </cfRule>
  </conditionalFormatting>
  <conditionalFormatting sqref="P7:T7">
    <cfRule type="cellIs" dxfId="42" priority="35" operator="lessThan">
      <formula>$I$7</formula>
    </cfRule>
  </conditionalFormatting>
  <conditionalFormatting sqref="P8:T8">
    <cfRule type="cellIs" dxfId="41" priority="34" operator="lessThan">
      <formula>$I$8</formula>
    </cfRule>
  </conditionalFormatting>
  <conditionalFormatting sqref="P9:T9">
    <cfRule type="cellIs" dxfId="40" priority="33" operator="lessThan">
      <formula>$I$9</formula>
    </cfRule>
  </conditionalFormatting>
  <conditionalFormatting sqref="P10:T10">
    <cfRule type="cellIs" dxfId="39" priority="32" operator="lessThan">
      <formula>$I$10</formula>
    </cfRule>
  </conditionalFormatting>
  <conditionalFormatting sqref="P21:T21">
    <cfRule type="cellIs" dxfId="38" priority="31" operator="greaterThan">
      <formula>$I$21</formula>
    </cfRule>
  </conditionalFormatting>
  <conditionalFormatting sqref="P22:T22">
    <cfRule type="cellIs" dxfId="37" priority="30" operator="greaterThan">
      <formula>$I$22</formula>
    </cfRule>
  </conditionalFormatting>
  <conditionalFormatting sqref="P24:T24">
    <cfRule type="cellIs" dxfId="36" priority="29" operator="lessThan">
      <formula>$I$24</formula>
    </cfRule>
  </conditionalFormatting>
  <conditionalFormatting sqref="P25:T25">
    <cfRule type="cellIs" dxfId="35" priority="28" operator="lessThan">
      <formula>$I$25</formula>
    </cfRule>
  </conditionalFormatting>
  <conditionalFormatting sqref="P26:T26">
    <cfRule type="cellIs" dxfId="34" priority="27" operator="greaterThan">
      <formula>$K$26</formula>
    </cfRule>
  </conditionalFormatting>
  <conditionalFormatting sqref="P27:T27">
    <cfRule type="cellIs" dxfId="33" priority="26" operator="greaterThan">
      <formula>$I$27</formula>
    </cfRule>
  </conditionalFormatting>
  <conditionalFormatting sqref="P28:T28">
    <cfRule type="cellIs" dxfId="32" priority="25" operator="greaterThan">
      <formula>$I$28</formula>
    </cfRule>
  </conditionalFormatting>
  <conditionalFormatting sqref="P29:T29">
    <cfRule type="cellIs" dxfId="31" priority="24" operator="greaterThan">
      <formula>$K$29</formula>
    </cfRule>
  </conditionalFormatting>
  <conditionalFormatting sqref="P30:T30">
    <cfRule type="cellIs" dxfId="30" priority="23" operator="greaterThan">
      <formula>$I$30</formula>
    </cfRule>
  </conditionalFormatting>
  <conditionalFormatting sqref="P31:T31">
    <cfRule type="cellIs" dxfId="29" priority="22" operator="greaterThan">
      <formula>$I$31</formula>
    </cfRule>
  </conditionalFormatting>
  <conditionalFormatting sqref="P34:T34">
    <cfRule type="cellIs" dxfId="28" priority="21" operator="greaterThan">
      <formula>$I$34</formula>
    </cfRule>
  </conditionalFormatting>
  <conditionalFormatting sqref="P35:T35">
    <cfRule type="cellIs" dxfId="27" priority="20" operator="greaterThan">
      <formula>$L$35</formula>
    </cfRule>
  </conditionalFormatting>
  <conditionalFormatting sqref="U4">
    <cfRule type="cellIs" dxfId="26" priority="19" operator="lessThan">
      <formula>$N$4</formula>
    </cfRule>
  </conditionalFormatting>
  <conditionalFormatting sqref="U5">
    <cfRule type="cellIs" dxfId="25" priority="18" operator="lessThan">
      <formula>$N$5</formula>
    </cfRule>
  </conditionalFormatting>
  <conditionalFormatting sqref="U6">
    <cfRule type="cellIs" dxfId="24" priority="17" operator="lessThan">
      <formula>$N$6</formula>
    </cfRule>
  </conditionalFormatting>
  <conditionalFormatting sqref="U7">
    <cfRule type="cellIs" dxfId="23" priority="16" operator="lessThan">
      <formula>$N$7</formula>
    </cfRule>
  </conditionalFormatting>
  <conditionalFormatting sqref="U8">
    <cfRule type="cellIs" dxfId="22" priority="15" operator="lessThan">
      <formula>$N$8</formula>
    </cfRule>
  </conditionalFormatting>
  <conditionalFormatting sqref="U9">
    <cfRule type="cellIs" dxfId="21" priority="14" operator="lessThan">
      <formula>$N$9</formula>
    </cfRule>
  </conditionalFormatting>
  <conditionalFormatting sqref="U10">
    <cfRule type="cellIs" dxfId="20" priority="13" operator="lessThan">
      <formula>$N$10</formula>
    </cfRule>
  </conditionalFormatting>
  <conditionalFormatting sqref="U21">
    <cfRule type="cellIs" dxfId="19" priority="12" operator="greaterThan">
      <formula>$N$21</formula>
    </cfRule>
  </conditionalFormatting>
  <conditionalFormatting sqref="U22">
    <cfRule type="cellIs" dxfId="18" priority="11" operator="greaterThan">
      <formula>$N$22</formula>
    </cfRule>
  </conditionalFormatting>
  <conditionalFormatting sqref="U24">
    <cfRule type="cellIs" dxfId="17" priority="10" operator="lessThan">
      <formula>$N$24</formula>
    </cfRule>
  </conditionalFormatting>
  <conditionalFormatting sqref="U25">
    <cfRule type="cellIs" dxfId="16" priority="9" operator="lessThan">
      <formula>$N$25</formula>
    </cfRule>
  </conditionalFormatting>
  <conditionalFormatting sqref="U26">
    <cfRule type="cellIs" dxfId="15" priority="8" operator="greaterThan">
      <formula>$N$26</formula>
    </cfRule>
  </conditionalFormatting>
  <conditionalFormatting sqref="U27">
    <cfRule type="cellIs" dxfId="14" priority="7" operator="greaterThan">
      <formula>$N$27</formula>
    </cfRule>
    <cfRule type="cellIs" dxfId="13" priority="131" operator="lessThan">
      <formula>#REF!</formula>
    </cfRule>
  </conditionalFormatting>
  <conditionalFormatting sqref="U28">
    <cfRule type="cellIs" dxfId="12" priority="6" operator="greaterThan">
      <formula>$N$28</formula>
    </cfRule>
  </conditionalFormatting>
  <conditionalFormatting sqref="U29">
    <cfRule type="cellIs" dxfId="11" priority="5" operator="greaterThan">
      <formula>$N$29</formula>
    </cfRule>
  </conditionalFormatting>
  <conditionalFormatting sqref="U30">
    <cfRule type="cellIs" dxfId="10" priority="4" operator="greaterThan">
      <formula>$N$30</formula>
    </cfRule>
  </conditionalFormatting>
  <conditionalFormatting sqref="U31">
    <cfRule type="cellIs" dxfId="9" priority="3" operator="greaterThan">
      <formula>$N$31</formula>
    </cfRule>
  </conditionalFormatting>
  <conditionalFormatting sqref="U34">
    <cfRule type="cellIs" dxfId="8" priority="2" operator="greaterThan">
      <formula>$N$34</formula>
    </cfRule>
  </conditionalFormatting>
  <conditionalFormatting sqref="X7:GC10">
    <cfRule type="cellIs" dxfId="7" priority="148" operator="greaterThan">
      <formula>#REF!</formula>
    </cfRule>
  </conditionalFormatting>
  <conditionalFormatting sqref="X12:GC20">
    <cfRule type="cellIs" dxfId="6" priority="143" operator="greaterThan">
      <formula>#REF!</formula>
    </cfRule>
  </conditionalFormatting>
  <conditionalFormatting sqref="X21:GC23">
    <cfRule type="cellIs" dxfId="5" priority="142" operator="lessThan">
      <formula>#REF!</formula>
    </cfRule>
  </conditionalFormatting>
  <conditionalFormatting sqref="X24:GC25">
    <cfRule type="cellIs" dxfId="4" priority="138" operator="greaterThan">
      <formula>#REF!</formula>
    </cfRule>
  </conditionalFormatting>
  <conditionalFormatting sqref="X31:GC31">
    <cfRule type="cellIs" dxfId="3" priority="75" operator="lessThan">
      <formula>71.2</formula>
    </cfRule>
    <cfRule type="cellIs" dxfId="2" priority="74" operator="lessThan">
      <formula>#REF!</formula>
    </cfRule>
    <cfRule type="cellIs" dxfId="1" priority="73" operator="greaterThan">
      <formula>#REF!</formula>
    </cfRule>
  </conditionalFormatting>
  <conditionalFormatting sqref="X34:GC37">
    <cfRule type="cellIs" dxfId="0" priority="135" operator="lessThan">
      <formula>#REF!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06F2-F050-4AB3-8DDF-78D43B0A7912}">
  <dimension ref="A1:GH145"/>
  <sheetViews>
    <sheetView workbookViewId="0">
      <pane xSplit="1" topLeftCell="EV1" activePane="topRight" state="frozen"/>
      <selection pane="topRight" activeCell="FG12" sqref="FG12"/>
    </sheetView>
  </sheetViews>
  <sheetFormatPr defaultRowHeight="14.4" x14ac:dyDescent="0.3"/>
  <cols>
    <col min="1" max="1" width="20.88671875" bestFit="1" customWidth="1"/>
    <col min="2" max="31" width="8.88671875" customWidth="1"/>
    <col min="32" max="32" width="10" bestFit="1" customWidth="1"/>
    <col min="33" max="33" width="12" bestFit="1" customWidth="1"/>
    <col min="64" max="65" width="10" bestFit="1" customWidth="1"/>
    <col min="95" max="95" width="10" bestFit="1" customWidth="1"/>
    <col min="96" max="96" width="11" bestFit="1" customWidth="1"/>
    <col min="97" max="97" width="10" bestFit="1" customWidth="1"/>
    <col min="99" max="99" width="10" bestFit="1" customWidth="1"/>
    <col min="122" max="122" width="10.88671875" bestFit="1" customWidth="1"/>
    <col min="127" max="128" width="10" bestFit="1" customWidth="1"/>
    <col min="159" max="159" width="10" bestFit="1" customWidth="1"/>
    <col min="162" max="162" width="11" bestFit="1" customWidth="1"/>
  </cols>
  <sheetData>
    <row r="1" spans="1:190" x14ac:dyDescent="0.3"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</row>
    <row r="2" spans="1:190" s="263" customFormat="1" ht="15" thickBot="1" x14ac:dyDescent="0.35">
      <c r="A2" s="263" t="s">
        <v>118</v>
      </c>
      <c r="B2" s="264">
        <v>45383</v>
      </c>
      <c r="C2" s="264">
        <v>45384</v>
      </c>
      <c r="D2" s="264">
        <v>45385</v>
      </c>
      <c r="E2" s="264">
        <v>45386</v>
      </c>
      <c r="F2" s="264">
        <v>45387</v>
      </c>
      <c r="G2" s="264">
        <v>45388</v>
      </c>
      <c r="H2" s="264">
        <v>45389</v>
      </c>
      <c r="I2" s="264">
        <v>45390</v>
      </c>
      <c r="J2" s="264">
        <v>45391</v>
      </c>
      <c r="K2" s="264">
        <v>45392</v>
      </c>
      <c r="L2" s="264">
        <v>45393</v>
      </c>
      <c r="M2" s="264">
        <v>45394</v>
      </c>
      <c r="N2" s="264">
        <v>45395</v>
      </c>
      <c r="O2" s="264">
        <v>45396</v>
      </c>
      <c r="P2" s="264">
        <v>45397</v>
      </c>
      <c r="Q2" s="264">
        <v>45398</v>
      </c>
      <c r="R2" s="264">
        <v>45399</v>
      </c>
      <c r="S2" s="264">
        <v>45400</v>
      </c>
      <c r="T2" s="264">
        <v>45401</v>
      </c>
      <c r="U2" s="264">
        <v>45402</v>
      </c>
      <c r="V2" s="264">
        <v>45403</v>
      </c>
      <c r="W2" s="264">
        <v>45404</v>
      </c>
      <c r="X2" s="264">
        <v>45405</v>
      </c>
      <c r="Y2" s="264">
        <v>45406</v>
      </c>
      <c r="Z2" s="264">
        <v>45407</v>
      </c>
      <c r="AA2" s="264">
        <v>45408</v>
      </c>
      <c r="AB2" s="264">
        <v>45409</v>
      </c>
      <c r="AC2" s="264">
        <v>45410</v>
      </c>
      <c r="AD2" s="264">
        <v>45411</v>
      </c>
      <c r="AE2" s="264">
        <v>45412</v>
      </c>
      <c r="AG2" s="264">
        <v>45413</v>
      </c>
      <c r="AH2" s="264">
        <v>45414</v>
      </c>
      <c r="AI2" s="264">
        <v>45415</v>
      </c>
      <c r="AJ2" s="264">
        <v>45416</v>
      </c>
      <c r="AK2" s="264">
        <v>45417</v>
      </c>
      <c r="AL2" s="264">
        <v>45418</v>
      </c>
      <c r="AM2" s="264">
        <v>45419</v>
      </c>
      <c r="AN2" s="264">
        <v>45420</v>
      </c>
      <c r="AO2" s="264">
        <v>45421</v>
      </c>
      <c r="AP2" s="264">
        <v>45422</v>
      </c>
      <c r="AQ2" s="264">
        <v>45423</v>
      </c>
      <c r="AR2" s="264">
        <v>45424</v>
      </c>
      <c r="AS2" s="264">
        <v>45425</v>
      </c>
      <c r="AT2" s="264">
        <v>45426</v>
      </c>
      <c r="AU2" s="264">
        <v>45427</v>
      </c>
      <c r="AV2" s="264">
        <v>45428</v>
      </c>
      <c r="AW2" s="264">
        <v>45429</v>
      </c>
      <c r="AX2" s="264">
        <v>45430</v>
      </c>
      <c r="AY2" s="264">
        <v>45431</v>
      </c>
      <c r="AZ2" s="264">
        <v>45432</v>
      </c>
      <c r="BA2" s="264">
        <v>45433</v>
      </c>
      <c r="BB2" s="264">
        <v>45434</v>
      </c>
      <c r="BC2" s="264">
        <v>45435</v>
      </c>
      <c r="BD2" s="264">
        <v>45436</v>
      </c>
      <c r="BE2" s="264">
        <v>45437</v>
      </c>
      <c r="BF2" s="264">
        <v>45438</v>
      </c>
      <c r="BG2" s="264">
        <v>45439</v>
      </c>
      <c r="BH2" s="264">
        <v>45440</v>
      </c>
      <c r="BI2" s="264">
        <v>45441</v>
      </c>
      <c r="BJ2" s="264">
        <v>45442</v>
      </c>
      <c r="BK2" s="264">
        <v>45443</v>
      </c>
      <c r="BL2" s="284" t="s">
        <v>103</v>
      </c>
      <c r="BM2" s="264">
        <v>45444</v>
      </c>
      <c r="BN2" s="264">
        <v>45445</v>
      </c>
      <c r="BO2" s="264">
        <v>45446</v>
      </c>
      <c r="BP2" s="264">
        <v>45447</v>
      </c>
      <c r="BQ2" s="264">
        <v>45448</v>
      </c>
      <c r="BR2" s="264">
        <v>45449</v>
      </c>
      <c r="BS2" s="264">
        <v>45450</v>
      </c>
      <c r="BT2" s="264">
        <v>45451</v>
      </c>
      <c r="BU2" s="264">
        <v>45452</v>
      </c>
      <c r="BV2" s="264">
        <v>45453</v>
      </c>
      <c r="BW2" s="264">
        <v>45454</v>
      </c>
      <c r="BX2" s="264">
        <v>45455</v>
      </c>
      <c r="BY2" s="264">
        <v>45456</v>
      </c>
      <c r="BZ2" s="264">
        <v>45457</v>
      </c>
      <c r="CA2" s="264">
        <v>45458</v>
      </c>
      <c r="CB2" s="264">
        <v>45459</v>
      </c>
      <c r="CC2" s="264">
        <v>45460</v>
      </c>
      <c r="CD2" s="264">
        <v>45461</v>
      </c>
      <c r="CE2" s="264">
        <v>45462</v>
      </c>
      <c r="CF2" s="264">
        <v>45463</v>
      </c>
      <c r="CG2" s="264">
        <v>45464</v>
      </c>
      <c r="CH2" s="264">
        <v>45465</v>
      </c>
      <c r="CI2" s="264">
        <v>45466</v>
      </c>
      <c r="CJ2" s="264">
        <v>45467</v>
      </c>
      <c r="CK2" s="264">
        <v>45468</v>
      </c>
      <c r="CL2" s="264">
        <v>45469</v>
      </c>
      <c r="CM2" s="264">
        <v>45470</v>
      </c>
      <c r="CN2" s="264">
        <v>45471</v>
      </c>
      <c r="CO2" s="264">
        <v>45472</v>
      </c>
      <c r="CP2" s="264">
        <v>45473</v>
      </c>
      <c r="CQ2" s="284" t="s">
        <v>103</v>
      </c>
      <c r="CR2" s="264">
        <v>45474</v>
      </c>
      <c r="CS2" s="264">
        <v>45475</v>
      </c>
      <c r="CT2" s="264">
        <v>45476</v>
      </c>
      <c r="CU2" s="264">
        <v>45477</v>
      </c>
      <c r="CV2" s="264">
        <v>45478</v>
      </c>
      <c r="CW2" s="264">
        <v>45479</v>
      </c>
      <c r="CX2" s="264">
        <v>45480</v>
      </c>
      <c r="CY2" s="264">
        <v>45481</v>
      </c>
      <c r="CZ2" s="264">
        <v>45482</v>
      </c>
      <c r="DA2" s="264">
        <v>45483</v>
      </c>
      <c r="DB2" s="264">
        <v>45484</v>
      </c>
      <c r="DC2" s="264">
        <v>45485</v>
      </c>
      <c r="DD2" s="264">
        <v>45486</v>
      </c>
      <c r="DE2" s="264">
        <v>45487</v>
      </c>
      <c r="DF2" s="264">
        <v>45488</v>
      </c>
      <c r="DG2" s="264">
        <v>45489</v>
      </c>
      <c r="DH2" s="264">
        <v>45490</v>
      </c>
      <c r="DI2" s="264">
        <v>45491</v>
      </c>
      <c r="DJ2" s="264">
        <v>45492</v>
      </c>
      <c r="DK2" s="264">
        <v>45493</v>
      </c>
      <c r="DL2" s="264">
        <v>45494</v>
      </c>
      <c r="DM2" s="264">
        <v>45495</v>
      </c>
      <c r="DN2" s="264">
        <v>45496</v>
      </c>
      <c r="DO2" s="264">
        <v>45497</v>
      </c>
      <c r="DP2" s="264">
        <v>45498</v>
      </c>
      <c r="DQ2" s="264">
        <v>45499</v>
      </c>
      <c r="DR2" s="264">
        <v>45500</v>
      </c>
      <c r="DS2" s="264">
        <v>45501</v>
      </c>
      <c r="DT2" s="264">
        <v>45502</v>
      </c>
      <c r="DU2" s="264">
        <v>45503</v>
      </c>
      <c r="DV2" s="264">
        <v>45504</v>
      </c>
      <c r="DW2" s="284" t="s">
        <v>103</v>
      </c>
      <c r="DX2" s="264">
        <v>45505</v>
      </c>
      <c r="DY2" s="264">
        <v>45506</v>
      </c>
      <c r="DZ2" s="264">
        <v>45507</v>
      </c>
      <c r="EA2" s="264">
        <v>45508</v>
      </c>
      <c r="EB2" s="264">
        <v>45509</v>
      </c>
      <c r="EC2" s="264">
        <v>45510</v>
      </c>
      <c r="ED2" s="264">
        <v>45511</v>
      </c>
      <c r="EE2" s="264">
        <v>45512</v>
      </c>
      <c r="EF2" s="264">
        <v>45513</v>
      </c>
      <c r="EG2" s="264">
        <v>45514</v>
      </c>
      <c r="EH2" s="264">
        <v>45515</v>
      </c>
      <c r="EI2" s="264">
        <v>45516</v>
      </c>
      <c r="EJ2" s="264">
        <v>45517</v>
      </c>
      <c r="EK2" s="264">
        <v>45518</v>
      </c>
      <c r="EL2" s="264">
        <v>45519</v>
      </c>
      <c r="EM2" s="264">
        <v>45520</v>
      </c>
      <c r="EN2" s="264">
        <v>45521</v>
      </c>
      <c r="EO2" s="264">
        <v>45522</v>
      </c>
      <c r="EP2" s="264">
        <v>45523</v>
      </c>
      <c r="EQ2" s="264">
        <v>45524</v>
      </c>
      <c r="ER2" s="264">
        <v>45525</v>
      </c>
      <c r="ES2" s="264">
        <v>45526</v>
      </c>
      <c r="ET2" s="264">
        <v>45527</v>
      </c>
      <c r="EU2" s="264">
        <v>45528</v>
      </c>
      <c r="EV2" s="264">
        <v>45529</v>
      </c>
      <c r="EW2" s="264">
        <v>45530</v>
      </c>
      <c r="EX2" s="264">
        <v>45531</v>
      </c>
      <c r="EY2" s="264">
        <v>45532</v>
      </c>
      <c r="EZ2" s="264">
        <v>45533</v>
      </c>
      <c r="FA2" s="264">
        <v>45534</v>
      </c>
      <c r="FB2" s="264">
        <v>45535</v>
      </c>
      <c r="FC2" s="325" t="s">
        <v>103</v>
      </c>
      <c r="FD2" s="264">
        <v>45536</v>
      </c>
      <c r="FE2" s="264">
        <v>45537</v>
      </c>
      <c r="FF2" s="264">
        <v>45538</v>
      </c>
      <c r="FG2" s="264">
        <v>45539</v>
      </c>
      <c r="FH2" s="264">
        <v>45540</v>
      </c>
      <c r="FI2" s="264">
        <v>45541</v>
      </c>
      <c r="FJ2" s="264">
        <v>45542</v>
      </c>
      <c r="FK2" s="264">
        <v>45543</v>
      </c>
      <c r="FL2" s="264">
        <v>45544</v>
      </c>
      <c r="FM2" s="264">
        <v>45545</v>
      </c>
      <c r="FN2" s="264">
        <v>45546</v>
      </c>
      <c r="FO2" s="264">
        <v>45547</v>
      </c>
      <c r="FP2" s="264">
        <v>45548</v>
      </c>
      <c r="FQ2" s="264">
        <v>45549</v>
      </c>
      <c r="FR2" s="264">
        <v>45550</v>
      </c>
      <c r="FS2" s="264">
        <v>45551</v>
      </c>
      <c r="FT2" s="264">
        <v>45552</v>
      </c>
      <c r="FU2" s="264">
        <v>45553</v>
      </c>
      <c r="FV2" s="264">
        <v>45554</v>
      </c>
      <c r="FW2" s="264">
        <v>45555</v>
      </c>
      <c r="FX2" s="264">
        <v>45556</v>
      </c>
      <c r="FY2" s="264">
        <v>45557</v>
      </c>
      <c r="FZ2" s="264">
        <v>45558</v>
      </c>
      <c r="GA2" s="264">
        <v>45559</v>
      </c>
      <c r="GB2" s="264">
        <v>45560</v>
      </c>
      <c r="GC2" s="264">
        <v>45561</v>
      </c>
      <c r="GD2" s="264">
        <v>45562</v>
      </c>
      <c r="GE2" s="264">
        <v>45563</v>
      </c>
      <c r="GF2" s="264">
        <v>45564</v>
      </c>
      <c r="GG2" s="264">
        <v>45565</v>
      </c>
      <c r="GH2" s="325" t="s">
        <v>103</v>
      </c>
    </row>
    <row r="3" spans="1:190" x14ac:dyDescent="0.3">
      <c r="A3" t="s">
        <v>242</v>
      </c>
      <c r="B3">
        <f>'Apr-24'!E92</f>
        <v>115</v>
      </c>
      <c r="C3">
        <f>'Apr-24'!F92</f>
        <v>330</v>
      </c>
      <c r="D3">
        <f>'Apr-24'!G92</f>
        <v>400</v>
      </c>
      <c r="E3">
        <f>'Apr-24'!H92</f>
        <v>0</v>
      </c>
      <c r="F3">
        <f>'Apr-24'!I92</f>
        <v>181</v>
      </c>
      <c r="G3">
        <f>'Apr-24'!J92</f>
        <v>438</v>
      </c>
      <c r="H3">
        <f>'Apr-24'!K92</f>
        <v>339</v>
      </c>
      <c r="I3">
        <f>'Apr-24'!L92</f>
        <v>359.66700000000003</v>
      </c>
      <c r="J3">
        <f>'Apr-24'!M92</f>
        <v>304.08210000000003</v>
      </c>
      <c r="K3">
        <f>'Apr-24'!N92</f>
        <v>363.04425000000003</v>
      </c>
      <c r="L3">
        <f>'Apr-24'!O92</f>
        <v>412.96302000000003</v>
      </c>
      <c r="M3">
        <f>'Apr-24'!P92</f>
        <v>404.77085999999997</v>
      </c>
      <c r="N3">
        <f>'Apr-24'!Q92</f>
        <v>233.1096</v>
      </c>
      <c r="O3">
        <f>'Apr-24'!R92</f>
        <v>415.62144000000001</v>
      </c>
      <c r="P3">
        <f>'Apr-24'!S92</f>
        <v>390.56688000000003</v>
      </c>
      <c r="Q3">
        <f>'Apr-24'!T92</f>
        <v>188.16767999999999</v>
      </c>
      <c r="R3">
        <f>'Apr-24'!U92</f>
        <v>333.07060000000001</v>
      </c>
      <c r="S3">
        <f>'Apr-24'!V92</f>
        <v>276.38225999999997</v>
      </c>
      <c r="T3">
        <f>'Apr-24'!W92</f>
        <v>0</v>
      </c>
      <c r="U3">
        <f>'Apr-24'!X92</f>
        <v>103.22399999999999</v>
      </c>
      <c r="V3">
        <f>'Apr-24'!Y92</f>
        <v>364.88475</v>
      </c>
      <c r="W3">
        <f>'Apr-24'!Z92</f>
        <v>407.59749999999997</v>
      </c>
      <c r="X3">
        <f>'Apr-24'!AA92</f>
        <v>469.95732000000004</v>
      </c>
      <c r="Y3">
        <f>'Apr-24'!AB92</f>
        <v>490</v>
      </c>
      <c r="Z3">
        <f>'Apr-24'!AC92</f>
        <v>456</v>
      </c>
      <c r="AA3">
        <f>'Apr-24'!AD92</f>
        <v>461</v>
      </c>
      <c r="AB3">
        <f>'Apr-24'!AE92</f>
        <v>470</v>
      </c>
      <c r="AC3">
        <f>'Apr-24'!AF92</f>
        <v>505</v>
      </c>
      <c r="AD3">
        <f>'Apr-24'!AG92</f>
        <v>426</v>
      </c>
      <c r="AE3">
        <f>'Apr-24'!AH92</f>
        <v>418</v>
      </c>
      <c r="AG3" s="12">
        <f>'May-24'!E92</f>
        <v>483</v>
      </c>
      <c r="AH3" s="12">
        <f>'May-24'!F92</f>
        <v>444</v>
      </c>
      <c r="AI3" s="12">
        <f>'May-24'!G92</f>
        <v>375</v>
      </c>
      <c r="AJ3" s="12">
        <f>'May-24'!H92</f>
        <v>400</v>
      </c>
      <c r="AK3" s="12">
        <f>'May-24'!I92</f>
        <v>315</v>
      </c>
      <c r="AL3" s="12">
        <f>'May-24'!J92</f>
        <v>385</v>
      </c>
      <c r="AM3" s="12">
        <f>'May-24'!K92</f>
        <v>430</v>
      </c>
      <c r="AN3" s="12">
        <f>'May-24'!L92</f>
        <v>460</v>
      </c>
      <c r="AO3" s="12">
        <f>'May-24'!M92</f>
        <v>364</v>
      </c>
      <c r="AP3" s="12">
        <f>'May-24'!N92</f>
        <v>465</v>
      </c>
      <c r="AQ3" s="12">
        <f>'May-24'!O92</f>
        <v>499</v>
      </c>
      <c r="AR3" s="12">
        <f>'May-24'!P92</f>
        <v>490</v>
      </c>
      <c r="AS3" s="12">
        <f>'May-24'!Q92</f>
        <v>375</v>
      </c>
      <c r="AT3" s="12">
        <f>'May-24'!R92</f>
        <v>0</v>
      </c>
      <c r="AU3" s="12">
        <f>'May-24'!S92</f>
        <v>221</v>
      </c>
      <c r="AV3" s="12">
        <f>'May-24'!T92</f>
        <v>435</v>
      </c>
      <c r="AW3" s="12">
        <f>'May-24'!U92</f>
        <v>445</v>
      </c>
      <c r="AX3" s="12">
        <f>'May-24'!V92</f>
        <v>404</v>
      </c>
      <c r="AY3" s="12">
        <f>'May-24'!W92</f>
        <v>430</v>
      </c>
      <c r="AZ3" s="12">
        <f>'May-24'!X92</f>
        <v>320</v>
      </c>
      <c r="BA3" s="12">
        <f>'May-24'!Y92</f>
        <v>344</v>
      </c>
      <c r="BB3" s="12">
        <f>'May-24'!Z92</f>
        <v>392</v>
      </c>
      <c r="BC3" s="12">
        <f>'May-24'!AA92</f>
        <v>395</v>
      </c>
      <c r="BD3" s="12">
        <f>'May-24'!AB92</f>
        <v>228</v>
      </c>
      <c r="BE3" s="12">
        <f>'May-24'!AC92</f>
        <v>287</v>
      </c>
      <c r="BF3" s="12">
        <f>'May-24'!AD92</f>
        <v>264</v>
      </c>
      <c r="BG3" s="12">
        <f>'May-24'!AE92</f>
        <v>227</v>
      </c>
      <c r="BH3" s="12">
        <f>'May-24'!AF92</f>
        <v>287</v>
      </c>
      <c r="BI3" s="12">
        <f>'May-24'!AG92</f>
        <v>234</v>
      </c>
      <c r="BJ3" s="12">
        <f>'May-24'!AH92</f>
        <v>151</v>
      </c>
      <c r="BK3" s="12">
        <f>'May-24'!AI92</f>
        <v>0</v>
      </c>
      <c r="BL3" s="12"/>
      <c r="BM3" s="12">
        <f>'Jun-24'!E75</f>
        <v>0</v>
      </c>
      <c r="BN3" s="12">
        <f>'Jun-24'!F75</f>
        <v>0</v>
      </c>
      <c r="BO3" s="12">
        <f>'Jun-24'!G75</f>
        <v>136</v>
      </c>
      <c r="BP3" s="12">
        <f>'Jun-24'!H75</f>
        <v>194</v>
      </c>
      <c r="BQ3" s="12">
        <f>'Jun-24'!I75</f>
        <v>0</v>
      </c>
      <c r="BR3" s="12">
        <f>'Jun-24'!J75</f>
        <v>0</v>
      </c>
      <c r="BS3" s="12">
        <f>'Jun-24'!K75</f>
        <v>0</v>
      </c>
      <c r="BT3" s="12">
        <f>'Jun-24'!L75</f>
        <v>348</v>
      </c>
      <c r="BU3" s="12">
        <f>'Jun-24'!M75</f>
        <v>410</v>
      </c>
      <c r="BV3" s="12">
        <f>'Jun-24'!N75</f>
        <v>208</v>
      </c>
      <c r="BW3" s="12">
        <f>'Jun-24'!O75</f>
        <v>0</v>
      </c>
      <c r="BX3" s="12">
        <f>'Jun-24'!P75</f>
        <v>102</v>
      </c>
      <c r="BY3" s="12">
        <f>'Jun-24'!Q75</f>
        <v>0</v>
      </c>
      <c r="BZ3" s="12">
        <f>'Jun-24'!R75</f>
        <v>0</v>
      </c>
      <c r="CA3" s="12">
        <f>'Jun-24'!S75</f>
        <v>351</v>
      </c>
      <c r="CB3" s="12">
        <f>'Jun-24'!T75</f>
        <v>289</v>
      </c>
      <c r="CC3" s="12">
        <f>'Jun-24'!U75</f>
        <v>248</v>
      </c>
      <c r="CD3" s="12">
        <f>'Jun-24'!V75</f>
        <v>201</v>
      </c>
      <c r="CE3" s="12">
        <f>'Jun-24'!W75</f>
        <v>322</v>
      </c>
      <c r="CF3" s="12">
        <f>'Jun-24'!X75</f>
        <v>238</v>
      </c>
      <c r="CG3" s="12">
        <f>'Jun-24'!Y75</f>
        <v>249</v>
      </c>
      <c r="CH3" s="12">
        <f>'Jun-24'!Z75</f>
        <v>212</v>
      </c>
      <c r="CI3" s="12">
        <f>'Jun-24'!AA75</f>
        <v>167</v>
      </c>
      <c r="CJ3" s="12">
        <f>'Jun-24'!AB75</f>
        <v>0</v>
      </c>
      <c r="CK3" s="12">
        <f>'Jun-24'!AC75</f>
        <v>0</v>
      </c>
      <c r="CL3" s="12">
        <f>'Jun-24'!AD75</f>
        <v>0</v>
      </c>
      <c r="CM3" s="12">
        <f>'Jun-24'!AE75</f>
        <v>0</v>
      </c>
      <c r="CN3" s="12">
        <f>'Jun-24'!AF75</f>
        <v>0</v>
      </c>
      <c r="CO3" s="12">
        <f>'Jun-24'!AG75</f>
        <v>101</v>
      </c>
      <c r="CP3" s="12">
        <f>'Jun-24'!AH75</f>
        <v>157</v>
      </c>
      <c r="CQ3" s="12"/>
      <c r="CR3" s="12">
        <f>'Jul-24'!E75</f>
        <v>175</v>
      </c>
      <c r="CS3" s="12">
        <f>'Jul-24'!F75</f>
        <v>105</v>
      </c>
      <c r="CT3" s="12">
        <f>'Jul-24'!G75</f>
        <v>177</v>
      </c>
      <c r="CU3" s="12">
        <f>'Jul-24'!H75</f>
        <v>285</v>
      </c>
      <c r="CV3" s="12">
        <f>'Jul-24'!I75</f>
        <v>301</v>
      </c>
      <c r="CW3" s="12">
        <f>'Jul-24'!J75</f>
        <v>289</v>
      </c>
      <c r="CX3" s="12">
        <f>'Jul-24'!K75</f>
        <v>204</v>
      </c>
      <c r="CY3" s="12">
        <f>'Jul-24'!L75</f>
        <v>155</v>
      </c>
      <c r="CZ3" s="12">
        <f>'Jul-24'!M75</f>
        <v>193</v>
      </c>
      <c r="DA3" s="12">
        <f>'Jul-24'!N75</f>
        <v>199</v>
      </c>
      <c r="DB3" s="12">
        <f>'Jul-24'!O75</f>
        <v>0</v>
      </c>
      <c r="DC3" s="12">
        <f>'Jul-24'!P75</f>
        <v>0</v>
      </c>
      <c r="DD3" s="12">
        <f>'Jul-24'!Q75</f>
        <v>0</v>
      </c>
      <c r="DE3" s="12">
        <f>'Jul-24'!R75</f>
        <v>0</v>
      </c>
      <c r="DF3" s="12">
        <f>'Jul-24'!S75</f>
        <v>101</v>
      </c>
      <c r="DG3" s="12">
        <f>'Jul-24'!T75</f>
        <v>260</v>
      </c>
      <c r="DH3" s="12">
        <f>'Jul-24'!U75</f>
        <v>293</v>
      </c>
      <c r="DI3" s="12">
        <f>'Jul-24'!V75</f>
        <v>0</v>
      </c>
      <c r="DJ3" s="12">
        <f>'Jul-24'!W75</f>
        <v>0</v>
      </c>
      <c r="DK3" s="12">
        <f>'Jul-24'!X75</f>
        <v>0</v>
      </c>
      <c r="DL3" s="12">
        <f>'Jul-24'!Y75</f>
        <v>0</v>
      </c>
      <c r="DM3" s="12">
        <f>'Jul-24'!Z75</f>
        <v>0</v>
      </c>
      <c r="DN3" s="12">
        <f>'Jul-24'!AA75</f>
        <v>0</v>
      </c>
      <c r="DO3" s="12">
        <f>'Jul-24'!AB75</f>
        <v>0</v>
      </c>
      <c r="DP3" s="12">
        <f>'Jul-24'!AC75</f>
        <v>0</v>
      </c>
      <c r="DQ3" s="12">
        <f>'Jul-24'!AD75</f>
        <v>0</v>
      </c>
      <c r="DR3" s="12">
        <f>'Jul-24'!AE75</f>
        <v>0</v>
      </c>
      <c r="DS3" s="12">
        <f>'Jul-24'!AF75</f>
        <v>0</v>
      </c>
      <c r="DT3" s="12">
        <f>'Jul-24'!AG75</f>
        <v>0</v>
      </c>
      <c r="DU3" s="12">
        <f>'Jul-24'!AH75</f>
        <v>0</v>
      </c>
      <c r="DV3" s="12">
        <f>'Jul-24'!AI75</f>
        <v>0</v>
      </c>
      <c r="DW3" s="12"/>
      <c r="DX3" s="12">
        <f>'Aug-24'!E75</f>
        <v>0</v>
      </c>
      <c r="DY3" s="12">
        <f>'Aug-24'!F75</f>
        <v>0</v>
      </c>
      <c r="DZ3" s="12">
        <f>'Aug-24'!G75</f>
        <v>295</v>
      </c>
      <c r="EA3" s="12">
        <f>'Aug-24'!H75</f>
        <v>268</v>
      </c>
      <c r="EB3" s="12">
        <f>'Aug-24'!I75</f>
        <v>296</v>
      </c>
      <c r="EC3" s="12">
        <f>'Aug-24'!J75</f>
        <v>399</v>
      </c>
      <c r="ED3" s="12">
        <f>'Aug-24'!K75</f>
        <v>348</v>
      </c>
      <c r="EE3" s="12">
        <f>'Aug-24'!L75</f>
        <v>243</v>
      </c>
      <c r="EF3" s="12">
        <f>'Aug-24'!M75</f>
        <v>257</v>
      </c>
      <c r="EG3" s="12">
        <f>'Aug-24'!N75</f>
        <v>215</v>
      </c>
      <c r="EH3" s="12">
        <f>'Aug-24'!O75</f>
        <v>218</v>
      </c>
      <c r="EI3" s="12">
        <f>'Aug-24'!P75</f>
        <v>390</v>
      </c>
      <c r="EJ3" s="12">
        <f>'Aug-24'!Q75</f>
        <v>260</v>
      </c>
      <c r="EK3" s="12">
        <f>'Aug-24'!R75</f>
        <v>226</v>
      </c>
      <c r="EL3" s="12">
        <f>'Aug-24'!S75</f>
        <v>231</v>
      </c>
      <c r="EM3" s="12">
        <f>'Aug-24'!T75</f>
        <v>176</v>
      </c>
      <c r="EN3" s="12">
        <f>'Aug-24'!U75</f>
        <v>288</v>
      </c>
      <c r="EO3" s="12">
        <f>'Aug-24'!V75</f>
        <v>234</v>
      </c>
      <c r="EP3" s="12">
        <f>'Aug-24'!W75</f>
        <v>223</v>
      </c>
      <c r="EQ3" s="12">
        <f>'Aug-24'!X75</f>
        <v>276</v>
      </c>
      <c r="ER3" s="12">
        <f>'Aug-24'!Y75</f>
        <v>230</v>
      </c>
      <c r="ES3" s="12">
        <f>'Aug-24'!Z75</f>
        <v>95</v>
      </c>
      <c r="ET3" s="12">
        <f>'Aug-24'!AA75</f>
        <v>63</v>
      </c>
      <c r="EU3" s="12">
        <f>'Aug-24'!AB75</f>
        <v>172</v>
      </c>
      <c r="EV3" s="12">
        <f>'Aug-24'!AC75</f>
        <v>326</v>
      </c>
      <c r="EW3" s="12">
        <f>'Aug-24'!AD75</f>
        <v>148</v>
      </c>
      <c r="EX3" s="12">
        <f>'Aug-24'!AE75</f>
        <v>230</v>
      </c>
      <c r="EY3" s="12">
        <f>'Aug-24'!AF75</f>
        <v>162</v>
      </c>
      <c r="EZ3" s="12">
        <f>'Aug-24'!AG75</f>
        <v>182</v>
      </c>
      <c r="FA3" s="12">
        <f>'Aug-24'!AH75</f>
        <v>174</v>
      </c>
      <c r="FB3" s="12">
        <f>'Aug-24'!AI75</f>
        <v>145</v>
      </c>
      <c r="FC3" s="12"/>
      <c r="FD3" s="12">
        <f>'Sep-24'!E75</f>
        <v>185</v>
      </c>
      <c r="FE3" s="12">
        <f>'Sep-24'!F75</f>
        <v>215</v>
      </c>
      <c r="FF3" s="12">
        <f>'Sep-24'!G75</f>
        <v>130</v>
      </c>
      <c r="FG3" s="12">
        <f>'Sep-24'!H75</f>
        <v>144</v>
      </c>
      <c r="FH3" s="12">
        <f>'Sep-24'!I75</f>
        <v>100</v>
      </c>
      <c r="FI3" s="12">
        <f>'Sep-24'!J75</f>
        <v>0</v>
      </c>
      <c r="FJ3" s="12">
        <f>'Sep-24'!K75</f>
        <v>0</v>
      </c>
      <c r="FK3" s="12">
        <f>'Sep-24'!L75</f>
        <v>0</v>
      </c>
      <c r="FL3" s="12">
        <f>'Sep-24'!M75</f>
        <v>0</v>
      </c>
      <c r="FM3" s="12">
        <f>'Sep-24'!N75</f>
        <v>0</v>
      </c>
      <c r="FN3" s="12">
        <f>'Sep-24'!O75</f>
        <v>0</v>
      </c>
      <c r="FO3" s="12">
        <f>'Sep-24'!P75</f>
        <v>0</v>
      </c>
      <c r="FP3" s="12">
        <f>'Sep-24'!Q75</f>
        <v>0</v>
      </c>
      <c r="FQ3" s="12">
        <f>'Sep-24'!R75</f>
        <v>0</v>
      </c>
      <c r="FR3" s="12">
        <f>'Sep-24'!S75</f>
        <v>0</v>
      </c>
      <c r="FS3" s="12">
        <f>'Sep-24'!T75</f>
        <v>0</v>
      </c>
      <c r="FT3" s="12">
        <f>'Sep-24'!U75</f>
        <v>0</v>
      </c>
      <c r="FU3" s="12">
        <f>'Sep-24'!V75</f>
        <v>0</v>
      </c>
      <c r="FV3" s="12">
        <f>'Sep-24'!W75</f>
        <v>0</v>
      </c>
      <c r="FW3" s="12">
        <f>'Sep-24'!X75</f>
        <v>0</v>
      </c>
      <c r="FX3" s="12">
        <f>'Sep-24'!Y75</f>
        <v>0</v>
      </c>
      <c r="FY3" s="12">
        <f>'Sep-24'!Z75</f>
        <v>0</v>
      </c>
      <c r="FZ3" s="12">
        <f>'Sep-24'!AA75</f>
        <v>0</v>
      </c>
      <c r="GA3" s="12">
        <f>'Sep-24'!AB75</f>
        <v>0</v>
      </c>
      <c r="GB3" s="12">
        <f>'Sep-24'!AC75</f>
        <v>0</v>
      </c>
      <c r="GC3" s="12">
        <f>'Sep-24'!AD75</f>
        <v>0</v>
      </c>
      <c r="GD3" s="12">
        <f>'Sep-24'!AE75</f>
        <v>0</v>
      </c>
      <c r="GE3" s="12">
        <f>'Sep-24'!AF75</f>
        <v>0</v>
      </c>
      <c r="GF3" s="12">
        <f>'Sep-24'!AG75</f>
        <v>0</v>
      </c>
      <c r="GG3" s="12">
        <f>'Sep-24'!AH75</f>
        <v>0</v>
      </c>
      <c r="GH3" s="12"/>
    </row>
    <row r="4" spans="1:190" x14ac:dyDescent="0.3">
      <c r="A4" t="s">
        <v>243</v>
      </c>
      <c r="B4" s="12">
        <f>'Apr-24'!E94</f>
        <v>2164.52</v>
      </c>
      <c r="C4" s="12">
        <f>'Apr-24'!F94</f>
        <v>2164.52</v>
      </c>
      <c r="D4" s="12">
        <f>'Apr-24'!G94</f>
        <v>2164.52</v>
      </c>
      <c r="E4" s="12">
        <f>'Apr-24'!H94</f>
        <v>0</v>
      </c>
      <c r="F4" s="12">
        <f>'Apr-24'!I94</f>
        <v>2164.52</v>
      </c>
      <c r="G4" s="12">
        <f>'Apr-24'!J94</f>
        <v>2164.52</v>
      </c>
      <c r="H4" s="12">
        <f>'Apr-24'!K94</f>
        <v>2978.9705477566749</v>
      </c>
      <c r="I4" s="12">
        <f>'Apr-24'!L94</f>
        <v>2965.2078172309384</v>
      </c>
      <c r="J4" s="12">
        <f>'Apr-24'!M94</f>
        <v>2985.8519130195427</v>
      </c>
      <c r="K4" s="12">
        <f>'Apr-24'!N94</f>
        <v>3136.4037854889589</v>
      </c>
      <c r="L4" s="12">
        <f>'Apr-24'!O94</f>
        <v>2785.7510921922258</v>
      </c>
      <c r="M4" s="12">
        <f>'Apr-24'!P94</f>
        <v>2968.902583550604</v>
      </c>
      <c r="N4" s="12">
        <f>'Apr-24'!Q94</f>
        <v>2955.3871655221405</v>
      </c>
      <c r="O4" s="12">
        <f>'Apr-24'!R94</f>
        <v>2741.5243255978321</v>
      </c>
      <c r="P4" s="12">
        <f>'Apr-24'!S94</f>
        <v>2912.6171067039786</v>
      </c>
      <c r="Q4" s="12">
        <f>'Apr-24'!T94</f>
        <v>3758.5894453287619</v>
      </c>
      <c r="R4" s="12">
        <f>'Apr-24'!U94</f>
        <v>3989.0681435107149</v>
      </c>
      <c r="S4" s="12">
        <f>'Apr-24'!V94</f>
        <v>3246.7333178330623</v>
      </c>
      <c r="T4" s="12">
        <f>'Apr-24'!W94</f>
        <v>0</v>
      </c>
      <c r="U4" s="12">
        <f>'Apr-24'!X94</f>
        <v>3246.7333178330623</v>
      </c>
      <c r="V4" s="12">
        <f>'Apr-24'!Y94</f>
        <v>2489.6096096096094</v>
      </c>
      <c r="W4" s="12">
        <f>'Apr-24'!Z94</f>
        <v>2842.6989861321522</v>
      </c>
      <c r="X4" s="12">
        <f>'Apr-24'!AA94</f>
        <v>3045.2847590500346</v>
      </c>
      <c r="Y4" s="12">
        <f>'Apr-24'!AB94</f>
        <v>2048</v>
      </c>
      <c r="Z4" s="12">
        <f>'Apr-24'!AC94</f>
        <v>2264</v>
      </c>
      <c r="AA4" s="12">
        <f>'Apr-24'!AD94</f>
        <v>2264</v>
      </c>
      <c r="AB4" s="12">
        <f>'Apr-24'!AE94</f>
        <v>3250</v>
      </c>
      <c r="AC4" s="12">
        <f>'Apr-24'!AF94</f>
        <v>3493</v>
      </c>
      <c r="AD4" s="12">
        <f>'Apr-24'!AG94</f>
        <v>4309</v>
      </c>
      <c r="AE4" s="12">
        <f>'Apr-24'!AH94</f>
        <v>2663</v>
      </c>
      <c r="AG4" s="12">
        <f>'May-24'!E94</f>
        <v>3024</v>
      </c>
      <c r="AH4" s="12">
        <f>'May-24'!F94</f>
        <v>3215</v>
      </c>
      <c r="AI4" s="12">
        <f>'May-24'!G94</f>
        <v>2729</v>
      </c>
      <c r="AJ4" s="12">
        <f>'May-24'!H94</f>
        <v>3226</v>
      </c>
      <c r="AK4" s="12">
        <f>'May-24'!I94</f>
        <v>3335</v>
      </c>
      <c r="AL4" s="12">
        <f>'May-24'!J94</f>
        <v>2918</v>
      </c>
      <c r="AM4" s="12">
        <f>'May-24'!K94</f>
        <v>2918</v>
      </c>
      <c r="AN4" s="12">
        <f>'May-24'!L94</f>
        <v>3001</v>
      </c>
      <c r="AO4" s="12">
        <f>'May-24'!M94</f>
        <v>2430</v>
      </c>
      <c r="AP4" s="12">
        <f>'May-24'!N94</f>
        <v>2552</v>
      </c>
      <c r="AQ4" s="12">
        <f>'May-24'!O94</f>
        <v>2629</v>
      </c>
      <c r="AR4" s="12">
        <f>'May-24'!P94</f>
        <v>2697</v>
      </c>
      <c r="AS4" s="12">
        <f>'May-24'!Q94</f>
        <v>2701</v>
      </c>
      <c r="AT4" s="12">
        <f>'May-24'!R94</f>
        <v>0</v>
      </c>
      <c r="AU4" s="12">
        <f>'May-24'!S94</f>
        <v>2531</v>
      </c>
      <c r="AV4" s="12">
        <f>'May-24'!T94</f>
        <v>2536</v>
      </c>
      <c r="AW4" s="12">
        <f>'May-24'!U94</f>
        <v>2363</v>
      </c>
      <c r="AX4" s="12">
        <f>'May-24'!V94</f>
        <v>2061</v>
      </c>
      <c r="AY4" s="12">
        <f>'May-24'!W94</f>
        <v>2488</v>
      </c>
      <c r="AZ4" s="12">
        <f>'May-24'!X94</f>
        <v>2165</v>
      </c>
      <c r="BA4" s="12">
        <f>'May-24'!Y94</f>
        <v>2582</v>
      </c>
      <c r="BB4" s="12">
        <f>'May-24'!Z94</f>
        <v>2582</v>
      </c>
      <c r="BC4" s="12">
        <f>'May-24'!AA94</f>
        <v>2548</v>
      </c>
      <c r="BD4" s="12">
        <f>'May-24'!AB94</f>
        <v>2877</v>
      </c>
      <c r="BE4" s="12">
        <f>'May-24'!AC94</f>
        <v>2760</v>
      </c>
      <c r="BF4" s="12">
        <f>'May-24'!AD94</f>
        <v>2945</v>
      </c>
      <c r="BG4" s="12">
        <f>'May-24'!AE94</f>
        <v>2943</v>
      </c>
      <c r="BH4" s="12">
        <f>'May-24'!AF94</f>
        <v>2408</v>
      </c>
      <c r="BI4" s="12">
        <f>'May-24'!AG94</f>
        <v>2506</v>
      </c>
      <c r="BJ4" s="12">
        <f>'May-24'!AH94</f>
        <v>2506</v>
      </c>
      <c r="BK4" s="12">
        <f>'May-24'!AI94</f>
        <v>0</v>
      </c>
      <c r="BL4" s="12"/>
      <c r="BM4" s="12">
        <f>'Jun-24'!E77</f>
        <v>0</v>
      </c>
      <c r="BN4" s="12">
        <f>'Jun-24'!F77</f>
        <v>0</v>
      </c>
      <c r="BO4" s="12">
        <f>'Jun-24'!G77</f>
        <v>2805</v>
      </c>
      <c r="BP4" s="12">
        <f>'Jun-24'!H77</f>
        <v>2747</v>
      </c>
      <c r="BQ4" s="12">
        <f>'Jun-24'!I77</f>
        <v>0</v>
      </c>
      <c r="BR4" s="12">
        <f>'Jun-24'!J77</f>
        <v>0</v>
      </c>
      <c r="BS4" s="12">
        <f>'Jun-24'!K77</f>
        <v>0</v>
      </c>
      <c r="BT4" s="12">
        <f>'Jun-24'!L77</f>
        <v>2986</v>
      </c>
      <c r="BU4" s="12">
        <f>'Jun-24'!M77</f>
        <v>3131</v>
      </c>
      <c r="BV4" s="12">
        <f>'Jun-24'!N77</f>
        <v>3129</v>
      </c>
      <c r="BW4" s="12">
        <f>'Jun-24'!O77</f>
        <v>0</v>
      </c>
      <c r="BX4" s="12">
        <f>'Jun-24'!P77</f>
        <v>2882</v>
      </c>
      <c r="BY4" s="12">
        <f>'Jun-24'!Q77</f>
        <v>0</v>
      </c>
      <c r="BZ4" s="12">
        <f>'Jun-24'!R77</f>
        <v>0</v>
      </c>
      <c r="CA4" s="12">
        <f>'Jun-24'!S77</f>
        <v>2926</v>
      </c>
      <c r="CB4" s="12">
        <f>'Jun-24'!T77</f>
        <v>2758</v>
      </c>
      <c r="CC4" s="12">
        <f>'Jun-24'!U77</f>
        <v>2380</v>
      </c>
      <c r="CD4" s="12">
        <f>'Jun-24'!V77</f>
        <v>2849</v>
      </c>
      <c r="CE4" s="12">
        <f>'Jun-24'!W77</f>
        <v>2809</v>
      </c>
      <c r="CF4" s="12">
        <f>'Jun-24'!X77</f>
        <v>2734</v>
      </c>
      <c r="CG4" s="12">
        <f>'Jun-24'!Y77</f>
        <v>2765</v>
      </c>
      <c r="CH4" s="12">
        <f>'Jun-24'!Z77</f>
        <v>2765</v>
      </c>
      <c r="CI4" s="12">
        <f>'Jun-24'!AA77</f>
        <v>2647</v>
      </c>
      <c r="CJ4" s="12">
        <f>'Jun-24'!AB77</f>
        <v>0</v>
      </c>
      <c r="CK4" s="12">
        <f>'Jun-24'!AC77</f>
        <v>0</v>
      </c>
      <c r="CL4" s="12">
        <f>'Jun-24'!AD77</f>
        <v>0</v>
      </c>
      <c r="CM4" s="12">
        <f>'Jun-24'!AE77</f>
        <v>0</v>
      </c>
      <c r="CN4" s="12">
        <f>'Jun-24'!AF77</f>
        <v>0</v>
      </c>
      <c r="CO4" s="12">
        <f>'Jun-24'!AG77</f>
        <v>2647</v>
      </c>
      <c r="CP4" s="12">
        <f>'Jun-24'!AH77</f>
        <v>2409</v>
      </c>
      <c r="CQ4" s="12"/>
      <c r="CR4" s="12">
        <f>'Jul-24'!E77</f>
        <v>2871</v>
      </c>
      <c r="CS4" s="12">
        <f>'Jul-24'!F77</f>
        <v>2927</v>
      </c>
      <c r="CT4" s="12">
        <f>'Jul-24'!G77</f>
        <v>3163</v>
      </c>
      <c r="CU4" s="12">
        <f>'Jul-24'!H77</f>
        <v>3072</v>
      </c>
      <c r="CV4" s="12">
        <f>'Jul-24'!I77</f>
        <v>2679</v>
      </c>
      <c r="CW4" s="12">
        <f>'Jul-24'!J77</f>
        <v>2780</v>
      </c>
      <c r="CX4" s="12">
        <f>'Jul-24'!K77</f>
        <v>2805</v>
      </c>
      <c r="CY4" s="12">
        <f>'Jul-24'!L77</f>
        <v>2649</v>
      </c>
      <c r="CZ4" s="12">
        <f>'Jul-24'!M77</f>
        <v>2647</v>
      </c>
      <c r="DA4" s="12">
        <f>'Jul-24'!N77</f>
        <v>2519</v>
      </c>
      <c r="DB4" s="12">
        <f>'Jul-24'!O77</f>
        <v>0</v>
      </c>
      <c r="DC4" s="12">
        <f>'Jul-24'!P77</f>
        <v>0</v>
      </c>
      <c r="DD4" s="12">
        <f>'Jul-24'!Q77</f>
        <v>0</v>
      </c>
      <c r="DE4" s="12">
        <f>'Jul-24'!R77</f>
        <v>0</v>
      </c>
      <c r="DF4" s="12">
        <f>'Jul-24'!S77</f>
        <v>2561</v>
      </c>
      <c r="DG4" s="12">
        <f>'Jul-24'!T77</f>
        <v>2789</v>
      </c>
      <c r="DH4" s="12">
        <f>'Jul-24'!U77</f>
        <v>2640</v>
      </c>
      <c r="DI4" s="12">
        <f>'Jul-24'!V77</f>
        <v>0</v>
      </c>
      <c r="DJ4" s="12">
        <f>'Jul-24'!W77</f>
        <v>0</v>
      </c>
      <c r="DK4" s="12">
        <f>'Jul-24'!X77</f>
        <v>0</v>
      </c>
      <c r="DL4" s="12">
        <f>'Jul-24'!Y77</f>
        <v>0</v>
      </c>
      <c r="DM4" s="12">
        <f>'Jul-24'!Z77</f>
        <v>0</v>
      </c>
      <c r="DN4" s="12">
        <f>'Jul-24'!AA77</f>
        <v>0</v>
      </c>
      <c r="DO4" s="12">
        <f>'Jul-24'!AB77</f>
        <v>0</v>
      </c>
      <c r="DP4" s="12">
        <f>'Jul-24'!AC77</f>
        <v>0</v>
      </c>
      <c r="DQ4" s="12">
        <f>'Jul-24'!AD77</f>
        <v>0</v>
      </c>
      <c r="DR4" s="12">
        <f>'Jul-24'!AE77</f>
        <v>0</v>
      </c>
      <c r="DS4" s="12">
        <f>'Jul-24'!AF77</f>
        <v>0</v>
      </c>
      <c r="DT4" s="12">
        <f>'Jul-24'!AG77</f>
        <v>0</v>
      </c>
      <c r="DU4" s="12">
        <f>'Jul-24'!AH77</f>
        <v>0</v>
      </c>
      <c r="DV4" s="12">
        <f>'Jul-24'!AI77</f>
        <v>0</v>
      </c>
      <c r="DW4" s="12"/>
      <c r="DX4" s="12">
        <f>'Aug-24'!E77</f>
        <v>0</v>
      </c>
      <c r="DY4" s="12">
        <f>'Aug-24'!F77</f>
        <v>0</v>
      </c>
      <c r="DZ4" s="12">
        <f>'Aug-24'!G77</f>
        <v>2721</v>
      </c>
      <c r="EA4" s="12">
        <f>'Aug-24'!H77</f>
        <v>2718</v>
      </c>
      <c r="EB4" s="12">
        <f>'Aug-24'!I77</f>
        <v>2713</v>
      </c>
      <c r="EC4" s="12">
        <f>'Aug-24'!J77</f>
        <v>2564</v>
      </c>
      <c r="ED4" s="12">
        <f>'Aug-24'!K77</f>
        <v>2573</v>
      </c>
      <c r="EE4" s="12">
        <f>'Aug-24'!L77</f>
        <v>2314</v>
      </c>
      <c r="EF4" s="12">
        <f>'Aug-24'!M77</f>
        <v>2658</v>
      </c>
      <c r="EG4" s="12">
        <f>'Aug-24'!N77</f>
        <v>2491</v>
      </c>
      <c r="EH4" s="12">
        <f>'Aug-24'!O77</f>
        <v>2558</v>
      </c>
      <c r="EI4" s="12">
        <f>'Aug-24'!P77</f>
        <v>2504</v>
      </c>
      <c r="EJ4" s="12">
        <f>'Aug-24'!Q77</f>
        <v>2495</v>
      </c>
      <c r="EK4" s="12">
        <f>'Aug-24'!R77</f>
        <v>2474</v>
      </c>
      <c r="EL4" s="12">
        <f>'Aug-24'!S77</f>
        <v>2395</v>
      </c>
      <c r="EM4" s="12">
        <f>'Aug-24'!T77</f>
        <v>2404</v>
      </c>
      <c r="EN4" s="12">
        <f>'Aug-24'!U77</f>
        <v>2779</v>
      </c>
      <c r="EO4" s="12">
        <f>'Aug-24'!V77</f>
        <v>2278</v>
      </c>
      <c r="EP4" s="12">
        <f>'Aug-24'!W77</f>
        <v>2404</v>
      </c>
      <c r="EQ4" s="12">
        <f>'Aug-24'!X77</f>
        <v>2430</v>
      </c>
      <c r="ER4" s="12">
        <f>'Aug-24'!Y77</f>
        <v>2428</v>
      </c>
      <c r="ES4" s="12">
        <f>'Aug-24'!Z77</f>
        <v>2497</v>
      </c>
      <c r="ET4" s="12">
        <f>'Aug-24'!AA77</f>
        <v>2404</v>
      </c>
      <c r="EU4" s="12">
        <f>'Aug-24'!AB77</f>
        <v>2331</v>
      </c>
      <c r="EV4" s="12">
        <f>'Aug-24'!AC77</f>
        <v>2569</v>
      </c>
      <c r="EW4" s="12">
        <f>'Aug-24'!AD77</f>
        <v>2358</v>
      </c>
      <c r="EX4" s="12">
        <f>'Aug-24'!AE77</f>
        <v>2682</v>
      </c>
      <c r="EY4" s="12">
        <f>'Aug-24'!AF77</f>
        <v>2691</v>
      </c>
      <c r="EZ4" s="12">
        <f>'Aug-24'!AG77</f>
        <v>2524</v>
      </c>
      <c r="FA4" s="12">
        <f>'Aug-24'!AH77</f>
        <v>2386</v>
      </c>
      <c r="FB4" s="12">
        <f>'Aug-24'!AI77</f>
        <v>2454</v>
      </c>
      <c r="FC4" s="12"/>
      <c r="FD4" s="12">
        <f>'Sep-24'!E76</f>
        <v>2447</v>
      </c>
      <c r="FE4" s="12">
        <f>'Sep-24'!F76</f>
        <v>2441</v>
      </c>
      <c r="FF4" s="12">
        <f>'Sep-24'!G76</f>
        <v>2575</v>
      </c>
      <c r="FG4" s="12">
        <f>'Sep-24'!H76</f>
        <v>2409</v>
      </c>
      <c r="FH4" s="12">
        <f>'Sep-24'!I76</f>
        <v>0</v>
      </c>
      <c r="FI4" s="12">
        <f>'Sep-24'!J76</f>
        <v>0</v>
      </c>
      <c r="FJ4" s="12">
        <f>'Sep-24'!K76</f>
        <v>0</v>
      </c>
      <c r="FK4" s="12">
        <f>'Sep-24'!L76</f>
        <v>0</v>
      </c>
      <c r="FL4" s="12">
        <f>'Sep-24'!M76</f>
        <v>0</v>
      </c>
      <c r="FM4" s="12">
        <f>'Sep-24'!N76</f>
        <v>0</v>
      </c>
      <c r="FN4" s="12">
        <f>'Sep-24'!O76</f>
        <v>0</v>
      </c>
      <c r="FO4" s="12">
        <f>'Sep-24'!P76</f>
        <v>0</v>
      </c>
      <c r="FP4" s="12">
        <f>'Sep-24'!Q76</f>
        <v>0</v>
      </c>
      <c r="FQ4" s="12">
        <f>'Sep-24'!R76</f>
        <v>0</v>
      </c>
      <c r="FR4" s="12">
        <f>'Sep-24'!S76</f>
        <v>0</v>
      </c>
      <c r="FS4" s="12">
        <f>'Sep-24'!T76</f>
        <v>0</v>
      </c>
      <c r="FT4" s="12">
        <f>'Sep-24'!U76</f>
        <v>0</v>
      </c>
      <c r="FU4" s="12">
        <f>'Sep-24'!V76</f>
        <v>0</v>
      </c>
      <c r="FV4" s="12">
        <f>'Sep-24'!W76</f>
        <v>0</v>
      </c>
      <c r="FW4" s="12">
        <f>'Sep-24'!X76</f>
        <v>0</v>
      </c>
      <c r="FX4" s="12">
        <f>'Sep-24'!Y76</f>
        <v>0</v>
      </c>
      <c r="FY4" s="12">
        <f>'Sep-24'!Z76</f>
        <v>0</v>
      </c>
      <c r="FZ4" s="12">
        <f>'Sep-24'!AA76</f>
        <v>0</v>
      </c>
      <c r="GA4" s="12">
        <f>'Sep-24'!AB76</f>
        <v>0</v>
      </c>
      <c r="GB4" s="12">
        <f>'Sep-24'!AC76</f>
        <v>0</v>
      </c>
      <c r="GC4" s="12">
        <f>'Sep-24'!AD76</f>
        <v>0</v>
      </c>
      <c r="GD4" s="12">
        <f>'Sep-24'!AE76</f>
        <v>0</v>
      </c>
      <c r="GE4" s="12">
        <f>'Sep-24'!AF76</f>
        <v>0</v>
      </c>
      <c r="GF4" s="12">
        <f>'Sep-24'!AG76</f>
        <v>0</v>
      </c>
      <c r="GG4" s="12">
        <f>'Sep-24'!AH76</f>
        <v>0</v>
      </c>
      <c r="GH4" s="12"/>
    </row>
    <row r="5" spans="1:190" x14ac:dyDescent="0.3">
      <c r="A5" t="s">
        <v>244</v>
      </c>
      <c r="B5">
        <f>B4*B3</f>
        <v>248919.8</v>
      </c>
      <c r="C5">
        <f t="shared" ref="C5:AE5" si="0">C4*C3</f>
        <v>714291.6</v>
      </c>
      <c r="D5">
        <f t="shared" si="0"/>
        <v>865808</v>
      </c>
      <c r="E5">
        <f t="shared" si="0"/>
        <v>0</v>
      </c>
      <c r="F5">
        <f t="shared" si="0"/>
        <v>391778.12</v>
      </c>
      <c r="G5">
        <f t="shared" si="0"/>
        <v>948059.76</v>
      </c>
      <c r="H5">
        <f t="shared" si="0"/>
        <v>1009871.0156895128</v>
      </c>
      <c r="I5">
        <f t="shared" si="0"/>
        <v>1066487.3999999999</v>
      </c>
      <c r="J5">
        <f t="shared" si="0"/>
        <v>907944.12</v>
      </c>
      <c r="K5">
        <f t="shared" si="0"/>
        <v>1138653.3600000001</v>
      </c>
      <c r="L5">
        <f t="shared" si="0"/>
        <v>1150412.1840000001</v>
      </c>
      <c r="M5">
        <f t="shared" si="0"/>
        <v>1201725.2519999999</v>
      </c>
      <c r="N5">
        <f t="shared" si="0"/>
        <v>688929.12</v>
      </c>
      <c r="O5">
        <f t="shared" si="0"/>
        <v>1139436.2879999999</v>
      </c>
      <c r="P5">
        <f t="shared" si="0"/>
        <v>1137571.7760000001</v>
      </c>
      <c r="Q5">
        <f t="shared" si="0"/>
        <v>707245.05599999998</v>
      </c>
      <c r="R5">
        <f t="shared" si="0"/>
        <v>1328641.32</v>
      </c>
      <c r="S5">
        <f t="shared" si="0"/>
        <v>897339.49199999997</v>
      </c>
      <c r="T5">
        <f t="shared" si="0"/>
        <v>0</v>
      </c>
      <c r="U5">
        <f t="shared" si="0"/>
        <v>335140.8</v>
      </c>
      <c r="V5">
        <f t="shared" si="0"/>
        <v>908420.58</v>
      </c>
      <c r="W5">
        <f t="shared" si="0"/>
        <v>1158676.9999999998</v>
      </c>
      <c r="X5">
        <f t="shared" si="0"/>
        <v>1431153.8640000001</v>
      </c>
      <c r="Y5">
        <f t="shared" si="0"/>
        <v>1003520</v>
      </c>
      <c r="Z5">
        <f t="shared" si="0"/>
        <v>1032384</v>
      </c>
      <c r="AA5">
        <f t="shared" si="0"/>
        <v>1043704</v>
      </c>
      <c r="AB5">
        <f t="shared" si="0"/>
        <v>1527500</v>
      </c>
      <c r="AC5">
        <f t="shared" si="0"/>
        <v>1763965</v>
      </c>
      <c r="AD5">
        <f t="shared" si="0"/>
        <v>1835634</v>
      </c>
      <c r="AE5">
        <f t="shared" si="0"/>
        <v>1113134</v>
      </c>
      <c r="AF5">
        <f>SUM(B5:AE5)</f>
        <v>28696346.907689516</v>
      </c>
      <c r="AG5">
        <f>AG4*AG3</f>
        <v>1460592</v>
      </c>
      <c r="AH5">
        <f t="shared" ref="AH5:AL5" si="1">AH4*AH3</f>
        <v>1427460</v>
      </c>
      <c r="AI5">
        <f t="shared" si="1"/>
        <v>1023375</v>
      </c>
      <c r="AJ5">
        <f t="shared" si="1"/>
        <v>1290400</v>
      </c>
      <c r="AK5">
        <f t="shared" si="1"/>
        <v>1050525</v>
      </c>
      <c r="AL5">
        <f t="shared" si="1"/>
        <v>1123430</v>
      </c>
      <c r="AM5">
        <f t="shared" ref="AM5:AO5" si="2">AM4*AM3</f>
        <v>1254740</v>
      </c>
      <c r="AN5">
        <f t="shared" si="2"/>
        <v>1380460</v>
      </c>
      <c r="AO5">
        <f t="shared" si="2"/>
        <v>884520</v>
      </c>
      <c r="AP5">
        <f t="shared" ref="AP5:AR5" si="3">AP4*AP3</f>
        <v>1186680</v>
      </c>
      <c r="AQ5">
        <f t="shared" si="3"/>
        <v>1311871</v>
      </c>
      <c r="AR5">
        <f t="shared" si="3"/>
        <v>1321530</v>
      </c>
      <c r="AS5">
        <f t="shared" ref="AS5:AY5" si="4">AS4*AS3</f>
        <v>1012875</v>
      </c>
      <c r="AT5">
        <f t="shared" si="4"/>
        <v>0</v>
      </c>
      <c r="AU5">
        <f t="shared" si="4"/>
        <v>559351</v>
      </c>
      <c r="AV5">
        <f t="shared" si="4"/>
        <v>1103160</v>
      </c>
      <c r="AW5">
        <f t="shared" si="4"/>
        <v>1051535</v>
      </c>
      <c r="AX5">
        <f t="shared" si="4"/>
        <v>832644</v>
      </c>
      <c r="AY5">
        <f t="shared" si="4"/>
        <v>1069840</v>
      </c>
      <c r="AZ5">
        <f t="shared" ref="AZ5:BA5" si="5">AZ4*AZ3</f>
        <v>692800</v>
      </c>
      <c r="BA5">
        <f t="shared" si="5"/>
        <v>888208</v>
      </c>
      <c r="BB5">
        <f t="shared" ref="BB5:BC5" si="6">BB4*BB3</f>
        <v>1012144</v>
      </c>
      <c r="BC5">
        <f t="shared" si="6"/>
        <v>1006460</v>
      </c>
      <c r="BD5">
        <f t="shared" ref="BD5:BF5" si="7">BD4*BD3</f>
        <v>655956</v>
      </c>
      <c r="BE5">
        <f t="shared" si="7"/>
        <v>792120</v>
      </c>
      <c r="BF5">
        <f t="shared" si="7"/>
        <v>777480</v>
      </c>
      <c r="BG5">
        <f t="shared" ref="BG5:BH5" si="8">BG4*BG3</f>
        <v>668061</v>
      </c>
      <c r="BH5">
        <f t="shared" si="8"/>
        <v>691096</v>
      </c>
      <c r="BI5">
        <f t="shared" ref="BI5:BP5" si="9">BI4*BI3</f>
        <v>586404</v>
      </c>
      <c r="BJ5">
        <f>BJ4*BJ3</f>
        <v>378406</v>
      </c>
      <c r="BK5">
        <f t="shared" si="9"/>
        <v>0</v>
      </c>
      <c r="BL5">
        <f>SUM(AG5:BK5)</f>
        <v>28494123</v>
      </c>
      <c r="BM5">
        <f>BM4*BM3</f>
        <v>0</v>
      </c>
      <c r="BN5">
        <f t="shared" ref="BN5" si="10">BN4*BN3</f>
        <v>0</v>
      </c>
      <c r="BO5">
        <f>BO4*BO3</f>
        <v>381480</v>
      </c>
      <c r="BP5">
        <f t="shared" si="9"/>
        <v>532918</v>
      </c>
      <c r="BQ5">
        <f t="shared" ref="BQ5:BR5" si="11">BQ4*BQ3</f>
        <v>0</v>
      </c>
      <c r="BR5">
        <f t="shared" si="11"/>
        <v>0</v>
      </c>
      <c r="BS5">
        <f t="shared" ref="BS5:BU5" si="12">BS4*BS3</f>
        <v>0</v>
      </c>
      <c r="BT5">
        <f t="shared" si="12"/>
        <v>1039128</v>
      </c>
      <c r="BU5">
        <f t="shared" si="12"/>
        <v>1283710</v>
      </c>
      <c r="BV5">
        <f>BV4*BV3</f>
        <v>650832</v>
      </c>
      <c r="BW5">
        <f t="shared" ref="BW5:CC5" si="13">BW4*BW3</f>
        <v>0</v>
      </c>
      <c r="BX5">
        <f t="shared" si="13"/>
        <v>293964</v>
      </c>
      <c r="BY5">
        <f t="shared" si="13"/>
        <v>0</v>
      </c>
      <c r="BZ5">
        <f t="shared" si="13"/>
        <v>0</v>
      </c>
      <c r="CA5">
        <f t="shared" si="13"/>
        <v>1027026</v>
      </c>
      <c r="CB5">
        <f t="shared" si="13"/>
        <v>797062</v>
      </c>
      <c r="CC5">
        <f t="shared" si="13"/>
        <v>590240</v>
      </c>
      <c r="CD5">
        <f t="shared" ref="CD5:CE5" si="14">CD4*CD3</f>
        <v>572649</v>
      </c>
      <c r="CE5">
        <f t="shared" si="14"/>
        <v>904498</v>
      </c>
      <c r="CF5">
        <f t="shared" ref="CF5:CG5" si="15">CF4*CF3</f>
        <v>650692</v>
      </c>
      <c r="CG5">
        <f t="shared" si="15"/>
        <v>688485</v>
      </c>
      <c r="CH5">
        <f t="shared" ref="CH5:CR5" si="16">CH4*CH3</f>
        <v>586180</v>
      </c>
      <c r="CI5">
        <f t="shared" si="16"/>
        <v>442049</v>
      </c>
      <c r="CJ5">
        <f t="shared" si="16"/>
        <v>0</v>
      </c>
      <c r="CK5">
        <f t="shared" si="16"/>
        <v>0</v>
      </c>
      <c r="CL5">
        <f t="shared" si="16"/>
        <v>0</v>
      </c>
      <c r="CM5">
        <f t="shared" si="16"/>
        <v>0</v>
      </c>
      <c r="CN5">
        <f t="shared" si="16"/>
        <v>0</v>
      </c>
      <c r="CO5">
        <f t="shared" si="16"/>
        <v>267347</v>
      </c>
      <c r="CP5">
        <f t="shared" si="16"/>
        <v>378213</v>
      </c>
      <c r="CQ5">
        <f>SUM(BM5:CP5)</f>
        <v>11086473</v>
      </c>
      <c r="CR5">
        <f t="shared" si="16"/>
        <v>502425</v>
      </c>
      <c r="CS5">
        <f t="shared" ref="CS5:CV5" si="17">CS4*CS3</f>
        <v>307335</v>
      </c>
      <c r="CT5">
        <f t="shared" si="17"/>
        <v>559851</v>
      </c>
      <c r="CU5">
        <f t="shared" si="17"/>
        <v>875520</v>
      </c>
      <c r="CV5">
        <f t="shared" si="17"/>
        <v>806379</v>
      </c>
      <c r="CW5">
        <f t="shared" ref="CW5:CY5" si="18">CW4*CW3</f>
        <v>803420</v>
      </c>
      <c r="CX5">
        <f t="shared" si="18"/>
        <v>572220</v>
      </c>
      <c r="CY5">
        <f t="shared" si="18"/>
        <v>410595</v>
      </c>
      <c r="CZ5">
        <f t="shared" ref="CZ5:DC5" si="19">CZ4*CZ3</f>
        <v>510871</v>
      </c>
      <c r="DA5">
        <f t="shared" si="19"/>
        <v>501281</v>
      </c>
      <c r="DB5">
        <f t="shared" si="19"/>
        <v>0</v>
      </c>
      <c r="DC5">
        <f t="shared" si="19"/>
        <v>0</v>
      </c>
      <c r="DD5">
        <f t="shared" ref="DD5:DF5" si="20">DD4*DD3</f>
        <v>0</v>
      </c>
      <c r="DE5">
        <f t="shared" si="20"/>
        <v>0</v>
      </c>
      <c r="DF5">
        <f t="shared" si="20"/>
        <v>258661</v>
      </c>
      <c r="DG5">
        <f t="shared" ref="DG5:DK5" si="21">DG4*DG3</f>
        <v>725140</v>
      </c>
      <c r="DH5">
        <f t="shared" si="21"/>
        <v>773520</v>
      </c>
      <c r="DI5">
        <f t="shared" si="21"/>
        <v>0</v>
      </c>
      <c r="DJ5">
        <f t="shared" si="21"/>
        <v>0</v>
      </c>
      <c r="DK5">
        <f t="shared" si="21"/>
        <v>0</v>
      </c>
      <c r="DL5">
        <f t="shared" ref="DL5:DO5" si="22">DL4*DL3</f>
        <v>0</v>
      </c>
      <c r="DM5">
        <f t="shared" si="22"/>
        <v>0</v>
      </c>
      <c r="DN5">
        <f t="shared" si="22"/>
        <v>0</v>
      </c>
      <c r="DO5">
        <f t="shared" si="22"/>
        <v>0</v>
      </c>
      <c r="DP5">
        <f t="shared" ref="DP5:DV5" si="23">DP4*DP3</f>
        <v>0</v>
      </c>
      <c r="DQ5">
        <f t="shared" si="23"/>
        <v>0</v>
      </c>
      <c r="DR5">
        <f t="shared" si="23"/>
        <v>0</v>
      </c>
      <c r="DS5">
        <f t="shared" si="23"/>
        <v>0</v>
      </c>
      <c r="DT5">
        <f t="shared" si="23"/>
        <v>0</v>
      </c>
      <c r="DU5">
        <f t="shared" si="23"/>
        <v>0</v>
      </c>
      <c r="DV5">
        <f t="shared" si="23"/>
        <v>0</v>
      </c>
      <c r="DW5">
        <f>SUM(CR5:DV5)</f>
        <v>7607218</v>
      </c>
      <c r="DX5">
        <f t="shared" ref="DX5:EE5" si="24">DX4*DX3</f>
        <v>0</v>
      </c>
      <c r="DY5">
        <f t="shared" si="24"/>
        <v>0</v>
      </c>
      <c r="DZ5">
        <f t="shared" si="24"/>
        <v>802695</v>
      </c>
      <c r="EA5">
        <f t="shared" si="24"/>
        <v>728424</v>
      </c>
      <c r="EB5">
        <f t="shared" si="24"/>
        <v>803048</v>
      </c>
      <c r="EC5">
        <f t="shared" si="24"/>
        <v>1023036</v>
      </c>
      <c r="ED5">
        <f t="shared" si="24"/>
        <v>895404</v>
      </c>
      <c r="EE5">
        <f t="shared" si="24"/>
        <v>562302</v>
      </c>
      <c r="EF5">
        <f t="shared" ref="EF5:EJ5" si="25">EF4*EF3</f>
        <v>683106</v>
      </c>
      <c r="EG5">
        <f t="shared" si="25"/>
        <v>535565</v>
      </c>
      <c r="EH5">
        <f t="shared" si="25"/>
        <v>557644</v>
      </c>
      <c r="EI5">
        <f t="shared" si="25"/>
        <v>976560</v>
      </c>
      <c r="EJ5">
        <f t="shared" si="25"/>
        <v>648700</v>
      </c>
      <c r="EK5">
        <f t="shared" ref="EK5:EO5" si="26">EK4*EK3</f>
        <v>559124</v>
      </c>
      <c r="EL5">
        <f t="shared" si="26"/>
        <v>553245</v>
      </c>
      <c r="EM5">
        <f t="shared" si="26"/>
        <v>423104</v>
      </c>
      <c r="EN5">
        <f t="shared" si="26"/>
        <v>800352</v>
      </c>
      <c r="EO5">
        <f t="shared" si="26"/>
        <v>533052</v>
      </c>
      <c r="EP5">
        <f t="shared" ref="EP5:ET5" si="27">EP4*EP3</f>
        <v>536092</v>
      </c>
      <c r="EQ5">
        <f t="shared" si="27"/>
        <v>670680</v>
      </c>
      <c r="ER5">
        <f t="shared" si="27"/>
        <v>558440</v>
      </c>
      <c r="ES5">
        <f t="shared" si="27"/>
        <v>237215</v>
      </c>
      <c r="ET5">
        <f t="shared" si="27"/>
        <v>151452</v>
      </c>
      <c r="EU5">
        <f t="shared" ref="EU5:EX5" si="28">EU4*EU3</f>
        <v>400932</v>
      </c>
      <c r="EV5">
        <f t="shared" si="28"/>
        <v>837494</v>
      </c>
      <c r="EW5">
        <f t="shared" si="28"/>
        <v>348984</v>
      </c>
      <c r="EX5">
        <f t="shared" si="28"/>
        <v>616860</v>
      </c>
      <c r="EY5">
        <f t="shared" ref="EY5:FB5" si="29">EY4*EY3</f>
        <v>435942</v>
      </c>
      <c r="EZ5">
        <f t="shared" si="29"/>
        <v>459368</v>
      </c>
      <c r="FA5">
        <f t="shared" si="29"/>
        <v>415164</v>
      </c>
      <c r="FB5">
        <f t="shared" si="29"/>
        <v>355830</v>
      </c>
      <c r="FC5">
        <f>SUM(DX5:FB5)</f>
        <v>17109814</v>
      </c>
      <c r="FD5">
        <f t="shared" ref="FD5:GG5" si="30">FD4*FD3</f>
        <v>452695</v>
      </c>
      <c r="FE5">
        <f t="shared" si="30"/>
        <v>524815</v>
      </c>
      <c r="FF5">
        <f>FF4*FF3</f>
        <v>334750</v>
      </c>
      <c r="FG5">
        <f t="shared" si="30"/>
        <v>346896</v>
      </c>
      <c r="FH5">
        <f t="shared" si="30"/>
        <v>0</v>
      </c>
      <c r="FI5">
        <f t="shared" si="30"/>
        <v>0</v>
      </c>
      <c r="FJ5">
        <f t="shared" si="30"/>
        <v>0</v>
      </c>
      <c r="FK5">
        <f t="shared" si="30"/>
        <v>0</v>
      </c>
      <c r="FL5">
        <f t="shared" si="30"/>
        <v>0</v>
      </c>
      <c r="FM5">
        <f t="shared" si="30"/>
        <v>0</v>
      </c>
      <c r="FN5">
        <f t="shared" si="30"/>
        <v>0</v>
      </c>
      <c r="FO5">
        <f t="shared" si="30"/>
        <v>0</v>
      </c>
      <c r="FP5">
        <f t="shared" si="30"/>
        <v>0</v>
      </c>
      <c r="FQ5">
        <f t="shared" si="30"/>
        <v>0</v>
      </c>
      <c r="FR5">
        <f t="shared" si="30"/>
        <v>0</v>
      </c>
      <c r="FS5">
        <f t="shared" si="30"/>
        <v>0</v>
      </c>
      <c r="FT5">
        <f t="shared" si="30"/>
        <v>0</v>
      </c>
      <c r="FU5">
        <f t="shared" si="30"/>
        <v>0</v>
      </c>
      <c r="FV5">
        <f t="shared" si="30"/>
        <v>0</v>
      </c>
      <c r="FW5">
        <f t="shared" si="30"/>
        <v>0</v>
      </c>
      <c r="FX5">
        <f t="shared" si="30"/>
        <v>0</v>
      </c>
      <c r="FY5">
        <f t="shared" si="30"/>
        <v>0</v>
      </c>
      <c r="FZ5">
        <f t="shared" si="30"/>
        <v>0</v>
      </c>
      <c r="GA5">
        <f t="shared" si="30"/>
        <v>0</v>
      </c>
      <c r="GB5">
        <f t="shared" si="30"/>
        <v>0</v>
      </c>
      <c r="GC5">
        <f t="shared" si="30"/>
        <v>0</v>
      </c>
      <c r="GD5">
        <f t="shared" si="30"/>
        <v>0</v>
      </c>
      <c r="GE5">
        <f t="shared" si="30"/>
        <v>0</v>
      </c>
      <c r="GF5">
        <f t="shared" si="30"/>
        <v>0</v>
      </c>
      <c r="GG5">
        <f t="shared" si="30"/>
        <v>0</v>
      </c>
      <c r="GH5">
        <f>SUM(FD5:GG5)</f>
        <v>1659156</v>
      </c>
    </row>
    <row r="6" spans="1:190" x14ac:dyDescent="0.3">
      <c r="A6" t="s">
        <v>53</v>
      </c>
      <c r="B6" s="12">
        <f>'Apr-24'!E78*'Apr-24'!E90</f>
        <v>5574975</v>
      </c>
      <c r="C6" s="12">
        <f>'Apr-24'!F78*'Apr-24'!F90</f>
        <v>6290075.7999999998</v>
      </c>
      <c r="D6" s="12">
        <f>'Apr-24'!G78*'Apr-24'!G90</f>
        <v>6791076</v>
      </c>
      <c r="E6" s="12">
        <f>'Apr-24'!H78*'Apr-24'!H90</f>
        <v>6633014</v>
      </c>
      <c r="F6" s="12">
        <f>'Apr-24'!I78*'Apr-24'!I90</f>
        <v>6693756</v>
      </c>
      <c r="G6" s="12">
        <f>'Apr-24'!J78*'Apr-24'!J90</f>
        <v>6893161</v>
      </c>
      <c r="H6" s="12">
        <f>'Apr-24'!K78*'Apr-24'!K90</f>
        <v>6808984</v>
      </c>
      <c r="I6" s="12">
        <f>'Apr-24'!L78*'Apr-24'!L90</f>
        <v>6869304</v>
      </c>
      <c r="J6" s="12">
        <f>'Apr-24'!M78*'Apr-24'!M90</f>
        <v>6850116</v>
      </c>
      <c r="K6" s="12">
        <f>'Apr-24'!N78*'Apr-24'!N90</f>
        <v>6782516.2000000002</v>
      </c>
      <c r="L6" s="12">
        <f>'Apr-24'!O78*'Apr-24'!O90</f>
        <v>6701252</v>
      </c>
      <c r="M6" s="12">
        <f>'Apr-24'!P78*'Apr-24'!P90</f>
        <v>6012208.4000000004</v>
      </c>
      <c r="N6" s="12">
        <f>'Apr-24'!Q78*'Apr-24'!Q90</f>
        <v>6303258</v>
      </c>
      <c r="O6" s="12">
        <f>'Apr-24'!R78*'Apr-24'!R90</f>
        <v>6364449</v>
      </c>
      <c r="P6" s="12">
        <f>'Apr-24'!S78*'Apr-24'!S90</f>
        <v>6336291</v>
      </c>
      <c r="Q6" s="12">
        <f>'Apr-24'!T78*'Apr-24'!T90</f>
        <v>6287187.5</v>
      </c>
      <c r="R6" s="12">
        <f>'Apr-24'!U78*'Apr-24'!U90</f>
        <v>6493687.5</v>
      </c>
      <c r="S6" s="12">
        <f>'Apr-24'!V78*'Apr-24'!V90</f>
        <v>5147208</v>
      </c>
      <c r="T6" s="12">
        <f>'Apr-24'!W78*'Apr-24'!W90</f>
        <v>0</v>
      </c>
      <c r="U6" s="12">
        <f>'Apr-24'!X78*'Apr-24'!X90</f>
        <v>3282608</v>
      </c>
      <c r="V6" s="12">
        <f>'Apr-24'!Y78*'Apr-24'!Y90</f>
        <v>6887390.5</v>
      </c>
      <c r="W6" s="12">
        <f>'Apr-24'!Z78*'Apr-24'!Z90</f>
        <v>6997520.3999999994</v>
      </c>
      <c r="X6" s="12">
        <f>'Apr-24'!AA78*'Apr-24'!AA90</f>
        <v>6852689</v>
      </c>
      <c r="Y6" s="12">
        <f>'Apr-24'!AB78*'Apr-24'!AB90</f>
        <v>6929091</v>
      </c>
      <c r="Z6" s="12">
        <f>'Apr-24'!AC78*'Apr-24'!AC90</f>
        <v>6773025</v>
      </c>
      <c r="AA6" s="12">
        <f>'Apr-24'!AD78*'Apr-24'!AD90</f>
        <v>6763848</v>
      </c>
      <c r="AB6" s="12">
        <f>'Apr-24'!AE78*'Apr-24'!AE90</f>
        <v>6929961</v>
      </c>
      <c r="AC6" s="12">
        <f>'Apr-24'!AF78*'Apr-24'!AF90</f>
        <v>6936958</v>
      </c>
      <c r="AD6" s="12">
        <f>'Apr-24'!AG78*'Apr-24'!AG90</f>
        <v>6830190</v>
      </c>
      <c r="AE6" s="12">
        <f>'Apr-24'!AH78*'Apr-24'!AH90</f>
        <v>6914322</v>
      </c>
      <c r="AF6">
        <f>SUM(B6:AE6)</f>
        <v>187930122.30000001</v>
      </c>
      <c r="AG6">
        <f>'May-24'!E78*'May-24'!E90</f>
        <v>6918750</v>
      </c>
      <c r="AH6">
        <f>'May-24'!F78*'May-24'!F90</f>
        <v>6489800</v>
      </c>
      <c r="AI6">
        <f>'May-24'!G78*'May-24'!G90</f>
        <v>5298471</v>
      </c>
      <c r="AJ6">
        <f>'May-24'!H78*'May-24'!H90</f>
        <v>5609174</v>
      </c>
      <c r="AK6">
        <f>'May-24'!I78*'May-24'!I90</f>
        <v>5250464</v>
      </c>
      <c r="AL6">
        <f>'May-24'!J78*'May-24'!J90</f>
        <v>5797260</v>
      </c>
      <c r="AM6">
        <f>'May-24'!K78*'May-24'!K90</f>
        <v>6278860</v>
      </c>
      <c r="AN6">
        <f>'May-24'!L78*'May-24'!L90</f>
        <v>6542214</v>
      </c>
      <c r="AO6">
        <f>'May-24'!M78*'May-24'!M90</f>
        <v>6314420</v>
      </c>
      <c r="AP6">
        <f>'May-24'!N78*'May-24'!N90</f>
        <v>6461336</v>
      </c>
      <c r="AQ6">
        <f>'May-24'!O78*'May-24'!O90</f>
        <v>6872625</v>
      </c>
      <c r="AR6">
        <f>'May-24'!P78*'May-24'!P90</f>
        <v>6579720</v>
      </c>
      <c r="AS6">
        <f>'May-24'!Q78*'May-24'!Q90</f>
        <v>5064150</v>
      </c>
      <c r="AT6">
        <f>'May-24'!R78*'May-24'!R90</f>
        <v>0</v>
      </c>
      <c r="AU6">
        <f>'May-24'!S78*'May-24'!S90</f>
        <v>6926622</v>
      </c>
      <c r="AV6">
        <f>'May-24'!T78*'May-24'!T90</f>
        <v>6706196</v>
      </c>
      <c r="AW6">
        <f>'May-24'!U78*'May-24'!U90</f>
        <v>6662220</v>
      </c>
      <c r="AX6">
        <f>'May-24'!V78*'May-24'!V90</f>
        <v>6622074</v>
      </c>
      <c r="AY6">
        <f>'May-24'!W78*'May-24'!W90</f>
        <v>6675669</v>
      </c>
      <c r="AZ6">
        <f>'May-24'!X78*'May-24'!X90</f>
        <v>6658390</v>
      </c>
      <c r="BA6">
        <f>'May-24'!Y78*'May-24'!Y90</f>
        <v>6654695</v>
      </c>
      <c r="BB6">
        <f>'May-24'!Z78*'May-24'!Z90</f>
        <v>6661480</v>
      </c>
      <c r="BC6">
        <f>'May-24'!AA78*'May-24'!AA90</f>
        <v>6656173</v>
      </c>
      <c r="BD6">
        <f>'May-24'!AB78*'May-24'!AB90</f>
        <v>6280288</v>
      </c>
      <c r="BE6">
        <f>'May-24'!AC78*'May-24'!AC90</f>
        <v>6551930</v>
      </c>
      <c r="BF6">
        <f>'May-24'!AD78*'May-24'!AD90</f>
        <v>6621615</v>
      </c>
      <c r="BG6">
        <f>'May-24'!AE78*'May-24'!AE90</f>
        <v>6704670</v>
      </c>
      <c r="BH6">
        <f>'May-24'!AF78*'May-24'!AF90</f>
        <v>6652478</v>
      </c>
      <c r="BI6">
        <f>'May-24'!AG78*'May-24'!AG90</f>
        <v>6534242</v>
      </c>
      <c r="BJ6">
        <f>'May-24'!AH78*'May-24'!AH90</f>
        <v>6375820</v>
      </c>
      <c r="BK6">
        <f>'May-24'!AI78*'May-24'!AI90</f>
        <v>6718575</v>
      </c>
      <c r="BL6">
        <f>SUM(AG6:BK6)</f>
        <v>192140381</v>
      </c>
      <c r="BM6" s="12">
        <f>'Jun-24'!E44</f>
        <v>6526450</v>
      </c>
      <c r="BN6" s="12">
        <f>'Jun-24'!F44</f>
        <v>6747575</v>
      </c>
      <c r="BO6" s="12">
        <f>'Jun-24'!G44</f>
        <v>6694830</v>
      </c>
      <c r="BP6" s="12">
        <f>'Jun-24'!H44</f>
        <v>5583300</v>
      </c>
      <c r="BQ6" s="12">
        <f>'Jun-24'!I44</f>
        <v>0</v>
      </c>
      <c r="BR6" s="12">
        <f>'Jun-24'!J44</f>
        <v>0</v>
      </c>
      <c r="BS6" s="12">
        <f>'Jun-24'!K44</f>
        <v>4694805</v>
      </c>
      <c r="BT6" s="12">
        <f>'Jun-24'!L44</f>
        <v>6670482</v>
      </c>
      <c r="BU6" s="12">
        <f>'Jun-24'!M44</f>
        <v>6796221</v>
      </c>
      <c r="BV6" s="12">
        <f>'Jun-24'!N44</f>
        <v>6780768</v>
      </c>
      <c r="BW6" s="12">
        <f>'Jun-24'!O44</f>
        <v>6655215</v>
      </c>
      <c r="BX6" s="12">
        <f>'Jun-24'!P44</f>
        <v>6590196</v>
      </c>
      <c r="BY6" s="12">
        <f>'Jun-24'!Q44</f>
        <v>6060075</v>
      </c>
      <c r="BZ6" s="12">
        <f>'Jun-24'!R44</f>
        <v>6554000</v>
      </c>
      <c r="CA6" s="12">
        <f>'Jun-24'!S44</f>
        <v>6660740</v>
      </c>
      <c r="CB6" s="12">
        <f>'Jun-24'!T44</f>
        <v>6654373</v>
      </c>
      <c r="CC6" s="12">
        <f>'Jun-24'!U44</f>
        <v>6351741</v>
      </c>
      <c r="CD6" s="12">
        <f>'Jun-24'!V44</f>
        <v>6749120</v>
      </c>
      <c r="CE6" s="12">
        <f>'Jun-24'!W44</f>
        <v>6672705</v>
      </c>
      <c r="CF6" s="12">
        <f>'Jun-24'!X44</f>
        <v>6791076</v>
      </c>
      <c r="CG6" s="12">
        <f>'Jun-24'!Y44</f>
        <v>6534252</v>
      </c>
      <c r="CH6" s="12">
        <f>'Jun-24'!Z44</f>
        <v>6039495</v>
      </c>
      <c r="CI6" s="12">
        <f>'Jun-24'!AA44</f>
        <v>6615735</v>
      </c>
      <c r="CJ6" s="12">
        <f>'Jun-24'!AB44</f>
        <v>5865544</v>
      </c>
      <c r="CK6" s="12">
        <f>'Jun-24'!AC44</f>
        <v>6234592</v>
      </c>
      <c r="CL6" s="12">
        <f>'Jun-24'!AD44</f>
        <v>6543512</v>
      </c>
      <c r="CM6" s="12">
        <f>'Jun-24'!AE44</f>
        <v>6566670</v>
      </c>
      <c r="CN6" s="12">
        <f>'Jun-24'!AF44</f>
        <v>5621000</v>
      </c>
      <c r="CO6" s="12">
        <f>'Jun-24'!AG44</f>
        <v>6578030</v>
      </c>
      <c r="CP6" s="12">
        <f>'Jun-24'!AH44</f>
        <v>6674376</v>
      </c>
      <c r="CQ6" s="12">
        <f>SUM(BM6:CP6)</f>
        <v>179506878</v>
      </c>
      <c r="CR6" s="12">
        <f>'Jul-24'!E44</f>
        <v>6374790</v>
      </c>
      <c r="CS6" s="12">
        <f>'Jul-24'!F44</f>
        <v>6591900</v>
      </c>
      <c r="CT6" s="12">
        <f>'Jul-24'!G44</f>
        <v>5207550</v>
      </c>
      <c r="CU6" s="12">
        <f>'Jul-24'!H44</f>
        <v>6662040</v>
      </c>
      <c r="CV6" s="12">
        <f>'Jul-24'!I44</f>
        <v>6647003</v>
      </c>
      <c r="CW6" s="12">
        <f>'Jul-24'!J44</f>
        <v>6643476</v>
      </c>
      <c r="CX6" s="12">
        <f>'Jul-24'!K44</f>
        <v>6254115</v>
      </c>
      <c r="CY6" s="12">
        <f>'Jul-24'!L44</f>
        <v>6094402</v>
      </c>
      <c r="CZ6" s="12">
        <f>'Jul-24'!M44</f>
        <v>6506220</v>
      </c>
      <c r="DA6" s="12">
        <f>'Jul-24'!N44</f>
        <v>6085800</v>
      </c>
      <c r="DB6" s="12">
        <f>'Jul-24'!O44</f>
        <v>6558350</v>
      </c>
      <c r="DC6" s="12">
        <f>'Jul-24'!P44</f>
        <v>6580464</v>
      </c>
      <c r="DD6" s="12">
        <f>'Jul-24'!Q44</f>
        <v>6249500</v>
      </c>
      <c r="DE6" s="12">
        <f>'Jul-24'!R44</f>
        <v>6101872</v>
      </c>
      <c r="DF6" s="12">
        <f>'Jul-24'!S44</f>
        <v>6326579</v>
      </c>
      <c r="DG6" s="12">
        <f>'Jul-24'!T44</f>
        <v>6722442</v>
      </c>
      <c r="DH6" s="12">
        <f>'Jul-24'!U44</f>
        <v>6836046</v>
      </c>
      <c r="DI6" s="12">
        <f>'Jul-24'!V44</f>
        <v>6706575</v>
      </c>
      <c r="DJ6" s="12">
        <f>'Jul-24'!W44</f>
        <v>0</v>
      </c>
      <c r="DK6" s="12">
        <f>'Jul-24'!X44</f>
        <v>0</v>
      </c>
      <c r="DL6" s="12">
        <f>'Jul-24'!Y44</f>
        <v>0</v>
      </c>
      <c r="DM6" s="12">
        <f>'Jul-24'!Z44</f>
        <v>0</v>
      </c>
      <c r="DN6" s="12">
        <f>'Jul-24'!AA44</f>
        <v>0</v>
      </c>
      <c r="DO6" s="12">
        <f>'Jul-24'!AB44</f>
        <v>0</v>
      </c>
      <c r="DP6" s="12">
        <f>'Jul-24'!AC44</f>
        <v>0</v>
      </c>
      <c r="DQ6" s="12">
        <f>'Jul-24'!AD44</f>
        <v>0</v>
      </c>
      <c r="DR6" s="12">
        <f>'Jul-24'!AE44</f>
        <v>0</v>
      </c>
      <c r="DS6" s="12">
        <f>'Jul-24'!AF44</f>
        <v>0</v>
      </c>
      <c r="DT6" s="12">
        <f>'Jul-24'!AG44</f>
        <v>0</v>
      </c>
      <c r="DU6" s="12">
        <f>'Jul-24'!AH44</f>
        <v>0</v>
      </c>
      <c r="DV6" s="12">
        <f>'Jul-24'!AI44</f>
        <v>1707125</v>
      </c>
      <c r="DW6">
        <f>SUM(CR6:DV6)</f>
        <v>116856249</v>
      </c>
      <c r="DX6" s="12">
        <f>'Aug-24'!E44</f>
        <v>5357376</v>
      </c>
      <c r="DY6" s="12">
        <f>'Aug-24'!F44</f>
        <v>6135480</v>
      </c>
      <c r="DZ6" s="12">
        <f>'Aug-24'!G44</f>
        <v>5118864</v>
      </c>
      <c r="EA6" s="12">
        <f>'Aug-24'!H44</f>
        <v>5084170</v>
      </c>
      <c r="EB6" s="12">
        <f>'Aug-24'!I44</f>
        <v>5955768</v>
      </c>
      <c r="EC6" s="12">
        <f>'Aug-24'!J44</f>
        <v>6415578</v>
      </c>
      <c r="ED6" s="12">
        <f>'Aug-24'!K44</f>
        <v>6660740</v>
      </c>
      <c r="EE6" s="12">
        <f>'Aug-24'!L44</f>
        <v>6479744</v>
      </c>
      <c r="EF6" s="12">
        <f>'Aug-24'!M44</f>
        <v>6354972</v>
      </c>
      <c r="EG6" s="12">
        <f>'Aug-24'!N44</f>
        <v>6251478</v>
      </c>
      <c r="EH6" s="12">
        <f>'Aug-24'!O44</f>
        <v>6401728</v>
      </c>
      <c r="EI6" s="12">
        <f>'Aug-24'!P44</f>
        <v>6429840</v>
      </c>
      <c r="EJ6" s="12">
        <f>'Aug-24'!Q44</f>
        <v>6468570</v>
      </c>
      <c r="EK6" s="12">
        <f>'Aug-24'!R44</f>
        <v>6326579</v>
      </c>
      <c r="EL6" s="12">
        <f>'Aug-24'!S44</f>
        <v>6566724</v>
      </c>
      <c r="EM6" s="12">
        <f>'Aug-24'!T44</f>
        <v>6642871</v>
      </c>
      <c r="EN6" s="12">
        <f>'Aug-24'!U44</f>
        <v>6512807</v>
      </c>
      <c r="EO6" s="12">
        <f>'Aug-24'!V44</f>
        <v>6566754</v>
      </c>
      <c r="EP6" s="12">
        <f>'Aug-24'!W44</f>
        <v>6541632</v>
      </c>
      <c r="EQ6" s="12">
        <f>'Aug-24'!X44</f>
        <v>6498144</v>
      </c>
      <c r="ER6" s="12">
        <f>'Aug-24'!Y44</f>
        <v>6084750</v>
      </c>
      <c r="ES6" s="12">
        <f>'Aug-24'!Z44</f>
        <v>3708040</v>
      </c>
      <c r="ET6" s="12">
        <f>'Aug-24'!AA44</f>
        <v>5210689</v>
      </c>
      <c r="EU6" s="12">
        <f>'Aug-24'!AB44</f>
        <v>6333969</v>
      </c>
      <c r="EV6" s="12">
        <f>'Aug-24'!AC44</f>
        <v>6683776</v>
      </c>
      <c r="EW6" s="12">
        <f>'Aug-24'!AD44</f>
        <v>6005760</v>
      </c>
      <c r="EX6" s="12">
        <f>'Aug-24'!AE44</f>
        <v>6326656</v>
      </c>
      <c r="EY6" s="12">
        <f>'Aug-24'!AF44</f>
        <v>6404530</v>
      </c>
      <c r="EZ6" s="12">
        <f>'Aug-24'!AG44</f>
        <v>6219200</v>
      </c>
      <c r="FA6" s="12">
        <f>'Aug-24'!AH44</f>
        <v>6056105</v>
      </c>
      <c r="FB6" s="12">
        <f>'Aug-24'!AI44</f>
        <v>6081231</v>
      </c>
      <c r="FC6">
        <f>SUM(DX6:FB6)</f>
        <v>189884525</v>
      </c>
      <c r="FD6" s="12">
        <f>'Sep-24'!E44</f>
        <v>6206861</v>
      </c>
      <c r="FE6" s="12">
        <f>'Sep-24'!F44</f>
        <v>6208339</v>
      </c>
      <c r="FF6" s="12">
        <f>'Sep-24'!G44</f>
        <v>6034464</v>
      </c>
      <c r="FG6" s="12">
        <f>'Sep-24'!H44</f>
        <v>6170901</v>
      </c>
      <c r="FH6" s="12">
        <f>'Sep-24'!I44</f>
        <v>0</v>
      </c>
      <c r="FI6" s="12">
        <f>'Sep-24'!J44</f>
        <v>0</v>
      </c>
      <c r="FJ6" s="12">
        <f>'Sep-24'!K44</f>
        <v>0</v>
      </c>
      <c r="FK6" s="12">
        <f>'Sep-24'!L44</f>
        <v>0</v>
      </c>
      <c r="FL6" s="12">
        <f>'Sep-24'!M44</f>
        <v>0</v>
      </c>
      <c r="FM6" s="12">
        <f>'Sep-24'!N44</f>
        <v>0</v>
      </c>
      <c r="FN6" s="12">
        <f>'Sep-24'!O44</f>
        <v>0</v>
      </c>
      <c r="FO6" s="12">
        <f>'Sep-24'!P44</f>
        <v>0</v>
      </c>
      <c r="FP6" s="12">
        <f>'Sep-24'!Q44</f>
        <v>0</v>
      </c>
      <c r="FQ6" s="12">
        <f>'Sep-24'!R44</f>
        <v>0</v>
      </c>
      <c r="FR6" s="12">
        <f>'Sep-24'!S44</f>
        <v>0</v>
      </c>
      <c r="FS6" s="12">
        <f>'Sep-24'!T44</f>
        <v>0</v>
      </c>
      <c r="FT6" s="12">
        <f>'Sep-24'!U44</f>
        <v>0</v>
      </c>
      <c r="FU6" s="12">
        <f>'Sep-24'!V44</f>
        <v>0</v>
      </c>
      <c r="FV6" s="12">
        <f>'Sep-24'!W44</f>
        <v>0</v>
      </c>
      <c r="FW6" s="12">
        <f>'Sep-24'!X44</f>
        <v>0</v>
      </c>
      <c r="FX6" s="12">
        <f>'Sep-24'!Y44</f>
        <v>0</v>
      </c>
      <c r="FY6" s="12">
        <f>'Sep-24'!Z44</f>
        <v>0</v>
      </c>
      <c r="FZ6" s="12">
        <f>'Sep-24'!AA44</f>
        <v>0</v>
      </c>
      <c r="GA6" s="12">
        <f>'Sep-24'!AB44</f>
        <v>0</v>
      </c>
      <c r="GB6" s="12">
        <f>'Sep-24'!AC44</f>
        <v>0</v>
      </c>
      <c r="GC6" s="12">
        <f>'Sep-24'!AD44</f>
        <v>0</v>
      </c>
      <c r="GD6" s="12">
        <f>'Sep-24'!AE44</f>
        <v>0</v>
      </c>
      <c r="GE6" s="12">
        <f>'Sep-24'!AF44</f>
        <v>0</v>
      </c>
      <c r="GF6" s="12">
        <f>'Sep-24'!AG44</f>
        <v>0</v>
      </c>
      <c r="GG6" s="12">
        <f>'Sep-24'!AH44</f>
        <v>0</v>
      </c>
      <c r="GH6" s="12">
        <f>SUM(FD6:GG6)</f>
        <v>24620565</v>
      </c>
    </row>
    <row r="7" spans="1:190" s="265" customFormat="1" x14ac:dyDescent="0.3">
      <c r="A7" s="265" t="s">
        <v>245</v>
      </c>
      <c r="B7" s="266">
        <f>B5/B6</f>
        <v>4.4649491701756507E-2</v>
      </c>
      <c r="C7" s="266">
        <f t="shared" ref="C7:AD7" si="31">C5/C6</f>
        <v>0.11355850433471724</v>
      </c>
      <c r="D7" s="266">
        <f t="shared" si="31"/>
        <v>0.12749202041031496</v>
      </c>
      <c r="E7" s="266">
        <f t="shared" si="31"/>
        <v>0</v>
      </c>
      <c r="F7" s="266">
        <f t="shared" si="31"/>
        <v>5.8528891701460285E-2</v>
      </c>
      <c r="G7" s="266">
        <f t="shared" si="31"/>
        <v>0.13753628560249789</v>
      </c>
      <c r="H7" s="266">
        <f t="shared" si="31"/>
        <v>0.14831449386421128</v>
      </c>
      <c r="I7" s="266">
        <f t="shared" si="31"/>
        <v>0.15525406940790507</v>
      </c>
      <c r="J7" s="266">
        <f t="shared" si="31"/>
        <v>0.13254434231478707</v>
      </c>
      <c r="K7" s="266">
        <f t="shared" si="31"/>
        <v>0.16788066941882129</v>
      </c>
      <c r="L7" s="266">
        <f t="shared" si="31"/>
        <v>0.17167123158478448</v>
      </c>
      <c r="M7" s="266">
        <f t="shared" si="31"/>
        <v>0.19988083779664054</v>
      </c>
      <c r="N7" s="266">
        <f t="shared" si="31"/>
        <v>0.10929730625019633</v>
      </c>
      <c r="O7" s="266">
        <f t="shared" si="31"/>
        <v>0.17903141151732066</v>
      </c>
      <c r="P7" s="266">
        <f t="shared" si="31"/>
        <v>0.1795327544142149</v>
      </c>
      <c r="Q7" s="266">
        <f t="shared" si="31"/>
        <v>0.11248989409016352</v>
      </c>
      <c r="R7" s="266">
        <f t="shared" si="31"/>
        <v>0.20460505991395492</v>
      </c>
      <c r="S7" s="266">
        <f t="shared" si="31"/>
        <v>0.17433519142805187</v>
      </c>
      <c r="T7" s="266"/>
      <c r="U7" s="266">
        <f t="shared" si="31"/>
        <v>0.10209589448389816</v>
      </c>
      <c r="V7" s="266">
        <f t="shared" si="31"/>
        <v>0.1318961920338334</v>
      </c>
      <c r="W7" s="266">
        <f t="shared" si="31"/>
        <v>0.16558394027690149</v>
      </c>
      <c r="X7" s="266">
        <f t="shared" si="31"/>
        <v>0.20884558806039499</v>
      </c>
      <c r="Y7" s="266">
        <f t="shared" si="31"/>
        <v>0.14482707760657207</v>
      </c>
      <c r="Z7" s="266">
        <f t="shared" si="31"/>
        <v>0.15242583631390699</v>
      </c>
      <c r="AA7" s="266">
        <f t="shared" si="31"/>
        <v>0.15430624697657311</v>
      </c>
      <c r="AB7" s="266">
        <f t="shared" si="31"/>
        <v>0.22041971087571777</v>
      </c>
      <c r="AC7" s="266">
        <f t="shared" si="31"/>
        <v>0.25428509153435841</v>
      </c>
      <c r="AD7" s="266">
        <f t="shared" si="31"/>
        <v>0.26875299223008436</v>
      </c>
      <c r="AE7" s="266">
        <f>AE5/AE6</f>
        <v>0.16098960968262688</v>
      </c>
      <c r="AF7" s="266">
        <f>AF5/AF6</f>
        <v>0.15269689902016051</v>
      </c>
      <c r="AG7" s="266">
        <f>AG5/AG6</f>
        <v>0.21110634146341464</v>
      </c>
      <c r="AH7" s="266">
        <f t="shared" ref="AH7:AM7" si="32">AH5/AH6</f>
        <v>0.21995438996579247</v>
      </c>
      <c r="AI7" s="266">
        <f t="shared" si="32"/>
        <v>0.19314534325091146</v>
      </c>
      <c r="AJ7" s="266">
        <f t="shared" si="32"/>
        <v>0.23005169745135379</v>
      </c>
      <c r="AK7" s="266">
        <f t="shared" si="32"/>
        <v>0.20008231653431011</v>
      </c>
      <c r="AL7" s="266">
        <f t="shared" si="32"/>
        <v>0.19378637494264531</v>
      </c>
      <c r="AM7" s="266">
        <f t="shared" si="32"/>
        <v>0.19983563895356801</v>
      </c>
      <c r="AN7" s="266">
        <f t="shared" ref="AN7:AO7" si="33">AN5/AN6</f>
        <v>0.21100807769357591</v>
      </c>
      <c r="AO7" s="266">
        <f t="shared" si="33"/>
        <v>0.14007937387756911</v>
      </c>
      <c r="AP7" s="266">
        <f t="shared" ref="AP7:AR7" si="34">AP5/AP6</f>
        <v>0.18365861177935958</v>
      </c>
      <c r="AQ7" s="266">
        <f t="shared" si="34"/>
        <v>0.19088354158709372</v>
      </c>
      <c r="AR7" s="266">
        <f t="shared" si="34"/>
        <v>0.20084897229669349</v>
      </c>
      <c r="AS7" s="266">
        <f t="shared" ref="AS7:AY7" si="35">AS5/AS6</f>
        <v>0.20000888599271349</v>
      </c>
      <c r="AT7" s="266" t="e">
        <f t="shared" si="35"/>
        <v>#DIV/0!</v>
      </c>
      <c r="AU7" s="266">
        <f t="shared" si="35"/>
        <v>8.075379311878142E-2</v>
      </c>
      <c r="AV7" s="266">
        <f t="shared" si="35"/>
        <v>0.16449862187147526</v>
      </c>
      <c r="AW7" s="266">
        <f t="shared" si="35"/>
        <v>0.15783552629603945</v>
      </c>
      <c r="AX7" s="266">
        <f t="shared" si="35"/>
        <v>0.12573764654396793</v>
      </c>
      <c r="AY7" s="266">
        <f t="shared" si="35"/>
        <v>0.16025959345797403</v>
      </c>
      <c r="AZ7" s="266">
        <f t="shared" ref="AZ7:BA7" si="36">AZ5/AZ6</f>
        <v>0.10404917705331168</v>
      </c>
      <c r="BA7" s="266">
        <f t="shared" si="36"/>
        <v>0.13347088033335863</v>
      </c>
      <c r="BB7" s="266">
        <f t="shared" ref="BB7:BC7" si="37">BB5/BB6</f>
        <v>0.15193980917153546</v>
      </c>
      <c r="BC7" s="266">
        <f t="shared" si="37"/>
        <v>0.15120700738998219</v>
      </c>
      <c r="BD7" s="266">
        <f t="shared" ref="BD7:BF7" si="38">BD5/BD6</f>
        <v>0.10444680243963333</v>
      </c>
      <c r="BE7" s="266">
        <f t="shared" si="38"/>
        <v>0.12089872755050801</v>
      </c>
      <c r="BF7" s="266">
        <f t="shared" si="38"/>
        <v>0.11741546435423987</v>
      </c>
      <c r="BG7" s="266">
        <f t="shared" ref="BG7:BH7" si="39">BG5/BG6</f>
        <v>9.964114564922659E-2</v>
      </c>
      <c r="BH7" s="266">
        <f t="shared" si="39"/>
        <v>0.10388549950860416</v>
      </c>
      <c r="BI7" s="266">
        <f t="shared" ref="BI7:BP7" si="40">BI5/BI6</f>
        <v>8.97432326503977E-2</v>
      </c>
      <c r="BJ7" s="266">
        <f t="shared" si="40"/>
        <v>5.9350169860504218E-2</v>
      </c>
      <c r="BK7" s="266">
        <f t="shared" si="40"/>
        <v>0</v>
      </c>
      <c r="BL7" s="266">
        <f>BL5/BL6</f>
        <v>0.14829846204999458</v>
      </c>
      <c r="BM7" s="266">
        <f t="shared" si="40"/>
        <v>0</v>
      </c>
      <c r="BN7" s="266">
        <f t="shared" si="40"/>
        <v>0</v>
      </c>
      <c r="BO7" s="266">
        <f t="shared" si="40"/>
        <v>5.6981282571775531E-2</v>
      </c>
      <c r="BP7" s="266">
        <f t="shared" si="40"/>
        <v>9.5448569842208009E-2</v>
      </c>
      <c r="BQ7" s="266" t="e">
        <f t="shared" ref="BQ7:BR7" si="41">BQ5/BQ6</f>
        <v>#DIV/0!</v>
      </c>
      <c r="BR7" s="266" t="e">
        <f t="shared" si="41"/>
        <v>#DIV/0!</v>
      </c>
      <c r="BS7" s="266">
        <f t="shared" ref="BS7:BU7" si="42">BS5/BS6</f>
        <v>0</v>
      </c>
      <c r="BT7" s="266">
        <f t="shared" si="42"/>
        <v>0.15578004707905665</v>
      </c>
      <c r="BU7" s="266">
        <f t="shared" si="42"/>
        <v>0.18888585288795051</v>
      </c>
      <c r="BV7" s="266">
        <f t="shared" ref="BV7:CC7" si="43">BV5/BV6</f>
        <v>9.5982048051194202E-2</v>
      </c>
      <c r="BW7" s="266">
        <f t="shared" si="43"/>
        <v>0</v>
      </c>
      <c r="BX7" s="266">
        <f t="shared" si="43"/>
        <v>4.4606260572523183E-2</v>
      </c>
      <c r="BY7" s="266">
        <f t="shared" si="43"/>
        <v>0</v>
      </c>
      <c r="BZ7" s="266">
        <f t="shared" si="43"/>
        <v>0</v>
      </c>
      <c r="CA7" s="266">
        <f t="shared" si="43"/>
        <v>0.15419097577746615</v>
      </c>
      <c r="CB7" s="266">
        <f t="shared" si="43"/>
        <v>0.11978018064211308</v>
      </c>
      <c r="CC7" s="266">
        <f t="shared" si="43"/>
        <v>9.2925703362275E-2</v>
      </c>
      <c r="CD7" s="266">
        <f t="shared" ref="CD7:CE7" si="44">CD5/CD6</f>
        <v>8.4847950547626949E-2</v>
      </c>
      <c r="CE7" s="266">
        <f t="shared" si="44"/>
        <v>0.13555192384497741</v>
      </c>
      <c r="CF7" s="266">
        <f t="shared" ref="CF7:CG7" si="45">CF5/CF6</f>
        <v>9.5815744073545928E-2</v>
      </c>
      <c r="CG7" s="266">
        <f t="shared" si="45"/>
        <v>0.1053655414575379</v>
      </c>
      <c r="CH7" s="266">
        <f t="shared" ref="CH7:CP7" si="46">CH5/CH6</f>
        <v>9.7057783804771758E-2</v>
      </c>
      <c r="CI7" s="266">
        <f t="shared" si="46"/>
        <v>6.6817821451433584E-2</v>
      </c>
      <c r="CJ7" s="266">
        <f t="shared" si="46"/>
        <v>0</v>
      </c>
      <c r="CK7" s="266">
        <f t="shared" si="46"/>
        <v>0</v>
      </c>
      <c r="CL7" s="266">
        <f t="shared" si="46"/>
        <v>0</v>
      </c>
      <c r="CM7" s="266">
        <f t="shared" si="46"/>
        <v>0</v>
      </c>
      <c r="CN7" s="266">
        <f t="shared" si="46"/>
        <v>0</v>
      </c>
      <c r="CO7" s="266">
        <f t="shared" si="46"/>
        <v>4.0642411177814634E-2</v>
      </c>
      <c r="CP7" s="266">
        <f t="shared" si="46"/>
        <v>5.6666420950812479E-2</v>
      </c>
      <c r="CQ7" s="266">
        <f>CQ5/CQ6</f>
        <v>6.176071426076498E-2</v>
      </c>
      <c r="CR7" s="266">
        <f>CR5/CR6</f>
        <v>7.8814360943654613E-2</v>
      </c>
      <c r="CS7" s="266">
        <f t="shared" ref="CS7:CU7" si="47">CS5/CS6</f>
        <v>4.6623128384835934E-2</v>
      </c>
      <c r="CT7" s="266">
        <f t="shared" si="47"/>
        <v>0.10750756113719503</v>
      </c>
      <c r="CU7" s="266">
        <f t="shared" si="47"/>
        <v>0.13141920492822018</v>
      </c>
      <c r="CV7" s="266">
        <f>CV5/CV6</f>
        <v>0.12131467369579944</v>
      </c>
      <c r="CW7" s="266">
        <f t="shared" ref="CW7" si="48">CW5/CW6</f>
        <v>0.12093367989889631</v>
      </c>
      <c r="CX7" s="266">
        <f t="shared" ref="CX7" si="49">CX5/CX6</f>
        <v>9.1494959718521326E-2</v>
      </c>
      <c r="CY7" s="266">
        <f t="shared" ref="CY7:DC7" si="50">CY5/CY6</f>
        <v>6.73724837974259E-2</v>
      </c>
      <c r="CZ7" s="266">
        <f t="shared" si="50"/>
        <v>7.8520400478311519E-2</v>
      </c>
      <c r="DA7" s="266">
        <f t="shared" si="50"/>
        <v>8.2368957244733643E-2</v>
      </c>
      <c r="DB7" s="266">
        <f t="shared" si="50"/>
        <v>0</v>
      </c>
      <c r="DC7" s="266">
        <f t="shared" si="50"/>
        <v>0</v>
      </c>
      <c r="DD7" s="266">
        <f t="shared" ref="DD7:DF7" si="51">DD5/DD6</f>
        <v>0</v>
      </c>
      <c r="DE7" s="266">
        <f t="shared" si="51"/>
        <v>0</v>
      </c>
      <c r="DF7" s="266">
        <f t="shared" si="51"/>
        <v>4.088481310357462E-2</v>
      </c>
      <c r="DG7" s="266">
        <f t="shared" ref="DG7:DK7" si="52">DG5/DG6</f>
        <v>0.10786853943849571</v>
      </c>
      <c r="DH7" s="266">
        <f t="shared" si="52"/>
        <v>0.11315312974781036</v>
      </c>
      <c r="DI7" s="266">
        <f t="shared" si="52"/>
        <v>0</v>
      </c>
      <c r="DJ7" s="266" t="e">
        <f t="shared" si="52"/>
        <v>#DIV/0!</v>
      </c>
      <c r="DK7" s="266" t="e">
        <f t="shared" si="52"/>
        <v>#DIV/0!</v>
      </c>
      <c r="DL7" s="266" t="e">
        <f t="shared" ref="DL7:DO7" si="53">DL5/DL6</f>
        <v>#DIV/0!</v>
      </c>
      <c r="DM7" s="266" t="e">
        <f t="shared" si="53"/>
        <v>#DIV/0!</v>
      </c>
      <c r="DN7" s="266" t="e">
        <f t="shared" si="53"/>
        <v>#DIV/0!</v>
      </c>
      <c r="DO7" s="266" t="e">
        <f t="shared" si="53"/>
        <v>#DIV/0!</v>
      </c>
      <c r="DP7" s="266" t="e">
        <f t="shared" ref="DP7:DV7" si="54">DP5/DP6</f>
        <v>#DIV/0!</v>
      </c>
      <c r="DQ7" s="266" t="e">
        <f t="shared" si="54"/>
        <v>#DIV/0!</v>
      </c>
      <c r="DR7" s="266" t="e">
        <f t="shared" si="54"/>
        <v>#DIV/0!</v>
      </c>
      <c r="DS7" s="266" t="e">
        <f t="shared" si="54"/>
        <v>#DIV/0!</v>
      </c>
      <c r="DT7" s="266" t="e">
        <f t="shared" si="54"/>
        <v>#DIV/0!</v>
      </c>
      <c r="DU7" s="266" t="e">
        <f t="shared" si="54"/>
        <v>#DIV/0!</v>
      </c>
      <c r="DV7" s="266">
        <f t="shared" si="54"/>
        <v>0</v>
      </c>
      <c r="DW7" s="266">
        <f>DW5/DW6</f>
        <v>6.5098940493973925E-2</v>
      </c>
      <c r="DX7" s="266">
        <f>DX5/DX6</f>
        <v>0</v>
      </c>
      <c r="DY7" s="266">
        <f t="shared" ref="DY7:EE7" si="55">DY5/DY6</f>
        <v>0</v>
      </c>
      <c r="DZ7" s="266">
        <f t="shared" si="55"/>
        <v>0.15681115966355036</v>
      </c>
      <c r="EA7" s="266">
        <f t="shared" si="55"/>
        <v>0.14327294327294327</v>
      </c>
      <c r="EB7" s="266">
        <f t="shared" si="55"/>
        <v>0.13483533945580151</v>
      </c>
      <c r="EC7" s="266">
        <f t="shared" si="55"/>
        <v>0.15946123638431331</v>
      </c>
      <c r="ED7" s="266">
        <f t="shared" si="55"/>
        <v>0.13443010836633768</v>
      </c>
      <c r="EE7" s="266">
        <f t="shared" si="55"/>
        <v>8.6778428283586506E-2</v>
      </c>
      <c r="EF7" s="266">
        <f t="shared" ref="EF7:EJ7" si="56">EF5/EF6</f>
        <v>0.10749158296842221</v>
      </c>
      <c r="EG7" s="266">
        <f t="shared" si="56"/>
        <v>8.567014072512133E-2</v>
      </c>
      <c r="EH7" s="266">
        <f t="shared" si="56"/>
        <v>8.7108355743949137E-2</v>
      </c>
      <c r="EI7" s="266">
        <f t="shared" si="56"/>
        <v>0.15187936247247211</v>
      </c>
      <c r="EJ7" s="266">
        <f t="shared" si="56"/>
        <v>0.10028491614066169</v>
      </c>
      <c r="EK7" s="266">
        <f t="shared" ref="EK7:EO7" si="57">EK5/EK6</f>
        <v>8.8376988574709964E-2</v>
      </c>
      <c r="EL7" s="266">
        <f t="shared" si="57"/>
        <v>8.4249772032447226E-2</v>
      </c>
      <c r="EM7" s="266">
        <f t="shared" si="57"/>
        <v>6.369294240396961E-2</v>
      </c>
      <c r="EN7" s="266">
        <f t="shared" si="57"/>
        <v>0.12288894788376195</v>
      </c>
      <c r="EO7" s="266">
        <f t="shared" si="57"/>
        <v>8.1174351894406277E-2</v>
      </c>
      <c r="EP7" s="266">
        <f t="shared" ref="EP7:ET7" si="58">EP5/EP6</f>
        <v>8.1950803713813317E-2</v>
      </c>
      <c r="EQ7" s="266">
        <f t="shared" si="58"/>
        <v>0.10321100917431193</v>
      </c>
      <c r="ER7" s="266">
        <f t="shared" si="58"/>
        <v>9.1776983442212093E-2</v>
      </c>
      <c r="ES7" s="266">
        <f t="shared" si="58"/>
        <v>6.3973150235704032E-2</v>
      </c>
      <c r="ET7" s="266">
        <f t="shared" si="58"/>
        <v>2.9065637960738015E-2</v>
      </c>
      <c r="EU7" s="266">
        <f t="shared" ref="EU7:EX7" si="59">EU5/EU6</f>
        <v>6.3298699441061368E-2</v>
      </c>
      <c r="EV7" s="266">
        <f t="shared" si="59"/>
        <v>0.12530252360342417</v>
      </c>
      <c r="EW7" s="266">
        <f t="shared" si="59"/>
        <v>5.8108216112531967E-2</v>
      </c>
      <c r="EX7" s="266">
        <f t="shared" si="59"/>
        <v>9.7501744997673334E-2</v>
      </c>
      <c r="EY7" s="266">
        <f t="shared" ref="EY7:FB7" si="60">EY5/EY6</f>
        <v>6.8067758289835481E-2</v>
      </c>
      <c r="EZ7" s="266">
        <f t="shared" si="60"/>
        <v>7.3862876254180601E-2</v>
      </c>
      <c r="FA7" s="266">
        <f t="shared" si="60"/>
        <v>6.8552972578910049E-2</v>
      </c>
      <c r="FB7" s="266">
        <f t="shared" si="60"/>
        <v>5.8512824130509102E-2</v>
      </c>
      <c r="FC7" s="266">
        <f>FC5/FC6</f>
        <v>9.0106415991508523E-2</v>
      </c>
      <c r="FD7" s="266">
        <f>IFERROR(FD5/FD6,0)</f>
        <v>7.2934612197695425E-2</v>
      </c>
      <c r="FE7" s="266">
        <f t="shared" ref="FE7:GG7" si="61">IFERROR(FE5/FE6,0)</f>
        <v>8.4533882573100474E-2</v>
      </c>
      <c r="FF7" s="266">
        <f t="shared" si="61"/>
        <v>5.5473029584731964E-2</v>
      </c>
      <c r="FG7" s="266">
        <f t="shared" si="61"/>
        <v>5.6214805585116337E-2</v>
      </c>
      <c r="FH7" s="266">
        <f t="shared" si="61"/>
        <v>0</v>
      </c>
      <c r="FI7" s="266">
        <f t="shared" si="61"/>
        <v>0</v>
      </c>
      <c r="FJ7" s="266">
        <f t="shared" si="61"/>
        <v>0</v>
      </c>
      <c r="FK7" s="266">
        <f t="shared" si="61"/>
        <v>0</v>
      </c>
      <c r="FL7" s="266">
        <f t="shared" si="61"/>
        <v>0</v>
      </c>
      <c r="FM7" s="266">
        <f t="shared" si="61"/>
        <v>0</v>
      </c>
      <c r="FN7" s="266">
        <f t="shared" si="61"/>
        <v>0</v>
      </c>
      <c r="FO7" s="266">
        <f t="shared" si="61"/>
        <v>0</v>
      </c>
      <c r="FP7" s="266">
        <f t="shared" si="61"/>
        <v>0</v>
      </c>
      <c r="FQ7" s="266">
        <f t="shared" si="61"/>
        <v>0</v>
      </c>
      <c r="FR7" s="266">
        <f t="shared" si="61"/>
        <v>0</v>
      </c>
      <c r="FS7" s="266">
        <f t="shared" si="61"/>
        <v>0</v>
      </c>
      <c r="FT7" s="266">
        <f t="shared" si="61"/>
        <v>0</v>
      </c>
      <c r="FU7" s="266">
        <f t="shared" si="61"/>
        <v>0</v>
      </c>
      <c r="FV7" s="266">
        <f t="shared" si="61"/>
        <v>0</v>
      </c>
      <c r="FW7" s="266">
        <f t="shared" si="61"/>
        <v>0</v>
      </c>
      <c r="FX7" s="266">
        <f t="shared" si="61"/>
        <v>0</v>
      </c>
      <c r="FY7" s="266">
        <f t="shared" si="61"/>
        <v>0</v>
      </c>
      <c r="FZ7" s="266">
        <f t="shared" si="61"/>
        <v>0</v>
      </c>
      <c r="GA7" s="266">
        <f t="shared" si="61"/>
        <v>0</v>
      </c>
      <c r="GB7" s="266">
        <f t="shared" si="61"/>
        <v>0</v>
      </c>
      <c r="GC7" s="266">
        <f t="shared" si="61"/>
        <v>0</v>
      </c>
      <c r="GD7" s="266">
        <f t="shared" si="61"/>
        <v>0</v>
      </c>
      <c r="GE7" s="266">
        <f t="shared" si="61"/>
        <v>0</v>
      </c>
      <c r="GF7" s="266">
        <f t="shared" si="61"/>
        <v>0</v>
      </c>
      <c r="GG7" s="266">
        <f t="shared" si="61"/>
        <v>0</v>
      </c>
      <c r="GH7" s="266">
        <f>GH5/GH6</f>
        <v>6.7389030267989383E-2</v>
      </c>
    </row>
    <row r="8" spans="1:190" x14ac:dyDescent="0.3">
      <c r="A8" s="24" t="s">
        <v>287</v>
      </c>
      <c r="B8" s="334"/>
      <c r="C8" s="334"/>
      <c r="D8" s="334"/>
      <c r="E8" s="334"/>
      <c r="F8" s="334"/>
      <c r="G8" s="334"/>
      <c r="H8" s="334"/>
      <c r="I8" s="334"/>
      <c r="J8" s="334"/>
      <c r="K8" s="334"/>
      <c r="L8" s="334"/>
      <c r="M8" s="334"/>
      <c r="N8" s="334"/>
      <c r="O8" s="334"/>
      <c r="P8" s="334"/>
      <c r="Q8" s="334"/>
      <c r="R8" s="334"/>
      <c r="S8" s="334"/>
      <c r="T8" s="334"/>
      <c r="U8" s="334"/>
      <c r="V8" s="334"/>
      <c r="W8" s="334"/>
      <c r="X8" s="334"/>
      <c r="Y8" s="334"/>
      <c r="Z8" s="334"/>
      <c r="AA8" s="334"/>
      <c r="AB8" s="334"/>
      <c r="AC8" s="334"/>
      <c r="AD8" s="334"/>
      <c r="AE8" s="334"/>
      <c r="AF8" s="334"/>
      <c r="AG8" s="334"/>
      <c r="AH8" s="334"/>
      <c r="AI8" s="334"/>
      <c r="AJ8" s="334"/>
      <c r="AK8" s="334"/>
      <c r="AL8" s="334"/>
      <c r="AM8" s="334"/>
      <c r="AN8" s="334"/>
      <c r="AO8" s="334"/>
      <c r="AP8" s="334"/>
      <c r="AQ8" s="334"/>
      <c r="AR8" s="334"/>
      <c r="AS8" s="334"/>
      <c r="AT8" s="334"/>
      <c r="AU8" s="334"/>
      <c r="AV8" s="334"/>
      <c r="AW8" s="334"/>
      <c r="AX8" s="334"/>
      <c r="AY8" s="334"/>
      <c r="AZ8" s="334"/>
      <c r="BA8" s="334"/>
      <c r="BB8" s="334"/>
      <c r="BC8" s="334"/>
      <c r="BD8" s="334"/>
      <c r="BE8" s="334"/>
      <c r="BF8" s="334"/>
      <c r="BG8" s="334"/>
      <c r="BH8" s="334"/>
      <c r="BI8" s="334"/>
      <c r="BJ8" s="334"/>
      <c r="BK8" s="334"/>
      <c r="BL8" s="334"/>
      <c r="BM8" s="334"/>
      <c r="BN8" s="334"/>
      <c r="BO8" s="334"/>
      <c r="BP8" s="334"/>
      <c r="BQ8" s="334"/>
      <c r="BR8" s="334"/>
      <c r="BS8" s="334"/>
      <c r="BT8" s="334"/>
      <c r="BU8" s="334"/>
      <c r="BV8" s="334"/>
      <c r="BW8" s="334"/>
      <c r="BX8" s="334"/>
      <c r="BY8" s="334"/>
      <c r="BZ8" s="334"/>
      <c r="CA8" s="334"/>
      <c r="CB8" s="334"/>
      <c r="CC8" s="334"/>
      <c r="CD8" s="334"/>
      <c r="CE8" s="334"/>
      <c r="CF8" s="334"/>
      <c r="CG8" s="334"/>
      <c r="CH8" s="334"/>
      <c r="CI8" s="334"/>
      <c r="CJ8" s="334"/>
      <c r="CK8" s="334"/>
      <c r="CL8" s="334"/>
      <c r="CM8" s="334"/>
      <c r="CN8" s="334"/>
      <c r="CO8" s="334"/>
      <c r="CP8" s="334"/>
      <c r="CQ8" s="334"/>
      <c r="CR8" s="334"/>
      <c r="CS8" s="334"/>
      <c r="CT8" s="334"/>
      <c r="CU8" s="334"/>
      <c r="CV8" s="334"/>
      <c r="CW8" s="334"/>
      <c r="CX8" s="334"/>
      <c r="CY8" s="334"/>
      <c r="CZ8" s="334"/>
      <c r="DA8" s="334"/>
      <c r="DB8" s="334"/>
      <c r="DC8" s="334"/>
      <c r="DD8" s="334"/>
      <c r="DE8" s="334"/>
      <c r="DF8" s="334"/>
      <c r="DG8" s="334"/>
      <c r="DH8" s="334"/>
      <c r="DI8" s="334"/>
      <c r="DJ8" s="334"/>
      <c r="DK8" s="334"/>
      <c r="DL8" s="334"/>
      <c r="DM8" s="334"/>
      <c r="DN8" s="334"/>
      <c r="DO8" s="334"/>
      <c r="DP8" s="334"/>
      <c r="DQ8" s="334"/>
      <c r="DR8" s="334"/>
      <c r="DS8" s="334"/>
      <c r="DT8" s="334"/>
      <c r="DU8" s="334"/>
      <c r="DV8" s="334"/>
      <c r="DW8" s="334"/>
      <c r="DX8" s="334"/>
      <c r="DY8" s="334"/>
      <c r="DZ8" s="334"/>
      <c r="EA8" s="334"/>
      <c r="EB8" s="334"/>
      <c r="EC8" s="334"/>
      <c r="ED8" s="334"/>
      <c r="EE8" s="334"/>
      <c r="EF8" s="334"/>
      <c r="EG8" s="334"/>
      <c r="EH8" s="334"/>
      <c r="EI8" s="334"/>
      <c r="EJ8" s="334"/>
      <c r="EK8" s="334"/>
      <c r="EL8" s="334"/>
      <c r="EM8" s="334"/>
      <c r="EN8" s="334"/>
      <c r="EO8" s="334"/>
      <c r="EP8" s="334"/>
      <c r="EQ8" s="334"/>
      <c r="ER8" s="334"/>
      <c r="ES8" s="334"/>
      <c r="ET8" s="334"/>
      <c r="EU8" s="334"/>
      <c r="EV8" s="334"/>
      <c r="EW8" s="334"/>
      <c r="EX8" s="334"/>
      <c r="EY8" s="334"/>
      <c r="EZ8" s="334"/>
      <c r="FA8" s="334"/>
      <c r="FB8" s="334"/>
      <c r="FC8" s="334"/>
      <c r="FD8" s="334"/>
      <c r="FE8" s="334"/>
      <c r="FF8" s="12">
        <f>'Sep-24'!G77</f>
        <v>70</v>
      </c>
      <c r="FG8" s="12">
        <f>'Sep-24'!H77</f>
        <v>80</v>
      </c>
      <c r="FH8" s="12">
        <f>'Sep-24'!I77</f>
        <v>90</v>
      </c>
      <c r="FI8" s="12">
        <f>'Sep-24'!J77</f>
        <v>0</v>
      </c>
      <c r="FJ8" s="12">
        <f>'Sep-24'!K77</f>
        <v>0</v>
      </c>
      <c r="FK8" s="12">
        <f>'Sep-24'!L77</f>
        <v>0</v>
      </c>
      <c r="FL8" s="12">
        <f>'Sep-24'!M77</f>
        <v>0</v>
      </c>
      <c r="FM8" s="12">
        <f>'Sep-24'!N77</f>
        <v>0</v>
      </c>
      <c r="FN8" s="12">
        <f>'Sep-24'!O77</f>
        <v>0</v>
      </c>
      <c r="FO8" s="12">
        <f>'Sep-24'!P77</f>
        <v>0</v>
      </c>
      <c r="FP8" s="12">
        <f>'Sep-24'!Q77</f>
        <v>0</v>
      </c>
      <c r="FQ8" s="12">
        <f>'Sep-24'!R77</f>
        <v>0</v>
      </c>
      <c r="FR8" s="12">
        <f>'Sep-24'!S77</f>
        <v>0</v>
      </c>
      <c r="FS8" s="12">
        <f>'Sep-24'!T77</f>
        <v>0</v>
      </c>
      <c r="FT8" s="12">
        <f>'Sep-24'!U77</f>
        <v>0</v>
      </c>
      <c r="FU8" s="12">
        <f>'Sep-24'!V77</f>
        <v>0</v>
      </c>
      <c r="FV8" s="12">
        <f>'Sep-24'!W77</f>
        <v>0</v>
      </c>
      <c r="FW8" s="12">
        <f>'Sep-24'!X77</f>
        <v>0</v>
      </c>
      <c r="FX8" s="12">
        <f>'Sep-24'!Y77</f>
        <v>0</v>
      </c>
      <c r="FY8" s="12">
        <f>'Sep-24'!Z77</f>
        <v>0</v>
      </c>
      <c r="FZ8" s="12">
        <f>'Sep-24'!AA77</f>
        <v>0</v>
      </c>
      <c r="GA8" s="12">
        <f>'Sep-24'!AB77</f>
        <v>0</v>
      </c>
      <c r="GB8" s="12">
        <f>'Sep-24'!AC77</f>
        <v>0</v>
      </c>
      <c r="GC8" s="12">
        <f>'Sep-24'!AD77</f>
        <v>0</v>
      </c>
      <c r="GD8" s="12">
        <f>'Sep-24'!AE77</f>
        <v>0</v>
      </c>
      <c r="GE8" s="12">
        <f>'Sep-24'!AF77</f>
        <v>0</v>
      </c>
      <c r="GF8" s="12">
        <f>'Sep-24'!AG77</f>
        <v>0</v>
      </c>
      <c r="GG8" s="12">
        <f>'Sep-24'!AH77</f>
        <v>0</v>
      </c>
      <c r="GH8" s="334"/>
    </row>
    <row r="9" spans="1:190" x14ac:dyDescent="0.3">
      <c r="A9" s="24" t="s">
        <v>86</v>
      </c>
      <c r="B9" s="334"/>
      <c r="C9" s="334"/>
      <c r="D9" s="334"/>
      <c r="E9" s="334"/>
      <c r="F9" s="334"/>
      <c r="G9" s="334"/>
      <c r="H9" s="334"/>
      <c r="I9" s="334"/>
      <c r="J9" s="334"/>
      <c r="K9" s="334"/>
      <c r="L9" s="334"/>
      <c r="M9" s="334"/>
      <c r="N9" s="334"/>
      <c r="O9" s="334"/>
      <c r="P9" s="334"/>
      <c r="Q9" s="334"/>
      <c r="R9" s="334"/>
      <c r="S9" s="334"/>
      <c r="T9" s="334"/>
      <c r="U9" s="334"/>
      <c r="V9" s="334"/>
      <c r="W9" s="334"/>
      <c r="X9" s="334"/>
      <c r="Y9" s="334"/>
      <c r="Z9" s="334"/>
      <c r="AA9" s="334"/>
      <c r="AB9" s="334"/>
      <c r="AC9" s="334"/>
      <c r="AD9" s="334"/>
      <c r="AE9" s="334"/>
      <c r="AF9" s="334"/>
      <c r="AG9" s="334"/>
      <c r="AH9" s="334"/>
      <c r="AI9" s="334"/>
      <c r="AJ9" s="334"/>
      <c r="AK9" s="334"/>
      <c r="AL9" s="334"/>
      <c r="AM9" s="334"/>
      <c r="AN9" s="334"/>
      <c r="AO9" s="334"/>
      <c r="AP9" s="334"/>
      <c r="AQ9" s="334"/>
      <c r="AR9" s="334"/>
      <c r="AS9" s="334"/>
      <c r="AT9" s="334"/>
      <c r="AU9" s="334"/>
      <c r="AV9" s="334"/>
      <c r="AW9" s="334"/>
      <c r="AX9" s="334"/>
      <c r="AY9" s="334"/>
      <c r="AZ9" s="334"/>
      <c r="BA9" s="334"/>
      <c r="BB9" s="334"/>
      <c r="BC9" s="334"/>
      <c r="BD9" s="334"/>
      <c r="BE9" s="334"/>
      <c r="BF9" s="334"/>
      <c r="BG9" s="334"/>
      <c r="BH9" s="334"/>
      <c r="BI9" s="334"/>
      <c r="BJ9" s="334"/>
      <c r="BK9" s="334"/>
      <c r="BL9" s="334"/>
      <c r="BM9" s="334"/>
      <c r="BN9" s="334"/>
      <c r="BO9" s="334"/>
      <c r="BP9" s="334"/>
      <c r="BQ9" s="334"/>
      <c r="BR9" s="334"/>
      <c r="BS9" s="334"/>
      <c r="BT9" s="334"/>
      <c r="BU9" s="334"/>
      <c r="BV9" s="334"/>
      <c r="BW9" s="334"/>
      <c r="BX9" s="334"/>
      <c r="BY9" s="334"/>
      <c r="BZ9" s="334"/>
      <c r="CA9" s="334"/>
      <c r="CB9" s="334"/>
      <c r="CC9" s="334"/>
      <c r="CD9" s="334"/>
      <c r="CE9" s="334"/>
      <c r="CF9" s="334"/>
      <c r="CG9" s="334"/>
      <c r="CH9" s="334"/>
      <c r="CI9" s="334"/>
      <c r="CJ9" s="334"/>
      <c r="CK9" s="334"/>
      <c r="CL9" s="334"/>
      <c r="CM9" s="334"/>
      <c r="CN9" s="334"/>
      <c r="CO9" s="334"/>
      <c r="CP9" s="334"/>
      <c r="CQ9" s="334"/>
      <c r="CR9" s="334"/>
      <c r="CS9" s="334"/>
      <c r="CT9" s="334"/>
      <c r="CU9" s="334"/>
      <c r="CV9" s="334"/>
      <c r="CW9" s="334"/>
      <c r="CX9" s="334"/>
      <c r="CY9" s="334"/>
      <c r="CZ9" s="334"/>
      <c r="DA9" s="334"/>
      <c r="DB9" s="334"/>
      <c r="DC9" s="334"/>
      <c r="DD9" s="334"/>
      <c r="DE9" s="334"/>
      <c r="DF9" s="334"/>
      <c r="DG9" s="334"/>
      <c r="DH9" s="334"/>
      <c r="DI9" s="334"/>
      <c r="DJ9" s="334"/>
      <c r="DK9" s="334"/>
      <c r="DL9" s="334"/>
      <c r="DM9" s="334"/>
      <c r="DN9" s="334"/>
      <c r="DO9" s="334"/>
      <c r="DP9" s="334"/>
      <c r="DQ9" s="334"/>
      <c r="DR9" s="334"/>
      <c r="DS9" s="334"/>
      <c r="DT9" s="334"/>
      <c r="DU9" s="334"/>
      <c r="DV9" s="334"/>
      <c r="DW9" s="334"/>
      <c r="DX9" s="334"/>
      <c r="DY9" s="334"/>
      <c r="DZ9" s="334"/>
      <c r="EA9" s="334"/>
      <c r="EB9" s="334"/>
      <c r="EC9" s="334"/>
      <c r="ED9" s="334"/>
      <c r="EE9" s="334"/>
      <c r="EF9" s="334"/>
      <c r="EG9" s="334"/>
      <c r="EH9" s="334"/>
      <c r="EI9" s="334"/>
      <c r="EJ9" s="334"/>
      <c r="EK9" s="334"/>
      <c r="EL9" s="334"/>
      <c r="EM9" s="334"/>
      <c r="EN9" s="334"/>
      <c r="EO9" s="334"/>
      <c r="EP9" s="334"/>
      <c r="EQ9" s="334"/>
      <c r="ER9" s="334"/>
      <c r="ES9" s="334"/>
      <c r="ET9" s="334"/>
      <c r="EU9" s="334"/>
      <c r="EV9" s="334"/>
      <c r="EW9" s="334"/>
      <c r="EX9" s="334"/>
      <c r="EY9" s="334"/>
      <c r="EZ9" s="334"/>
      <c r="FA9" s="334"/>
      <c r="FB9" s="334"/>
      <c r="FC9" s="334"/>
      <c r="FD9" s="334"/>
      <c r="FE9" s="334"/>
      <c r="FF9" s="12">
        <f>'Sep-24'!G78</f>
        <v>3211</v>
      </c>
      <c r="FG9" s="12">
        <f>'Sep-24'!H78</f>
        <v>3205</v>
      </c>
      <c r="FH9" s="12">
        <f>'Sep-24'!I78</f>
        <v>0</v>
      </c>
      <c r="FI9" s="12">
        <f>'Sep-24'!J78</f>
        <v>0</v>
      </c>
      <c r="FJ9" s="12">
        <f>'Sep-24'!K78</f>
        <v>0</v>
      </c>
      <c r="FK9" s="12">
        <f>'Sep-24'!L78</f>
        <v>0</v>
      </c>
      <c r="FL9" s="12">
        <f>'Sep-24'!M78</f>
        <v>0</v>
      </c>
      <c r="FM9" s="12">
        <f>'Sep-24'!N78</f>
        <v>0</v>
      </c>
      <c r="FN9" s="12">
        <f>'Sep-24'!O78</f>
        <v>0</v>
      </c>
      <c r="FO9" s="12">
        <f>'Sep-24'!P78</f>
        <v>0</v>
      </c>
      <c r="FP9" s="12">
        <f>'Sep-24'!Q78</f>
        <v>0</v>
      </c>
      <c r="FQ9" s="12">
        <f>'Sep-24'!R78</f>
        <v>0</v>
      </c>
      <c r="FR9" s="12">
        <f>'Sep-24'!S78</f>
        <v>0</v>
      </c>
      <c r="FS9" s="12">
        <f>'Sep-24'!T78</f>
        <v>0</v>
      </c>
      <c r="FT9" s="12">
        <f>'Sep-24'!U78</f>
        <v>0</v>
      </c>
      <c r="FU9" s="12">
        <f>'Sep-24'!V78</f>
        <v>0</v>
      </c>
      <c r="FV9" s="12">
        <f>'Sep-24'!W78</f>
        <v>0</v>
      </c>
      <c r="FW9" s="12">
        <f>'Sep-24'!X78</f>
        <v>0</v>
      </c>
      <c r="FX9" s="12">
        <f>'Sep-24'!Y78</f>
        <v>0</v>
      </c>
      <c r="FY9" s="12">
        <f>'Sep-24'!Z78</f>
        <v>0</v>
      </c>
      <c r="FZ9" s="12">
        <f>'Sep-24'!AA78</f>
        <v>0</v>
      </c>
      <c r="GA9" s="12">
        <f>'Sep-24'!AB78</f>
        <v>0</v>
      </c>
      <c r="GB9" s="12">
        <f>'Sep-24'!AC78</f>
        <v>0</v>
      </c>
      <c r="GC9" s="12">
        <f>'Sep-24'!AD78</f>
        <v>0</v>
      </c>
      <c r="GD9" s="12">
        <f>'Sep-24'!AE78</f>
        <v>0</v>
      </c>
      <c r="GE9" s="12">
        <f>'Sep-24'!AF78</f>
        <v>0</v>
      </c>
      <c r="GF9" s="12">
        <f>'Sep-24'!AG78</f>
        <v>0</v>
      </c>
      <c r="GG9" s="12">
        <f>'Sep-24'!AH78</f>
        <v>0</v>
      </c>
      <c r="GH9">
        <f>SUM(FD9:GG9)</f>
        <v>6416</v>
      </c>
    </row>
    <row r="10" spans="1:190" x14ac:dyDescent="0.3">
      <c r="A10" t="s">
        <v>244</v>
      </c>
      <c r="B10" s="334"/>
      <c r="C10" s="334"/>
      <c r="D10" s="334"/>
      <c r="E10" s="334"/>
      <c r="F10" s="334"/>
      <c r="G10" s="334"/>
      <c r="H10" s="334"/>
      <c r="I10" s="334"/>
      <c r="J10" s="334"/>
      <c r="K10" s="334"/>
      <c r="L10" s="334"/>
      <c r="M10" s="334"/>
      <c r="N10" s="334"/>
      <c r="O10" s="334"/>
      <c r="P10" s="334"/>
      <c r="Q10" s="334"/>
      <c r="R10" s="334"/>
      <c r="S10" s="334"/>
      <c r="T10" s="334"/>
      <c r="U10" s="334"/>
      <c r="V10" s="334"/>
      <c r="W10" s="334"/>
      <c r="X10" s="334"/>
      <c r="Y10" s="334"/>
      <c r="Z10" s="334"/>
      <c r="AA10" s="334"/>
      <c r="AB10" s="334"/>
      <c r="AC10" s="334"/>
      <c r="AD10" s="334"/>
      <c r="AE10" s="334"/>
      <c r="AF10" s="334"/>
      <c r="AG10" s="334"/>
      <c r="AH10" s="334"/>
      <c r="AI10" s="334"/>
      <c r="AJ10" s="334"/>
      <c r="AK10" s="334"/>
      <c r="AL10" s="334"/>
      <c r="AM10" s="334"/>
      <c r="AN10" s="334"/>
      <c r="AO10" s="334"/>
      <c r="AP10" s="334"/>
      <c r="AQ10" s="334"/>
      <c r="AR10" s="334"/>
      <c r="AS10" s="334"/>
      <c r="AT10" s="334"/>
      <c r="AU10" s="334"/>
      <c r="AV10" s="334"/>
      <c r="AW10" s="334"/>
      <c r="AX10" s="334"/>
      <c r="AY10" s="334"/>
      <c r="AZ10" s="334"/>
      <c r="BA10" s="334"/>
      <c r="BB10" s="334"/>
      <c r="BC10" s="334"/>
      <c r="BD10" s="334"/>
      <c r="BE10" s="334"/>
      <c r="BF10" s="334"/>
      <c r="BG10" s="334"/>
      <c r="BH10" s="334"/>
      <c r="BI10" s="334"/>
      <c r="BJ10" s="334"/>
      <c r="BK10" s="334"/>
      <c r="BL10" s="334"/>
      <c r="BM10" s="334"/>
      <c r="BN10" s="334"/>
      <c r="BO10" s="334"/>
      <c r="BP10" s="334"/>
      <c r="BQ10" s="334"/>
      <c r="BR10" s="334"/>
      <c r="BS10" s="334"/>
      <c r="BT10" s="334"/>
      <c r="BU10" s="334"/>
      <c r="BV10" s="334"/>
      <c r="BW10" s="334"/>
      <c r="BX10" s="334"/>
      <c r="BY10" s="334"/>
      <c r="BZ10" s="334"/>
      <c r="CA10" s="334"/>
      <c r="CB10" s="334"/>
      <c r="CC10" s="334"/>
      <c r="CD10" s="334"/>
      <c r="CE10" s="334"/>
      <c r="CF10" s="334"/>
      <c r="CG10" s="334"/>
      <c r="CH10" s="334"/>
      <c r="CI10" s="334"/>
      <c r="CJ10" s="334"/>
      <c r="CK10" s="334"/>
      <c r="CL10" s="334"/>
      <c r="CM10" s="334"/>
      <c r="CN10" s="334"/>
      <c r="CO10" s="334"/>
      <c r="CP10" s="334"/>
      <c r="CQ10" s="334"/>
      <c r="CR10" s="334"/>
      <c r="CS10" s="334"/>
      <c r="CT10" s="334"/>
      <c r="CU10" s="334"/>
      <c r="CV10" s="334"/>
      <c r="CW10" s="334"/>
      <c r="CX10" s="334"/>
      <c r="CY10" s="334"/>
      <c r="CZ10" s="334"/>
      <c r="DA10" s="334"/>
      <c r="DB10" s="334"/>
      <c r="DC10" s="334"/>
      <c r="DD10" s="334"/>
      <c r="DE10" s="334"/>
      <c r="DF10" s="334"/>
      <c r="DG10" s="334"/>
      <c r="DH10" s="334"/>
      <c r="DI10" s="334"/>
      <c r="DJ10" s="334"/>
      <c r="DK10" s="334"/>
      <c r="DL10" s="334"/>
      <c r="DM10" s="334"/>
      <c r="DN10" s="334"/>
      <c r="DO10" s="334"/>
      <c r="DP10" s="334"/>
      <c r="DQ10" s="334"/>
      <c r="DR10" s="334"/>
      <c r="DS10" s="334"/>
      <c r="DT10" s="334"/>
      <c r="DU10" s="334"/>
      <c r="DV10" s="334"/>
      <c r="DW10" s="334"/>
      <c r="DX10" s="334"/>
      <c r="DY10" s="334"/>
      <c r="DZ10" s="334"/>
      <c r="EA10" s="334"/>
      <c r="EB10" s="334"/>
      <c r="EC10" s="334"/>
      <c r="ED10" s="334"/>
      <c r="EE10" s="334"/>
      <c r="EF10" s="334"/>
      <c r="EG10" s="334"/>
      <c r="EH10" s="334"/>
      <c r="EI10" s="334"/>
      <c r="EJ10" s="334"/>
      <c r="EK10" s="334"/>
      <c r="EL10" s="334"/>
      <c r="EM10" s="334"/>
      <c r="EN10" s="334"/>
      <c r="EO10" s="334"/>
      <c r="EP10" s="334"/>
      <c r="EQ10" s="334"/>
      <c r="ER10" s="334"/>
      <c r="ES10" s="334"/>
      <c r="ET10" s="334"/>
      <c r="EU10" s="334"/>
      <c r="EV10" s="334"/>
      <c r="EW10" s="334"/>
      <c r="EX10" s="334"/>
      <c r="EY10" s="334"/>
      <c r="EZ10" s="334"/>
      <c r="FA10" s="334"/>
      <c r="FB10" s="334"/>
      <c r="FC10" s="334"/>
      <c r="FD10" s="334"/>
      <c r="FE10" s="334"/>
      <c r="FF10" s="12">
        <f>FF8*FF9</f>
        <v>224770</v>
      </c>
      <c r="FG10" s="12">
        <f t="shared" ref="FG10:GG10" si="62">FG8*FG9</f>
        <v>256400</v>
      </c>
      <c r="FH10" s="12">
        <f t="shared" si="62"/>
        <v>0</v>
      </c>
      <c r="FI10" s="12">
        <f t="shared" si="62"/>
        <v>0</v>
      </c>
      <c r="FJ10" s="12">
        <f t="shared" si="62"/>
        <v>0</v>
      </c>
      <c r="FK10" s="12">
        <f t="shared" si="62"/>
        <v>0</v>
      </c>
      <c r="FL10" s="12">
        <f t="shared" si="62"/>
        <v>0</v>
      </c>
      <c r="FM10" s="12">
        <f t="shared" si="62"/>
        <v>0</v>
      </c>
      <c r="FN10" s="12">
        <f t="shared" si="62"/>
        <v>0</v>
      </c>
      <c r="FO10" s="12">
        <f t="shared" si="62"/>
        <v>0</v>
      </c>
      <c r="FP10" s="12">
        <f t="shared" si="62"/>
        <v>0</v>
      </c>
      <c r="FQ10" s="12">
        <f t="shared" si="62"/>
        <v>0</v>
      </c>
      <c r="FR10" s="12">
        <f t="shared" si="62"/>
        <v>0</v>
      </c>
      <c r="FS10" s="12">
        <f t="shared" si="62"/>
        <v>0</v>
      </c>
      <c r="FT10" s="12">
        <f t="shared" si="62"/>
        <v>0</v>
      </c>
      <c r="FU10" s="12">
        <f t="shared" si="62"/>
        <v>0</v>
      </c>
      <c r="FV10" s="12">
        <f t="shared" si="62"/>
        <v>0</v>
      </c>
      <c r="FW10" s="12">
        <f t="shared" si="62"/>
        <v>0</v>
      </c>
      <c r="FX10" s="12">
        <f t="shared" si="62"/>
        <v>0</v>
      </c>
      <c r="FY10" s="12">
        <f t="shared" si="62"/>
        <v>0</v>
      </c>
      <c r="FZ10" s="12">
        <f t="shared" si="62"/>
        <v>0</v>
      </c>
      <c r="GA10" s="12">
        <f t="shared" si="62"/>
        <v>0</v>
      </c>
      <c r="GB10" s="12">
        <f t="shared" si="62"/>
        <v>0</v>
      </c>
      <c r="GC10" s="12">
        <f t="shared" si="62"/>
        <v>0</v>
      </c>
      <c r="GD10" s="12">
        <f t="shared" si="62"/>
        <v>0</v>
      </c>
      <c r="GE10" s="12">
        <f t="shared" si="62"/>
        <v>0</v>
      </c>
      <c r="GF10" s="12">
        <f t="shared" si="62"/>
        <v>0</v>
      </c>
      <c r="GG10" s="12">
        <f t="shared" si="62"/>
        <v>0</v>
      </c>
      <c r="GH10" s="12">
        <f>SUM(FD10:GG10)</f>
        <v>481170</v>
      </c>
    </row>
    <row r="11" spans="1:190" s="339" customFormat="1" x14ac:dyDescent="0.3">
      <c r="A11" s="341" t="s">
        <v>288</v>
      </c>
      <c r="B11" s="340" t="e">
        <f>B8/B9</f>
        <v>#DIV/0!</v>
      </c>
      <c r="C11" s="340" t="e">
        <f t="shared" ref="C11:AD11" si="63">C8/C9</f>
        <v>#DIV/0!</v>
      </c>
      <c r="D11" s="340" t="e">
        <f t="shared" si="63"/>
        <v>#DIV/0!</v>
      </c>
      <c r="E11" s="340" t="e">
        <f t="shared" si="63"/>
        <v>#DIV/0!</v>
      </c>
      <c r="F11" s="340" t="e">
        <f t="shared" si="63"/>
        <v>#DIV/0!</v>
      </c>
      <c r="G11" s="340" t="e">
        <f t="shared" si="63"/>
        <v>#DIV/0!</v>
      </c>
      <c r="H11" s="340" t="e">
        <f t="shared" si="63"/>
        <v>#DIV/0!</v>
      </c>
      <c r="I11" s="340" t="e">
        <f t="shared" si="63"/>
        <v>#DIV/0!</v>
      </c>
      <c r="J11" s="340" t="e">
        <f t="shared" si="63"/>
        <v>#DIV/0!</v>
      </c>
      <c r="K11" s="340" t="e">
        <f t="shared" si="63"/>
        <v>#DIV/0!</v>
      </c>
      <c r="L11" s="340" t="e">
        <f t="shared" si="63"/>
        <v>#DIV/0!</v>
      </c>
      <c r="M11" s="340" t="e">
        <f t="shared" si="63"/>
        <v>#DIV/0!</v>
      </c>
      <c r="N11" s="340" t="e">
        <f t="shared" si="63"/>
        <v>#DIV/0!</v>
      </c>
      <c r="O11" s="340" t="e">
        <f t="shared" si="63"/>
        <v>#DIV/0!</v>
      </c>
      <c r="P11" s="340" t="e">
        <f t="shared" si="63"/>
        <v>#DIV/0!</v>
      </c>
      <c r="Q11" s="340" t="e">
        <f t="shared" si="63"/>
        <v>#DIV/0!</v>
      </c>
      <c r="R11" s="340" t="e">
        <f t="shared" si="63"/>
        <v>#DIV/0!</v>
      </c>
      <c r="S11" s="340" t="e">
        <f t="shared" si="63"/>
        <v>#DIV/0!</v>
      </c>
      <c r="T11" s="340"/>
      <c r="U11" s="340" t="e">
        <f t="shared" si="63"/>
        <v>#DIV/0!</v>
      </c>
      <c r="V11" s="340" t="e">
        <f t="shared" si="63"/>
        <v>#DIV/0!</v>
      </c>
      <c r="W11" s="340" t="e">
        <f t="shared" si="63"/>
        <v>#DIV/0!</v>
      </c>
      <c r="X11" s="340" t="e">
        <f t="shared" si="63"/>
        <v>#DIV/0!</v>
      </c>
      <c r="Y11" s="340" t="e">
        <f t="shared" si="63"/>
        <v>#DIV/0!</v>
      </c>
      <c r="Z11" s="340" t="e">
        <f t="shared" si="63"/>
        <v>#DIV/0!</v>
      </c>
      <c r="AA11" s="340" t="e">
        <f t="shared" si="63"/>
        <v>#DIV/0!</v>
      </c>
      <c r="AB11" s="340" t="e">
        <f t="shared" si="63"/>
        <v>#DIV/0!</v>
      </c>
      <c r="AC11" s="340" t="e">
        <f t="shared" si="63"/>
        <v>#DIV/0!</v>
      </c>
      <c r="AD11" s="340" t="e">
        <f t="shared" si="63"/>
        <v>#DIV/0!</v>
      </c>
      <c r="AE11" s="340" t="e">
        <f>AE8/AE9</f>
        <v>#DIV/0!</v>
      </c>
      <c r="AF11" s="340" t="e">
        <f>AF8/AF9</f>
        <v>#DIV/0!</v>
      </c>
      <c r="AG11" s="340" t="e">
        <f>AG8/AG9</f>
        <v>#DIV/0!</v>
      </c>
      <c r="AH11" s="340" t="e">
        <f t="shared" ref="AH11:CP11" si="64">AH8/AH9</f>
        <v>#DIV/0!</v>
      </c>
      <c r="AI11" s="340" t="e">
        <f t="shared" si="64"/>
        <v>#DIV/0!</v>
      </c>
      <c r="AJ11" s="340" t="e">
        <f t="shared" si="64"/>
        <v>#DIV/0!</v>
      </c>
      <c r="AK11" s="340" t="e">
        <f t="shared" si="64"/>
        <v>#DIV/0!</v>
      </c>
      <c r="AL11" s="340" t="e">
        <f t="shared" si="64"/>
        <v>#DIV/0!</v>
      </c>
      <c r="AM11" s="340" t="e">
        <f t="shared" si="64"/>
        <v>#DIV/0!</v>
      </c>
      <c r="AN11" s="340" t="e">
        <f t="shared" si="64"/>
        <v>#DIV/0!</v>
      </c>
      <c r="AO11" s="340" t="e">
        <f t="shared" si="64"/>
        <v>#DIV/0!</v>
      </c>
      <c r="AP11" s="340" t="e">
        <f t="shared" si="64"/>
        <v>#DIV/0!</v>
      </c>
      <c r="AQ11" s="340" t="e">
        <f t="shared" si="64"/>
        <v>#DIV/0!</v>
      </c>
      <c r="AR11" s="340" t="e">
        <f t="shared" si="64"/>
        <v>#DIV/0!</v>
      </c>
      <c r="AS11" s="340" t="e">
        <f t="shared" si="64"/>
        <v>#DIV/0!</v>
      </c>
      <c r="AT11" s="340" t="e">
        <f t="shared" si="64"/>
        <v>#DIV/0!</v>
      </c>
      <c r="AU11" s="340" t="e">
        <f t="shared" si="64"/>
        <v>#DIV/0!</v>
      </c>
      <c r="AV11" s="340" t="e">
        <f t="shared" si="64"/>
        <v>#DIV/0!</v>
      </c>
      <c r="AW11" s="340" t="e">
        <f t="shared" si="64"/>
        <v>#DIV/0!</v>
      </c>
      <c r="AX11" s="340" t="e">
        <f t="shared" si="64"/>
        <v>#DIV/0!</v>
      </c>
      <c r="AY11" s="340" t="e">
        <f t="shared" si="64"/>
        <v>#DIV/0!</v>
      </c>
      <c r="AZ11" s="340" t="e">
        <f t="shared" si="64"/>
        <v>#DIV/0!</v>
      </c>
      <c r="BA11" s="340" t="e">
        <f t="shared" si="64"/>
        <v>#DIV/0!</v>
      </c>
      <c r="BB11" s="340" t="e">
        <f t="shared" si="64"/>
        <v>#DIV/0!</v>
      </c>
      <c r="BC11" s="340" t="e">
        <f t="shared" si="64"/>
        <v>#DIV/0!</v>
      </c>
      <c r="BD11" s="340" t="e">
        <f t="shared" si="64"/>
        <v>#DIV/0!</v>
      </c>
      <c r="BE11" s="340" t="e">
        <f t="shared" si="64"/>
        <v>#DIV/0!</v>
      </c>
      <c r="BF11" s="340" t="e">
        <f t="shared" si="64"/>
        <v>#DIV/0!</v>
      </c>
      <c r="BG11" s="340" t="e">
        <f t="shared" si="64"/>
        <v>#DIV/0!</v>
      </c>
      <c r="BH11" s="340" t="e">
        <f t="shared" si="64"/>
        <v>#DIV/0!</v>
      </c>
      <c r="BI11" s="340" t="e">
        <f t="shared" si="64"/>
        <v>#DIV/0!</v>
      </c>
      <c r="BJ11" s="340" t="e">
        <f t="shared" si="64"/>
        <v>#DIV/0!</v>
      </c>
      <c r="BK11" s="340" t="e">
        <f t="shared" si="64"/>
        <v>#DIV/0!</v>
      </c>
      <c r="BL11" s="340" t="e">
        <f>BL8/BL9</f>
        <v>#DIV/0!</v>
      </c>
      <c r="BM11" s="340" t="e">
        <f t="shared" si="64"/>
        <v>#DIV/0!</v>
      </c>
      <c r="BN11" s="340" t="e">
        <f t="shared" si="64"/>
        <v>#DIV/0!</v>
      </c>
      <c r="BO11" s="340" t="e">
        <f t="shared" si="64"/>
        <v>#DIV/0!</v>
      </c>
      <c r="BP11" s="340" t="e">
        <f t="shared" si="64"/>
        <v>#DIV/0!</v>
      </c>
      <c r="BQ11" s="340" t="e">
        <f t="shared" si="64"/>
        <v>#DIV/0!</v>
      </c>
      <c r="BR11" s="340" t="e">
        <f t="shared" si="64"/>
        <v>#DIV/0!</v>
      </c>
      <c r="BS11" s="340" t="e">
        <f t="shared" si="64"/>
        <v>#DIV/0!</v>
      </c>
      <c r="BT11" s="340" t="e">
        <f t="shared" si="64"/>
        <v>#DIV/0!</v>
      </c>
      <c r="BU11" s="340" t="e">
        <f t="shared" si="64"/>
        <v>#DIV/0!</v>
      </c>
      <c r="BV11" s="340" t="e">
        <f t="shared" si="64"/>
        <v>#DIV/0!</v>
      </c>
      <c r="BW11" s="340" t="e">
        <f t="shared" si="64"/>
        <v>#DIV/0!</v>
      </c>
      <c r="BX11" s="340" t="e">
        <f t="shared" si="64"/>
        <v>#DIV/0!</v>
      </c>
      <c r="BY11" s="340" t="e">
        <f t="shared" si="64"/>
        <v>#DIV/0!</v>
      </c>
      <c r="BZ11" s="340" t="e">
        <f t="shared" si="64"/>
        <v>#DIV/0!</v>
      </c>
      <c r="CA11" s="340" t="e">
        <f t="shared" si="64"/>
        <v>#DIV/0!</v>
      </c>
      <c r="CB11" s="340" t="e">
        <f t="shared" si="64"/>
        <v>#DIV/0!</v>
      </c>
      <c r="CC11" s="340" t="e">
        <f t="shared" si="64"/>
        <v>#DIV/0!</v>
      </c>
      <c r="CD11" s="340" t="e">
        <f t="shared" si="64"/>
        <v>#DIV/0!</v>
      </c>
      <c r="CE11" s="340" t="e">
        <f t="shared" si="64"/>
        <v>#DIV/0!</v>
      </c>
      <c r="CF11" s="340" t="e">
        <f t="shared" si="64"/>
        <v>#DIV/0!</v>
      </c>
      <c r="CG11" s="340" t="e">
        <f t="shared" si="64"/>
        <v>#DIV/0!</v>
      </c>
      <c r="CH11" s="340" t="e">
        <f t="shared" si="64"/>
        <v>#DIV/0!</v>
      </c>
      <c r="CI11" s="340" t="e">
        <f t="shared" si="64"/>
        <v>#DIV/0!</v>
      </c>
      <c r="CJ11" s="340" t="e">
        <f t="shared" si="64"/>
        <v>#DIV/0!</v>
      </c>
      <c r="CK11" s="340" t="e">
        <f t="shared" si="64"/>
        <v>#DIV/0!</v>
      </c>
      <c r="CL11" s="340" t="e">
        <f t="shared" si="64"/>
        <v>#DIV/0!</v>
      </c>
      <c r="CM11" s="340" t="e">
        <f t="shared" si="64"/>
        <v>#DIV/0!</v>
      </c>
      <c r="CN11" s="340" t="e">
        <f t="shared" si="64"/>
        <v>#DIV/0!</v>
      </c>
      <c r="CO11" s="340" t="e">
        <f t="shared" si="64"/>
        <v>#DIV/0!</v>
      </c>
      <c r="CP11" s="340" t="e">
        <f t="shared" si="64"/>
        <v>#DIV/0!</v>
      </c>
      <c r="CQ11" s="340" t="e">
        <f>CQ8/CQ9</f>
        <v>#DIV/0!</v>
      </c>
      <c r="CR11" s="340" t="e">
        <f>CR8/CR9</f>
        <v>#DIV/0!</v>
      </c>
      <c r="CS11" s="340" t="e">
        <f t="shared" ref="CS11:CU11" si="65">CS8/CS9</f>
        <v>#DIV/0!</v>
      </c>
      <c r="CT11" s="340" t="e">
        <f t="shared" si="65"/>
        <v>#DIV/0!</v>
      </c>
      <c r="CU11" s="340" t="e">
        <f t="shared" si="65"/>
        <v>#DIV/0!</v>
      </c>
      <c r="CV11" s="340" t="e">
        <f>CV8/CV9</f>
        <v>#DIV/0!</v>
      </c>
      <c r="CW11" s="340" t="e">
        <f t="shared" ref="CW11:DV11" si="66">CW8/CW9</f>
        <v>#DIV/0!</v>
      </c>
      <c r="CX11" s="340" t="e">
        <f t="shared" si="66"/>
        <v>#DIV/0!</v>
      </c>
      <c r="CY11" s="340" t="e">
        <f t="shared" si="66"/>
        <v>#DIV/0!</v>
      </c>
      <c r="CZ11" s="340" t="e">
        <f t="shared" si="66"/>
        <v>#DIV/0!</v>
      </c>
      <c r="DA11" s="340" t="e">
        <f t="shared" si="66"/>
        <v>#DIV/0!</v>
      </c>
      <c r="DB11" s="340" t="e">
        <f t="shared" si="66"/>
        <v>#DIV/0!</v>
      </c>
      <c r="DC11" s="340" t="e">
        <f t="shared" si="66"/>
        <v>#DIV/0!</v>
      </c>
      <c r="DD11" s="340" t="e">
        <f t="shared" si="66"/>
        <v>#DIV/0!</v>
      </c>
      <c r="DE11" s="340" t="e">
        <f t="shared" si="66"/>
        <v>#DIV/0!</v>
      </c>
      <c r="DF11" s="340" t="e">
        <f t="shared" si="66"/>
        <v>#DIV/0!</v>
      </c>
      <c r="DG11" s="340" t="e">
        <f t="shared" si="66"/>
        <v>#DIV/0!</v>
      </c>
      <c r="DH11" s="340" t="e">
        <f t="shared" si="66"/>
        <v>#DIV/0!</v>
      </c>
      <c r="DI11" s="340" t="e">
        <f t="shared" si="66"/>
        <v>#DIV/0!</v>
      </c>
      <c r="DJ11" s="340" t="e">
        <f t="shared" si="66"/>
        <v>#DIV/0!</v>
      </c>
      <c r="DK11" s="340" t="e">
        <f t="shared" si="66"/>
        <v>#DIV/0!</v>
      </c>
      <c r="DL11" s="340" t="e">
        <f t="shared" si="66"/>
        <v>#DIV/0!</v>
      </c>
      <c r="DM11" s="340" t="e">
        <f t="shared" si="66"/>
        <v>#DIV/0!</v>
      </c>
      <c r="DN11" s="340" t="e">
        <f t="shared" si="66"/>
        <v>#DIV/0!</v>
      </c>
      <c r="DO11" s="340" t="e">
        <f t="shared" si="66"/>
        <v>#DIV/0!</v>
      </c>
      <c r="DP11" s="340" t="e">
        <f t="shared" si="66"/>
        <v>#DIV/0!</v>
      </c>
      <c r="DQ11" s="340" t="e">
        <f t="shared" si="66"/>
        <v>#DIV/0!</v>
      </c>
      <c r="DR11" s="340" t="e">
        <f t="shared" si="66"/>
        <v>#DIV/0!</v>
      </c>
      <c r="DS11" s="340" t="e">
        <f t="shared" si="66"/>
        <v>#DIV/0!</v>
      </c>
      <c r="DT11" s="340" t="e">
        <f t="shared" si="66"/>
        <v>#DIV/0!</v>
      </c>
      <c r="DU11" s="340" t="e">
        <f t="shared" si="66"/>
        <v>#DIV/0!</v>
      </c>
      <c r="DV11" s="340" t="e">
        <f t="shared" si="66"/>
        <v>#DIV/0!</v>
      </c>
      <c r="DW11" s="340" t="e">
        <f>DW8/DW9</f>
        <v>#DIV/0!</v>
      </c>
      <c r="DX11" s="340" t="e">
        <f>DX8/DX9</f>
        <v>#DIV/0!</v>
      </c>
      <c r="DY11" s="340" t="e">
        <f t="shared" ref="DY11:FB11" si="67">DY8/DY9</f>
        <v>#DIV/0!</v>
      </c>
      <c r="DZ11" s="340" t="e">
        <f t="shared" si="67"/>
        <v>#DIV/0!</v>
      </c>
      <c r="EA11" s="340" t="e">
        <f t="shared" si="67"/>
        <v>#DIV/0!</v>
      </c>
      <c r="EB11" s="340" t="e">
        <f t="shared" si="67"/>
        <v>#DIV/0!</v>
      </c>
      <c r="EC11" s="340" t="e">
        <f t="shared" si="67"/>
        <v>#DIV/0!</v>
      </c>
      <c r="ED11" s="340" t="e">
        <f t="shared" si="67"/>
        <v>#DIV/0!</v>
      </c>
      <c r="EE11" s="340" t="e">
        <f t="shared" si="67"/>
        <v>#DIV/0!</v>
      </c>
      <c r="EF11" s="340" t="e">
        <f t="shared" si="67"/>
        <v>#DIV/0!</v>
      </c>
      <c r="EG11" s="340" t="e">
        <f t="shared" si="67"/>
        <v>#DIV/0!</v>
      </c>
      <c r="EH11" s="340" t="e">
        <f t="shared" si="67"/>
        <v>#DIV/0!</v>
      </c>
      <c r="EI11" s="340" t="e">
        <f t="shared" si="67"/>
        <v>#DIV/0!</v>
      </c>
      <c r="EJ11" s="340" t="e">
        <f t="shared" si="67"/>
        <v>#DIV/0!</v>
      </c>
      <c r="EK11" s="340" t="e">
        <f t="shared" si="67"/>
        <v>#DIV/0!</v>
      </c>
      <c r="EL11" s="340" t="e">
        <f t="shared" si="67"/>
        <v>#DIV/0!</v>
      </c>
      <c r="EM11" s="340" t="e">
        <f t="shared" si="67"/>
        <v>#DIV/0!</v>
      </c>
      <c r="EN11" s="340" t="e">
        <f t="shared" si="67"/>
        <v>#DIV/0!</v>
      </c>
      <c r="EO11" s="340" t="e">
        <f t="shared" si="67"/>
        <v>#DIV/0!</v>
      </c>
      <c r="EP11" s="340" t="e">
        <f t="shared" si="67"/>
        <v>#DIV/0!</v>
      </c>
      <c r="EQ11" s="340" t="e">
        <f t="shared" si="67"/>
        <v>#DIV/0!</v>
      </c>
      <c r="ER11" s="340" t="e">
        <f t="shared" si="67"/>
        <v>#DIV/0!</v>
      </c>
      <c r="ES11" s="340" t="e">
        <f t="shared" si="67"/>
        <v>#DIV/0!</v>
      </c>
      <c r="ET11" s="340" t="e">
        <f t="shared" si="67"/>
        <v>#DIV/0!</v>
      </c>
      <c r="EU11" s="340" t="e">
        <f t="shared" si="67"/>
        <v>#DIV/0!</v>
      </c>
      <c r="EV11" s="340" t="e">
        <f t="shared" si="67"/>
        <v>#DIV/0!</v>
      </c>
      <c r="EW11" s="340" t="e">
        <f t="shared" si="67"/>
        <v>#DIV/0!</v>
      </c>
      <c r="EX11" s="340" t="e">
        <f t="shared" si="67"/>
        <v>#DIV/0!</v>
      </c>
      <c r="EY11" s="340" t="e">
        <f t="shared" si="67"/>
        <v>#DIV/0!</v>
      </c>
      <c r="EZ11" s="340" t="e">
        <f t="shared" si="67"/>
        <v>#DIV/0!</v>
      </c>
      <c r="FA11" s="340" t="e">
        <f t="shared" si="67"/>
        <v>#DIV/0!</v>
      </c>
      <c r="FB11" s="340" t="e">
        <f t="shared" si="67"/>
        <v>#DIV/0!</v>
      </c>
      <c r="FC11" s="340" t="e">
        <f>FC8/FC9</f>
        <v>#DIV/0!</v>
      </c>
      <c r="FD11" s="340">
        <f>IFERROR(FD10/FD6,0)</f>
        <v>0</v>
      </c>
      <c r="FE11" s="340">
        <f t="shared" ref="FE11" si="68">IFERROR(FE10/FE6,0)</f>
        <v>0</v>
      </c>
      <c r="FF11" s="340">
        <f>IFERROR(FF10/FF6,0)</f>
        <v>3.7247715787185075E-2</v>
      </c>
      <c r="FG11" s="340">
        <f>IFERROR(FG10/FG6,0)</f>
        <v>4.1549848231238841E-2</v>
      </c>
      <c r="FH11" s="340">
        <f t="shared" ref="FH11:GG11" si="69">IFERROR(FH10/FH6,0)</f>
        <v>0</v>
      </c>
      <c r="FI11" s="340">
        <f t="shared" si="69"/>
        <v>0</v>
      </c>
      <c r="FJ11" s="340">
        <f t="shared" si="69"/>
        <v>0</v>
      </c>
      <c r="FK11" s="340">
        <f t="shared" si="69"/>
        <v>0</v>
      </c>
      <c r="FL11" s="340">
        <f t="shared" si="69"/>
        <v>0</v>
      </c>
      <c r="FM11" s="340">
        <f t="shared" si="69"/>
        <v>0</v>
      </c>
      <c r="FN11" s="340">
        <f t="shared" si="69"/>
        <v>0</v>
      </c>
      <c r="FO11" s="340">
        <f t="shared" si="69"/>
        <v>0</v>
      </c>
      <c r="FP11" s="340">
        <f t="shared" si="69"/>
        <v>0</v>
      </c>
      <c r="FQ11" s="340">
        <f t="shared" si="69"/>
        <v>0</v>
      </c>
      <c r="FR11" s="340">
        <f t="shared" si="69"/>
        <v>0</v>
      </c>
      <c r="FS11" s="340">
        <f t="shared" si="69"/>
        <v>0</v>
      </c>
      <c r="FT11" s="340">
        <f t="shared" si="69"/>
        <v>0</v>
      </c>
      <c r="FU11" s="340">
        <f t="shared" si="69"/>
        <v>0</v>
      </c>
      <c r="FV11" s="340">
        <f t="shared" si="69"/>
        <v>0</v>
      </c>
      <c r="FW11" s="340">
        <f t="shared" si="69"/>
        <v>0</v>
      </c>
      <c r="FX11" s="340">
        <f t="shared" si="69"/>
        <v>0</v>
      </c>
      <c r="FY11" s="340">
        <f t="shared" si="69"/>
        <v>0</v>
      </c>
      <c r="FZ11" s="340">
        <f t="shared" si="69"/>
        <v>0</v>
      </c>
      <c r="GA11" s="340">
        <f t="shared" si="69"/>
        <v>0</v>
      </c>
      <c r="GB11" s="340">
        <f t="shared" si="69"/>
        <v>0</v>
      </c>
      <c r="GC11" s="340">
        <f t="shared" si="69"/>
        <v>0</v>
      </c>
      <c r="GD11" s="340">
        <f t="shared" si="69"/>
        <v>0</v>
      </c>
      <c r="GE11" s="340">
        <f t="shared" si="69"/>
        <v>0</v>
      </c>
      <c r="GF11" s="340">
        <f t="shared" si="69"/>
        <v>0</v>
      </c>
      <c r="GG11" s="340">
        <f t="shared" si="69"/>
        <v>0</v>
      </c>
      <c r="GH11" s="340">
        <f>GH10/GH6</f>
        <v>1.9543418276550518E-2</v>
      </c>
    </row>
    <row r="12" spans="1:190" s="335" customFormat="1" x14ac:dyDescent="0.3">
      <c r="A12" s="335" t="s">
        <v>289</v>
      </c>
      <c r="B12" s="336"/>
      <c r="C12" s="336"/>
      <c r="D12" s="336"/>
      <c r="E12" s="336"/>
      <c r="F12" s="336"/>
      <c r="G12" s="336"/>
      <c r="H12" s="336"/>
      <c r="I12" s="336"/>
      <c r="J12" s="336"/>
      <c r="K12" s="336"/>
      <c r="L12" s="336"/>
      <c r="M12" s="336"/>
      <c r="N12" s="336"/>
      <c r="O12" s="336"/>
      <c r="P12" s="336"/>
      <c r="Q12" s="336"/>
      <c r="R12" s="336"/>
      <c r="S12" s="336"/>
      <c r="T12" s="336"/>
      <c r="U12" s="336"/>
      <c r="V12" s="336"/>
      <c r="W12" s="336"/>
      <c r="X12" s="336"/>
      <c r="Y12" s="336"/>
      <c r="Z12" s="336"/>
      <c r="AA12" s="336"/>
      <c r="AB12" s="336"/>
      <c r="AC12" s="336"/>
      <c r="AD12" s="336"/>
      <c r="AE12" s="336"/>
      <c r="FD12" s="337">
        <f>FD7+FD11</f>
        <v>7.2934612197695425E-2</v>
      </c>
      <c r="FE12" s="337">
        <f t="shared" ref="FE12:GG12" si="70">FE7+FE11</f>
        <v>8.4533882573100474E-2</v>
      </c>
      <c r="FF12" s="337">
        <f>FF7+FF11</f>
        <v>9.2720745371917046E-2</v>
      </c>
      <c r="FG12" s="337">
        <f t="shared" si="70"/>
        <v>9.7764653816355185E-2</v>
      </c>
      <c r="FH12" s="337">
        <f t="shared" si="70"/>
        <v>0</v>
      </c>
      <c r="FI12" s="337">
        <f t="shared" si="70"/>
        <v>0</v>
      </c>
      <c r="FJ12" s="337">
        <f t="shared" si="70"/>
        <v>0</v>
      </c>
      <c r="FK12" s="337">
        <f t="shared" si="70"/>
        <v>0</v>
      </c>
      <c r="FL12" s="337">
        <f t="shared" si="70"/>
        <v>0</v>
      </c>
      <c r="FM12" s="337">
        <f t="shared" si="70"/>
        <v>0</v>
      </c>
      <c r="FN12" s="337">
        <f t="shared" si="70"/>
        <v>0</v>
      </c>
      <c r="FO12" s="337">
        <f t="shared" si="70"/>
        <v>0</v>
      </c>
      <c r="FP12" s="337">
        <f t="shared" si="70"/>
        <v>0</v>
      </c>
      <c r="FQ12" s="337">
        <f t="shared" si="70"/>
        <v>0</v>
      </c>
      <c r="FR12" s="337">
        <f t="shared" si="70"/>
        <v>0</v>
      </c>
      <c r="FS12" s="337">
        <f t="shared" si="70"/>
        <v>0</v>
      </c>
      <c r="FT12" s="337">
        <f t="shared" si="70"/>
        <v>0</v>
      </c>
      <c r="FU12" s="337">
        <f t="shared" si="70"/>
        <v>0</v>
      </c>
      <c r="FV12" s="337">
        <f t="shared" si="70"/>
        <v>0</v>
      </c>
      <c r="FW12" s="337">
        <f t="shared" si="70"/>
        <v>0</v>
      </c>
      <c r="FX12" s="337">
        <f t="shared" si="70"/>
        <v>0</v>
      </c>
      <c r="FY12" s="337">
        <f t="shared" si="70"/>
        <v>0</v>
      </c>
      <c r="FZ12" s="337">
        <f t="shared" si="70"/>
        <v>0</v>
      </c>
      <c r="GA12" s="337">
        <f t="shared" si="70"/>
        <v>0</v>
      </c>
      <c r="GB12" s="337">
        <f t="shared" si="70"/>
        <v>0</v>
      </c>
      <c r="GC12" s="337">
        <f t="shared" si="70"/>
        <v>0</v>
      </c>
      <c r="GD12" s="337">
        <f t="shared" si="70"/>
        <v>0</v>
      </c>
      <c r="GE12" s="337">
        <f t="shared" si="70"/>
        <v>0</v>
      </c>
      <c r="GF12" s="337">
        <f t="shared" si="70"/>
        <v>0</v>
      </c>
      <c r="GG12" s="337">
        <f t="shared" si="70"/>
        <v>0</v>
      </c>
      <c r="GH12" s="337">
        <f>(GH5+GH10)/GH6</f>
        <v>8.6932448544539895E-2</v>
      </c>
    </row>
    <row r="13" spans="1:190" x14ac:dyDescent="0.3">
      <c r="A13" t="s">
        <v>246</v>
      </c>
      <c r="B13">
        <f>'Apr-24'!E122</f>
        <v>0</v>
      </c>
      <c r="C13">
        <f>'Apr-24'!F122</f>
        <v>0</v>
      </c>
      <c r="D13">
        <f>'Apr-24'!G122</f>
        <v>0</v>
      </c>
      <c r="E13">
        <f>'Apr-24'!H122</f>
        <v>0</v>
      </c>
      <c r="F13">
        <f>'Apr-24'!I122</f>
        <v>0</v>
      </c>
      <c r="G13">
        <f>'Apr-24'!J122</f>
        <v>0</v>
      </c>
      <c r="H13">
        <f>'Apr-24'!K122</f>
        <v>0</v>
      </c>
      <c r="I13">
        <f>'Apr-24'!L122</f>
        <v>0</v>
      </c>
      <c r="J13">
        <f>'Apr-24'!M122</f>
        <v>0</v>
      </c>
      <c r="K13">
        <f>'Apr-24'!N122</f>
        <v>0</v>
      </c>
      <c r="L13">
        <f>'Apr-24'!O122</f>
        <v>0</v>
      </c>
      <c r="M13">
        <f>'Apr-24'!P122</f>
        <v>0</v>
      </c>
      <c r="N13">
        <f>'Apr-24'!Q122</f>
        <v>0</v>
      </c>
      <c r="O13">
        <f>'Apr-24'!R122</f>
        <v>0</v>
      </c>
      <c r="P13">
        <f>'Apr-24'!S122</f>
        <v>0</v>
      </c>
      <c r="Q13">
        <f>'Apr-24'!T122</f>
        <v>26.45</v>
      </c>
      <c r="R13">
        <f>'Apr-24'!U122</f>
        <v>0</v>
      </c>
      <c r="S13">
        <f>'Apr-24'!V122</f>
        <v>30.46</v>
      </c>
      <c r="T13">
        <f>'Apr-24'!W122</f>
        <v>0</v>
      </c>
      <c r="U13">
        <f>'Apr-24'!X122</f>
        <v>0</v>
      </c>
      <c r="V13">
        <f>'Apr-24'!Y122</f>
        <v>0</v>
      </c>
      <c r="W13">
        <f>'Apr-24'!Z122</f>
        <v>24.26</v>
      </c>
      <c r="X13">
        <f>'Apr-24'!AA122</f>
        <v>35.43</v>
      </c>
      <c r="Y13">
        <f>'Apr-24'!AB122</f>
        <v>0</v>
      </c>
      <c r="Z13">
        <f>'Apr-24'!AC122</f>
        <v>56.03</v>
      </c>
      <c r="AA13">
        <f>'Apr-24'!AD122</f>
        <v>0</v>
      </c>
      <c r="AB13">
        <f>'Apr-24'!AE122</f>
        <v>0</v>
      </c>
      <c r="AC13">
        <f>'Apr-24'!AF122</f>
        <v>0</v>
      </c>
      <c r="AD13">
        <f>'Apr-24'!AG122</f>
        <v>0</v>
      </c>
      <c r="AE13">
        <f>'Apr-24'!AH122</f>
        <v>56.99</v>
      </c>
      <c r="AG13">
        <f>'May-24'!E122</f>
        <v>33.28</v>
      </c>
      <c r="AH13">
        <f>'May-24'!F122</f>
        <v>27.52</v>
      </c>
      <c r="AI13">
        <f>'May-24'!G122</f>
        <v>31.29</v>
      </c>
      <c r="AJ13">
        <f>'May-24'!H122</f>
        <v>0</v>
      </c>
      <c r="AK13">
        <f>'May-24'!I122</f>
        <v>29.36</v>
      </c>
      <c r="AL13">
        <f>'May-24'!J122</f>
        <v>0</v>
      </c>
      <c r="AM13">
        <f>'May-24'!K122</f>
        <v>32.39</v>
      </c>
      <c r="AN13">
        <f>'May-24'!L122</f>
        <v>0</v>
      </c>
      <c r="AO13">
        <f>'May-24'!M122</f>
        <v>0</v>
      </c>
      <c r="AP13">
        <f>'May-24'!N122</f>
        <v>0</v>
      </c>
      <c r="AQ13">
        <f>'May-24'!O122</f>
        <v>0</v>
      </c>
      <c r="AR13">
        <f>'May-24'!P122</f>
        <v>0</v>
      </c>
      <c r="AS13">
        <f>'May-24'!Q122</f>
        <v>62.07</v>
      </c>
      <c r="AT13">
        <f>'May-24'!R122</f>
        <v>0</v>
      </c>
      <c r="AU13">
        <f>'May-24'!S122</f>
        <v>0</v>
      </c>
      <c r="AV13">
        <f>'May-24'!T122</f>
        <v>28.16</v>
      </c>
      <c r="AW13">
        <f>'May-24'!U122</f>
        <v>33.49</v>
      </c>
      <c r="AX13">
        <f>'May-24'!V122</f>
        <v>0</v>
      </c>
      <c r="AY13">
        <f>'May-24'!W122</f>
        <v>102.44</v>
      </c>
      <c r="AZ13">
        <f>'May-24'!X122</f>
        <v>0</v>
      </c>
      <c r="BA13">
        <f>'May-24'!Y122</f>
        <v>28.14</v>
      </c>
      <c r="BB13">
        <f>'May-24'!Z122</f>
        <v>0</v>
      </c>
      <c r="BC13">
        <f>'May-24'!AA122</f>
        <v>25.4</v>
      </c>
      <c r="BD13">
        <f>'May-24'!AB122</f>
        <v>34.299999999999997</v>
      </c>
      <c r="BE13">
        <f>'May-24'!AC122</f>
        <v>0</v>
      </c>
      <c r="BF13">
        <f>'May-24'!AD122</f>
        <v>51.13</v>
      </c>
      <c r="BG13">
        <f>'May-24'!AE122</f>
        <v>0</v>
      </c>
      <c r="BH13">
        <f>'May-24'!AF122</f>
        <v>0</v>
      </c>
      <c r="BI13">
        <f>'May-24'!AG122</f>
        <v>27.98</v>
      </c>
      <c r="BJ13">
        <f>'May-24'!AH122</f>
        <v>0</v>
      </c>
      <c r="BK13">
        <f>'May-24'!AI122</f>
        <v>58.05</v>
      </c>
      <c r="BM13">
        <f>'Jun-24'!E105</f>
        <v>0</v>
      </c>
      <c r="BN13">
        <f>'Jun-24'!F105</f>
        <v>50.73</v>
      </c>
      <c r="BO13">
        <f>'Jun-24'!G105</f>
        <v>32.770000000000003</v>
      </c>
      <c r="BP13">
        <f>'Jun-24'!H105</f>
        <v>0</v>
      </c>
      <c r="BQ13">
        <f>'Jun-24'!I105</f>
        <v>0</v>
      </c>
      <c r="BR13">
        <f>'Jun-24'!J105</f>
        <v>0</v>
      </c>
      <c r="BS13">
        <f>'Jun-24'!K105</f>
        <v>23.01</v>
      </c>
      <c r="BT13">
        <f>'Jun-24'!L105</f>
        <v>0</v>
      </c>
      <c r="BU13">
        <f>'Jun-24'!M105</f>
        <v>48</v>
      </c>
      <c r="BV13">
        <f>'Jun-24'!N105</f>
        <v>0</v>
      </c>
      <c r="BW13">
        <f>'Jun-24'!O105</f>
        <v>31.72</v>
      </c>
      <c r="BX13">
        <f>'Jun-24'!P105</f>
        <v>0</v>
      </c>
      <c r="BY13">
        <f>'Jun-24'!Q105</f>
        <v>27.23</v>
      </c>
      <c r="BZ13">
        <f>'Jun-24'!R105</f>
        <v>0</v>
      </c>
      <c r="CA13">
        <f>'Jun-24'!S105</f>
        <v>0</v>
      </c>
      <c r="CB13">
        <f>'Jun-24'!T105</f>
        <v>33.03</v>
      </c>
      <c r="CC13">
        <f>'Jun-24'!U105</f>
        <v>25.72</v>
      </c>
      <c r="CD13">
        <f>'Jun-24'!V105</f>
        <v>0</v>
      </c>
      <c r="CE13">
        <f>'Jun-24'!W105</f>
        <v>53.27</v>
      </c>
      <c r="CF13">
        <f>'Jun-24'!X105</f>
        <v>22.74</v>
      </c>
      <c r="CG13">
        <f>'Jun-24'!Y105</f>
        <v>23.74</v>
      </c>
      <c r="CH13">
        <f>'Jun-24'!Z105</f>
        <v>0</v>
      </c>
      <c r="CI13">
        <f>'Jun-24'!AA105</f>
        <v>24.69</v>
      </c>
      <c r="CJ13">
        <f>'Jun-24'!AB105</f>
        <v>0</v>
      </c>
      <c r="CK13">
        <f>'Jun-24'!AC105</f>
        <v>0</v>
      </c>
      <c r="CL13">
        <f>'Jun-24'!AD105</f>
        <v>61.21</v>
      </c>
      <c r="CM13">
        <f>'Jun-24'!AE105</f>
        <v>0</v>
      </c>
      <c r="CN13">
        <f>'Jun-24'!AF105</f>
        <v>22.06</v>
      </c>
      <c r="CO13">
        <f>'Jun-24'!AG105</f>
        <v>0</v>
      </c>
      <c r="CP13">
        <f>'Jun-24'!AH105</f>
        <v>98.49</v>
      </c>
      <c r="CR13">
        <f>'Jul-24'!E105</f>
        <v>29.14</v>
      </c>
      <c r="CS13">
        <f>'Jul-24'!F105</f>
        <v>0</v>
      </c>
      <c r="CT13">
        <f>'Jul-24'!G105</f>
        <v>32.479999999999997</v>
      </c>
      <c r="CU13">
        <f>'Jul-24'!H105</f>
        <v>0</v>
      </c>
      <c r="CV13">
        <f>'Jul-24'!I105</f>
        <v>0</v>
      </c>
      <c r="CW13">
        <f>'Jul-24'!J105</f>
        <v>0</v>
      </c>
      <c r="CX13">
        <f>'Jul-24'!K105</f>
        <v>79.290000000000006</v>
      </c>
      <c r="CY13">
        <f>'Jul-24'!L105</f>
        <v>30.8</v>
      </c>
      <c r="CZ13">
        <f>'Jul-24'!M105</f>
        <v>0</v>
      </c>
      <c r="DA13">
        <f>'Jul-24'!N105</f>
        <v>34.51</v>
      </c>
      <c r="DB13">
        <f>'Jul-24'!O105</f>
        <v>0</v>
      </c>
      <c r="DC13">
        <f>'Jul-24'!P105</f>
        <v>28.47</v>
      </c>
      <c r="DD13">
        <f>'Jul-24'!Q105</f>
        <v>0</v>
      </c>
      <c r="DE13">
        <f>'Jul-24'!R105</f>
        <v>47.08</v>
      </c>
      <c r="DF13">
        <f>'Jul-24'!S105</f>
        <v>0</v>
      </c>
      <c r="DG13">
        <f>'Jul-24'!T105</f>
        <v>74.790000000000006</v>
      </c>
      <c r="DH13">
        <f>'Jul-24'!U105</f>
        <v>22.64</v>
      </c>
      <c r="DI13">
        <f>'Jul-24'!V105</f>
        <v>0</v>
      </c>
      <c r="DJ13">
        <f>'Jul-24'!W105</f>
        <v>0</v>
      </c>
      <c r="DK13">
        <f>'Jul-24'!X105</f>
        <v>0</v>
      </c>
      <c r="DL13">
        <f>'Jul-24'!Y105</f>
        <v>0</v>
      </c>
      <c r="DM13">
        <f>'Jul-24'!Z105</f>
        <v>0</v>
      </c>
      <c r="DN13">
        <f>'Jul-24'!AA105</f>
        <v>0</v>
      </c>
      <c r="DO13">
        <f>'Jul-24'!AB105</f>
        <v>0</v>
      </c>
      <c r="DP13">
        <f>'Jul-24'!AC105</f>
        <v>0</v>
      </c>
      <c r="DQ13">
        <f>'Jul-24'!AD105</f>
        <v>0</v>
      </c>
      <c r="DR13">
        <f>'Jul-24'!AE105</f>
        <v>0</v>
      </c>
      <c r="DS13">
        <f>'Jul-24'!AF105</f>
        <v>0</v>
      </c>
      <c r="DT13">
        <f>'Jul-24'!AG105</f>
        <v>0</v>
      </c>
      <c r="DU13">
        <f>'Jul-24'!AH105</f>
        <v>0</v>
      </c>
      <c r="DV13">
        <f>'Jul-24'!AI105</f>
        <v>33.93</v>
      </c>
      <c r="DX13">
        <f>'Aug-24'!E105</f>
        <v>0</v>
      </c>
      <c r="DY13">
        <f>'Aug-24'!F105</f>
        <v>0</v>
      </c>
      <c r="DZ13">
        <f>'Aug-24'!G105</f>
        <v>0</v>
      </c>
      <c r="EA13">
        <f>'Aug-24'!H105</f>
        <v>0</v>
      </c>
      <c r="EB13">
        <f>'Aug-24'!I105</f>
        <v>0</v>
      </c>
      <c r="EC13">
        <f>'Aug-24'!J105</f>
        <v>0</v>
      </c>
      <c r="ED13">
        <f>'Aug-24'!K105</f>
        <v>47.2</v>
      </c>
      <c r="EE13">
        <f>'Aug-24'!L105</f>
        <v>58.22</v>
      </c>
      <c r="EF13">
        <f>'Aug-24'!M105</f>
        <v>0</v>
      </c>
      <c r="EG13">
        <f>'Aug-24'!N105</f>
        <v>0</v>
      </c>
      <c r="EH13">
        <f>'Aug-24'!O105</f>
        <v>32.22</v>
      </c>
      <c r="EI13">
        <f>'Aug-24'!P105</f>
        <v>0</v>
      </c>
      <c r="EJ13">
        <f>'Aug-24'!Q105</f>
        <v>0</v>
      </c>
      <c r="EK13">
        <f>'Aug-24'!R105</f>
        <v>0</v>
      </c>
      <c r="EL13">
        <f>'Aug-24'!S105</f>
        <v>27.77</v>
      </c>
      <c r="EM13">
        <f>'Aug-24'!T105</f>
        <v>0</v>
      </c>
      <c r="EN13">
        <f>'Aug-24'!U105</f>
        <v>0</v>
      </c>
      <c r="EO13">
        <f>'Aug-24'!V105</f>
        <v>0</v>
      </c>
      <c r="EP13">
        <f>'Aug-24'!W105</f>
        <v>28.55</v>
      </c>
      <c r="EQ13">
        <f>'Aug-24'!X105</f>
        <v>0</v>
      </c>
      <c r="ER13">
        <f>'Aug-24'!Y105</f>
        <v>0</v>
      </c>
      <c r="ES13">
        <f>'Aug-24'!Z105</f>
        <v>56.88</v>
      </c>
      <c r="ET13">
        <f>'Aug-24'!AA105</f>
        <v>0</v>
      </c>
      <c r="EU13">
        <f>'Aug-24'!AB105</f>
        <v>0</v>
      </c>
      <c r="EV13">
        <f>'Aug-24'!AC105</f>
        <v>0</v>
      </c>
      <c r="EW13">
        <f>'Aug-24'!AD105</f>
        <v>61.45</v>
      </c>
      <c r="EX13">
        <f>'Aug-24'!AE105</f>
        <v>0</v>
      </c>
      <c r="EY13">
        <f>'Aug-24'!AF105</f>
        <v>0</v>
      </c>
      <c r="EZ13">
        <f>'Aug-24'!AG105</f>
        <v>0</v>
      </c>
      <c r="FA13">
        <f>'Aug-24'!AH105</f>
        <v>0</v>
      </c>
      <c r="FB13">
        <f>'Aug-24'!AI105</f>
        <v>0</v>
      </c>
      <c r="FD13">
        <f>'Sep-24'!E106</f>
        <v>0</v>
      </c>
      <c r="FE13">
        <f>'Sep-24'!F106</f>
        <v>57.115000000000002</v>
      </c>
      <c r="FF13">
        <f>'Sep-24'!G106</f>
        <v>0</v>
      </c>
      <c r="FG13">
        <f>'Sep-24'!H106</f>
        <v>0</v>
      </c>
      <c r="FH13">
        <f>'Sep-24'!I106</f>
        <v>0</v>
      </c>
      <c r="FI13">
        <f>'Sep-24'!J106</f>
        <v>0</v>
      </c>
      <c r="FJ13">
        <f>'Sep-24'!K106</f>
        <v>0</v>
      </c>
      <c r="FK13">
        <f>'Sep-24'!L106</f>
        <v>0</v>
      </c>
      <c r="FL13">
        <f>'Sep-24'!M106</f>
        <v>0</v>
      </c>
      <c r="FM13">
        <f>'Sep-24'!N106</f>
        <v>0</v>
      </c>
      <c r="FN13">
        <f>'Sep-24'!O106</f>
        <v>0</v>
      </c>
      <c r="FO13">
        <f>'Sep-24'!P106</f>
        <v>0</v>
      </c>
      <c r="FP13">
        <f>'Sep-24'!Q106</f>
        <v>0</v>
      </c>
      <c r="FQ13">
        <f>'Sep-24'!R106</f>
        <v>0</v>
      </c>
      <c r="FR13">
        <f>'Sep-24'!S106</f>
        <v>0</v>
      </c>
      <c r="FS13">
        <f>'Sep-24'!T106</f>
        <v>0</v>
      </c>
      <c r="FT13">
        <f>'Sep-24'!U106</f>
        <v>0</v>
      </c>
      <c r="FU13">
        <f>'Sep-24'!V106</f>
        <v>0</v>
      </c>
      <c r="FV13">
        <f>'Sep-24'!W106</f>
        <v>0</v>
      </c>
      <c r="FW13">
        <f>'Sep-24'!X106</f>
        <v>0</v>
      </c>
      <c r="FX13">
        <f>'Sep-24'!Y106</f>
        <v>0</v>
      </c>
      <c r="FY13">
        <f>'Sep-24'!Z106</f>
        <v>0</v>
      </c>
      <c r="FZ13">
        <f>'Sep-24'!AA106</f>
        <v>0</v>
      </c>
      <c r="GA13">
        <f>'Sep-24'!AB106</f>
        <v>0</v>
      </c>
      <c r="GB13">
        <f>'Sep-24'!AC106</f>
        <v>0</v>
      </c>
      <c r="GC13">
        <f>'Sep-24'!AD106</f>
        <v>0</v>
      </c>
      <c r="GD13">
        <f>'Sep-24'!AE106</f>
        <v>0</v>
      </c>
      <c r="GE13">
        <f>'Sep-24'!AF106</f>
        <v>0</v>
      </c>
      <c r="GF13">
        <f>'Sep-24'!AG106</f>
        <v>0</v>
      </c>
      <c r="GG13">
        <f>'Sep-24'!AH106</f>
        <v>0</v>
      </c>
    </row>
    <row r="14" spans="1:190" x14ac:dyDescent="0.3">
      <c r="A14" t="s">
        <v>243</v>
      </c>
      <c r="B14" s="12">
        <f>'Apr-24'!E123</f>
        <v>0</v>
      </c>
      <c r="C14" s="12">
        <f>'Apr-24'!F123</f>
        <v>0</v>
      </c>
      <c r="D14" s="12">
        <f>'Apr-24'!G123</f>
        <v>0</v>
      </c>
      <c r="E14" s="12">
        <f>'Apr-24'!H123</f>
        <v>0</v>
      </c>
      <c r="F14" s="12">
        <f>'Apr-24'!I123</f>
        <v>0</v>
      </c>
      <c r="G14" s="12">
        <f>'Apr-24'!J123</f>
        <v>0</v>
      </c>
      <c r="H14" s="12">
        <f>'Apr-24'!K123</f>
        <v>0</v>
      </c>
      <c r="I14" s="12">
        <f>'Apr-24'!L123</f>
        <v>0</v>
      </c>
      <c r="J14" s="12">
        <f>'Apr-24'!M123</f>
        <v>0</v>
      </c>
      <c r="K14" s="12">
        <f>'Apr-24'!N123</f>
        <v>0</v>
      </c>
      <c r="L14" s="12">
        <f>'Apr-24'!O123</f>
        <v>0</v>
      </c>
      <c r="M14" s="12">
        <f>'Apr-24'!P123</f>
        <v>0</v>
      </c>
      <c r="N14" s="12">
        <f>'Apr-24'!Q123</f>
        <v>0</v>
      </c>
      <c r="O14" s="12">
        <f>'Apr-24'!R123</f>
        <v>0</v>
      </c>
      <c r="P14" s="12">
        <f>'Apr-24'!S123</f>
        <v>0</v>
      </c>
      <c r="Q14" s="12">
        <f>'Apr-24'!T123</f>
        <v>1814</v>
      </c>
      <c r="R14" s="12">
        <f>'Apr-24'!U123</f>
        <v>0</v>
      </c>
      <c r="S14" s="12">
        <f>'Apr-24'!V123</f>
        <v>918</v>
      </c>
      <c r="T14" s="12">
        <f>'Apr-24'!W123</f>
        <v>0</v>
      </c>
      <c r="U14" s="12">
        <f>'Apr-24'!X123</f>
        <v>0</v>
      </c>
      <c r="V14" s="12">
        <f>'Apr-24'!Y123</f>
        <v>0</v>
      </c>
      <c r="W14" s="12">
        <f>'Apr-24'!Z123</f>
        <v>547</v>
      </c>
      <c r="X14" s="12">
        <f>'Apr-24'!AA123</f>
        <v>2578</v>
      </c>
      <c r="Y14" s="12">
        <f>'Apr-24'!AB123</f>
        <v>0</v>
      </c>
      <c r="Z14" s="12">
        <f>'Apr-24'!AC123</f>
        <v>2237</v>
      </c>
      <c r="AA14" s="12">
        <f>'Apr-24'!AD123</f>
        <v>0</v>
      </c>
      <c r="AB14" s="12">
        <f>'Apr-24'!AE123</f>
        <v>0</v>
      </c>
      <c r="AC14" s="12">
        <f>'Apr-24'!AF123</f>
        <v>0</v>
      </c>
      <c r="AD14" s="12">
        <f>'Apr-24'!AG123</f>
        <v>0</v>
      </c>
      <c r="AE14" s="12">
        <f>'Apr-24'!AH123</f>
        <v>347</v>
      </c>
      <c r="AG14">
        <f>'May-24'!E123</f>
        <v>1116</v>
      </c>
      <c r="AH14">
        <f>'May-24'!F123</f>
        <v>854</v>
      </c>
      <c r="AI14">
        <f>'May-24'!G123</f>
        <v>2611</v>
      </c>
      <c r="AJ14">
        <f>'May-24'!H123</f>
        <v>0</v>
      </c>
      <c r="AK14">
        <f>'May-24'!I123</f>
        <v>2631</v>
      </c>
      <c r="AL14">
        <f>'May-24'!J123</f>
        <v>0</v>
      </c>
      <c r="AM14">
        <f>'May-24'!K123</f>
        <v>495</v>
      </c>
      <c r="AN14">
        <f>'May-24'!L123</f>
        <v>0</v>
      </c>
      <c r="AO14">
        <f>'May-24'!M123</f>
        <v>0</v>
      </c>
      <c r="AP14">
        <f>'May-24'!N123</f>
        <v>0</v>
      </c>
      <c r="AQ14">
        <f>'May-24'!O123</f>
        <v>0</v>
      </c>
      <c r="AR14">
        <f>'May-24'!P123</f>
        <v>0</v>
      </c>
      <c r="AS14">
        <f>'May-24'!Q123</f>
        <v>1353</v>
      </c>
      <c r="AT14">
        <f>'May-24'!R123</f>
        <v>0</v>
      </c>
      <c r="AU14">
        <f>'May-24'!S123</f>
        <v>0</v>
      </c>
      <c r="AV14">
        <f>'May-24'!T123</f>
        <v>1328</v>
      </c>
      <c r="AW14">
        <f>'May-24'!U123</f>
        <v>3615</v>
      </c>
      <c r="AX14">
        <f>'May-24'!V123</f>
        <v>0</v>
      </c>
      <c r="AY14">
        <f>'May-24'!W123</f>
        <v>1321</v>
      </c>
      <c r="AZ14">
        <f>'May-24'!X123</f>
        <v>0</v>
      </c>
      <c r="BA14">
        <f>'May-24'!Y123</f>
        <v>1374</v>
      </c>
      <c r="BB14">
        <f>'May-24'!Z123</f>
        <v>0</v>
      </c>
      <c r="BC14">
        <f>'May-24'!AA123</f>
        <v>2107</v>
      </c>
      <c r="BD14">
        <f>'May-24'!AB123</f>
        <v>2395</v>
      </c>
      <c r="BE14">
        <f>'May-24'!AC123</f>
        <v>0</v>
      </c>
      <c r="BF14">
        <f>'May-24'!AD123</f>
        <v>691</v>
      </c>
      <c r="BG14">
        <f>'May-24'!AE123</f>
        <v>0</v>
      </c>
      <c r="BH14">
        <f>'May-24'!AF123</f>
        <v>0</v>
      </c>
      <c r="BI14">
        <f>'May-24'!AG123</f>
        <v>503</v>
      </c>
      <c r="BJ14">
        <f>'May-24'!AH123</f>
        <v>0</v>
      </c>
      <c r="BK14">
        <f>'May-24'!AI123</f>
        <v>950</v>
      </c>
      <c r="BM14">
        <f>'Jun-24'!E106</f>
        <v>0</v>
      </c>
      <c r="BN14">
        <f>'Jun-24'!F106</f>
        <v>962</v>
      </c>
      <c r="BO14">
        <f>'Jun-24'!G106</f>
        <v>2877</v>
      </c>
      <c r="BP14">
        <f>'Jun-24'!H106</f>
        <v>0</v>
      </c>
      <c r="BQ14">
        <f>'Jun-24'!I106</f>
        <v>0</v>
      </c>
      <c r="BR14">
        <f>'Jun-24'!J106</f>
        <v>0</v>
      </c>
      <c r="BS14">
        <f>'Jun-24'!K106</f>
        <v>2624</v>
      </c>
      <c r="BT14">
        <f>'Jun-24'!L106</f>
        <v>0</v>
      </c>
      <c r="BU14">
        <f>'Jun-24'!M106</f>
        <v>388</v>
      </c>
      <c r="BV14">
        <f>'Jun-24'!N106</f>
        <v>0</v>
      </c>
      <c r="BW14">
        <f>'Jun-24'!O106</f>
        <v>692</v>
      </c>
      <c r="BX14">
        <f>'Jun-24'!P106</f>
        <v>0</v>
      </c>
      <c r="BY14">
        <f>'Jun-24'!Q106</f>
        <v>580</v>
      </c>
      <c r="BZ14">
        <f>'Jun-24'!R106</f>
        <v>0</v>
      </c>
      <c r="CA14">
        <f>'Jun-24'!S106</f>
        <v>0</v>
      </c>
      <c r="CB14">
        <f>'Jun-24'!T106</f>
        <v>245</v>
      </c>
      <c r="CC14">
        <f>'Jun-24'!U106</f>
        <v>2571</v>
      </c>
      <c r="CD14">
        <f>'Jun-24'!V106</f>
        <v>0</v>
      </c>
      <c r="CE14">
        <f>'Jun-24'!W106</f>
        <v>333</v>
      </c>
      <c r="CF14">
        <f>'Jun-24'!X106</f>
        <v>262</v>
      </c>
      <c r="CG14">
        <f>'Jun-24'!Y106</f>
        <v>2369</v>
      </c>
      <c r="CH14">
        <f>'Jun-24'!Z106</f>
        <v>0</v>
      </c>
      <c r="CI14">
        <f>'Jun-24'!AA106</f>
        <v>377</v>
      </c>
      <c r="CJ14">
        <f>'Jun-24'!AB106</f>
        <v>0</v>
      </c>
      <c r="CK14">
        <f>'Jun-24'!AC106</f>
        <v>0</v>
      </c>
      <c r="CL14">
        <f>'Jun-24'!AD106</f>
        <v>1075</v>
      </c>
      <c r="CM14">
        <f>'Jun-24'!AE106</f>
        <v>0</v>
      </c>
      <c r="CN14">
        <f>'Jun-24'!AF106</f>
        <v>118</v>
      </c>
      <c r="CO14">
        <f>'Jun-24'!AG106</f>
        <v>0</v>
      </c>
      <c r="CP14">
        <f>'Jun-24'!AH106</f>
        <v>1428</v>
      </c>
      <c r="CR14">
        <f>'Jul-24'!E106</f>
        <v>553</v>
      </c>
      <c r="CS14">
        <f>'Jul-24'!F106</f>
        <v>0</v>
      </c>
      <c r="CT14">
        <f>'Jul-24'!G106</f>
        <v>424</v>
      </c>
      <c r="CU14">
        <f>'Jul-24'!H106</f>
        <v>0</v>
      </c>
      <c r="CV14">
        <f>'Jul-24'!I106</f>
        <v>0</v>
      </c>
      <c r="CW14">
        <f>'Jul-24'!J106</f>
        <v>0</v>
      </c>
      <c r="CX14">
        <f>'Jul-24'!K106</f>
        <v>583</v>
      </c>
      <c r="CY14">
        <f>'Jul-24'!L106</f>
        <v>695</v>
      </c>
      <c r="CZ14">
        <f>'Jul-24'!M106</f>
        <v>0</v>
      </c>
      <c r="DA14">
        <f>'Jul-24'!N106</f>
        <v>2372</v>
      </c>
      <c r="DB14">
        <f>'Jul-24'!O106</f>
        <v>0</v>
      </c>
      <c r="DC14">
        <f>'Jul-24'!P106</f>
        <v>2541</v>
      </c>
      <c r="DD14">
        <f>'Jul-24'!Q106</f>
        <v>0</v>
      </c>
      <c r="DE14">
        <f>'Jul-24'!R106</f>
        <v>1512</v>
      </c>
      <c r="DF14">
        <f>'Jul-24'!S106</f>
        <v>0</v>
      </c>
      <c r="DG14">
        <f>'Jul-24'!T106</f>
        <v>1213</v>
      </c>
      <c r="DH14">
        <f>'Jul-24'!U106</f>
        <v>2305</v>
      </c>
      <c r="DI14">
        <f>'Jul-24'!V106</f>
        <v>0</v>
      </c>
      <c r="DJ14">
        <f>'Jul-24'!W106</f>
        <v>0</v>
      </c>
      <c r="DK14">
        <f>'Jul-24'!X106</f>
        <v>0</v>
      </c>
      <c r="DL14">
        <f>'Jul-24'!Y106</f>
        <v>0</v>
      </c>
      <c r="DM14">
        <f>'Jul-24'!Z106</f>
        <v>0</v>
      </c>
      <c r="DN14">
        <f>'Jul-24'!AA106</f>
        <v>0</v>
      </c>
      <c r="DO14">
        <f>'Jul-24'!AB106</f>
        <v>0</v>
      </c>
      <c r="DP14">
        <f>'Jul-24'!AC106</f>
        <v>0</v>
      </c>
      <c r="DQ14">
        <f>'Jul-24'!AD106</f>
        <v>0</v>
      </c>
      <c r="DR14">
        <f>'Jul-24'!AE106</f>
        <v>0</v>
      </c>
      <c r="DS14">
        <f>'Jul-24'!AF106</f>
        <v>0</v>
      </c>
      <c r="DT14">
        <f>'Jul-24'!AG106</f>
        <v>0</v>
      </c>
      <c r="DU14">
        <f>'Jul-24'!AH106</f>
        <v>0</v>
      </c>
      <c r="DV14">
        <f>'Jul-24'!AI106</f>
        <v>3785</v>
      </c>
      <c r="DX14">
        <f>'Aug-24'!E106</f>
        <v>0</v>
      </c>
      <c r="DY14">
        <f>'Aug-24'!F106</f>
        <v>0</v>
      </c>
      <c r="DZ14">
        <f>'Aug-24'!G106</f>
        <v>0</v>
      </c>
      <c r="EA14">
        <f>'Aug-24'!H106</f>
        <v>0</v>
      </c>
      <c r="EB14">
        <f>'Aug-24'!I106</f>
        <v>0</v>
      </c>
      <c r="EC14">
        <f>'Aug-24'!J106</f>
        <v>0</v>
      </c>
      <c r="ED14">
        <f>'Aug-24'!K106</f>
        <v>914</v>
      </c>
      <c r="EE14">
        <f>'Aug-24'!L106</f>
        <v>2617</v>
      </c>
      <c r="EF14">
        <f>'Aug-24'!M106</f>
        <v>0</v>
      </c>
      <c r="EG14">
        <f>'Aug-24'!N106</f>
        <v>0</v>
      </c>
      <c r="EH14">
        <f>'Aug-24'!O106</f>
        <v>1362</v>
      </c>
      <c r="EI14">
        <f>'Aug-24'!P106</f>
        <v>0</v>
      </c>
      <c r="EJ14">
        <f>'Aug-24'!Q106</f>
        <v>0</v>
      </c>
      <c r="EK14">
        <f>'Aug-24'!R106</f>
        <v>0</v>
      </c>
      <c r="EL14">
        <f>'Aug-24'!S106</f>
        <v>899</v>
      </c>
      <c r="EM14">
        <f>'Aug-24'!T106</f>
        <v>0</v>
      </c>
      <c r="EN14">
        <f>'Aug-24'!U106</f>
        <v>0</v>
      </c>
      <c r="EO14">
        <f>'Aug-24'!V106</f>
        <v>0</v>
      </c>
      <c r="EP14">
        <f>'Aug-24'!W106</f>
        <v>1922</v>
      </c>
      <c r="EQ14">
        <f>'Aug-24'!X106</f>
        <v>0</v>
      </c>
      <c r="ER14">
        <f>'Aug-24'!Y106</f>
        <v>0</v>
      </c>
      <c r="ES14">
        <f>'Aug-24'!Z106</f>
        <v>389</v>
      </c>
      <c r="ET14">
        <f>'Aug-24'!AA106</f>
        <v>0</v>
      </c>
      <c r="EU14">
        <f>'Aug-24'!AB106</f>
        <v>0</v>
      </c>
      <c r="EV14">
        <f>'Aug-24'!AC106</f>
        <v>0</v>
      </c>
      <c r="EW14">
        <f>'Aug-24'!AD106</f>
        <v>692</v>
      </c>
      <c r="EX14">
        <f>'Aug-24'!AE106</f>
        <v>0</v>
      </c>
      <c r="EY14">
        <f>'Aug-24'!AF106</f>
        <v>0</v>
      </c>
      <c r="EZ14">
        <f>'Aug-24'!AG106</f>
        <v>0</v>
      </c>
      <c r="FA14">
        <f>'Aug-24'!AH106</f>
        <v>0</v>
      </c>
      <c r="FB14">
        <f>'Aug-24'!AI106</f>
        <v>0</v>
      </c>
      <c r="FD14">
        <f>'Sep-24'!E107</f>
        <v>0</v>
      </c>
      <c r="FE14">
        <f>'Sep-24'!F107</f>
        <v>1245</v>
      </c>
      <c r="FF14">
        <f>'Sep-24'!G107</f>
        <v>0</v>
      </c>
      <c r="FG14">
        <f>'Sep-24'!H107</f>
        <v>0</v>
      </c>
      <c r="FH14">
        <f>'Sep-24'!I107</f>
        <v>0</v>
      </c>
      <c r="FI14">
        <f>'Sep-24'!J107</f>
        <v>0</v>
      </c>
      <c r="FJ14">
        <f>'Sep-24'!K107</f>
        <v>0</v>
      </c>
      <c r="FK14">
        <f>'Sep-24'!L107</f>
        <v>0</v>
      </c>
      <c r="FL14">
        <f>'Sep-24'!M107</f>
        <v>0</v>
      </c>
      <c r="FM14">
        <f>'Sep-24'!N107</f>
        <v>0</v>
      </c>
      <c r="FN14">
        <f>'Sep-24'!O107</f>
        <v>0</v>
      </c>
      <c r="FO14">
        <f>'Sep-24'!P107</f>
        <v>0</v>
      </c>
      <c r="FP14">
        <f>'Sep-24'!Q107</f>
        <v>0</v>
      </c>
      <c r="FQ14">
        <f>'Sep-24'!R107</f>
        <v>0</v>
      </c>
      <c r="FR14">
        <f>'Sep-24'!S107</f>
        <v>0</v>
      </c>
      <c r="FS14">
        <f>'Sep-24'!T107</f>
        <v>0</v>
      </c>
      <c r="FT14">
        <f>'Sep-24'!U107</f>
        <v>0</v>
      </c>
      <c r="FU14">
        <f>'Sep-24'!V107</f>
        <v>0</v>
      </c>
      <c r="FV14">
        <f>'Sep-24'!W107</f>
        <v>0</v>
      </c>
      <c r="FW14">
        <f>'Sep-24'!X107</f>
        <v>0</v>
      </c>
      <c r="FX14">
        <f>'Sep-24'!Y107</f>
        <v>0</v>
      </c>
      <c r="FY14">
        <f>'Sep-24'!Z107</f>
        <v>0</v>
      </c>
      <c r="FZ14">
        <f>'Sep-24'!AA107</f>
        <v>0</v>
      </c>
      <c r="GA14">
        <f>'Sep-24'!AB107</f>
        <v>0</v>
      </c>
      <c r="GB14">
        <f>'Sep-24'!AC107</f>
        <v>0</v>
      </c>
      <c r="GC14">
        <f>'Sep-24'!AD107</f>
        <v>0</v>
      </c>
      <c r="GD14">
        <f>'Sep-24'!AE107</f>
        <v>0</v>
      </c>
      <c r="GE14">
        <f>'Sep-24'!AF107</f>
        <v>0</v>
      </c>
      <c r="GF14">
        <f>'Sep-24'!AG107</f>
        <v>0</v>
      </c>
      <c r="GG14">
        <f>'Sep-24'!AH107</f>
        <v>0</v>
      </c>
    </row>
    <row r="15" spans="1:190" x14ac:dyDescent="0.3">
      <c r="A15" t="s">
        <v>247</v>
      </c>
      <c r="B15">
        <f>B14*B13</f>
        <v>0</v>
      </c>
      <c r="C15">
        <f t="shared" ref="C15:AL15" si="71">C14*C13</f>
        <v>0</v>
      </c>
      <c r="D15">
        <f t="shared" si="71"/>
        <v>0</v>
      </c>
      <c r="E15">
        <f t="shared" si="71"/>
        <v>0</v>
      </c>
      <c r="F15">
        <f t="shared" si="71"/>
        <v>0</v>
      </c>
      <c r="G15">
        <f t="shared" si="71"/>
        <v>0</v>
      </c>
      <c r="H15">
        <f t="shared" si="71"/>
        <v>0</v>
      </c>
      <c r="I15">
        <f t="shared" si="71"/>
        <v>0</v>
      </c>
      <c r="J15">
        <f t="shared" si="71"/>
        <v>0</v>
      </c>
      <c r="K15">
        <f t="shared" si="71"/>
        <v>0</v>
      </c>
      <c r="L15">
        <f t="shared" si="71"/>
        <v>0</v>
      </c>
      <c r="M15">
        <f t="shared" si="71"/>
        <v>0</v>
      </c>
      <c r="N15">
        <f t="shared" si="71"/>
        <v>0</v>
      </c>
      <c r="O15">
        <f t="shared" si="71"/>
        <v>0</v>
      </c>
      <c r="P15">
        <f t="shared" si="71"/>
        <v>0</v>
      </c>
      <c r="Q15">
        <f t="shared" si="71"/>
        <v>47980.299999999996</v>
      </c>
      <c r="R15">
        <f t="shared" si="71"/>
        <v>0</v>
      </c>
      <c r="S15">
        <f t="shared" si="71"/>
        <v>27962.280000000002</v>
      </c>
      <c r="T15">
        <f t="shared" si="71"/>
        <v>0</v>
      </c>
      <c r="U15">
        <f t="shared" si="71"/>
        <v>0</v>
      </c>
      <c r="V15">
        <f t="shared" si="71"/>
        <v>0</v>
      </c>
      <c r="W15">
        <f t="shared" si="71"/>
        <v>13270.220000000001</v>
      </c>
      <c r="X15">
        <f t="shared" si="71"/>
        <v>91338.54</v>
      </c>
      <c r="Y15">
        <f t="shared" si="71"/>
        <v>0</v>
      </c>
      <c r="Z15">
        <f t="shared" si="71"/>
        <v>125339.11</v>
      </c>
      <c r="AA15">
        <f t="shared" si="71"/>
        <v>0</v>
      </c>
      <c r="AB15">
        <f t="shared" si="71"/>
        <v>0</v>
      </c>
      <c r="AC15">
        <f t="shared" si="71"/>
        <v>0</v>
      </c>
      <c r="AD15">
        <f t="shared" si="71"/>
        <v>0</v>
      </c>
      <c r="AE15">
        <f t="shared" si="71"/>
        <v>19775.530000000002</v>
      </c>
      <c r="AF15">
        <f>SUM(B15:AE15)</f>
        <v>325665.98000000004</v>
      </c>
      <c r="AG15" s="12">
        <f t="shared" si="71"/>
        <v>37140.480000000003</v>
      </c>
      <c r="AH15" s="12">
        <f t="shared" si="71"/>
        <v>23502.079999999998</v>
      </c>
      <c r="AI15" s="12">
        <f t="shared" si="71"/>
        <v>81698.19</v>
      </c>
      <c r="AJ15" s="12">
        <f t="shared" si="71"/>
        <v>0</v>
      </c>
      <c r="AK15" s="12">
        <f t="shared" si="71"/>
        <v>77246.16</v>
      </c>
      <c r="AL15" s="12">
        <f t="shared" si="71"/>
        <v>0</v>
      </c>
      <c r="AM15" s="12">
        <f t="shared" ref="AM15:AO15" si="72">AM14*AM13</f>
        <v>16033.050000000001</v>
      </c>
      <c r="AN15" s="12">
        <f t="shared" si="72"/>
        <v>0</v>
      </c>
      <c r="AO15" s="12">
        <f t="shared" si="72"/>
        <v>0</v>
      </c>
      <c r="AP15" s="12">
        <f t="shared" ref="AP15:AR15" si="73">AP14*AP13</f>
        <v>0</v>
      </c>
      <c r="AQ15" s="12">
        <f t="shared" si="73"/>
        <v>0</v>
      </c>
      <c r="AR15" s="12">
        <f t="shared" si="73"/>
        <v>0</v>
      </c>
      <c r="AS15" s="12">
        <f t="shared" ref="AS15:AY15" si="74">AS14*AS13</f>
        <v>83980.71</v>
      </c>
      <c r="AT15" s="12">
        <f t="shared" si="74"/>
        <v>0</v>
      </c>
      <c r="AU15" s="12">
        <f t="shared" si="74"/>
        <v>0</v>
      </c>
      <c r="AV15" s="12">
        <f t="shared" si="74"/>
        <v>37396.480000000003</v>
      </c>
      <c r="AW15" s="12">
        <f t="shared" si="74"/>
        <v>121066.35</v>
      </c>
      <c r="AX15" s="12">
        <f t="shared" si="74"/>
        <v>0</v>
      </c>
      <c r="AY15" s="12">
        <f t="shared" si="74"/>
        <v>135323.24</v>
      </c>
      <c r="AZ15" s="12">
        <f t="shared" ref="AZ15:BA15" si="75">AZ14*AZ13</f>
        <v>0</v>
      </c>
      <c r="BA15" s="12">
        <f t="shared" si="75"/>
        <v>38664.36</v>
      </c>
      <c r="BB15" s="12">
        <f t="shared" ref="BB15:BC15" si="76">BB14*BB13</f>
        <v>0</v>
      </c>
      <c r="BC15" s="12">
        <f t="shared" si="76"/>
        <v>53517.799999999996</v>
      </c>
      <c r="BD15" s="12">
        <f t="shared" ref="BD15:BF15" si="77">BD14*BD13</f>
        <v>82148.5</v>
      </c>
      <c r="BE15" s="12">
        <f t="shared" si="77"/>
        <v>0</v>
      </c>
      <c r="BF15" s="12">
        <f t="shared" si="77"/>
        <v>35330.83</v>
      </c>
      <c r="BG15" s="12">
        <f t="shared" ref="BG15:BH15" si="78">BG14*BG13</f>
        <v>0</v>
      </c>
      <c r="BH15" s="12">
        <f t="shared" si="78"/>
        <v>0</v>
      </c>
      <c r="BI15" s="12">
        <f t="shared" ref="BI15:BK15" si="79">BI14*BI13</f>
        <v>14073.94</v>
      </c>
      <c r="BJ15" s="12">
        <f t="shared" si="79"/>
        <v>0</v>
      </c>
      <c r="BK15" s="12">
        <f t="shared" si="79"/>
        <v>55147.5</v>
      </c>
      <c r="BL15" s="12">
        <f>SUM(AG15:BK15)</f>
        <v>892269.66999999993</v>
      </c>
      <c r="BM15" s="12">
        <f>BM14*BM13</f>
        <v>0</v>
      </c>
      <c r="BN15" s="12">
        <f>BN14*BN13</f>
        <v>48802.259999999995</v>
      </c>
      <c r="BO15" s="12">
        <f t="shared" ref="BO15:CI15" si="80">BO14*BO13</f>
        <v>94279.290000000008</v>
      </c>
      <c r="BP15" s="12">
        <f t="shared" si="80"/>
        <v>0</v>
      </c>
      <c r="BQ15" s="12">
        <f t="shared" si="80"/>
        <v>0</v>
      </c>
      <c r="BR15" s="12">
        <f t="shared" si="80"/>
        <v>0</v>
      </c>
      <c r="BS15" s="12">
        <f t="shared" si="80"/>
        <v>60378.240000000005</v>
      </c>
      <c r="BT15" s="12">
        <f t="shared" si="80"/>
        <v>0</v>
      </c>
      <c r="BU15" s="12">
        <f t="shared" si="80"/>
        <v>18624</v>
      </c>
      <c r="BV15" s="12">
        <f t="shared" si="80"/>
        <v>0</v>
      </c>
      <c r="BW15" s="12">
        <f t="shared" si="80"/>
        <v>21950.239999999998</v>
      </c>
      <c r="BX15" s="12">
        <f t="shared" si="80"/>
        <v>0</v>
      </c>
      <c r="BY15" s="12">
        <f t="shared" si="80"/>
        <v>15793.4</v>
      </c>
      <c r="BZ15" s="12">
        <f t="shared" si="80"/>
        <v>0</v>
      </c>
      <c r="CA15" s="12">
        <f t="shared" si="80"/>
        <v>0</v>
      </c>
      <c r="CB15" s="12">
        <f t="shared" si="80"/>
        <v>8092.35</v>
      </c>
      <c r="CC15" s="12">
        <f t="shared" si="80"/>
        <v>66126.12</v>
      </c>
      <c r="CD15" s="12">
        <f t="shared" si="80"/>
        <v>0</v>
      </c>
      <c r="CE15" s="12">
        <f t="shared" si="80"/>
        <v>17738.91</v>
      </c>
      <c r="CF15" s="12">
        <f t="shared" si="80"/>
        <v>5957.8799999999992</v>
      </c>
      <c r="CG15" s="12">
        <f t="shared" si="80"/>
        <v>56240.06</v>
      </c>
      <c r="CH15" s="12">
        <f t="shared" si="80"/>
        <v>0</v>
      </c>
      <c r="CI15" s="12">
        <f t="shared" si="80"/>
        <v>9308.130000000001</v>
      </c>
      <c r="CJ15" s="12">
        <f t="shared" ref="CJ15:CP15" si="81">CJ14*CJ13</f>
        <v>0</v>
      </c>
      <c r="CK15" s="12">
        <f t="shared" si="81"/>
        <v>0</v>
      </c>
      <c r="CL15" s="12">
        <f t="shared" si="81"/>
        <v>65800.75</v>
      </c>
      <c r="CM15" s="12">
        <f t="shared" si="81"/>
        <v>0</v>
      </c>
      <c r="CN15" s="12">
        <f t="shared" si="81"/>
        <v>2603.08</v>
      </c>
      <c r="CO15" s="12">
        <f t="shared" si="81"/>
        <v>0</v>
      </c>
      <c r="CP15" s="12">
        <f t="shared" si="81"/>
        <v>140643.72</v>
      </c>
      <c r="CQ15" s="12">
        <f>SUM(BM15:CP15)</f>
        <v>632338.42999999993</v>
      </c>
      <c r="CR15" s="12">
        <f>CR14*CR13</f>
        <v>16114.42</v>
      </c>
      <c r="CS15" s="12">
        <f t="shared" ref="CS15:CV15" si="82">CS14*CS13</f>
        <v>0</v>
      </c>
      <c r="CT15" s="12">
        <f t="shared" si="82"/>
        <v>13771.519999999999</v>
      </c>
      <c r="CU15" s="12">
        <f t="shared" si="82"/>
        <v>0</v>
      </c>
      <c r="CV15" s="12">
        <f t="shared" si="82"/>
        <v>0</v>
      </c>
      <c r="CW15" s="12">
        <f t="shared" ref="CW15:CY15" si="83">CW14*CW13</f>
        <v>0</v>
      </c>
      <c r="CX15" s="12">
        <f t="shared" si="83"/>
        <v>46226.070000000007</v>
      </c>
      <c r="CY15" s="12">
        <f t="shared" si="83"/>
        <v>21406</v>
      </c>
      <c r="CZ15" s="12">
        <f t="shared" ref="CZ15:DC15" si="84">CZ14*CZ13</f>
        <v>0</v>
      </c>
      <c r="DA15" s="12">
        <f t="shared" si="84"/>
        <v>81857.72</v>
      </c>
      <c r="DB15" s="12">
        <f t="shared" si="84"/>
        <v>0</v>
      </c>
      <c r="DC15" s="12">
        <f t="shared" si="84"/>
        <v>72342.27</v>
      </c>
      <c r="DD15" s="12">
        <f t="shared" ref="DD15:DF15" si="85">DD14*DD13</f>
        <v>0</v>
      </c>
      <c r="DE15" s="12">
        <f t="shared" si="85"/>
        <v>71184.959999999992</v>
      </c>
      <c r="DF15" s="12">
        <f t="shared" si="85"/>
        <v>0</v>
      </c>
      <c r="DG15" s="12">
        <f t="shared" ref="DG15:DK15" si="86">DG14*DG13</f>
        <v>90720.27</v>
      </c>
      <c r="DH15" s="12">
        <f t="shared" si="86"/>
        <v>52185.200000000004</v>
      </c>
      <c r="DI15" s="12">
        <f t="shared" si="86"/>
        <v>0</v>
      </c>
      <c r="DJ15" s="12">
        <f t="shared" si="86"/>
        <v>0</v>
      </c>
      <c r="DK15" s="12">
        <f t="shared" si="86"/>
        <v>0</v>
      </c>
      <c r="DL15" s="12">
        <f t="shared" ref="DL15:DO15" si="87">DL14*DL13</f>
        <v>0</v>
      </c>
      <c r="DM15" s="12">
        <f t="shared" si="87"/>
        <v>0</v>
      </c>
      <c r="DN15" s="12">
        <f t="shared" si="87"/>
        <v>0</v>
      </c>
      <c r="DO15" s="12">
        <f t="shared" si="87"/>
        <v>0</v>
      </c>
      <c r="DP15" s="12">
        <f t="shared" ref="DP15:DV15" si="88">DP14*DP13</f>
        <v>0</v>
      </c>
      <c r="DQ15" s="12">
        <f t="shared" si="88"/>
        <v>0</v>
      </c>
      <c r="DR15" s="12">
        <f t="shared" si="88"/>
        <v>0</v>
      </c>
      <c r="DS15" s="12">
        <f t="shared" si="88"/>
        <v>0</v>
      </c>
      <c r="DT15" s="12">
        <f t="shared" si="88"/>
        <v>0</v>
      </c>
      <c r="DU15" s="12">
        <f t="shared" si="88"/>
        <v>0</v>
      </c>
      <c r="DV15" s="12">
        <f t="shared" si="88"/>
        <v>128425.05</v>
      </c>
      <c r="DW15" s="12">
        <f>SUM(CR15:DV15)</f>
        <v>594233.48</v>
      </c>
      <c r="DX15" s="12">
        <f>DX14*DX13</f>
        <v>0</v>
      </c>
      <c r="DY15" s="12">
        <f t="shared" ref="DY15:EE15" si="89">DY14*DY13</f>
        <v>0</v>
      </c>
      <c r="DZ15" s="12">
        <f t="shared" si="89"/>
        <v>0</v>
      </c>
      <c r="EA15" s="12">
        <f t="shared" si="89"/>
        <v>0</v>
      </c>
      <c r="EB15" s="12">
        <f t="shared" si="89"/>
        <v>0</v>
      </c>
      <c r="EC15" s="12">
        <f t="shared" si="89"/>
        <v>0</v>
      </c>
      <c r="ED15" s="12">
        <f t="shared" si="89"/>
        <v>43140.800000000003</v>
      </c>
      <c r="EE15" s="12">
        <f t="shared" si="89"/>
        <v>152361.74</v>
      </c>
      <c r="EF15" s="12">
        <f t="shared" ref="EF15:EJ15" si="90">EF14*EF13</f>
        <v>0</v>
      </c>
      <c r="EG15" s="12">
        <f t="shared" si="90"/>
        <v>0</v>
      </c>
      <c r="EH15" s="12">
        <f t="shared" si="90"/>
        <v>43883.64</v>
      </c>
      <c r="EI15" s="12">
        <f t="shared" si="90"/>
        <v>0</v>
      </c>
      <c r="EJ15" s="12">
        <f t="shared" si="90"/>
        <v>0</v>
      </c>
      <c r="EK15" s="12">
        <f t="shared" ref="EK15:EO15" si="91">EK14*EK13</f>
        <v>0</v>
      </c>
      <c r="EL15" s="12">
        <f t="shared" si="91"/>
        <v>24965.23</v>
      </c>
      <c r="EM15" s="12">
        <f t="shared" si="91"/>
        <v>0</v>
      </c>
      <c r="EN15" s="12">
        <f t="shared" si="91"/>
        <v>0</v>
      </c>
      <c r="EO15" s="12">
        <f t="shared" si="91"/>
        <v>0</v>
      </c>
      <c r="EP15" s="12">
        <f t="shared" ref="EP15:ET15" si="92">EP14*EP13</f>
        <v>54873.1</v>
      </c>
      <c r="EQ15" s="12">
        <f t="shared" si="92"/>
        <v>0</v>
      </c>
      <c r="ER15" s="12">
        <f t="shared" si="92"/>
        <v>0</v>
      </c>
      <c r="ES15" s="12">
        <f t="shared" si="92"/>
        <v>22126.32</v>
      </c>
      <c r="ET15" s="12">
        <f t="shared" si="92"/>
        <v>0</v>
      </c>
      <c r="EU15" s="12">
        <f t="shared" ref="EU15:EX15" si="93">EU14*EU13</f>
        <v>0</v>
      </c>
      <c r="EV15" s="12">
        <f t="shared" si="93"/>
        <v>0</v>
      </c>
      <c r="EW15" s="12">
        <f t="shared" si="93"/>
        <v>42523.4</v>
      </c>
      <c r="EX15" s="12">
        <f t="shared" si="93"/>
        <v>0</v>
      </c>
      <c r="EY15" s="12">
        <f t="shared" ref="EY15:FB15" si="94">EY14*EY13</f>
        <v>0</v>
      </c>
      <c r="EZ15" s="12">
        <f t="shared" si="94"/>
        <v>0</v>
      </c>
      <c r="FA15" s="12">
        <f t="shared" si="94"/>
        <v>0</v>
      </c>
      <c r="FB15" s="12">
        <f t="shared" si="94"/>
        <v>0</v>
      </c>
      <c r="FC15" s="12">
        <f>SUM(DX15:FB15)</f>
        <v>383874.23</v>
      </c>
      <c r="FD15" s="12">
        <f>FD14*FD13</f>
        <v>0</v>
      </c>
      <c r="FE15" s="12">
        <f t="shared" ref="FE15:GG15" si="95">FE14*FE13</f>
        <v>71108.175000000003</v>
      </c>
      <c r="FF15" s="12">
        <f t="shared" si="95"/>
        <v>0</v>
      </c>
      <c r="FG15" s="12">
        <f t="shared" si="95"/>
        <v>0</v>
      </c>
      <c r="FH15" s="12">
        <f t="shared" si="95"/>
        <v>0</v>
      </c>
      <c r="FI15" s="12">
        <f t="shared" si="95"/>
        <v>0</v>
      </c>
      <c r="FJ15" s="12">
        <f t="shared" si="95"/>
        <v>0</v>
      </c>
      <c r="FK15" s="12">
        <f t="shared" si="95"/>
        <v>0</v>
      </c>
      <c r="FL15" s="12">
        <f t="shared" si="95"/>
        <v>0</v>
      </c>
      <c r="FM15" s="12">
        <f t="shared" si="95"/>
        <v>0</v>
      </c>
      <c r="FN15" s="12">
        <f t="shared" si="95"/>
        <v>0</v>
      </c>
      <c r="FO15" s="12">
        <f t="shared" si="95"/>
        <v>0</v>
      </c>
      <c r="FP15" s="12">
        <f t="shared" si="95"/>
        <v>0</v>
      </c>
      <c r="FQ15" s="12">
        <f t="shared" si="95"/>
        <v>0</v>
      </c>
      <c r="FR15" s="12">
        <f t="shared" si="95"/>
        <v>0</v>
      </c>
      <c r="FS15" s="12">
        <f t="shared" si="95"/>
        <v>0</v>
      </c>
      <c r="FT15" s="12">
        <f t="shared" si="95"/>
        <v>0</v>
      </c>
      <c r="FU15" s="12">
        <f t="shared" si="95"/>
        <v>0</v>
      </c>
      <c r="FV15" s="12">
        <f t="shared" si="95"/>
        <v>0</v>
      </c>
      <c r="FW15" s="12">
        <f t="shared" si="95"/>
        <v>0</v>
      </c>
      <c r="FX15" s="12">
        <f t="shared" si="95"/>
        <v>0</v>
      </c>
      <c r="FY15" s="12">
        <f t="shared" si="95"/>
        <v>0</v>
      </c>
      <c r="FZ15" s="12">
        <f t="shared" si="95"/>
        <v>0</v>
      </c>
      <c r="GA15" s="12">
        <f t="shared" si="95"/>
        <v>0</v>
      </c>
      <c r="GB15" s="12">
        <f t="shared" si="95"/>
        <v>0</v>
      </c>
      <c r="GC15" s="12">
        <f t="shared" si="95"/>
        <v>0</v>
      </c>
      <c r="GD15" s="12">
        <f t="shared" si="95"/>
        <v>0</v>
      </c>
      <c r="GE15" s="12">
        <f t="shared" si="95"/>
        <v>0</v>
      </c>
      <c r="GF15" s="12">
        <f t="shared" si="95"/>
        <v>0</v>
      </c>
      <c r="GG15" s="12">
        <f t="shared" si="95"/>
        <v>0</v>
      </c>
      <c r="GH15" s="12">
        <f>SUM(FD15:GG15)</f>
        <v>71108.175000000003</v>
      </c>
    </row>
    <row r="16" spans="1:190" s="265" customFormat="1" x14ac:dyDescent="0.3">
      <c r="A16" s="265" t="s">
        <v>245</v>
      </c>
      <c r="B16" s="268">
        <f>B15/B6</f>
        <v>0</v>
      </c>
      <c r="C16" s="268">
        <f t="shared" ref="C16:AL16" si="96">C15/C6</f>
        <v>0</v>
      </c>
      <c r="D16" s="268">
        <f t="shared" si="96"/>
        <v>0</v>
      </c>
      <c r="E16" s="268">
        <f t="shared" si="96"/>
        <v>0</v>
      </c>
      <c r="F16" s="268">
        <f t="shared" si="96"/>
        <v>0</v>
      </c>
      <c r="G16" s="268">
        <f t="shared" si="96"/>
        <v>0</v>
      </c>
      <c r="H16" s="268">
        <f t="shared" si="96"/>
        <v>0</v>
      </c>
      <c r="I16" s="268">
        <f t="shared" si="96"/>
        <v>0</v>
      </c>
      <c r="J16" s="268">
        <f t="shared" si="96"/>
        <v>0</v>
      </c>
      <c r="K16" s="268">
        <f t="shared" si="96"/>
        <v>0</v>
      </c>
      <c r="L16" s="268">
        <f t="shared" si="96"/>
        <v>0</v>
      </c>
      <c r="M16" s="268">
        <f t="shared" si="96"/>
        <v>0</v>
      </c>
      <c r="N16" s="268">
        <f t="shared" si="96"/>
        <v>0</v>
      </c>
      <c r="O16" s="268">
        <f t="shared" si="96"/>
        <v>0</v>
      </c>
      <c r="P16" s="268">
        <f t="shared" si="96"/>
        <v>0</v>
      </c>
      <c r="Q16" s="268">
        <f t="shared" si="96"/>
        <v>7.6314409264873996E-3</v>
      </c>
      <c r="R16" s="268">
        <f t="shared" si="96"/>
        <v>0</v>
      </c>
      <c r="S16" s="268">
        <f t="shared" si="96"/>
        <v>5.4325140930772571E-3</v>
      </c>
      <c r="T16" s="268" t="e">
        <f t="shared" si="96"/>
        <v>#DIV/0!</v>
      </c>
      <c r="U16" s="268">
        <f t="shared" si="96"/>
        <v>0</v>
      </c>
      <c r="V16" s="268">
        <f t="shared" si="96"/>
        <v>0</v>
      </c>
      <c r="W16" s="268">
        <f t="shared" si="96"/>
        <v>1.8964174795403244E-3</v>
      </c>
      <c r="X16" s="268">
        <f t="shared" si="96"/>
        <v>1.3328861122983983E-2</v>
      </c>
      <c r="Y16" s="268">
        <f t="shared" si="96"/>
        <v>0</v>
      </c>
      <c r="Z16" s="268">
        <f t="shared" si="96"/>
        <v>1.850563226918548E-2</v>
      </c>
      <c r="AA16" s="268">
        <f t="shared" si="96"/>
        <v>0</v>
      </c>
      <c r="AB16" s="268">
        <f t="shared" si="96"/>
        <v>0</v>
      </c>
      <c r="AC16" s="268">
        <f t="shared" si="96"/>
        <v>0</v>
      </c>
      <c r="AD16" s="268">
        <f t="shared" si="96"/>
        <v>0</v>
      </c>
      <c r="AE16" s="268">
        <f t="shared" si="96"/>
        <v>2.8600823045267492E-3</v>
      </c>
      <c r="AF16" s="266">
        <f>AF15/AF6</f>
        <v>1.7329099561810906E-3</v>
      </c>
      <c r="AG16" s="268">
        <f t="shared" si="96"/>
        <v>5.3680910569105693E-3</v>
      </c>
      <c r="AH16" s="268">
        <f t="shared" si="96"/>
        <v>3.6213874079324476E-3</v>
      </c>
      <c r="AI16" s="268">
        <f t="shared" si="96"/>
        <v>1.5419201124248863E-2</v>
      </c>
      <c r="AJ16" s="268">
        <f t="shared" si="96"/>
        <v>0</v>
      </c>
      <c r="AK16" s="268">
        <f t="shared" si="96"/>
        <v>1.4712254002693858E-2</v>
      </c>
      <c r="AL16" s="268">
        <f t="shared" si="96"/>
        <v>0</v>
      </c>
      <c r="AM16" s="268">
        <f t="shared" ref="AM16:AO16" si="97">AM15/AM6</f>
        <v>2.5534969723803366E-3</v>
      </c>
      <c r="AN16" s="268">
        <f t="shared" si="97"/>
        <v>0</v>
      </c>
      <c r="AO16" s="268">
        <f t="shared" si="97"/>
        <v>0</v>
      </c>
      <c r="AP16" s="268">
        <f t="shared" ref="AP16:AR16" si="98">AP15/AP6</f>
        <v>0</v>
      </c>
      <c r="AQ16" s="268">
        <f t="shared" si="98"/>
        <v>0</v>
      </c>
      <c r="AR16" s="268">
        <f t="shared" si="98"/>
        <v>0</v>
      </c>
      <c r="AS16" s="268">
        <f t="shared" ref="AS16:AY16" si="99">AS15/AS6</f>
        <v>1.6583377269630641E-2</v>
      </c>
      <c r="AT16" s="268" t="e">
        <f t="shared" si="99"/>
        <v>#DIV/0!</v>
      </c>
      <c r="AU16" s="268">
        <f t="shared" si="99"/>
        <v>0</v>
      </c>
      <c r="AV16" s="268">
        <f t="shared" si="99"/>
        <v>5.5764072508468297E-3</v>
      </c>
      <c r="AW16" s="268">
        <f t="shared" si="99"/>
        <v>1.8172073272873006E-2</v>
      </c>
      <c r="AX16" s="268">
        <f t="shared" si="99"/>
        <v>0</v>
      </c>
      <c r="AY16" s="268">
        <f t="shared" si="99"/>
        <v>2.0271112902691849E-2</v>
      </c>
      <c r="AZ16" s="268">
        <f t="shared" ref="AZ16:BA16" si="100">AZ15/AZ6</f>
        <v>0</v>
      </c>
      <c r="BA16" s="268">
        <f t="shared" si="100"/>
        <v>5.8100874645644921E-3</v>
      </c>
      <c r="BB16" s="268">
        <f t="shared" ref="BB16:BC16" si="101">BB15/BB6</f>
        <v>0</v>
      </c>
      <c r="BC16" s="268">
        <f t="shared" si="101"/>
        <v>8.0403258749434537E-3</v>
      </c>
      <c r="BD16" s="268">
        <f t="shared" ref="BD16:BF16" si="102">BD15/BD6</f>
        <v>1.3080371473410136E-2</v>
      </c>
      <c r="BE16" s="268">
        <f t="shared" si="102"/>
        <v>0</v>
      </c>
      <c r="BF16" s="268">
        <f t="shared" si="102"/>
        <v>5.3356817030286424E-3</v>
      </c>
      <c r="BG16" s="268">
        <f t="shared" ref="BG16:BH16" si="103">BG15/BG6</f>
        <v>0</v>
      </c>
      <c r="BH16" s="268">
        <f t="shared" si="103"/>
        <v>0</v>
      </c>
      <c r="BI16" s="268">
        <f t="shared" ref="BI16:BK16" si="104">BI15/BI6</f>
        <v>2.1538749253547694E-3</v>
      </c>
      <c r="BJ16" s="268">
        <f t="shared" si="104"/>
        <v>0</v>
      </c>
      <c r="BK16" s="268">
        <f t="shared" si="104"/>
        <v>8.208213795336065E-3</v>
      </c>
      <c r="BL16" s="266">
        <f>BL15/BL6</f>
        <v>4.6438425142916722E-3</v>
      </c>
      <c r="BM16" s="268">
        <f>BM15/BM6</f>
        <v>0</v>
      </c>
      <c r="BN16" s="268">
        <f t="shared" ref="BN16:CI16" si="105">BN15/BN6</f>
        <v>7.2325628096019676E-3</v>
      </c>
      <c r="BO16" s="268">
        <f t="shared" si="105"/>
        <v>1.4082402391098803E-2</v>
      </c>
      <c r="BP16" s="268">
        <f t="shared" si="105"/>
        <v>0</v>
      </c>
      <c r="BQ16" s="268" t="e">
        <f t="shared" si="105"/>
        <v>#DIV/0!</v>
      </c>
      <c r="BR16" s="268" t="e">
        <f t="shared" si="105"/>
        <v>#DIV/0!</v>
      </c>
      <c r="BS16" s="268">
        <f t="shared" si="105"/>
        <v>1.286064916434229E-2</v>
      </c>
      <c r="BT16" s="268">
        <f t="shared" si="105"/>
        <v>0</v>
      </c>
      <c r="BU16" s="268">
        <f t="shared" si="105"/>
        <v>2.7403464366447176E-3</v>
      </c>
      <c r="BV16" s="268">
        <f t="shared" si="105"/>
        <v>0</v>
      </c>
      <c r="BW16" s="268">
        <f t="shared" si="105"/>
        <v>3.2982014856018922E-3</v>
      </c>
      <c r="BX16" s="268">
        <f t="shared" si="105"/>
        <v>0</v>
      </c>
      <c r="BY16" s="268">
        <f t="shared" si="105"/>
        <v>2.6061393629616793E-3</v>
      </c>
      <c r="BZ16" s="268">
        <f t="shared" si="105"/>
        <v>0</v>
      </c>
      <c r="CA16" s="268">
        <f t="shared" si="105"/>
        <v>0</v>
      </c>
      <c r="CB16" s="268">
        <f t="shared" si="105"/>
        <v>1.2160950400586202E-3</v>
      </c>
      <c r="CC16" s="268">
        <f t="shared" si="105"/>
        <v>1.0410707867339048E-2</v>
      </c>
      <c r="CD16" s="268">
        <f t="shared" si="105"/>
        <v>0</v>
      </c>
      <c r="CE16" s="268">
        <f t="shared" si="105"/>
        <v>2.6584286282699443E-3</v>
      </c>
      <c r="CF16" s="268">
        <f t="shared" si="105"/>
        <v>8.7731016410359699E-4</v>
      </c>
      <c r="CG16" s="268">
        <f t="shared" si="105"/>
        <v>8.6069622047022371E-3</v>
      </c>
      <c r="CH16" s="268">
        <f t="shared" si="105"/>
        <v>0</v>
      </c>
      <c r="CI16" s="268">
        <f t="shared" si="105"/>
        <v>1.4069683867325401E-3</v>
      </c>
      <c r="CJ16" s="268">
        <f t="shared" ref="CJ16:CP16" si="106">CJ15/CJ6</f>
        <v>0</v>
      </c>
      <c r="CK16" s="268">
        <f t="shared" si="106"/>
        <v>0</v>
      </c>
      <c r="CL16" s="268">
        <f t="shared" si="106"/>
        <v>1.0055876721858231E-2</v>
      </c>
      <c r="CM16" s="268">
        <f t="shared" si="106"/>
        <v>0</v>
      </c>
      <c r="CN16" s="268">
        <f t="shared" si="106"/>
        <v>4.6309909268813377E-4</v>
      </c>
      <c r="CO16" s="268">
        <f t="shared" si="106"/>
        <v>0</v>
      </c>
      <c r="CP16" s="268">
        <f t="shared" si="106"/>
        <v>2.1072190119345989E-2</v>
      </c>
      <c r="CQ16" s="266">
        <f>CQ15/CQ6</f>
        <v>3.5226417898037306E-3</v>
      </c>
      <c r="CR16" s="268">
        <f>CR15/CR6</f>
        <v>2.527835426735626E-3</v>
      </c>
      <c r="CS16" s="268">
        <f t="shared" ref="CS16:CU16" si="107">CS15/CS6</f>
        <v>0</v>
      </c>
      <c r="CT16" s="268">
        <f t="shared" si="107"/>
        <v>2.644529577248418E-3</v>
      </c>
      <c r="CU16" s="268">
        <f t="shared" si="107"/>
        <v>0</v>
      </c>
      <c r="CV16" s="268">
        <f>CV15/CV6</f>
        <v>0</v>
      </c>
      <c r="CW16" s="268">
        <f t="shared" ref="CW16" si="108">CW15/CW6</f>
        <v>0</v>
      </c>
      <c r="CX16" s="268">
        <f t="shared" ref="CX16" si="109">CX15/CX6</f>
        <v>7.3913047649427632E-3</v>
      </c>
      <c r="CY16" s="268">
        <f t="shared" ref="CY16:DC16" si="110">CY15/CY6</f>
        <v>3.5124036779982681E-3</v>
      </c>
      <c r="CZ16" s="268">
        <f t="shared" si="110"/>
        <v>0</v>
      </c>
      <c r="DA16" s="268">
        <f t="shared" si="110"/>
        <v>1.3450609615827008E-2</v>
      </c>
      <c r="DB16" s="268">
        <f t="shared" si="110"/>
        <v>0</v>
      </c>
      <c r="DC16" s="268">
        <f t="shared" si="110"/>
        <v>1.0993490732568403E-2</v>
      </c>
      <c r="DD16" s="268">
        <f t="shared" ref="DD16:DF16" si="111">DD15/DD6</f>
        <v>0</v>
      </c>
      <c r="DE16" s="268">
        <f t="shared" si="111"/>
        <v>1.1666085424276352E-2</v>
      </c>
      <c r="DF16" s="268">
        <f t="shared" si="111"/>
        <v>0</v>
      </c>
      <c r="DG16" s="268">
        <f t="shared" ref="DG16:DK16" si="112">DG15/DG6</f>
        <v>1.3495136142491078E-2</v>
      </c>
      <c r="DH16" s="268">
        <f t="shared" si="112"/>
        <v>7.6338280930233655E-3</v>
      </c>
      <c r="DI16" s="268">
        <f t="shared" si="112"/>
        <v>0</v>
      </c>
      <c r="DJ16" s="268" t="e">
        <f t="shared" si="112"/>
        <v>#DIV/0!</v>
      </c>
      <c r="DK16" s="268" t="e">
        <f t="shared" si="112"/>
        <v>#DIV/0!</v>
      </c>
      <c r="DL16" s="268" t="e">
        <f t="shared" ref="DL16:DO16" si="113">DL15/DL6</f>
        <v>#DIV/0!</v>
      </c>
      <c r="DM16" s="268" t="e">
        <f t="shared" si="113"/>
        <v>#DIV/0!</v>
      </c>
      <c r="DN16" s="268" t="e">
        <f t="shared" si="113"/>
        <v>#DIV/0!</v>
      </c>
      <c r="DO16" s="268" t="e">
        <f t="shared" si="113"/>
        <v>#DIV/0!</v>
      </c>
      <c r="DP16" s="268" t="e">
        <f t="shared" ref="DP16:DV16" si="114">DP15/DP6</f>
        <v>#DIV/0!</v>
      </c>
      <c r="DQ16" s="268" t="e">
        <f t="shared" si="114"/>
        <v>#DIV/0!</v>
      </c>
      <c r="DR16" s="268" t="e">
        <f t="shared" si="114"/>
        <v>#DIV/0!</v>
      </c>
      <c r="DS16" s="268" t="e">
        <f t="shared" si="114"/>
        <v>#DIV/0!</v>
      </c>
      <c r="DT16" s="268" t="e">
        <f t="shared" si="114"/>
        <v>#DIV/0!</v>
      </c>
      <c r="DU16" s="268" t="e">
        <f t="shared" si="114"/>
        <v>#DIV/0!</v>
      </c>
      <c r="DV16" s="268">
        <f t="shared" si="114"/>
        <v>7.522884967415977E-2</v>
      </c>
      <c r="DW16" s="266">
        <f>DW15/DW6</f>
        <v>5.085166476634039E-3</v>
      </c>
      <c r="DX16" s="268">
        <f>DX15/DX6</f>
        <v>0</v>
      </c>
      <c r="DY16" s="268">
        <f t="shared" ref="DY16:EE16" si="115">DY15/DY6</f>
        <v>0</v>
      </c>
      <c r="DZ16" s="268">
        <f t="shared" si="115"/>
        <v>0</v>
      </c>
      <c r="EA16" s="268">
        <f t="shared" si="115"/>
        <v>0</v>
      </c>
      <c r="EB16" s="268">
        <f t="shared" si="115"/>
        <v>0</v>
      </c>
      <c r="EC16" s="268">
        <f t="shared" si="115"/>
        <v>0</v>
      </c>
      <c r="ED16" s="268">
        <f t="shared" si="115"/>
        <v>6.476877944492654E-3</v>
      </c>
      <c r="EE16" s="268">
        <f t="shared" si="115"/>
        <v>2.3513543127629731E-2</v>
      </c>
      <c r="EF16" s="268">
        <f t="shared" ref="EF16:EJ16" si="116">EF15/EF6</f>
        <v>0</v>
      </c>
      <c r="EG16" s="268">
        <f t="shared" si="116"/>
        <v>0</v>
      </c>
      <c r="EH16" s="268">
        <f t="shared" si="116"/>
        <v>6.8549679086646609E-3</v>
      </c>
      <c r="EI16" s="268">
        <f t="shared" si="116"/>
        <v>0</v>
      </c>
      <c r="EJ16" s="268">
        <f t="shared" si="116"/>
        <v>0</v>
      </c>
      <c r="EK16" s="268">
        <f t="shared" ref="EK16:EO16" si="117">EK15/EK6</f>
        <v>0</v>
      </c>
      <c r="EL16" s="268">
        <f t="shared" si="117"/>
        <v>3.8017784819340665E-3</v>
      </c>
      <c r="EM16" s="268">
        <f t="shared" si="117"/>
        <v>0</v>
      </c>
      <c r="EN16" s="268">
        <f t="shared" si="117"/>
        <v>0</v>
      </c>
      <c r="EO16" s="268">
        <f t="shared" si="117"/>
        <v>0</v>
      </c>
      <c r="EP16" s="268">
        <f t="shared" ref="EP16:ET16" si="118">EP15/EP6</f>
        <v>8.3882890385763055E-3</v>
      </c>
      <c r="EQ16" s="268">
        <f t="shared" si="118"/>
        <v>0</v>
      </c>
      <c r="ER16" s="268">
        <f t="shared" si="118"/>
        <v>0</v>
      </c>
      <c r="ES16" s="268">
        <f t="shared" si="118"/>
        <v>5.9671200957918469E-3</v>
      </c>
      <c r="ET16" s="268">
        <f t="shared" si="118"/>
        <v>0</v>
      </c>
      <c r="EU16" s="268">
        <f t="shared" ref="EU16:EX16" si="119">EU15/EU6</f>
        <v>0</v>
      </c>
      <c r="EV16" s="268">
        <f t="shared" si="119"/>
        <v>0</v>
      </c>
      <c r="EW16" s="268">
        <f t="shared" si="119"/>
        <v>7.080436114663257E-3</v>
      </c>
      <c r="EX16" s="268">
        <f t="shared" si="119"/>
        <v>0</v>
      </c>
      <c r="EY16" s="268">
        <f t="shared" ref="EY16:FB16" si="120">EY15/EY6</f>
        <v>0</v>
      </c>
      <c r="EZ16" s="268">
        <f t="shared" si="120"/>
        <v>0</v>
      </c>
      <c r="FA16" s="268">
        <f t="shared" si="120"/>
        <v>0</v>
      </c>
      <c r="FB16" s="268">
        <f t="shared" si="120"/>
        <v>0</v>
      </c>
      <c r="FC16" s="266">
        <f>FC15/FC6</f>
        <v>2.0216193499707257E-3</v>
      </c>
      <c r="FD16" s="268">
        <f>FD15/FD6</f>
        <v>0</v>
      </c>
      <c r="FE16" s="268">
        <f t="shared" ref="FE16:GG16" si="121">FE15/FE6</f>
        <v>1.1453655317468973E-2</v>
      </c>
      <c r="FF16" s="268">
        <f t="shared" si="121"/>
        <v>0</v>
      </c>
      <c r="FG16" s="268">
        <f t="shared" si="121"/>
        <v>0</v>
      </c>
      <c r="FH16" s="268" t="e">
        <f t="shared" si="121"/>
        <v>#DIV/0!</v>
      </c>
      <c r="FI16" s="268" t="e">
        <f t="shared" si="121"/>
        <v>#DIV/0!</v>
      </c>
      <c r="FJ16" s="268" t="e">
        <f t="shared" si="121"/>
        <v>#DIV/0!</v>
      </c>
      <c r="FK16" s="268" t="e">
        <f t="shared" si="121"/>
        <v>#DIV/0!</v>
      </c>
      <c r="FL16" s="268" t="e">
        <f t="shared" si="121"/>
        <v>#DIV/0!</v>
      </c>
      <c r="FM16" s="268" t="e">
        <f t="shared" si="121"/>
        <v>#DIV/0!</v>
      </c>
      <c r="FN16" s="268" t="e">
        <f t="shared" si="121"/>
        <v>#DIV/0!</v>
      </c>
      <c r="FO16" s="268" t="e">
        <f t="shared" si="121"/>
        <v>#DIV/0!</v>
      </c>
      <c r="FP16" s="268" t="e">
        <f t="shared" si="121"/>
        <v>#DIV/0!</v>
      </c>
      <c r="FQ16" s="268" t="e">
        <f t="shared" si="121"/>
        <v>#DIV/0!</v>
      </c>
      <c r="FR16" s="268" t="e">
        <f t="shared" si="121"/>
        <v>#DIV/0!</v>
      </c>
      <c r="FS16" s="268" t="e">
        <f t="shared" si="121"/>
        <v>#DIV/0!</v>
      </c>
      <c r="FT16" s="268" t="e">
        <f t="shared" si="121"/>
        <v>#DIV/0!</v>
      </c>
      <c r="FU16" s="268" t="e">
        <f t="shared" si="121"/>
        <v>#DIV/0!</v>
      </c>
      <c r="FV16" s="268" t="e">
        <f t="shared" si="121"/>
        <v>#DIV/0!</v>
      </c>
      <c r="FW16" s="268" t="e">
        <f t="shared" si="121"/>
        <v>#DIV/0!</v>
      </c>
      <c r="FX16" s="268" t="e">
        <f t="shared" si="121"/>
        <v>#DIV/0!</v>
      </c>
      <c r="FY16" s="268" t="e">
        <f t="shared" si="121"/>
        <v>#DIV/0!</v>
      </c>
      <c r="FZ16" s="268" t="e">
        <f t="shared" si="121"/>
        <v>#DIV/0!</v>
      </c>
      <c r="GA16" s="268" t="e">
        <f t="shared" si="121"/>
        <v>#DIV/0!</v>
      </c>
      <c r="GB16" s="268" t="e">
        <f t="shared" si="121"/>
        <v>#DIV/0!</v>
      </c>
      <c r="GC16" s="268" t="e">
        <f t="shared" si="121"/>
        <v>#DIV/0!</v>
      </c>
      <c r="GD16" s="268" t="e">
        <f t="shared" si="121"/>
        <v>#DIV/0!</v>
      </c>
      <c r="GE16" s="268" t="e">
        <f t="shared" si="121"/>
        <v>#DIV/0!</v>
      </c>
      <c r="GF16" s="268" t="e">
        <f t="shared" si="121"/>
        <v>#DIV/0!</v>
      </c>
      <c r="GG16" s="268" t="e">
        <f t="shared" si="121"/>
        <v>#DIV/0!</v>
      </c>
      <c r="GH16" s="266">
        <f>GH15/GH6</f>
        <v>2.8881617867014832E-3</v>
      </c>
    </row>
    <row r="17" spans="1:190" s="269" customFormat="1" ht="15" thickBot="1" x14ac:dyDescent="0.35">
      <c r="A17" s="269" t="s">
        <v>248</v>
      </c>
      <c r="B17" s="270">
        <f>IFERROR((B15+B5)/B6,"0")</f>
        <v>4.4649491701756507E-2</v>
      </c>
      <c r="C17" s="270">
        <f t="shared" ref="C17:AE17" si="122">IFERROR((C15+C5)/C6,"0")</f>
        <v>0.11355850433471724</v>
      </c>
      <c r="D17" s="270">
        <f t="shared" si="122"/>
        <v>0.12749202041031496</v>
      </c>
      <c r="E17" s="270">
        <f t="shared" si="122"/>
        <v>0</v>
      </c>
      <c r="F17" s="270">
        <f t="shared" si="122"/>
        <v>5.8528891701460285E-2</v>
      </c>
      <c r="G17" s="270">
        <f t="shared" si="122"/>
        <v>0.13753628560249789</v>
      </c>
      <c r="H17" s="270">
        <f t="shared" si="122"/>
        <v>0.14831449386421128</v>
      </c>
      <c r="I17" s="270">
        <f t="shared" si="122"/>
        <v>0.15525406940790507</v>
      </c>
      <c r="J17" s="270">
        <f t="shared" si="122"/>
        <v>0.13254434231478707</v>
      </c>
      <c r="K17" s="270">
        <f t="shared" si="122"/>
        <v>0.16788066941882129</v>
      </c>
      <c r="L17" s="270">
        <f t="shared" si="122"/>
        <v>0.17167123158478448</v>
      </c>
      <c r="M17" s="270">
        <f t="shared" si="122"/>
        <v>0.19988083779664054</v>
      </c>
      <c r="N17" s="270">
        <f t="shared" si="122"/>
        <v>0.10929730625019633</v>
      </c>
      <c r="O17" s="270">
        <f t="shared" si="122"/>
        <v>0.17903141151732066</v>
      </c>
      <c r="P17" s="270">
        <f t="shared" si="122"/>
        <v>0.1795327544142149</v>
      </c>
      <c r="Q17" s="270">
        <f t="shared" si="122"/>
        <v>0.12012133501665093</v>
      </c>
      <c r="R17" s="270">
        <f t="shared" si="122"/>
        <v>0.20460505991395492</v>
      </c>
      <c r="S17" s="270">
        <f t="shared" si="122"/>
        <v>0.17976770552112911</v>
      </c>
      <c r="T17" s="270" t="str">
        <f t="shared" si="122"/>
        <v>0</v>
      </c>
      <c r="U17" s="270">
        <f t="shared" si="122"/>
        <v>0.10209589448389816</v>
      </c>
      <c r="V17" s="270">
        <f t="shared" si="122"/>
        <v>0.1318961920338334</v>
      </c>
      <c r="W17" s="270">
        <f>IFERROR((W15+W5)/W6,"0")</f>
        <v>0.16748035775644182</v>
      </c>
      <c r="X17" s="270">
        <f t="shared" si="122"/>
        <v>0.22217444918337897</v>
      </c>
      <c r="Y17" s="270">
        <f t="shared" si="122"/>
        <v>0.14482707760657207</v>
      </c>
      <c r="Z17" s="270">
        <f t="shared" si="122"/>
        <v>0.17093146858309249</v>
      </c>
      <c r="AA17" s="270">
        <f t="shared" si="122"/>
        <v>0.15430624697657311</v>
      </c>
      <c r="AB17" s="270">
        <f t="shared" si="122"/>
        <v>0.22041971087571777</v>
      </c>
      <c r="AC17" s="270">
        <f t="shared" si="122"/>
        <v>0.25428509153435841</v>
      </c>
      <c r="AD17" s="270">
        <f t="shared" si="122"/>
        <v>0.26875299223008436</v>
      </c>
      <c r="AE17" s="270">
        <f t="shared" si="122"/>
        <v>0.16384969198715363</v>
      </c>
      <c r="AF17" s="270">
        <f>IFERROR((AF15+AF5)/AF6,"0")</f>
        <v>0.15442980897634159</v>
      </c>
      <c r="AG17" s="270">
        <f>IFERROR((AG15+AG5)/AG6,"0")</f>
        <v>0.21647443252032519</v>
      </c>
      <c r="AH17" s="270">
        <f t="shared" ref="AH17:AM17" si="123">IFERROR((AH15+AH5)/AH6,"0")</f>
        <v>0.22357577737372494</v>
      </c>
      <c r="AI17" s="270">
        <f t="shared" si="123"/>
        <v>0.20856454437516028</v>
      </c>
      <c r="AJ17" s="270">
        <f t="shared" si="123"/>
        <v>0.23005169745135379</v>
      </c>
      <c r="AK17" s="270">
        <f t="shared" si="123"/>
        <v>0.21479457053700396</v>
      </c>
      <c r="AL17" s="270">
        <f t="shared" si="123"/>
        <v>0.19378637494264531</v>
      </c>
      <c r="AM17" s="270">
        <f t="shared" si="123"/>
        <v>0.20238913592594834</v>
      </c>
      <c r="AN17" s="270">
        <f t="shared" ref="AN17:AO17" si="124">IFERROR((AN15+AN5)/AN6,"0")</f>
        <v>0.21100807769357591</v>
      </c>
      <c r="AO17" s="270">
        <f t="shared" si="124"/>
        <v>0.14007937387756911</v>
      </c>
      <c r="AP17" s="270">
        <f t="shared" ref="AP17:AR17" si="125">IFERROR((AP15+AP5)/AP6,"0")</f>
        <v>0.18365861177935958</v>
      </c>
      <c r="AQ17" s="270">
        <f t="shared" si="125"/>
        <v>0.19088354158709372</v>
      </c>
      <c r="AR17" s="270">
        <f t="shared" si="125"/>
        <v>0.20084897229669349</v>
      </c>
      <c r="AS17" s="270">
        <f t="shared" ref="AS17:AY17" si="126">IFERROR((AS15+AS5)/AS6,"0")</f>
        <v>0.21659226326234413</v>
      </c>
      <c r="AT17" s="270" t="str">
        <f t="shared" si="126"/>
        <v>0</v>
      </c>
      <c r="AU17" s="270">
        <f t="shared" si="126"/>
        <v>8.075379311878142E-2</v>
      </c>
      <c r="AV17" s="270">
        <f t="shared" si="126"/>
        <v>0.17007502912232211</v>
      </c>
      <c r="AW17" s="270">
        <f t="shared" si="126"/>
        <v>0.17600759956891249</v>
      </c>
      <c r="AX17" s="270">
        <f t="shared" si="126"/>
        <v>0.12573764654396793</v>
      </c>
      <c r="AY17" s="270">
        <f t="shared" si="126"/>
        <v>0.18053070636066587</v>
      </c>
      <c r="AZ17" s="270">
        <f t="shared" ref="AZ17:BA17" si="127">IFERROR((AZ15+AZ5)/AZ6,"0")</f>
        <v>0.10404917705331168</v>
      </c>
      <c r="BA17" s="270">
        <f t="shared" si="127"/>
        <v>0.13928096779792312</v>
      </c>
      <c r="BB17" s="270">
        <f t="shared" ref="BB17:BC17" si="128">IFERROR((BB15+BB5)/BB6,"0")</f>
        <v>0.15193980917153546</v>
      </c>
      <c r="BC17" s="270">
        <f t="shared" si="128"/>
        <v>0.15924733326492566</v>
      </c>
      <c r="BD17" s="270">
        <f t="shared" ref="BD17:BF17" si="129">IFERROR((BD15+BD5)/BD6,"0")</f>
        <v>0.11752717391304347</v>
      </c>
      <c r="BE17" s="270">
        <f t="shared" si="129"/>
        <v>0.12089872755050801</v>
      </c>
      <c r="BF17" s="270">
        <f t="shared" si="129"/>
        <v>0.1227511460572685</v>
      </c>
      <c r="BG17" s="270">
        <f t="shared" ref="BG17:BH17" si="130">IFERROR((BG15+BG5)/BG6,"0")</f>
        <v>9.964114564922659E-2</v>
      </c>
      <c r="BH17" s="270">
        <f t="shared" si="130"/>
        <v>0.10388549950860416</v>
      </c>
      <c r="BI17" s="270">
        <f t="shared" ref="BI17:BK17" si="131">IFERROR((BI15+BI5)/BI6,"0")</f>
        <v>9.1897107575752465E-2</v>
      </c>
      <c r="BJ17" s="270">
        <f t="shared" si="131"/>
        <v>5.9350169860504218E-2</v>
      </c>
      <c r="BK17" s="270">
        <f t="shared" si="131"/>
        <v>8.208213795336065E-3</v>
      </c>
      <c r="BL17" s="270">
        <f>IFERROR((BL15+BL5)/BL6,"0")</f>
        <v>0.15294230456428626</v>
      </c>
      <c r="BM17" s="270">
        <f>IFERROR((BM15+BM5)/BM6,"0")</f>
        <v>0</v>
      </c>
      <c r="BN17" s="270">
        <f t="shared" ref="BN17:CI17" si="132">IFERROR((BN15+BN5)/BN6,"0")</f>
        <v>7.2325628096019676E-3</v>
      </c>
      <c r="BO17" s="270">
        <f t="shared" si="132"/>
        <v>7.1063684962874338E-2</v>
      </c>
      <c r="BP17" s="270">
        <f t="shared" si="132"/>
        <v>9.5448569842208009E-2</v>
      </c>
      <c r="BQ17" s="270" t="str">
        <f t="shared" si="132"/>
        <v>0</v>
      </c>
      <c r="BR17" s="270" t="str">
        <f t="shared" si="132"/>
        <v>0</v>
      </c>
      <c r="BS17" s="270">
        <f t="shared" si="132"/>
        <v>1.286064916434229E-2</v>
      </c>
      <c r="BT17" s="270">
        <f t="shared" si="132"/>
        <v>0.15578004707905665</v>
      </c>
      <c r="BU17" s="270">
        <f t="shared" si="132"/>
        <v>0.19162619932459524</v>
      </c>
      <c r="BV17" s="270">
        <f t="shared" si="132"/>
        <v>9.5982048051194202E-2</v>
      </c>
      <c r="BW17" s="270">
        <f t="shared" si="132"/>
        <v>3.2982014856018922E-3</v>
      </c>
      <c r="BX17" s="270">
        <f t="shared" si="132"/>
        <v>4.4606260572523183E-2</v>
      </c>
      <c r="BY17" s="270">
        <f t="shared" si="132"/>
        <v>2.6061393629616793E-3</v>
      </c>
      <c r="BZ17" s="270">
        <f t="shared" si="132"/>
        <v>0</v>
      </c>
      <c r="CA17" s="270">
        <f t="shared" si="132"/>
        <v>0.15419097577746615</v>
      </c>
      <c r="CB17" s="270">
        <f t="shared" si="132"/>
        <v>0.12099627568217171</v>
      </c>
      <c r="CC17" s="270">
        <f t="shared" si="132"/>
        <v>0.10333641122961405</v>
      </c>
      <c r="CD17" s="270">
        <f t="shared" si="132"/>
        <v>8.4847950547626949E-2</v>
      </c>
      <c r="CE17" s="270">
        <f t="shared" si="132"/>
        <v>0.13821035247324737</v>
      </c>
      <c r="CF17" s="270">
        <f t="shared" si="132"/>
        <v>9.6693054237649526E-2</v>
      </c>
      <c r="CG17" s="270">
        <f t="shared" si="132"/>
        <v>0.11397250366224015</v>
      </c>
      <c r="CH17" s="270">
        <f t="shared" si="132"/>
        <v>9.7057783804771758E-2</v>
      </c>
      <c r="CI17" s="270">
        <f t="shared" si="132"/>
        <v>6.8224789838166128E-2</v>
      </c>
      <c r="CJ17" s="270">
        <f t="shared" ref="CJ17:CP17" si="133">IFERROR((CJ15+CJ5)/CJ6,"0")</f>
        <v>0</v>
      </c>
      <c r="CK17" s="270">
        <f t="shared" si="133"/>
        <v>0</v>
      </c>
      <c r="CL17" s="270">
        <f t="shared" si="133"/>
        <v>1.0055876721858231E-2</v>
      </c>
      <c r="CM17" s="270">
        <f t="shared" si="133"/>
        <v>0</v>
      </c>
      <c r="CN17" s="270">
        <f t="shared" si="133"/>
        <v>4.6309909268813377E-4</v>
      </c>
      <c r="CO17" s="270">
        <f t="shared" si="133"/>
        <v>4.0642411177814634E-2</v>
      </c>
      <c r="CP17" s="270">
        <f t="shared" si="133"/>
        <v>7.7738611070158462E-2</v>
      </c>
      <c r="CQ17" s="270">
        <f>IFERROR((CQ15+CQ5)/CQ6,"0")</f>
        <v>6.5283356050568717E-2</v>
      </c>
      <c r="CR17" s="270">
        <f>CR7+CR16</f>
        <v>8.1342196370390238E-2</v>
      </c>
      <c r="CS17" s="270">
        <f t="shared" ref="CS17" si="134">CS7+CS16</f>
        <v>4.6623128384835934E-2</v>
      </c>
      <c r="CT17" s="270">
        <f>CT7+CT16</f>
        <v>0.11015209071444346</v>
      </c>
      <c r="CU17" s="270">
        <f>CU7+CU16</f>
        <v>0.13141920492822018</v>
      </c>
      <c r="CV17" s="270">
        <f>CV7+CV16</f>
        <v>0.12131467369579944</v>
      </c>
      <c r="CW17" s="270">
        <f t="shared" ref="CW17" si="135">CW7+CW16</f>
        <v>0.12093367989889631</v>
      </c>
      <c r="CX17" s="270">
        <f t="shared" ref="CX17" si="136">CX7+CX16</f>
        <v>9.888626448346409E-2</v>
      </c>
      <c r="CY17" s="270">
        <f t="shared" ref="CY17:DC17" si="137">CY7+CY16</f>
        <v>7.0884887475424166E-2</v>
      </c>
      <c r="CZ17" s="270">
        <f t="shared" si="137"/>
        <v>7.8520400478311519E-2</v>
      </c>
      <c r="DA17" s="270">
        <f t="shared" si="137"/>
        <v>9.5819566860560645E-2</v>
      </c>
      <c r="DB17" s="270">
        <f t="shared" si="137"/>
        <v>0</v>
      </c>
      <c r="DC17" s="270">
        <f t="shared" si="137"/>
        <v>1.0993490732568403E-2</v>
      </c>
      <c r="DD17" s="270">
        <f t="shared" ref="DD17:DF17" si="138">DD7+DD16</f>
        <v>0</v>
      </c>
      <c r="DE17" s="270">
        <f t="shared" si="138"/>
        <v>1.1666085424276352E-2</v>
      </c>
      <c r="DF17" s="270">
        <f t="shared" si="138"/>
        <v>4.088481310357462E-2</v>
      </c>
      <c r="DG17" s="270">
        <f t="shared" ref="DG17:DK17" si="139">DG7+DG16</f>
        <v>0.12136367558098679</v>
      </c>
      <c r="DH17" s="270">
        <f t="shared" si="139"/>
        <v>0.12078695784083372</v>
      </c>
      <c r="DI17" s="270">
        <f t="shared" si="139"/>
        <v>0</v>
      </c>
      <c r="DJ17" s="270" t="e">
        <f t="shared" si="139"/>
        <v>#DIV/0!</v>
      </c>
      <c r="DK17" s="270" t="e">
        <f t="shared" si="139"/>
        <v>#DIV/0!</v>
      </c>
      <c r="DL17" s="270" t="e">
        <f t="shared" ref="DL17:DO17" si="140">DL7+DL16</f>
        <v>#DIV/0!</v>
      </c>
      <c r="DM17" s="270" t="e">
        <f t="shared" si="140"/>
        <v>#DIV/0!</v>
      </c>
      <c r="DN17" s="270" t="e">
        <f t="shared" si="140"/>
        <v>#DIV/0!</v>
      </c>
      <c r="DO17" s="270" t="e">
        <f t="shared" si="140"/>
        <v>#DIV/0!</v>
      </c>
      <c r="DP17" s="270" t="e">
        <f t="shared" ref="DP17:DV17" si="141">DP7+DP16</f>
        <v>#DIV/0!</v>
      </c>
      <c r="DQ17" s="270" t="e">
        <f t="shared" si="141"/>
        <v>#DIV/0!</v>
      </c>
      <c r="DR17" s="270" t="e">
        <f t="shared" si="141"/>
        <v>#DIV/0!</v>
      </c>
      <c r="DS17" s="270" t="e">
        <f t="shared" si="141"/>
        <v>#DIV/0!</v>
      </c>
      <c r="DT17" s="270" t="e">
        <f t="shared" si="141"/>
        <v>#DIV/0!</v>
      </c>
      <c r="DU17" s="270" t="e">
        <f t="shared" si="141"/>
        <v>#DIV/0!</v>
      </c>
      <c r="DV17" s="270">
        <f t="shared" si="141"/>
        <v>7.522884967415977E-2</v>
      </c>
      <c r="DW17" s="270">
        <f>IFERROR((DW15+DW5)/DW6,"0")</f>
        <v>7.0184106970607965E-2</v>
      </c>
      <c r="DX17" s="270">
        <f>DX7+DX16</f>
        <v>0</v>
      </c>
      <c r="DY17" s="270">
        <f t="shared" ref="DY17:EE17" si="142">DY7+DY16</f>
        <v>0</v>
      </c>
      <c r="DZ17" s="270">
        <f t="shared" si="142"/>
        <v>0.15681115966355036</v>
      </c>
      <c r="EA17" s="270">
        <f t="shared" si="142"/>
        <v>0.14327294327294327</v>
      </c>
      <c r="EB17" s="270">
        <f t="shared" si="142"/>
        <v>0.13483533945580151</v>
      </c>
      <c r="EC17" s="270">
        <f t="shared" si="142"/>
        <v>0.15946123638431331</v>
      </c>
      <c r="ED17" s="270">
        <f t="shared" si="142"/>
        <v>0.14090698631083032</v>
      </c>
      <c r="EE17" s="270">
        <f t="shared" si="142"/>
        <v>0.11029197141121624</v>
      </c>
      <c r="EF17" s="270">
        <f t="shared" ref="EF17:EJ17" si="143">EF7+EF16</f>
        <v>0.10749158296842221</v>
      </c>
      <c r="EG17" s="270">
        <f t="shared" si="143"/>
        <v>8.567014072512133E-2</v>
      </c>
      <c r="EH17" s="270">
        <f t="shared" si="143"/>
        <v>9.3963323652613798E-2</v>
      </c>
      <c r="EI17" s="270">
        <f t="shared" si="143"/>
        <v>0.15187936247247211</v>
      </c>
      <c r="EJ17" s="270">
        <f t="shared" si="143"/>
        <v>0.10028491614066169</v>
      </c>
      <c r="EK17" s="270">
        <f t="shared" ref="EK17:EO17" si="144">EK7+EK16</f>
        <v>8.8376988574709964E-2</v>
      </c>
      <c r="EL17" s="270">
        <f t="shared" si="144"/>
        <v>8.8051550514381294E-2</v>
      </c>
      <c r="EM17" s="270">
        <f t="shared" si="144"/>
        <v>6.369294240396961E-2</v>
      </c>
      <c r="EN17" s="270">
        <f t="shared" si="144"/>
        <v>0.12288894788376195</v>
      </c>
      <c r="EO17" s="270">
        <f t="shared" si="144"/>
        <v>8.1174351894406277E-2</v>
      </c>
      <c r="EP17" s="270">
        <f t="shared" ref="EP17:ET17" si="145">EP7+EP16</f>
        <v>9.0339092752389619E-2</v>
      </c>
      <c r="EQ17" s="270">
        <f t="shared" si="145"/>
        <v>0.10321100917431193</v>
      </c>
      <c r="ER17" s="270">
        <f t="shared" si="145"/>
        <v>9.1776983442212093E-2</v>
      </c>
      <c r="ES17" s="270">
        <f t="shared" si="145"/>
        <v>6.9940270331495885E-2</v>
      </c>
      <c r="ET17" s="270">
        <f t="shared" si="145"/>
        <v>2.9065637960738015E-2</v>
      </c>
      <c r="EU17" s="270">
        <f t="shared" ref="EU17:EX17" si="146">EU7+EU16</f>
        <v>6.3298699441061368E-2</v>
      </c>
      <c r="EV17" s="270">
        <f t="shared" si="146"/>
        <v>0.12530252360342417</v>
      </c>
      <c r="EW17" s="270">
        <f t="shared" si="146"/>
        <v>6.5188652227195221E-2</v>
      </c>
      <c r="EX17" s="270">
        <f t="shared" si="146"/>
        <v>9.7501744997673334E-2</v>
      </c>
      <c r="EY17" s="270">
        <f t="shared" ref="EY17:FB17" si="147">EY7+EY16</f>
        <v>6.8067758289835481E-2</v>
      </c>
      <c r="EZ17" s="270">
        <f t="shared" si="147"/>
        <v>7.3862876254180601E-2</v>
      </c>
      <c r="FA17" s="270">
        <f t="shared" si="147"/>
        <v>6.8552972578910049E-2</v>
      </c>
      <c r="FB17" s="270">
        <f t="shared" si="147"/>
        <v>5.8512824130509102E-2</v>
      </c>
      <c r="FC17" s="270">
        <f>IFERROR((FC15+FC5)/FC6,"0")</f>
        <v>9.2128035341479245E-2</v>
      </c>
      <c r="FD17" s="270">
        <f>FD7+FD16</f>
        <v>7.2934612197695425E-2</v>
      </c>
      <c r="FE17" s="270">
        <f t="shared" ref="FE17:GG17" si="148">FE7+FE16</f>
        <v>9.5987537890569449E-2</v>
      </c>
      <c r="FF17" s="270">
        <f>FF7+FF11+FF16</f>
        <v>9.2720745371917046E-2</v>
      </c>
      <c r="FG17" s="270">
        <f t="shared" si="148"/>
        <v>5.6214805585116337E-2</v>
      </c>
      <c r="FH17" s="270" t="e">
        <f t="shared" si="148"/>
        <v>#DIV/0!</v>
      </c>
      <c r="FI17" s="270" t="e">
        <f t="shared" si="148"/>
        <v>#DIV/0!</v>
      </c>
      <c r="FJ17" s="270" t="e">
        <f t="shared" si="148"/>
        <v>#DIV/0!</v>
      </c>
      <c r="FK17" s="270" t="e">
        <f t="shared" si="148"/>
        <v>#DIV/0!</v>
      </c>
      <c r="FL17" s="270" t="e">
        <f t="shared" si="148"/>
        <v>#DIV/0!</v>
      </c>
      <c r="FM17" s="270" t="e">
        <f t="shared" si="148"/>
        <v>#DIV/0!</v>
      </c>
      <c r="FN17" s="270" t="e">
        <f t="shared" si="148"/>
        <v>#DIV/0!</v>
      </c>
      <c r="FO17" s="270" t="e">
        <f t="shared" si="148"/>
        <v>#DIV/0!</v>
      </c>
      <c r="FP17" s="270" t="e">
        <f t="shared" si="148"/>
        <v>#DIV/0!</v>
      </c>
      <c r="FQ17" s="270" t="e">
        <f t="shared" si="148"/>
        <v>#DIV/0!</v>
      </c>
      <c r="FR17" s="270" t="e">
        <f t="shared" si="148"/>
        <v>#DIV/0!</v>
      </c>
      <c r="FS17" s="270" t="e">
        <f t="shared" si="148"/>
        <v>#DIV/0!</v>
      </c>
      <c r="FT17" s="270" t="e">
        <f t="shared" si="148"/>
        <v>#DIV/0!</v>
      </c>
      <c r="FU17" s="270" t="e">
        <f t="shared" si="148"/>
        <v>#DIV/0!</v>
      </c>
      <c r="FV17" s="270" t="e">
        <f t="shared" si="148"/>
        <v>#DIV/0!</v>
      </c>
      <c r="FW17" s="270" t="e">
        <f t="shared" si="148"/>
        <v>#DIV/0!</v>
      </c>
      <c r="FX17" s="270" t="e">
        <f t="shared" si="148"/>
        <v>#DIV/0!</v>
      </c>
      <c r="FY17" s="270" t="e">
        <f t="shared" si="148"/>
        <v>#DIV/0!</v>
      </c>
      <c r="FZ17" s="270" t="e">
        <f t="shared" si="148"/>
        <v>#DIV/0!</v>
      </c>
      <c r="GA17" s="270" t="e">
        <f t="shared" si="148"/>
        <v>#DIV/0!</v>
      </c>
      <c r="GB17" s="270" t="e">
        <f t="shared" si="148"/>
        <v>#DIV/0!</v>
      </c>
      <c r="GC17" s="270" t="e">
        <f t="shared" si="148"/>
        <v>#DIV/0!</v>
      </c>
      <c r="GD17" s="270" t="e">
        <f t="shared" si="148"/>
        <v>#DIV/0!</v>
      </c>
      <c r="GE17" s="270" t="e">
        <f t="shared" si="148"/>
        <v>#DIV/0!</v>
      </c>
      <c r="GF17" s="270" t="e">
        <f t="shared" si="148"/>
        <v>#DIV/0!</v>
      </c>
      <c r="GG17" s="270" t="e">
        <f t="shared" si="148"/>
        <v>#DIV/0!</v>
      </c>
      <c r="GH17" s="270">
        <f>IFERROR((GH15+GH5)/GH6,"0")</f>
        <v>7.0277192054690865E-2</v>
      </c>
    </row>
    <row r="18" spans="1:190" ht="15" thickBot="1" x14ac:dyDescent="0.35">
      <c r="B18" s="271">
        <f>B2</f>
        <v>45383</v>
      </c>
      <c r="C18" s="271">
        <f t="shared" ref="C18:AE18" si="149">C2</f>
        <v>45384</v>
      </c>
      <c r="D18" s="271">
        <f t="shared" si="149"/>
        <v>45385</v>
      </c>
      <c r="E18" s="271">
        <f t="shared" si="149"/>
        <v>45386</v>
      </c>
      <c r="F18" s="271">
        <f t="shared" si="149"/>
        <v>45387</v>
      </c>
      <c r="G18" s="271">
        <f t="shared" si="149"/>
        <v>45388</v>
      </c>
      <c r="H18" s="271">
        <f t="shared" si="149"/>
        <v>45389</v>
      </c>
      <c r="I18" s="271">
        <f t="shared" si="149"/>
        <v>45390</v>
      </c>
      <c r="J18" s="271">
        <f t="shared" si="149"/>
        <v>45391</v>
      </c>
      <c r="K18" s="271">
        <f t="shared" si="149"/>
        <v>45392</v>
      </c>
      <c r="L18" s="271">
        <f t="shared" si="149"/>
        <v>45393</v>
      </c>
      <c r="M18" s="271">
        <f t="shared" si="149"/>
        <v>45394</v>
      </c>
      <c r="N18" s="271">
        <f t="shared" si="149"/>
        <v>45395</v>
      </c>
      <c r="O18" s="271">
        <f t="shared" si="149"/>
        <v>45396</v>
      </c>
      <c r="P18" s="271">
        <f t="shared" si="149"/>
        <v>45397</v>
      </c>
      <c r="Q18" s="271">
        <f t="shared" si="149"/>
        <v>45398</v>
      </c>
      <c r="R18" s="271">
        <f t="shared" si="149"/>
        <v>45399</v>
      </c>
      <c r="S18" s="271">
        <f t="shared" si="149"/>
        <v>45400</v>
      </c>
      <c r="T18" s="271">
        <f t="shared" si="149"/>
        <v>45401</v>
      </c>
      <c r="U18" s="271">
        <f t="shared" si="149"/>
        <v>45402</v>
      </c>
      <c r="V18" s="271">
        <f t="shared" si="149"/>
        <v>45403</v>
      </c>
      <c r="W18" s="271">
        <f t="shared" si="149"/>
        <v>45404</v>
      </c>
      <c r="X18" s="271">
        <f t="shared" si="149"/>
        <v>45405</v>
      </c>
      <c r="Y18" s="271">
        <f t="shared" si="149"/>
        <v>45406</v>
      </c>
      <c r="Z18" s="271">
        <f t="shared" si="149"/>
        <v>45407</v>
      </c>
      <c r="AA18" s="271">
        <f t="shared" si="149"/>
        <v>45408</v>
      </c>
      <c r="AB18" s="271">
        <f t="shared" si="149"/>
        <v>45409</v>
      </c>
      <c r="AC18" s="271">
        <f t="shared" si="149"/>
        <v>45410</v>
      </c>
      <c r="AD18" s="271">
        <f t="shared" si="149"/>
        <v>45411</v>
      </c>
      <c r="AE18" s="271">
        <f t="shared" si="149"/>
        <v>45412</v>
      </c>
      <c r="AG18" s="264">
        <v>45413</v>
      </c>
      <c r="AH18" s="264">
        <v>45414</v>
      </c>
      <c r="AI18" s="264">
        <v>45415</v>
      </c>
      <c r="AJ18" s="264">
        <v>45416</v>
      </c>
      <c r="AK18" s="264">
        <v>45417</v>
      </c>
      <c r="AL18" s="264">
        <v>45418</v>
      </c>
      <c r="AM18" s="264">
        <v>45419</v>
      </c>
      <c r="AN18" s="264">
        <v>45420</v>
      </c>
      <c r="AO18" s="264">
        <v>45421</v>
      </c>
      <c r="AP18" s="264">
        <v>45422</v>
      </c>
      <c r="AQ18" s="264">
        <v>45423</v>
      </c>
      <c r="AR18" s="264">
        <v>45424</v>
      </c>
      <c r="AS18" s="264">
        <v>45425</v>
      </c>
      <c r="AT18" s="264">
        <v>45426</v>
      </c>
      <c r="AU18" s="264">
        <v>45427</v>
      </c>
      <c r="AV18" s="264">
        <v>45428</v>
      </c>
      <c r="AW18" s="264">
        <v>45429</v>
      </c>
      <c r="AX18" s="264">
        <v>45430</v>
      </c>
      <c r="AY18" s="264">
        <v>45431</v>
      </c>
      <c r="AZ18" s="264">
        <v>45432</v>
      </c>
      <c r="BA18" s="264">
        <v>45433</v>
      </c>
      <c r="BB18" s="264">
        <v>45434</v>
      </c>
      <c r="BC18" s="264">
        <v>45435</v>
      </c>
      <c r="BD18" s="264">
        <v>45436</v>
      </c>
      <c r="BE18" s="264">
        <v>45437</v>
      </c>
      <c r="BF18" s="264">
        <v>45438</v>
      </c>
      <c r="BG18" s="264">
        <v>45439</v>
      </c>
      <c r="BH18" s="264">
        <v>45440</v>
      </c>
      <c r="BI18" s="264">
        <v>45441</v>
      </c>
      <c r="BJ18" s="264">
        <v>45442</v>
      </c>
      <c r="BK18" s="264">
        <v>45443</v>
      </c>
      <c r="BM18" s="264">
        <v>45444</v>
      </c>
      <c r="BN18" s="264">
        <v>45445</v>
      </c>
      <c r="BO18" s="264">
        <v>45446</v>
      </c>
      <c r="BP18" s="264">
        <v>45447</v>
      </c>
      <c r="BQ18" s="264">
        <v>45448</v>
      </c>
      <c r="BR18" s="264">
        <v>45449</v>
      </c>
      <c r="BS18" s="264">
        <v>45450</v>
      </c>
      <c r="BT18" s="264">
        <v>45451</v>
      </c>
      <c r="BU18" s="264">
        <v>45452</v>
      </c>
      <c r="BV18" s="264">
        <v>45453</v>
      </c>
      <c r="BW18" s="264">
        <v>45454</v>
      </c>
      <c r="BX18" s="264">
        <v>45455</v>
      </c>
      <c r="BY18" s="264">
        <v>45456</v>
      </c>
      <c r="BZ18" s="264">
        <v>45457</v>
      </c>
      <c r="CA18" s="264">
        <v>45458</v>
      </c>
      <c r="CB18" s="264">
        <v>45459</v>
      </c>
      <c r="CC18" s="264">
        <v>45460</v>
      </c>
      <c r="CD18" s="264">
        <v>45461</v>
      </c>
      <c r="CE18" s="264">
        <v>45462</v>
      </c>
      <c r="CF18" s="264">
        <v>45463</v>
      </c>
      <c r="CG18" s="264">
        <v>45464</v>
      </c>
      <c r="CH18" s="264">
        <v>45465</v>
      </c>
      <c r="CI18" s="264">
        <v>45466</v>
      </c>
      <c r="CJ18" s="264">
        <v>45467</v>
      </c>
      <c r="CK18" s="264">
        <v>45468</v>
      </c>
      <c r="CL18" s="264">
        <v>45469</v>
      </c>
      <c r="CM18" s="264">
        <v>45470</v>
      </c>
      <c r="CN18" s="264">
        <v>45471</v>
      </c>
      <c r="CO18" s="264">
        <v>45472</v>
      </c>
      <c r="CP18" s="264">
        <v>45473</v>
      </c>
      <c r="CR18" s="264">
        <v>45474</v>
      </c>
      <c r="CS18" s="264">
        <v>45475</v>
      </c>
      <c r="CT18" s="264">
        <v>45476</v>
      </c>
      <c r="CU18" s="264">
        <v>45477</v>
      </c>
      <c r="CV18" s="264">
        <v>45478</v>
      </c>
      <c r="CW18" s="264">
        <v>45479</v>
      </c>
      <c r="CX18" s="264">
        <v>45480</v>
      </c>
      <c r="CY18" s="264">
        <v>45481</v>
      </c>
      <c r="CZ18" s="264">
        <v>45482</v>
      </c>
      <c r="DA18" s="264">
        <v>45483</v>
      </c>
      <c r="DB18" s="264">
        <v>45484</v>
      </c>
      <c r="DC18" s="264">
        <v>45485</v>
      </c>
      <c r="DD18" s="264">
        <v>45486</v>
      </c>
      <c r="DE18" s="264">
        <v>45487</v>
      </c>
      <c r="DF18" s="264">
        <v>45488</v>
      </c>
      <c r="DG18" s="264">
        <v>45489</v>
      </c>
      <c r="DH18" s="264">
        <v>45490</v>
      </c>
      <c r="DI18" s="264">
        <v>45491</v>
      </c>
      <c r="DJ18" s="264">
        <v>45492</v>
      </c>
      <c r="DK18" s="264">
        <v>45493</v>
      </c>
      <c r="DL18" s="264">
        <v>45494</v>
      </c>
      <c r="DM18" s="264">
        <v>45495</v>
      </c>
      <c r="DN18" s="264">
        <v>45496</v>
      </c>
      <c r="DO18" s="264">
        <v>45497</v>
      </c>
      <c r="DP18" s="264">
        <v>45498</v>
      </c>
      <c r="DQ18" s="264">
        <v>45499</v>
      </c>
      <c r="DR18" s="264">
        <v>45500</v>
      </c>
      <c r="DS18" s="264">
        <v>45501</v>
      </c>
      <c r="DT18" s="264">
        <v>45502</v>
      </c>
      <c r="DU18" s="264">
        <v>45503</v>
      </c>
      <c r="DV18" s="264">
        <v>45504</v>
      </c>
      <c r="DX18" s="264">
        <v>45505</v>
      </c>
      <c r="DY18" s="264">
        <v>45506</v>
      </c>
      <c r="DZ18" s="264">
        <v>45507</v>
      </c>
      <c r="EA18" s="264">
        <v>45508</v>
      </c>
      <c r="EB18" s="264">
        <v>45509</v>
      </c>
      <c r="EC18" s="264">
        <v>45510</v>
      </c>
      <c r="ED18" s="264">
        <v>45511</v>
      </c>
      <c r="EE18" s="264">
        <v>45512</v>
      </c>
      <c r="EF18" s="264">
        <v>45513</v>
      </c>
      <c r="EG18" s="264">
        <v>45514</v>
      </c>
      <c r="EH18" s="264">
        <v>45515</v>
      </c>
      <c r="EI18" s="264">
        <v>45516</v>
      </c>
      <c r="EJ18" s="264">
        <v>45517</v>
      </c>
      <c r="EK18" s="264">
        <v>45518</v>
      </c>
      <c r="EL18" s="264">
        <v>45519</v>
      </c>
      <c r="EM18" s="264">
        <v>45520</v>
      </c>
      <c r="EN18" s="264">
        <v>45521</v>
      </c>
      <c r="EO18" s="264">
        <v>45522</v>
      </c>
      <c r="EP18" s="264">
        <v>45523</v>
      </c>
      <c r="EQ18" s="264">
        <v>45524</v>
      </c>
      <c r="ER18" s="264">
        <v>45525</v>
      </c>
      <c r="ES18" s="264">
        <v>45526</v>
      </c>
      <c r="ET18" s="264">
        <v>45527</v>
      </c>
      <c r="EU18" s="264">
        <v>45528</v>
      </c>
      <c r="EV18" s="264">
        <v>45529</v>
      </c>
      <c r="EW18" s="264">
        <v>45530</v>
      </c>
      <c r="EX18" s="264">
        <v>45531</v>
      </c>
      <c r="EY18" s="264">
        <v>45532</v>
      </c>
      <c r="EZ18" s="264">
        <v>45533</v>
      </c>
      <c r="FA18" s="264">
        <v>45534</v>
      </c>
      <c r="FB18" s="264">
        <v>45535</v>
      </c>
      <c r="FD18" s="264">
        <v>45505</v>
      </c>
      <c r="FE18" s="264">
        <v>45506</v>
      </c>
      <c r="FF18" s="264">
        <v>45507</v>
      </c>
      <c r="FG18" s="264">
        <v>45508</v>
      </c>
      <c r="FH18" s="264">
        <v>45509</v>
      </c>
      <c r="FI18" s="264">
        <v>45510</v>
      </c>
      <c r="FJ18" s="264">
        <v>45511</v>
      </c>
      <c r="FK18" s="264">
        <v>45512</v>
      </c>
      <c r="FL18" s="264">
        <v>45513</v>
      </c>
      <c r="FM18" s="264">
        <v>45514</v>
      </c>
      <c r="FN18" s="264">
        <v>45515</v>
      </c>
      <c r="FO18" s="264">
        <v>45516</v>
      </c>
      <c r="FP18" s="264">
        <v>45517</v>
      </c>
      <c r="FQ18" s="264">
        <v>45518</v>
      </c>
      <c r="FR18" s="264">
        <v>45519</v>
      </c>
      <c r="FS18" s="264">
        <v>45520</v>
      </c>
      <c r="FT18" s="264">
        <v>45521</v>
      </c>
      <c r="FU18" s="264">
        <v>45522</v>
      </c>
      <c r="FV18" s="264">
        <v>45523</v>
      </c>
      <c r="FW18" s="264">
        <v>45524</v>
      </c>
      <c r="FX18" s="264">
        <v>45525</v>
      </c>
      <c r="FY18" s="264">
        <v>45526</v>
      </c>
      <c r="FZ18" s="264">
        <v>45527</v>
      </c>
      <c r="GA18" s="264">
        <v>45528</v>
      </c>
      <c r="GB18" s="264">
        <v>45529</v>
      </c>
      <c r="GC18" s="264">
        <v>45530</v>
      </c>
      <c r="GD18" s="264">
        <v>45531</v>
      </c>
      <c r="GE18" s="264">
        <v>45532</v>
      </c>
      <c r="GF18" s="264">
        <v>45533</v>
      </c>
      <c r="GG18" s="264">
        <v>45534</v>
      </c>
    </row>
    <row r="19" spans="1:190" x14ac:dyDescent="0.3">
      <c r="A19" t="s">
        <v>117</v>
      </c>
      <c r="B19" s="271"/>
      <c r="C19" s="271"/>
      <c r="D19" s="271"/>
      <c r="E19" s="271"/>
      <c r="F19" s="271"/>
      <c r="G19" s="271"/>
      <c r="H19" s="271"/>
      <c r="I19" s="271"/>
      <c r="J19" s="271"/>
      <c r="K19" s="271"/>
      <c r="L19" s="271"/>
      <c r="M19" s="271"/>
      <c r="N19" s="271"/>
      <c r="O19" s="271"/>
      <c r="P19" s="271"/>
      <c r="Q19" s="271"/>
      <c r="R19" s="271"/>
      <c r="S19" s="271"/>
      <c r="T19" s="271"/>
      <c r="U19" s="271"/>
      <c r="V19" s="271"/>
      <c r="W19" s="271"/>
      <c r="X19" s="271"/>
      <c r="Y19" s="271"/>
      <c r="Z19" s="271"/>
      <c r="AA19" s="271"/>
      <c r="AB19" s="271"/>
      <c r="AC19" s="271"/>
      <c r="AD19" s="271"/>
      <c r="AE19" s="271"/>
    </row>
    <row r="20" spans="1:190" x14ac:dyDescent="0.3">
      <c r="A20" t="s">
        <v>246</v>
      </c>
      <c r="B20">
        <f>'Apr-24'!E118</f>
        <v>0</v>
      </c>
      <c r="C20">
        <f>'Apr-24'!F118</f>
        <v>0</v>
      </c>
      <c r="D20">
        <f>'Apr-24'!G118</f>
        <v>100.55</v>
      </c>
      <c r="E20">
        <f>'Apr-24'!H118</f>
        <v>0</v>
      </c>
      <c r="F20">
        <f>'Apr-24'!I118</f>
        <v>67.25</v>
      </c>
      <c r="G20">
        <f>'Apr-24'!J118</f>
        <v>0</v>
      </c>
      <c r="H20">
        <f>'Apr-24'!K118</f>
        <v>0</v>
      </c>
      <c r="I20">
        <f>'Apr-24'!L118</f>
        <v>34.020000000000003</v>
      </c>
      <c r="J20">
        <f>'Apr-24'!M118</f>
        <v>34.32</v>
      </c>
      <c r="K20">
        <f>'Apr-24'!N118</f>
        <v>0</v>
      </c>
      <c r="L20">
        <f>'Apr-24'!O118</f>
        <v>0</v>
      </c>
      <c r="M20">
        <f>'Apr-24'!P118</f>
        <v>0</v>
      </c>
      <c r="N20">
        <f>'Apr-24'!Q118</f>
        <v>30.15</v>
      </c>
      <c r="O20">
        <f>'Apr-24'!R118</f>
        <v>0</v>
      </c>
      <c r="P20">
        <f>'Apr-24'!S118</f>
        <v>0</v>
      </c>
      <c r="Q20">
        <f>'Apr-24'!T118</f>
        <v>0</v>
      </c>
      <c r="R20">
        <f>'Apr-24'!U118</f>
        <v>33.14</v>
      </c>
      <c r="S20">
        <f>'Apr-24'!V118</f>
        <v>52.81</v>
      </c>
      <c r="T20">
        <f>'Apr-24'!W118</f>
        <v>0</v>
      </c>
      <c r="U20">
        <f>'Apr-24'!X118</f>
        <v>0</v>
      </c>
      <c r="V20">
        <f>'Apr-24'!Y118</f>
        <v>55.62</v>
      </c>
      <c r="W20">
        <f>'Apr-24'!Z118</f>
        <v>27.77</v>
      </c>
      <c r="X20">
        <f>'Apr-24'!AA118</f>
        <v>0</v>
      </c>
      <c r="Y20">
        <f>'Apr-24'!AB118</f>
        <v>0</v>
      </c>
      <c r="Z20">
        <f>'Apr-24'!AC118</f>
        <v>31.6</v>
      </c>
      <c r="AA20">
        <f>'Apr-24'!AD118</f>
        <v>54.23</v>
      </c>
      <c r="AB20">
        <f>'Apr-24'!AE118</f>
        <v>0</v>
      </c>
      <c r="AC20">
        <f>'Apr-24'!AF118</f>
        <v>0</v>
      </c>
      <c r="AD20">
        <f>'Apr-24'!AG118</f>
        <v>0</v>
      </c>
      <c r="AE20">
        <f>'Apr-24'!AH118</f>
        <v>88.3</v>
      </c>
      <c r="AG20">
        <f>'May-24'!E118</f>
        <v>24.574999999999999</v>
      </c>
      <c r="AH20">
        <f>'May-24'!F118</f>
        <v>26.74</v>
      </c>
      <c r="AI20">
        <f>'May-24'!G118</f>
        <v>0</v>
      </c>
      <c r="AJ20">
        <f>'May-24'!H118</f>
        <v>0</v>
      </c>
      <c r="AK20">
        <f>'May-24'!I118</f>
        <v>0</v>
      </c>
      <c r="AL20">
        <f>'May-24'!J118</f>
        <v>84.44</v>
      </c>
      <c r="AM20">
        <f>'May-24'!K118</f>
        <v>25.96</v>
      </c>
      <c r="AN20">
        <f>'May-24'!L118</f>
        <v>0</v>
      </c>
      <c r="AO20">
        <f>'May-24'!M118</f>
        <v>27.43</v>
      </c>
      <c r="AP20">
        <f>'May-24'!N118</f>
        <v>0</v>
      </c>
      <c r="AQ20">
        <f>'May-24'!O118</f>
        <v>0</v>
      </c>
      <c r="AR20">
        <f>'May-24'!P118</f>
        <v>0</v>
      </c>
      <c r="AS20">
        <f>'May-24'!Q118</f>
        <v>28.06</v>
      </c>
      <c r="AT20">
        <f>'May-24'!R118</f>
        <v>0</v>
      </c>
      <c r="AU20">
        <f>'May-24'!S118</f>
        <v>0</v>
      </c>
      <c r="AV20">
        <f>'May-24'!T118</f>
        <v>30.94</v>
      </c>
      <c r="AW20">
        <f>'May-24'!U118</f>
        <v>30.13</v>
      </c>
      <c r="AX20">
        <f>'May-24'!V118</f>
        <v>0</v>
      </c>
      <c r="AY20">
        <f>'May-24'!W118</f>
        <v>0</v>
      </c>
      <c r="AZ20">
        <f>'May-24'!X118</f>
        <v>0</v>
      </c>
      <c r="BA20">
        <f>'May-24'!Y118</f>
        <v>87.43</v>
      </c>
      <c r="BB20">
        <f>'May-24'!Z118</f>
        <v>0</v>
      </c>
      <c r="BC20">
        <f>'May-24'!AA118</f>
        <v>26.24</v>
      </c>
      <c r="BD20">
        <f>'May-24'!AB118</f>
        <v>0</v>
      </c>
      <c r="BE20">
        <f>'May-24'!AC118</f>
        <v>0</v>
      </c>
      <c r="BF20">
        <f>'May-24'!AD118</f>
        <v>27.81</v>
      </c>
      <c r="BG20">
        <f>'May-24'!AE118</f>
        <v>32.82</v>
      </c>
      <c r="BH20">
        <f>'May-24'!AF118</f>
        <v>26.64</v>
      </c>
      <c r="BI20">
        <f>'May-24'!AG118</f>
        <v>28.74</v>
      </c>
      <c r="BJ20">
        <f>'May-24'!AH118</f>
        <v>0</v>
      </c>
      <c r="BK20">
        <f>'May-24'!AI118</f>
        <v>0</v>
      </c>
      <c r="BM20">
        <f>'Jun-24'!E101</f>
        <v>0</v>
      </c>
      <c r="BN20">
        <f>'Jun-24'!F101</f>
        <v>56.48</v>
      </c>
      <c r="BO20">
        <f>'Jun-24'!G101</f>
        <v>0</v>
      </c>
      <c r="BP20">
        <f>'Jun-24'!H101</f>
        <v>0</v>
      </c>
      <c r="BQ20">
        <f>'Jun-24'!I101</f>
        <v>82.18</v>
      </c>
      <c r="BR20">
        <f>'Jun-24'!J101</f>
        <v>0</v>
      </c>
      <c r="BS20">
        <f>'Jun-24'!K101</f>
        <v>0</v>
      </c>
      <c r="BT20">
        <f>'Jun-24'!L101</f>
        <v>0</v>
      </c>
      <c r="BU20">
        <f>'Jun-24'!M101</f>
        <v>0</v>
      </c>
      <c r="BV20">
        <f>'Jun-24'!N101</f>
        <v>0</v>
      </c>
      <c r="BW20">
        <f>'Jun-24'!O101</f>
        <v>31.99</v>
      </c>
      <c r="BX20">
        <f>'Jun-24'!P101</f>
        <v>0</v>
      </c>
      <c r="BY20">
        <f>'Jun-24'!Q101</f>
        <v>33.01</v>
      </c>
      <c r="BZ20">
        <f>'Jun-24'!R101</f>
        <v>0</v>
      </c>
      <c r="CA20">
        <f>'Jun-24'!S101</f>
        <v>0</v>
      </c>
      <c r="CB20">
        <f>'Jun-24'!T101</f>
        <v>121.41</v>
      </c>
      <c r="CC20">
        <f>'Jun-24'!U101</f>
        <v>0</v>
      </c>
      <c r="CD20">
        <f>'Jun-24'!V101</f>
        <v>0</v>
      </c>
      <c r="CE20">
        <f>'Jun-24'!W101</f>
        <v>39.630000000000003</v>
      </c>
      <c r="CF20">
        <f>'Jun-24'!X101</f>
        <v>18.38</v>
      </c>
      <c r="CG20">
        <f>'Jun-24'!Y101</f>
        <v>0</v>
      </c>
      <c r="CH20">
        <f>'Jun-24'!Z101</f>
        <v>0</v>
      </c>
      <c r="CI20">
        <f>'Jun-24'!AA101</f>
        <v>34.619999999999997</v>
      </c>
      <c r="CJ20">
        <f>'Jun-24'!AB101</f>
        <v>0</v>
      </c>
      <c r="CK20">
        <f>'Jun-24'!AC101</f>
        <v>0</v>
      </c>
      <c r="CL20">
        <f>'Jun-24'!AD101</f>
        <v>134.87</v>
      </c>
      <c r="CM20">
        <f>'Jun-24'!AE101</f>
        <v>0</v>
      </c>
      <c r="CN20">
        <f>'Jun-24'!AF101</f>
        <v>31.24</v>
      </c>
      <c r="CO20">
        <f>'Jun-24'!AG101</f>
        <v>0</v>
      </c>
      <c r="CP20">
        <f>'Jun-24'!AH101</f>
        <v>33.75</v>
      </c>
      <c r="CR20">
        <f>'Jul-24'!E101</f>
        <v>29.09</v>
      </c>
      <c r="CS20">
        <f>'Jul-24'!F101</f>
        <v>0</v>
      </c>
      <c r="CT20">
        <f>'Jul-24'!G101</f>
        <v>39.43</v>
      </c>
      <c r="CU20">
        <f>'Jul-24'!H101</f>
        <v>28.09</v>
      </c>
      <c r="CV20">
        <f>'Jul-24'!I101</f>
        <v>0</v>
      </c>
      <c r="CW20">
        <f>'Jul-24'!J101</f>
        <v>0</v>
      </c>
      <c r="CX20">
        <f>'Jul-24'!K101</f>
        <v>73.819999999999993</v>
      </c>
      <c r="CY20">
        <f>'Jul-24'!L101</f>
        <v>28.78</v>
      </c>
      <c r="CZ20">
        <f>'Jul-24'!M101</f>
        <v>0</v>
      </c>
      <c r="DA20">
        <f>'Jul-24'!N101</f>
        <v>0</v>
      </c>
      <c r="DB20">
        <f>'Jul-24'!O101</f>
        <v>0</v>
      </c>
      <c r="DC20">
        <f>'Jul-24'!P101</f>
        <v>0</v>
      </c>
      <c r="DD20">
        <f>'Jul-24'!Q101</f>
        <v>0</v>
      </c>
      <c r="DE20">
        <f>'Jul-24'!R101</f>
        <v>91.74</v>
      </c>
      <c r="DF20">
        <f>'Jul-24'!S101</f>
        <v>0</v>
      </c>
      <c r="DG20">
        <f>'Jul-24'!T101</f>
        <v>0</v>
      </c>
      <c r="DH20">
        <f>'Jul-24'!U101</f>
        <v>29.87</v>
      </c>
      <c r="DI20">
        <f>'Jul-24'!V101</f>
        <v>0</v>
      </c>
      <c r="DJ20">
        <f>'Jul-24'!W101</f>
        <v>0</v>
      </c>
      <c r="DK20">
        <f>'Jul-24'!X101</f>
        <v>0</v>
      </c>
      <c r="DL20">
        <f>'Jul-24'!Y101</f>
        <v>66.75</v>
      </c>
      <c r="DM20">
        <f>'Jul-24'!Z101</f>
        <v>0</v>
      </c>
      <c r="DN20">
        <f>'Jul-24'!AA101</f>
        <v>34.5</v>
      </c>
      <c r="DO20">
        <f>'Jul-24'!AB101</f>
        <v>0</v>
      </c>
      <c r="DP20">
        <f>'Jul-24'!AC101</f>
        <v>0</v>
      </c>
      <c r="DQ20">
        <f>'Jul-24'!AD101</f>
        <v>29.39</v>
      </c>
      <c r="DR20">
        <f>'Jul-24'!AE101</f>
        <v>0</v>
      </c>
      <c r="DS20">
        <f>'Jul-24'!AF101</f>
        <v>0</v>
      </c>
      <c r="DT20">
        <f>'Jul-24'!AG101</f>
        <v>0</v>
      </c>
      <c r="DU20">
        <f>'Jul-24'!AH101</f>
        <v>0</v>
      </c>
      <c r="DV20">
        <f>'Jul-24'!AI101</f>
        <v>0</v>
      </c>
      <c r="DX20">
        <f>'Aug-24'!E101</f>
        <v>0</v>
      </c>
      <c r="DY20">
        <f>'Aug-24'!F101</f>
        <v>0</v>
      </c>
      <c r="DZ20">
        <f>'Aug-24'!G101</f>
        <v>0</v>
      </c>
      <c r="EA20">
        <f>'Aug-24'!H101</f>
        <v>0</v>
      </c>
      <c r="EB20">
        <f>'Aug-24'!I101</f>
        <v>0</v>
      </c>
      <c r="EC20">
        <f>'Aug-24'!J101</f>
        <v>0</v>
      </c>
      <c r="ED20">
        <f>'Aug-24'!K101</f>
        <v>0</v>
      </c>
      <c r="EE20">
        <f>'Aug-24'!L101</f>
        <v>0</v>
      </c>
      <c r="EF20">
        <f>'Aug-24'!M101</f>
        <v>0</v>
      </c>
      <c r="EG20">
        <f>'Aug-24'!N101</f>
        <v>0</v>
      </c>
      <c r="EH20">
        <f>'Aug-24'!O101</f>
        <v>57.51</v>
      </c>
      <c r="EI20">
        <f>'Aug-24'!P101</f>
        <v>0</v>
      </c>
      <c r="EJ20">
        <f>'Aug-24'!Q101</f>
        <v>0</v>
      </c>
      <c r="EK20">
        <f>'Aug-24'!R101</f>
        <v>0</v>
      </c>
      <c r="EL20">
        <f>'Aug-24'!S101</f>
        <v>92.05</v>
      </c>
      <c r="EM20">
        <f>'Aug-24'!T101</f>
        <v>0</v>
      </c>
      <c r="EN20">
        <f>'Aug-24'!U101</f>
        <v>0</v>
      </c>
      <c r="EO20">
        <f>'Aug-24'!V101</f>
        <v>0</v>
      </c>
      <c r="EP20">
        <f>'Aug-24'!W101</f>
        <v>0</v>
      </c>
      <c r="EQ20">
        <f>'Aug-24'!X101</f>
        <v>0</v>
      </c>
      <c r="ER20">
        <f>'Aug-24'!Y101</f>
        <v>0</v>
      </c>
      <c r="ES20">
        <f>'Aug-24'!Z101</f>
        <v>0</v>
      </c>
      <c r="ET20">
        <f>'Aug-24'!AA101</f>
        <v>0</v>
      </c>
      <c r="EU20">
        <f>'Aug-24'!AB101</f>
        <v>0</v>
      </c>
      <c r="EV20">
        <f>'Aug-24'!AC101</f>
        <v>0</v>
      </c>
      <c r="EW20">
        <f>'Aug-24'!AD101</f>
        <v>0</v>
      </c>
      <c r="EX20">
        <f>'Aug-24'!AE101</f>
        <v>0</v>
      </c>
      <c r="EY20">
        <f>'Aug-24'!AF101</f>
        <v>0</v>
      </c>
      <c r="EZ20">
        <f>'Aug-24'!AG101</f>
        <v>0</v>
      </c>
      <c r="FA20">
        <f>'Aug-24'!AH101</f>
        <v>0</v>
      </c>
      <c r="FB20">
        <f>'Aug-24'!AI101</f>
        <v>0</v>
      </c>
      <c r="FD20">
        <f>'Sep-24'!E102</f>
        <v>0</v>
      </c>
      <c r="FE20">
        <f>'Sep-24'!F102</f>
        <v>0</v>
      </c>
      <c r="FF20">
        <f>'Sep-24'!G102</f>
        <v>0</v>
      </c>
      <c r="FG20">
        <f>'Sep-24'!H102</f>
        <v>0</v>
      </c>
      <c r="FH20">
        <f>'Sep-24'!I102</f>
        <v>0</v>
      </c>
      <c r="FI20">
        <f>'Sep-24'!J102</f>
        <v>0</v>
      </c>
      <c r="FJ20">
        <f>'Sep-24'!K102</f>
        <v>0</v>
      </c>
      <c r="FK20">
        <f>'Sep-24'!L102</f>
        <v>0</v>
      </c>
      <c r="FL20">
        <f>'Sep-24'!M102</f>
        <v>0</v>
      </c>
      <c r="FM20">
        <f>'Sep-24'!N102</f>
        <v>0</v>
      </c>
      <c r="FN20">
        <f>'Sep-24'!O102</f>
        <v>0</v>
      </c>
      <c r="FO20">
        <f>'Sep-24'!P102</f>
        <v>0</v>
      </c>
      <c r="FP20">
        <f>'Sep-24'!Q102</f>
        <v>0</v>
      </c>
      <c r="FQ20">
        <f>'Sep-24'!R102</f>
        <v>0</v>
      </c>
      <c r="FR20">
        <f>'Sep-24'!S102</f>
        <v>0</v>
      </c>
      <c r="FS20">
        <f>'Sep-24'!T102</f>
        <v>0</v>
      </c>
      <c r="FT20">
        <f>'Sep-24'!U102</f>
        <v>0</v>
      </c>
      <c r="FU20">
        <f>'Sep-24'!V102</f>
        <v>0</v>
      </c>
      <c r="FV20">
        <f>'Sep-24'!W102</f>
        <v>0</v>
      </c>
      <c r="FW20">
        <f>'Sep-24'!X102</f>
        <v>0</v>
      </c>
      <c r="FX20">
        <f>'Sep-24'!Y102</f>
        <v>0</v>
      </c>
      <c r="FY20">
        <f>'Sep-24'!Z102</f>
        <v>0</v>
      </c>
      <c r="FZ20">
        <f>'Sep-24'!AA102</f>
        <v>0</v>
      </c>
      <c r="GA20">
        <f>'Sep-24'!AB102</f>
        <v>0</v>
      </c>
      <c r="GB20">
        <f>'Sep-24'!AC102</f>
        <v>0</v>
      </c>
      <c r="GC20">
        <f>'Sep-24'!AD102</f>
        <v>0</v>
      </c>
      <c r="GD20">
        <f>'Sep-24'!AE102</f>
        <v>0</v>
      </c>
      <c r="GE20">
        <f>'Sep-24'!AF102</f>
        <v>0</v>
      </c>
      <c r="GF20">
        <f>'Sep-24'!AG102</f>
        <v>0</v>
      </c>
      <c r="GG20">
        <f>'Sep-24'!AH102</f>
        <v>0</v>
      </c>
    </row>
    <row r="21" spans="1:190" x14ac:dyDescent="0.3">
      <c r="A21" t="s">
        <v>243</v>
      </c>
      <c r="B21">
        <f>'Apr-24'!E119</f>
        <v>0</v>
      </c>
      <c r="C21">
        <f>'Apr-24'!F119</f>
        <v>0</v>
      </c>
      <c r="D21">
        <f>'Apr-24'!G119</f>
        <v>1481</v>
      </c>
      <c r="E21">
        <f>'Apr-24'!H119</f>
        <v>0</v>
      </c>
      <c r="F21">
        <f>'Apr-24'!I119</f>
        <v>2700</v>
      </c>
      <c r="G21">
        <f>'Apr-24'!J119</f>
        <v>0</v>
      </c>
      <c r="H21">
        <f>'Apr-24'!K119</f>
        <v>0</v>
      </c>
      <c r="I21">
        <f>'Apr-24'!L119</f>
        <v>2399</v>
      </c>
      <c r="J21">
        <f>'Apr-24'!M119</f>
        <v>2501</v>
      </c>
      <c r="K21">
        <f>'Apr-24'!N119</f>
        <v>0</v>
      </c>
      <c r="L21">
        <f>'Apr-24'!O119</f>
        <v>0</v>
      </c>
      <c r="M21">
        <f>'Apr-24'!P119</f>
        <v>0</v>
      </c>
      <c r="N21">
        <f>'Apr-24'!Q119</f>
        <v>2312</v>
      </c>
      <c r="O21">
        <f>'Apr-24'!R119</f>
        <v>0</v>
      </c>
      <c r="P21">
        <f>'Apr-24'!S119</f>
        <v>0</v>
      </c>
      <c r="Q21">
        <f>'Apr-24'!T119</f>
        <v>0</v>
      </c>
      <c r="R21">
        <f>'Apr-24'!U119</f>
        <v>1825</v>
      </c>
      <c r="S21">
        <f>'Apr-24'!V119</f>
        <v>918</v>
      </c>
      <c r="T21">
        <f>'Apr-24'!W119</f>
        <v>0</v>
      </c>
      <c r="U21">
        <f>'Apr-24'!X119</f>
        <v>0</v>
      </c>
      <c r="V21">
        <f>'Apr-24'!Y119</f>
        <v>695</v>
      </c>
      <c r="W21">
        <f>'Apr-24'!Z119</f>
        <v>546.64</v>
      </c>
      <c r="X21">
        <f>'Apr-24'!AA119</f>
        <v>0</v>
      </c>
      <c r="Y21">
        <f>'Apr-24'!AB119</f>
        <v>0</v>
      </c>
      <c r="Z21">
        <f>'Apr-24'!AC119</f>
        <v>2237</v>
      </c>
      <c r="AA21">
        <f>'Apr-24'!AD119</f>
        <v>436</v>
      </c>
      <c r="AB21">
        <f>'Apr-24'!AE119</f>
        <v>0</v>
      </c>
      <c r="AC21">
        <f>'Apr-24'!AF119</f>
        <v>0</v>
      </c>
      <c r="AD21">
        <f>'Apr-24'!AG119</f>
        <v>0</v>
      </c>
      <c r="AE21">
        <f>'Apr-24'!AH119</f>
        <v>347</v>
      </c>
      <c r="AG21">
        <f>'May-24'!E119</f>
        <v>1116</v>
      </c>
      <c r="AH21">
        <f>'May-24'!F119</f>
        <v>854</v>
      </c>
      <c r="AI21">
        <f>'May-24'!G119</f>
        <v>0</v>
      </c>
      <c r="AJ21">
        <f>'May-24'!H119</f>
        <v>0</v>
      </c>
      <c r="AK21">
        <f>'May-24'!I119</f>
        <v>0</v>
      </c>
      <c r="AL21">
        <f>'May-24'!J119</f>
        <v>2506</v>
      </c>
      <c r="AM21">
        <f>'May-24'!K119</f>
        <v>495</v>
      </c>
      <c r="AN21">
        <f>'May-24'!L119</f>
        <v>0</v>
      </c>
      <c r="AO21">
        <f>'May-24'!M119</f>
        <v>2127</v>
      </c>
      <c r="AP21">
        <f>'May-24'!N119</f>
        <v>0</v>
      </c>
      <c r="AQ21">
        <f>'May-24'!O119</f>
        <v>0</v>
      </c>
      <c r="AR21">
        <f>'May-24'!P119</f>
        <v>0</v>
      </c>
      <c r="AS21">
        <f>'May-24'!Q119</f>
        <v>1353</v>
      </c>
      <c r="AT21">
        <f>'May-24'!R119</f>
        <v>0</v>
      </c>
      <c r="AU21">
        <f>'May-24'!S119</f>
        <v>0</v>
      </c>
      <c r="AV21">
        <f>'May-24'!T119</f>
        <v>1328</v>
      </c>
      <c r="AW21">
        <f>'May-24'!U119</f>
        <v>3615</v>
      </c>
      <c r="AX21">
        <f>'May-24'!V119</f>
        <v>0</v>
      </c>
      <c r="AY21">
        <f>'May-24'!W119</f>
        <v>0</v>
      </c>
      <c r="AZ21">
        <f>'May-24'!X119</f>
        <v>0</v>
      </c>
      <c r="BA21">
        <f>'May-24'!Y119</f>
        <v>1374</v>
      </c>
      <c r="BB21">
        <f>'May-24'!Z119</f>
        <v>0</v>
      </c>
      <c r="BC21">
        <f>'May-24'!AA119</f>
        <v>2107</v>
      </c>
      <c r="BD21">
        <f>'May-24'!AB119</f>
        <v>0</v>
      </c>
      <c r="BE21">
        <f>'May-24'!AC119</f>
        <v>0</v>
      </c>
      <c r="BF21">
        <f>'May-24'!AD119</f>
        <v>691</v>
      </c>
      <c r="BG21">
        <f>'May-24'!AE119</f>
        <v>691</v>
      </c>
      <c r="BH21">
        <f>'May-24'!AF119</f>
        <v>2857</v>
      </c>
      <c r="BI21">
        <f>'May-24'!AG119</f>
        <v>503</v>
      </c>
      <c r="BJ21">
        <f>'May-24'!AH119</f>
        <v>0</v>
      </c>
      <c r="BK21">
        <f>'May-24'!AI119</f>
        <v>0</v>
      </c>
      <c r="BM21">
        <f>'Jun-24'!E102</f>
        <v>0</v>
      </c>
      <c r="BN21">
        <f>'Jun-24'!F102</f>
        <v>962</v>
      </c>
      <c r="BO21">
        <f>'Jun-24'!G102</f>
        <v>0</v>
      </c>
      <c r="BP21">
        <f>'Jun-24'!H102</f>
        <v>0</v>
      </c>
      <c r="BQ21">
        <f>'Jun-24'!I102</f>
        <v>282</v>
      </c>
      <c r="BR21">
        <f>'Jun-24'!J102</f>
        <v>0</v>
      </c>
      <c r="BS21">
        <f>'Jun-24'!K102</f>
        <v>0</v>
      </c>
      <c r="BT21">
        <f>'Jun-24'!L102</f>
        <v>0</v>
      </c>
      <c r="BU21">
        <f>'Jun-24'!M102</f>
        <v>0</v>
      </c>
      <c r="BV21">
        <f>'Jun-24'!N102</f>
        <v>0</v>
      </c>
      <c r="BW21">
        <f>'Jun-24'!O102</f>
        <v>692</v>
      </c>
      <c r="BX21">
        <f>'Jun-24'!P102</f>
        <v>0</v>
      </c>
      <c r="BY21">
        <f>'Jun-24'!Q102</f>
        <v>580</v>
      </c>
      <c r="BZ21">
        <f>'Jun-24'!R102</f>
        <v>0</v>
      </c>
      <c r="CA21">
        <f>'Jun-24'!S102</f>
        <v>0</v>
      </c>
      <c r="CB21">
        <f>'Jun-24'!T102</f>
        <v>245</v>
      </c>
      <c r="CC21">
        <f>'Jun-24'!U102</f>
        <v>0</v>
      </c>
      <c r="CD21">
        <f>'Jun-24'!V102</f>
        <v>0</v>
      </c>
      <c r="CE21">
        <f>'Jun-24'!W102</f>
        <v>333</v>
      </c>
      <c r="CF21">
        <f>'Jun-24'!X102</f>
        <v>262</v>
      </c>
      <c r="CG21">
        <f>'Jun-24'!Y102</f>
        <v>0</v>
      </c>
      <c r="CH21">
        <f>'Jun-24'!Z102</f>
        <v>0</v>
      </c>
      <c r="CI21">
        <f>'Jun-24'!AA102</f>
        <v>377</v>
      </c>
      <c r="CJ21">
        <f>'Jun-24'!AB102</f>
        <v>0</v>
      </c>
      <c r="CK21">
        <f>'Jun-24'!AC102</f>
        <v>0</v>
      </c>
      <c r="CL21">
        <f>'Jun-24'!AD102</f>
        <v>1075</v>
      </c>
      <c r="CM21">
        <f>'Jun-24'!AE102</f>
        <v>0</v>
      </c>
      <c r="CN21">
        <f>'Jun-24'!AF102</f>
        <v>118</v>
      </c>
      <c r="CO21">
        <f>'Jun-24'!AG102</f>
        <v>0</v>
      </c>
      <c r="CP21">
        <f>'Jun-24'!AH102</f>
        <v>1428</v>
      </c>
      <c r="CR21">
        <f>'Jul-24'!E102</f>
        <v>553</v>
      </c>
      <c r="CS21">
        <f>'Jul-24'!F102</f>
        <v>0</v>
      </c>
      <c r="CT21">
        <f>'Jul-24'!G102</f>
        <v>424</v>
      </c>
      <c r="CU21">
        <f>'Jul-24'!H102</f>
        <v>2742</v>
      </c>
      <c r="CV21">
        <f>'Jul-24'!I102</f>
        <v>0</v>
      </c>
      <c r="CW21">
        <f>'Jul-24'!J102</f>
        <v>0</v>
      </c>
      <c r="CX21">
        <f>'Jul-24'!K102</f>
        <v>583</v>
      </c>
      <c r="CY21">
        <f>'Jul-24'!L102</f>
        <v>695</v>
      </c>
      <c r="CZ21">
        <f>'Jul-24'!M102</f>
        <v>0</v>
      </c>
      <c r="DA21">
        <f>'Jul-24'!N102</f>
        <v>0</v>
      </c>
      <c r="DB21">
        <f>'Jul-24'!O102</f>
        <v>0</v>
      </c>
      <c r="DC21">
        <f>'Jul-24'!P102</f>
        <v>0</v>
      </c>
      <c r="DD21">
        <f>'Jul-24'!Q102</f>
        <v>0</v>
      </c>
      <c r="DE21">
        <f>'Jul-24'!R102</f>
        <v>1512</v>
      </c>
      <c r="DF21">
        <f>'Jul-24'!S102</f>
        <v>0</v>
      </c>
      <c r="DG21">
        <f>'Jul-24'!T102</f>
        <v>0</v>
      </c>
      <c r="DH21">
        <f>'Jul-24'!U102</f>
        <v>2305</v>
      </c>
      <c r="DI21">
        <f>'Jul-24'!V102</f>
        <v>0</v>
      </c>
      <c r="DJ21">
        <f>'Jul-24'!W102</f>
        <v>0</v>
      </c>
      <c r="DK21">
        <f>'Jul-24'!X102</f>
        <v>0</v>
      </c>
      <c r="DL21">
        <f>'Jul-24'!Y102</f>
        <v>761</v>
      </c>
      <c r="DM21">
        <f>'Jul-24'!Z102</f>
        <v>0</v>
      </c>
      <c r="DN21">
        <f>'Jul-24'!AA102</f>
        <v>3289</v>
      </c>
      <c r="DO21">
        <f>'Jul-24'!AB102</f>
        <v>0</v>
      </c>
      <c r="DP21">
        <f>'Jul-24'!AC102</f>
        <v>0</v>
      </c>
      <c r="DQ21">
        <f>'Jul-24'!AD102</f>
        <v>3275</v>
      </c>
      <c r="DR21">
        <f>'Jul-24'!AE102</f>
        <v>0</v>
      </c>
      <c r="DS21">
        <f>'Jul-24'!AF102</f>
        <v>0</v>
      </c>
      <c r="DT21">
        <f>'Jul-24'!AG102</f>
        <v>0</v>
      </c>
      <c r="DU21">
        <f>'Jul-24'!AH102</f>
        <v>0</v>
      </c>
      <c r="DV21">
        <f>'Jul-24'!AI102</f>
        <v>0</v>
      </c>
      <c r="DX21">
        <f>'Aug-24'!E102</f>
        <v>0</v>
      </c>
      <c r="DY21">
        <f>'Aug-24'!F102</f>
        <v>0</v>
      </c>
      <c r="DZ21">
        <f>'Aug-24'!G102</f>
        <v>0</v>
      </c>
      <c r="EA21">
        <f>'Aug-24'!H102</f>
        <v>0</v>
      </c>
      <c r="EB21">
        <f>'Aug-24'!I102</f>
        <v>0</v>
      </c>
      <c r="EC21">
        <f>'Aug-24'!J102</f>
        <v>0</v>
      </c>
      <c r="ED21">
        <f>'Aug-24'!K102</f>
        <v>0</v>
      </c>
      <c r="EE21">
        <f>'Aug-24'!L102</f>
        <v>0</v>
      </c>
      <c r="EF21">
        <f>'Aug-24'!M102</f>
        <v>0</v>
      </c>
      <c r="EG21">
        <f>'Aug-24'!N102</f>
        <v>0</v>
      </c>
      <c r="EH21">
        <f>'Aug-24'!O102</f>
        <v>1362</v>
      </c>
      <c r="EI21">
        <f>'Aug-24'!P102</f>
        <v>0</v>
      </c>
      <c r="EJ21">
        <f>'Aug-24'!Q102</f>
        <v>0</v>
      </c>
      <c r="EK21">
        <f>'Aug-24'!R102</f>
        <v>0</v>
      </c>
      <c r="EL21">
        <f>'Aug-24'!S102</f>
        <v>899</v>
      </c>
      <c r="EM21">
        <f>'Aug-24'!T102</f>
        <v>0</v>
      </c>
      <c r="EN21">
        <f>'Aug-24'!U102</f>
        <v>0</v>
      </c>
      <c r="EO21">
        <f>'Aug-24'!V102</f>
        <v>0</v>
      </c>
      <c r="EP21">
        <f>'Aug-24'!W102</f>
        <v>0</v>
      </c>
      <c r="EQ21">
        <f>'Aug-24'!X102</f>
        <v>0</v>
      </c>
      <c r="ER21">
        <f>'Aug-24'!Y102</f>
        <v>0</v>
      </c>
      <c r="ES21">
        <f>'Aug-24'!Z102</f>
        <v>0</v>
      </c>
      <c r="ET21">
        <f>'Aug-24'!AA102</f>
        <v>0</v>
      </c>
      <c r="EU21">
        <f>'Aug-24'!AB102</f>
        <v>0</v>
      </c>
      <c r="EV21">
        <f>'Aug-24'!AC102</f>
        <v>0</v>
      </c>
      <c r="EW21">
        <f>'Aug-24'!AD102</f>
        <v>0</v>
      </c>
      <c r="EX21">
        <f>'Aug-24'!AE102</f>
        <v>0</v>
      </c>
      <c r="EY21">
        <f>'Aug-24'!AF102</f>
        <v>0</v>
      </c>
      <c r="EZ21">
        <f>'Aug-24'!AG102</f>
        <v>0</v>
      </c>
      <c r="FA21">
        <f>'Aug-24'!AH102</f>
        <v>0</v>
      </c>
      <c r="FB21">
        <f>'Aug-24'!AI102</f>
        <v>0</v>
      </c>
      <c r="FD21">
        <f>'Sep-24'!E103</f>
        <v>0</v>
      </c>
      <c r="FE21">
        <f>'Sep-24'!F103</f>
        <v>0</v>
      </c>
      <c r="FF21">
        <f>'Sep-24'!G103</f>
        <v>0</v>
      </c>
      <c r="FG21">
        <f>'Sep-24'!H103</f>
        <v>0</v>
      </c>
      <c r="FH21">
        <f>'Sep-24'!I103</f>
        <v>0</v>
      </c>
      <c r="FI21">
        <f>'Sep-24'!J103</f>
        <v>0</v>
      </c>
      <c r="FJ21">
        <f>'Sep-24'!K103</f>
        <v>0</v>
      </c>
      <c r="FK21">
        <f>'Sep-24'!L103</f>
        <v>0</v>
      </c>
      <c r="FL21">
        <f>'Sep-24'!M103</f>
        <v>0</v>
      </c>
      <c r="FM21">
        <f>'Sep-24'!N103</f>
        <v>0</v>
      </c>
      <c r="FN21">
        <f>'Sep-24'!O103</f>
        <v>0</v>
      </c>
      <c r="FO21">
        <f>'Sep-24'!P103</f>
        <v>0</v>
      </c>
      <c r="FP21">
        <f>'Sep-24'!Q103</f>
        <v>0</v>
      </c>
      <c r="FQ21">
        <f>'Sep-24'!R103</f>
        <v>0</v>
      </c>
      <c r="FR21">
        <f>'Sep-24'!S103</f>
        <v>0</v>
      </c>
      <c r="FS21">
        <f>'Sep-24'!T103</f>
        <v>0</v>
      </c>
      <c r="FT21">
        <f>'Sep-24'!U103</f>
        <v>0</v>
      </c>
      <c r="FU21">
        <f>'Sep-24'!V103</f>
        <v>0</v>
      </c>
      <c r="FV21">
        <f>'Sep-24'!W103</f>
        <v>0</v>
      </c>
      <c r="FW21">
        <f>'Sep-24'!X103</f>
        <v>0</v>
      </c>
      <c r="FX21">
        <f>'Sep-24'!Y103</f>
        <v>0</v>
      </c>
      <c r="FY21">
        <f>'Sep-24'!Z103</f>
        <v>0</v>
      </c>
      <c r="FZ21">
        <f>'Sep-24'!AA103</f>
        <v>0</v>
      </c>
      <c r="GA21">
        <f>'Sep-24'!AB103</f>
        <v>0</v>
      </c>
      <c r="GB21">
        <f>'Sep-24'!AC103</f>
        <v>0</v>
      </c>
      <c r="GC21">
        <f>'Sep-24'!AD103</f>
        <v>0</v>
      </c>
      <c r="GD21">
        <f>'Sep-24'!AE103</f>
        <v>0</v>
      </c>
      <c r="GE21">
        <f>'Sep-24'!AF103</f>
        <v>0</v>
      </c>
      <c r="GF21">
        <f>'Sep-24'!AG103</f>
        <v>0</v>
      </c>
      <c r="GG21">
        <f>'Sep-24'!AH103</f>
        <v>0</v>
      </c>
    </row>
    <row r="22" spans="1:190" x14ac:dyDescent="0.3">
      <c r="A22" t="s">
        <v>247</v>
      </c>
      <c r="B22">
        <f>B20*B21</f>
        <v>0</v>
      </c>
      <c r="C22">
        <f t="shared" ref="C22:AL22" si="150">C20*C21</f>
        <v>0</v>
      </c>
      <c r="D22">
        <f t="shared" si="150"/>
        <v>148914.54999999999</v>
      </c>
      <c r="E22">
        <f t="shared" si="150"/>
        <v>0</v>
      </c>
      <c r="F22">
        <f t="shared" si="150"/>
        <v>181575</v>
      </c>
      <c r="G22">
        <f t="shared" si="150"/>
        <v>0</v>
      </c>
      <c r="H22">
        <f t="shared" si="150"/>
        <v>0</v>
      </c>
      <c r="I22">
        <f t="shared" si="150"/>
        <v>81613.98000000001</v>
      </c>
      <c r="J22">
        <f t="shared" si="150"/>
        <v>85834.32</v>
      </c>
      <c r="K22">
        <f t="shared" si="150"/>
        <v>0</v>
      </c>
      <c r="L22">
        <f t="shared" si="150"/>
        <v>0</v>
      </c>
      <c r="M22">
        <f t="shared" si="150"/>
        <v>0</v>
      </c>
      <c r="N22">
        <f t="shared" si="150"/>
        <v>69706.8</v>
      </c>
      <c r="O22">
        <f t="shared" si="150"/>
        <v>0</v>
      </c>
      <c r="P22">
        <f t="shared" si="150"/>
        <v>0</v>
      </c>
      <c r="Q22">
        <f t="shared" si="150"/>
        <v>0</v>
      </c>
      <c r="R22">
        <f t="shared" si="150"/>
        <v>60480.5</v>
      </c>
      <c r="S22">
        <f t="shared" si="150"/>
        <v>48479.58</v>
      </c>
      <c r="T22">
        <f t="shared" si="150"/>
        <v>0</v>
      </c>
      <c r="U22">
        <f t="shared" si="150"/>
        <v>0</v>
      </c>
      <c r="V22">
        <f t="shared" si="150"/>
        <v>38655.9</v>
      </c>
      <c r="W22">
        <f t="shared" si="150"/>
        <v>15180.192799999999</v>
      </c>
      <c r="X22">
        <f t="shared" si="150"/>
        <v>0</v>
      </c>
      <c r="Y22">
        <f t="shared" si="150"/>
        <v>0</v>
      </c>
      <c r="Z22">
        <f t="shared" si="150"/>
        <v>70689.2</v>
      </c>
      <c r="AA22">
        <f t="shared" si="150"/>
        <v>23644.28</v>
      </c>
      <c r="AB22">
        <f t="shared" si="150"/>
        <v>0</v>
      </c>
      <c r="AC22">
        <f t="shared" si="150"/>
        <v>0</v>
      </c>
      <c r="AD22">
        <f t="shared" si="150"/>
        <v>0</v>
      </c>
      <c r="AE22">
        <f t="shared" si="150"/>
        <v>30640.1</v>
      </c>
      <c r="AF22">
        <f>SUM(B22:AE22)</f>
        <v>855414.40279999992</v>
      </c>
      <c r="AG22">
        <f t="shared" si="150"/>
        <v>27425.7</v>
      </c>
      <c r="AH22">
        <f t="shared" si="150"/>
        <v>22835.96</v>
      </c>
      <c r="AI22">
        <f t="shared" si="150"/>
        <v>0</v>
      </c>
      <c r="AJ22">
        <f t="shared" si="150"/>
        <v>0</v>
      </c>
      <c r="AK22">
        <f t="shared" si="150"/>
        <v>0</v>
      </c>
      <c r="AL22">
        <f t="shared" si="150"/>
        <v>211606.63999999998</v>
      </c>
      <c r="AM22">
        <f t="shared" ref="AM22:AO22" si="151">AM20*AM21</f>
        <v>12850.2</v>
      </c>
      <c r="AN22">
        <f t="shared" si="151"/>
        <v>0</v>
      </c>
      <c r="AO22">
        <f t="shared" si="151"/>
        <v>58343.61</v>
      </c>
      <c r="AP22">
        <f t="shared" ref="AP22:AR22" si="152">AP20*AP21</f>
        <v>0</v>
      </c>
      <c r="AQ22">
        <f t="shared" si="152"/>
        <v>0</v>
      </c>
      <c r="AR22">
        <f t="shared" si="152"/>
        <v>0</v>
      </c>
      <c r="AS22">
        <f t="shared" ref="AS22:AY22" si="153">AS20*AS21</f>
        <v>37965.18</v>
      </c>
      <c r="AT22">
        <f t="shared" si="153"/>
        <v>0</v>
      </c>
      <c r="AU22">
        <f t="shared" si="153"/>
        <v>0</v>
      </c>
      <c r="AV22">
        <f t="shared" si="153"/>
        <v>41088.32</v>
      </c>
      <c r="AW22">
        <f t="shared" si="153"/>
        <v>108919.95</v>
      </c>
      <c r="AX22">
        <f t="shared" si="153"/>
        <v>0</v>
      </c>
      <c r="AY22">
        <f t="shared" si="153"/>
        <v>0</v>
      </c>
      <c r="AZ22">
        <f t="shared" ref="AZ22:BA22" si="154">AZ20*AZ21</f>
        <v>0</v>
      </c>
      <c r="BA22">
        <f t="shared" si="154"/>
        <v>120128.82</v>
      </c>
      <c r="BB22">
        <f t="shared" ref="BB22:BC22" si="155">BB20*BB21</f>
        <v>0</v>
      </c>
      <c r="BC22">
        <f t="shared" si="155"/>
        <v>55287.68</v>
      </c>
      <c r="BD22">
        <f t="shared" ref="BD22:BF22" si="156">BD20*BD21</f>
        <v>0</v>
      </c>
      <c r="BE22">
        <f t="shared" si="156"/>
        <v>0</v>
      </c>
      <c r="BF22">
        <f t="shared" si="156"/>
        <v>19216.71</v>
      </c>
      <c r="BG22">
        <f t="shared" ref="BG22:BH22" si="157">BG20*BG21</f>
        <v>22678.62</v>
      </c>
      <c r="BH22">
        <f t="shared" si="157"/>
        <v>76110.48</v>
      </c>
      <c r="BI22">
        <f t="shared" ref="BI22:BK22" si="158">BI20*BI21</f>
        <v>14456.22</v>
      </c>
      <c r="BJ22">
        <f t="shared" si="158"/>
        <v>0</v>
      </c>
      <c r="BK22">
        <f t="shared" si="158"/>
        <v>0</v>
      </c>
      <c r="BL22">
        <f>SUM(AG22:BK22)</f>
        <v>828914.09</v>
      </c>
      <c r="BM22">
        <f>BM20*BM21</f>
        <v>0</v>
      </c>
      <c r="BN22">
        <f t="shared" ref="BN22:CI22" si="159">BN20*BN21</f>
        <v>54333.759999999995</v>
      </c>
      <c r="BO22">
        <f t="shared" si="159"/>
        <v>0</v>
      </c>
      <c r="BP22">
        <f t="shared" si="159"/>
        <v>0</v>
      </c>
      <c r="BQ22">
        <f t="shared" si="159"/>
        <v>23174.760000000002</v>
      </c>
      <c r="BR22">
        <f t="shared" si="159"/>
        <v>0</v>
      </c>
      <c r="BS22">
        <f t="shared" si="159"/>
        <v>0</v>
      </c>
      <c r="BT22">
        <f t="shared" si="159"/>
        <v>0</v>
      </c>
      <c r="BU22">
        <f t="shared" si="159"/>
        <v>0</v>
      </c>
      <c r="BV22">
        <f t="shared" si="159"/>
        <v>0</v>
      </c>
      <c r="BW22">
        <f t="shared" si="159"/>
        <v>22137.079999999998</v>
      </c>
      <c r="BX22">
        <f t="shared" si="159"/>
        <v>0</v>
      </c>
      <c r="BY22">
        <f t="shared" si="159"/>
        <v>19145.8</v>
      </c>
      <c r="BZ22">
        <f t="shared" si="159"/>
        <v>0</v>
      </c>
      <c r="CA22">
        <f t="shared" si="159"/>
        <v>0</v>
      </c>
      <c r="CB22">
        <f t="shared" si="159"/>
        <v>29745.45</v>
      </c>
      <c r="CC22">
        <f t="shared" si="159"/>
        <v>0</v>
      </c>
      <c r="CD22">
        <f t="shared" si="159"/>
        <v>0</v>
      </c>
      <c r="CE22">
        <f t="shared" si="159"/>
        <v>13196.79</v>
      </c>
      <c r="CF22">
        <f t="shared" si="159"/>
        <v>4815.5599999999995</v>
      </c>
      <c r="CG22">
        <f t="shared" si="159"/>
        <v>0</v>
      </c>
      <c r="CH22">
        <f t="shared" si="159"/>
        <v>0</v>
      </c>
      <c r="CI22">
        <f t="shared" si="159"/>
        <v>13051.74</v>
      </c>
      <c r="CJ22">
        <f t="shared" ref="CJ22:CR22" si="160">CJ20*CJ21</f>
        <v>0</v>
      </c>
      <c r="CK22">
        <f t="shared" si="160"/>
        <v>0</v>
      </c>
      <c r="CL22">
        <f t="shared" si="160"/>
        <v>144985.25</v>
      </c>
      <c r="CM22">
        <f t="shared" si="160"/>
        <v>0</v>
      </c>
      <c r="CN22">
        <f t="shared" si="160"/>
        <v>3686.3199999999997</v>
      </c>
      <c r="CO22">
        <f t="shared" si="160"/>
        <v>0</v>
      </c>
      <c r="CP22">
        <f t="shared" si="160"/>
        <v>48195</v>
      </c>
      <c r="CQ22">
        <f>SUM(BM22:CP22)</f>
        <v>376467.51</v>
      </c>
      <c r="CR22">
        <f t="shared" si="160"/>
        <v>16086.77</v>
      </c>
      <c r="CS22">
        <f t="shared" ref="CS22:CV22" si="161">CS20*CS21</f>
        <v>0</v>
      </c>
      <c r="CT22">
        <f t="shared" si="161"/>
        <v>16718.32</v>
      </c>
      <c r="CU22">
        <f t="shared" si="161"/>
        <v>77022.78</v>
      </c>
      <c r="CV22">
        <f t="shared" si="161"/>
        <v>0</v>
      </c>
      <c r="CW22">
        <f t="shared" ref="CW22:CY22" si="162">CW20*CW21</f>
        <v>0</v>
      </c>
      <c r="CX22">
        <f t="shared" si="162"/>
        <v>43037.06</v>
      </c>
      <c r="CY22">
        <f t="shared" si="162"/>
        <v>20002.100000000002</v>
      </c>
      <c r="CZ22">
        <f t="shared" ref="CZ22:DC22" si="163">CZ20*CZ21</f>
        <v>0</v>
      </c>
      <c r="DA22">
        <f t="shared" si="163"/>
        <v>0</v>
      </c>
      <c r="DB22">
        <f t="shared" si="163"/>
        <v>0</v>
      </c>
      <c r="DC22">
        <f t="shared" si="163"/>
        <v>0</v>
      </c>
      <c r="DD22">
        <f t="shared" ref="DD22:DF22" si="164">DD20*DD21</f>
        <v>0</v>
      </c>
      <c r="DE22">
        <f t="shared" si="164"/>
        <v>138710.88</v>
      </c>
      <c r="DF22">
        <f t="shared" si="164"/>
        <v>0</v>
      </c>
      <c r="DG22">
        <f t="shared" ref="DG22:DK22" si="165">DG20*DG21</f>
        <v>0</v>
      </c>
      <c r="DH22">
        <f t="shared" si="165"/>
        <v>68850.350000000006</v>
      </c>
      <c r="DI22">
        <f t="shared" si="165"/>
        <v>0</v>
      </c>
      <c r="DJ22">
        <f t="shared" si="165"/>
        <v>0</v>
      </c>
      <c r="DK22">
        <f t="shared" si="165"/>
        <v>0</v>
      </c>
      <c r="DL22">
        <f t="shared" ref="DL22:DO22" si="166">DL20*DL21</f>
        <v>50796.75</v>
      </c>
      <c r="DM22">
        <f t="shared" si="166"/>
        <v>0</v>
      </c>
      <c r="DN22">
        <f t="shared" si="166"/>
        <v>113470.5</v>
      </c>
      <c r="DO22">
        <f t="shared" si="166"/>
        <v>0</v>
      </c>
      <c r="DP22">
        <f t="shared" ref="DP22:DV22" si="167">DP20*DP21</f>
        <v>0</v>
      </c>
      <c r="DQ22">
        <f t="shared" si="167"/>
        <v>96252.25</v>
      </c>
      <c r="DR22">
        <f t="shared" si="167"/>
        <v>0</v>
      </c>
      <c r="DS22">
        <f t="shared" si="167"/>
        <v>0</v>
      </c>
      <c r="DT22">
        <f t="shared" si="167"/>
        <v>0</v>
      </c>
      <c r="DU22">
        <f t="shared" si="167"/>
        <v>0</v>
      </c>
      <c r="DV22">
        <f t="shared" si="167"/>
        <v>0</v>
      </c>
      <c r="DW22">
        <f>SUM(CR22:DV22)</f>
        <v>640947.76</v>
      </c>
      <c r="DX22">
        <f t="shared" ref="DX22:EE22" si="168">DX20*DX21</f>
        <v>0</v>
      </c>
      <c r="DY22">
        <f t="shared" si="168"/>
        <v>0</v>
      </c>
      <c r="DZ22">
        <f t="shared" si="168"/>
        <v>0</v>
      </c>
      <c r="EA22">
        <f t="shared" si="168"/>
        <v>0</v>
      </c>
      <c r="EB22">
        <f t="shared" si="168"/>
        <v>0</v>
      </c>
      <c r="EC22">
        <f t="shared" si="168"/>
        <v>0</v>
      </c>
      <c r="ED22">
        <f t="shared" si="168"/>
        <v>0</v>
      </c>
      <c r="EE22">
        <f t="shared" si="168"/>
        <v>0</v>
      </c>
      <c r="EF22">
        <f t="shared" ref="EF22:EJ22" si="169">EF20*EF21</f>
        <v>0</v>
      </c>
      <c r="EG22">
        <f t="shared" si="169"/>
        <v>0</v>
      </c>
      <c r="EH22">
        <f t="shared" si="169"/>
        <v>78328.62</v>
      </c>
      <c r="EI22">
        <f t="shared" si="169"/>
        <v>0</v>
      </c>
      <c r="EJ22">
        <f t="shared" si="169"/>
        <v>0</v>
      </c>
      <c r="EK22">
        <f t="shared" ref="EK22:EO22" si="170">EK20*EK21</f>
        <v>0</v>
      </c>
      <c r="EL22">
        <f t="shared" si="170"/>
        <v>82752.95</v>
      </c>
      <c r="EM22">
        <f t="shared" si="170"/>
        <v>0</v>
      </c>
      <c r="EN22">
        <f t="shared" si="170"/>
        <v>0</v>
      </c>
      <c r="EO22">
        <f t="shared" si="170"/>
        <v>0</v>
      </c>
      <c r="EP22">
        <f t="shared" ref="EP22:ET22" si="171">EP20*EP21</f>
        <v>0</v>
      </c>
      <c r="EQ22">
        <f t="shared" si="171"/>
        <v>0</v>
      </c>
      <c r="ER22">
        <f t="shared" si="171"/>
        <v>0</v>
      </c>
      <c r="ES22">
        <f t="shared" si="171"/>
        <v>0</v>
      </c>
      <c r="ET22">
        <f t="shared" si="171"/>
        <v>0</v>
      </c>
      <c r="EU22">
        <f t="shared" ref="EU22:EX22" si="172">EU20*EU21</f>
        <v>0</v>
      </c>
      <c r="EV22">
        <f t="shared" si="172"/>
        <v>0</v>
      </c>
      <c r="EW22">
        <f t="shared" si="172"/>
        <v>0</v>
      </c>
      <c r="EX22">
        <f t="shared" si="172"/>
        <v>0</v>
      </c>
      <c r="EY22">
        <f t="shared" ref="EY22:FB22" si="173">EY20*EY21</f>
        <v>0</v>
      </c>
      <c r="EZ22">
        <f t="shared" si="173"/>
        <v>0</v>
      </c>
      <c r="FA22">
        <f t="shared" si="173"/>
        <v>0</v>
      </c>
      <c r="FB22">
        <f t="shared" si="173"/>
        <v>0</v>
      </c>
      <c r="FC22">
        <f>SUM(DX22:FB22)</f>
        <v>161081.57</v>
      </c>
      <c r="FD22">
        <f t="shared" ref="FD22:GG22" si="174">FD20*FD21</f>
        <v>0</v>
      </c>
      <c r="FE22">
        <f t="shared" si="174"/>
        <v>0</v>
      </c>
      <c r="FF22">
        <f t="shared" si="174"/>
        <v>0</v>
      </c>
      <c r="FG22">
        <f t="shared" si="174"/>
        <v>0</v>
      </c>
      <c r="FH22">
        <f t="shared" si="174"/>
        <v>0</v>
      </c>
      <c r="FI22">
        <f t="shared" si="174"/>
        <v>0</v>
      </c>
      <c r="FJ22">
        <f t="shared" si="174"/>
        <v>0</v>
      </c>
      <c r="FK22">
        <f t="shared" si="174"/>
        <v>0</v>
      </c>
      <c r="FL22">
        <f t="shared" si="174"/>
        <v>0</v>
      </c>
      <c r="FM22">
        <f t="shared" si="174"/>
        <v>0</v>
      </c>
      <c r="FN22">
        <f t="shared" si="174"/>
        <v>0</v>
      </c>
      <c r="FO22">
        <f t="shared" si="174"/>
        <v>0</v>
      </c>
      <c r="FP22">
        <f t="shared" si="174"/>
        <v>0</v>
      </c>
      <c r="FQ22">
        <f t="shared" si="174"/>
        <v>0</v>
      </c>
      <c r="FR22">
        <f t="shared" si="174"/>
        <v>0</v>
      </c>
      <c r="FS22">
        <f t="shared" si="174"/>
        <v>0</v>
      </c>
      <c r="FT22">
        <f t="shared" si="174"/>
        <v>0</v>
      </c>
      <c r="FU22">
        <f t="shared" si="174"/>
        <v>0</v>
      </c>
      <c r="FV22">
        <f t="shared" si="174"/>
        <v>0</v>
      </c>
      <c r="FW22">
        <f t="shared" si="174"/>
        <v>0</v>
      </c>
      <c r="FX22">
        <f t="shared" si="174"/>
        <v>0</v>
      </c>
      <c r="FY22">
        <f t="shared" si="174"/>
        <v>0</v>
      </c>
      <c r="FZ22">
        <f t="shared" si="174"/>
        <v>0</v>
      </c>
      <c r="GA22">
        <f t="shared" si="174"/>
        <v>0</v>
      </c>
      <c r="GB22">
        <f t="shared" si="174"/>
        <v>0</v>
      </c>
      <c r="GC22">
        <f t="shared" si="174"/>
        <v>0</v>
      </c>
      <c r="GD22">
        <f t="shared" si="174"/>
        <v>0</v>
      </c>
      <c r="GE22">
        <f t="shared" si="174"/>
        <v>0</v>
      </c>
      <c r="GF22">
        <f t="shared" si="174"/>
        <v>0</v>
      </c>
      <c r="GG22">
        <f t="shared" si="174"/>
        <v>0</v>
      </c>
      <c r="GH22">
        <f>SUM(FD22:GG22)</f>
        <v>0</v>
      </c>
    </row>
    <row r="23" spans="1:190" x14ac:dyDescent="0.3">
      <c r="A23" t="s">
        <v>53</v>
      </c>
      <c r="B23">
        <f>'Apr-24'!E77*'Apr-24'!E89</f>
        <v>4994642.5</v>
      </c>
      <c r="C23">
        <f>'Apr-24'!F77*'Apr-24'!F89</f>
        <v>5122848</v>
      </c>
      <c r="D23">
        <f>'Apr-24'!G77*'Apr-24'!G89</f>
        <v>5093805.3999999994</v>
      </c>
      <c r="E23">
        <f>'Apr-24'!H77*'Apr-24'!H89</f>
        <v>5064412</v>
      </c>
      <c r="F23">
        <f>'Apr-24'!I77*'Apr-24'!I89</f>
        <v>5231612</v>
      </c>
      <c r="G23">
        <f>'Apr-24'!J77*'Apr-24'!J89</f>
        <v>5274964.8</v>
      </c>
      <c r="H23">
        <f>'Apr-24'!K77*'Apr-24'!K89</f>
        <v>5071404.8</v>
      </c>
      <c r="I23">
        <f>'Apr-24'!L77*'Apr-24'!L89</f>
        <v>5087140.8</v>
      </c>
      <c r="J23">
        <f>'Apr-24'!M77*'Apr-24'!M89</f>
        <v>5206344</v>
      </c>
      <c r="K23">
        <f>'Apr-24'!N77*'Apr-24'!N89</f>
        <v>5045382</v>
      </c>
      <c r="L23">
        <f>'Apr-24'!O77*'Apr-24'!O89</f>
        <v>5266990</v>
      </c>
      <c r="M23">
        <f>'Apr-24'!P77*'Apr-24'!P89</f>
        <v>5287928</v>
      </c>
      <c r="N23">
        <f>'Apr-24'!Q77*'Apr-24'!Q89</f>
        <v>5206336.8</v>
      </c>
      <c r="O23">
        <f>'Apr-24'!R77*'Apr-24'!R89</f>
        <v>5299526.3999999994</v>
      </c>
      <c r="P23">
        <f>'Apr-24'!S77*'Apr-24'!S89</f>
        <v>5287680</v>
      </c>
      <c r="Q23">
        <f>'Apr-24'!T77*'Apr-24'!T89</f>
        <v>5246096.8</v>
      </c>
      <c r="R23">
        <f>'Apr-24'!U77*'Apr-24'!U89</f>
        <v>5203454</v>
      </c>
      <c r="S23">
        <f>'Apr-24'!V77*'Apr-24'!V89</f>
        <v>5364240</v>
      </c>
      <c r="T23">
        <f>'Apr-24'!W77*'Apr-24'!W89</f>
        <v>5334582</v>
      </c>
      <c r="U23">
        <f>'Apr-24'!X77*'Apr-24'!X89</f>
        <v>4529805</v>
      </c>
      <c r="V23">
        <f>'Apr-24'!Y77*'Apr-24'!Y89</f>
        <v>5198410</v>
      </c>
      <c r="W23">
        <f>'Apr-24'!Z77*'Apr-24'!Z89</f>
        <v>5252595</v>
      </c>
      <c r="X23">
        <f>'Apr-24'!AA77*'Apr-24'!AA89</f>
        <v>5283413.5999999996</v>
      </c>
      <c r="Y23">
        <f>'Apr-24'!AB77*'Apr-24'!AB89</f>
        <v>5286240</v>
      </c>
      <c r="Z23">
        <f>'Apr-24'!AC77*'Apr-24'!AC89</f>
        <v>5266080</v>
      </c>
      <c r="AA23">
        <f>'Apr-24'!AD77*'Apr-24'!AD89</f>
        <v>5191920</v>
      </c>
      <c r="AB23">
        <f>'Apr-24'!AE77*'Apr-24'!AE89</f>
        <v>5085934</v>
      </c>
      <c r="AC23">
        <f>'Apr-24'!AF77*'Apr-24'!AF89</f>
        <v>4590810</v>
      </c>
      <c r="AD23">
        <f>'Apr-24'!AG77*'Apr-24'!AG89</f>
        <v>5200573</v>
      </c>
      <c r="AE23">
        <f>'Apr-24'!AH77*'Apr-24'!AH89</f>
        <v>5290914</v>
      </c>
      <c r="AF23">
        <f>SUM(B23:AE23)</f>
        <v>154866084.89999998</v>
      </c>
      <c r="AG23">
        <f>'May-24'!E77*'May-24'!E89</f>
        <v>5045030</v>
      </c>
      <c r="AH23">
        <f>'May-24'!F77*'May-24'!F89</f>
        <v>5151545</v>
      </c>
      <c r="AI23">
        <f>'May-24'!G77*'May-24'!G89</f>
        <v>4684248</v>
      </c>
      <c r="AJ23">
        <f>'May-24'!H77*'May-24'!H89</f>
        <v>4383650</v>
      </c>
      <c r="AK23">
        <f>'May-24'!I77*'May-24'!I89</f>
        <v>4438400</v>
      </c>
      <c r="AL23">
        <f>'May-24'!J77*'May-24'!J89</f>
        <v>4491760</v>
      </c>
      <c r="AM23">
        <f>'May-24'!K77*'May-24'!K89</f>
        <v>4998510</v>
      </c>
      <c r="AN23">
        <f>'May-24'!L77*'May-24'!L89</f>
        <v>4903521</v>
      </c>
      <c r="AO23">
        <f>'May-24'!M77*'May-24'!M89</f>
        <v>5071620</v>
      </c>
      <c r="AP23">
        <f>'May-24'!N77*'May-24'!N89</f>
        <v>5153432</v>
      </c>
      <c r="AQ23">
        <f>'May-24'!O77*'May-24'!O89</f>
        <v>5141124</v>
      </c>
      <c r="AR23">
        <f>'May-24'!P77*'May-24'!P89</f>
        <v>5215006</v>
      </c>
      <c r="AS23">
        <f>'May-24'!Q77*'May-24'!Q89</f>
        <v>5063386</v>
      </c>
      <c r="AT23">
        <f>'May-24'!R77*'May-24'!R89</f>
        <v>5307543</v>
      </c>
      <c r="AU23">
        <f>'May-24'!S77*'May-24'!S89</f>
        <v>4956504</v>
      </c>
      <c r="AV23">
        <f>'May-24'!T77*'May-24'!T89</f>
        <v>5230168</v>
      </c>
      <c r="AW23">
        <f>'May-24'!U77*'May-24'!U89</f>
        <v>4957228</v>
      </c>
      <c r="AX23">
        <f>'May-24'!V77*'May-24'!V89</f>
        <v>5005736</v>
      </c>
      <c r="AY23">
        <f>'May-24'!W77*'May-24'!W89</f>
        <v>5045556</v>
      </c>
      <c r="AZ23">
        <f>'May-24'!X77*'May-24'!X89</f>
        <v>5071620</v>
      </c>
      <c r="BA23">
        <f>'May-24'!Y77*'May-24'!Y89</f>
        <v>5265652</v>
      </c>
      <c r="BB23">
        <f>'May-24'!Z77*'May-24'!Z89</f>
        <v>5073068</v>
      </c>
      <c r="BC23">
        <f>'May-24'!AA77*'May-24'!AA89</f>
        <v>5053489</v>
      </c>
      <c r="BD23">
        <f>'May-24'!AB77*'May-24'!AB89</f>
        <v>5161396</v>
      </c>
      <c r="BE23">
        <f>'May-24'!AC77*'May-24'!AC89</f>
        <v>5214972</v>
      </c>
      <c r="BF23">
        <f>'May-24'!AD77*'May-24'!AD89</f>
        <v>5290268</v>
      </c>
      <c r="BG23">
        <f>'May-24'!AE77*'May-24'!AE89</f>
        <v>5166632</v>
      </c>
      <c r="BH23">
        <f>'May-24'!AF77*'May-24'!AF89</f>
        <v>4864020</v>
      </c>
      <c r="BI23">
        <f>'May-24'!AG77*'May-24'!AG89</f>
        <v>5048442</v>
      </c>
      <c r="BJ23">
        <f>'May-24'!AH77*'May-24'!AH89</f>
        <v>5171760</v>
      </c>
      <c r="BK23">
        <f>'May-24'!AI77*'May-24'!AI89</f>
        <v>5262032</v>
      </c>
      <c r="BL23">
        <f>SUM(AG23:BK23)</f>
        <v>155887318</v>
      </c>
      <c r="BM23" s="12">
        <f>'Jun-24'!E57</f>
        <v>5257688</v>
      </c>
      <c r="BN23" s="12">
        <f>'Jun-24'!F57</f>
        <v>5199768</v>
      </c>
      <c r="BO23" s="12">
        <f>'Jun-24'!G57</f>
        <v>4847325</v>
      </c>
      <c r="BP23" s="12">
        <f>'Jun-24'!H57</f>
        <v>5290992</v>
      </c>
      <c r="BQ23" s="12">
        <f>'Jun-24'!I57</f>
        <v>5327916</v>
      </c>
      <c r="BR23" s="12">
        <f>'Jun-24'!J57</f>
        <v>5295336</v>
      </c>
      <c r="BS23" s="12">
        <f>'Jun-24'!K57</f>
        <v>5318388</v>
      </c>
      <c r="BT23" s="12">
        <f>'Jun-24'!L57</f>
        <v>5275064</v>
      </c>
      <c r="BU23" s="12">
        <f>'Jun-24'!M57</f>
        <v>5227280</v>
      </c>
      <c r="BV23" s="12">
        <f>'Jun-24'!N57</f>
        <v>5167912</v>
      </c>
      <c r="BW23" s="12">
        <f>'Jun-24'!O57</f>
        <v>5212750</v>
      </c>
      <c r="BX23" s="12">
        <f>'Jun-24'!P57</f>
        <v>5170700</v>
      </c>
      <c r="BY23" s="12">
        <f>'Jun-24'!Q57</f>
        <v>5180125</v>
      </c>
      <c r="BZ23" s="12">
        <f>'Jun-24'!R57</f>
        <v>5078136</v>
      </c>
      <c r="CA23" s="12">
        <f>'Jun-24'!S57</f>
        <v>5076450</v>
      </c>
      <c r="CB23" s="12">
        <f>'Jun-24'!T57</f>
        <v>5184564</v>
      </c>
      <c r="CC23" s="12">
        <f>'Jun-24'!U57</f>
        <v>5075725</v>
      </c>
      <c r="CD23" s="12">
        <f>'Jun-24'!V57</f>
        <v>5189448</v>
      </c>
      <c r="CE23" s="12">
        <f>'Jun-24'!W57</f>
        <v>5096025</v>
      </c>
      <c r="CF23" s="12">
        <f>'Jun-24'!X57</f>
        <v>5138800</v>
      </c>
      <c r="CG23" s="12">
        <f>'Jun-24'!Y57</f>
        <v>5083452</v>
      </c>
      <c r="CH23" s="12">
        <f>'Jun-24'!Z57</f>
        <v>5195350</v>
      </c>
      <c r="CI23" s="12">
        <f>'Jun-24'!AA57</f>
        <v>5241025</v>
      </c>
      <c r="CJ23" s="12">
        <f>'Jun-24'!AB57</f>
        <v>5114875</v>
      </c>
      <c r="CK23" s="12">
        <f>'Jun-24'!AC57</f>
        <v>5108350</v>
      </c>
      <c r="CL23" s="12">
        <f>'Jun-24'!AD57</f>
        <v>5236675</v>
      </c>
      <c r="CM23" s="12">
        <f>'Jun-24'!AE57</f>
        <v>5288150</v>
      </c>
      <c r="CN23" s="12">
        <f>'Jun-24'!AF57</f>
        <v>5196075</v>
      </c>
      <c r="CO23" s="12">
        <f>'Jun-24'!AG57</f>
        <v>5254075</v>
      </c>
      <c r="CP23" s="12">
        <f>'Jun-24'!AH57</f>
        <v>5075725</v>
      </c>
      <c r="CQ23" s="12">
        <f>SUM(BM23:CP23)</f>
        <v>155404144</v>
      </c>
      <c r="CR23" s="12">
        <f>'Jul-24'!E57</f>
        <v>5085150</v>
      </c>
      <c r="CS23" s="12">
        <f>'Jul-24'!F57</f>
        <v>5066061</v>
      </c>
      <c r="CT23" s="12">
        <f>'Jul-24'!G57</f>
        <v>5060036</v>
      </c>
      <c r="CU23" s="12">
        <f>'Jul-24'!H57</f>
        <v>5062446</v>
      </c>
      <c r="CV23" s="12">
        <f>'Jul-24'!I57</f>
        <v>4733512</v>
      </c>
      <c r="CW23" s="12">
        <f>'Jul-24'!J57</f>
        <v>5075725</v>
      </c>
      <c r="CX23" s="12">
        <f>'Jul-24'!K57</f>
        <v>5096427</v>
      </c>
      <c r="CY23" s="12">
        <f>'Jul-24'!L57</f>
        <v>4876542</v>
      </c>
      <c r="CZ23" s="12">
        <f>'Jul-24'!M57</f>
        <v>1550084</v>
      </c>
      <c r="DA23" s="12">
        <f>'Jul-24'!N57</f>
        <v>0</v>
      </c>
      <c r="DB23" s="12">
        <f>'Jul-24'!O57</f>
        <v>0</v>
      </c>
      <c r="DC23" s="12">
        <f>'Jul-24'!P57</f>
        <v>0</v>
      </c>
      <c r="DD23" s="12">
        <f>'Jul-24'!Q57</f>
        <v>3120696</v>
      </c>
      <c r="DE23" s="12">
        <f>'Jul-24'!R57</f>
        <v>4876160</v>
      </c>
      <c r="DF23" s="12">
        <f>'Jul-24'!S57</f>
        <v>4466000</v>
      </c>
      <c r="DG23" s="12">
        <f>'Jul-24'!T57</f>
        <v>5217144</v>
      </c>
      <c r="DH23" s="12">
        <f>'Jul-24'!U57</f>
        <v>5267856</v>
      </c>
      <c r="DI23" s="12">
        <f>'Jul-24'!V57</f>
        <v>5262032</v>
      </c>
      <c r="DJ23" s="12">
        <f>'Jul-24'!W57</f>
        <v>5235186</v>
      </c>
      <c r="DK23" s="12">
        <f>'Jul-24'!X57</f>
        <v>5290268</v>
      </c>
      <c r="DL23" s="12">
        <f>'Jul-24'!Y57</f>
        <v>5268501</v>
      </c>
      <c r="DM23" s="12">
        <f>'Jul-24'!Z57</f>
        <v>5073291</v>
      </c>
      <c r="DN23" s="12">
        <f>'Jul-24'!AA57</f>
        <v>5130408</v>
      </c>
      <c r="DO23" s="12">
        <f>'Jul-24'!AB57</f>
        <v>5216445</v>
      </c>
      <c r="DP23" s="12">
        <f>'Jul-24'!AC57</f>
        <v>5146314</v>
      </c>
      <c r="DQ23" s="12">
        <f>'Jul-24'!AD57</f>
        <v>5171619</v>
      </c>
      <c r="DR23" s="12">
        <f>'Jul-24'!AE57</f>
        <v>2555730</v>
      </c>
      <c r="DS23" s="12">
        <f>'Jul-24'!AF57</f>
        <v>0</v>
      </c>
      <c r="DT23" s="12">
        <f>'Jul-24'!AG57</f>
        <v>0</v>
      </c>
      <c r="DU23" s="12">
        <f>'Jul-24'!AH57</f>
        <v>0</v>
      </c>
      <c r="DV23" s="12">
        <f>'Jul-24'!AI57</f>
        <v>2229550</v>
      </c>
      <c r="DW23" s="12">
        <f>SUM(CR23:DV23)</f>
        <v>116133183</v>
      </c>
      <c r="DX23" s="12">
        <f>'Aug-24'!E57</f>
        <v>0</v>
      </c>
      <c r="DY23" s="12">
        <f>'Aug-24'!F57</f>
        <v>0</v>
      </c>
      <c r="DZ23" s="12">
        <f>'Aug-24'!G57</f>
        <v>2877894</v>
      </c>
      <c r="EA23" s="12">
        <f>'Aug-24'!H57</f>
        <v>5031851</v>
      </c>
      <c r="EB23" s="12">
        <f>'Aug-24'!I57</f>
        <v>5158956</v>
      </c>
      <c r="EC23" s="12">
        <f>'Aug-24'!J57</f>
        <v>5172875</v>
      </c>
      <c r="ED23" s="12">
        <f>'Aug-24'!K57</f>
        <v>5227926</v>
      </c>
      <c r="EE23" s="12">
        <f>'Aug-24'!L57</f>
        <v>5121930</v>
      </c>
      <c r="EF23" s="12">
        <f>'Aug-24'!M57</f>
        <v>5105826</v>
      </c>
      <c r="EG23" s="12">
        <f>'Aug-24'!N57</f>
        <v>5079584</v>
      </c>
      <c r="EH23" s="12">
        <f>'Aug-24'!O57</f>
        <v>5061220</v>
      </c>
      <c r="EI23" s="12">
        <f>'Aug-24'!P57</f>
        <v>4893750</v>
      </c>
      <c r="EJ23" s="12">
        <f>'Aug-24'!Q57</f>
        <v>5086600</v>
      </c>
      <c r="EK23" s="12">
        <f>'Aug-24'!R57</f>
        <v>4944060</v>
      </c>
      <c r="EL23" s="12">
        <f>'Aug-24'!S57</f>
        <v>5005770</v>
      </c>
      <c r="EM23" s="12">
        <f>'Aug-24'!T57</f>
        <v>5023570</v>
      </c>
      <c r="EN23" s="12">
        <f>'Aug-24'!U57</f>
        <v>0</v>
      </c>
      <c r="EO23" s="12">
        <f>'Aug-24'!V57</f>
        <v>0</v>
      </c>
      <c r="EP23" s="12">
        <f>'Aug-24'!W57</f>
        <v>0</v>
      </c>
      <c r="EQ23" s="12">
        <f>'Aug-24'!X57</f>
        <v>0</v>
      </c>
      <c r="ER23" s="12">
        <f>'Aug-24'!Y57</f>
        <v>0</v>
      </c>
      <c r="ES23" s="12">
        <f>'Aug-24'!Z57</f>
        <v>0</v>
      </c>
      <c r="ET23" s="12">
        <f>'Aug-24'!AA57</f>
        <v>0</v>
      </c>
      <c r="EU23" s="12">
        <f>'Aug-24'!AB57</f>
        <v>0</v>
      </c>
      <c r="EV23" s="12">
        <f>'Aug-24'!AC57</f>
        <v>0</v>
      </c>
      <c r="EW23" s="12">
        <f>'Aug-24'!AD57</f>
        <v>0</v>
      </c>
      <c r="EX23" s="12">
        <f>'Aug-24'!AE57</f>
        <v>0</v>
      </c>
      <c r="EY23" s="12">
        <f>'Aug-24'!AF57</f>
        <v>0</v>
      </c>
      <c r="EZ23" s="12">
        <f>'Aug-24'!AG57</f>
        <v>0</v>
      </c>
      <c r="FA23" s="12">
        <f>'Aug-24'!AH57</f>
        <v>0</v>
      </c>
      <c r="FB23" s="12">
        <f>'Aug-24'!AI57</f>
        <v>0</v>
      </c>
      <c r="FC23" s="12">
        <f>SUM(DX23:FB23)</f>
        <v>68791812</v>
      </c>
      <c r="FD23" s="12">
        <f>'Sep-24'!E57</f>
        <v>0</v>
      </c>
      <c r="FE23" s="12">
        <f>'Sep-24'!F57</f>
        <v>0</v>
      </c>
      <c r="FF23" s="12">
        <f>'Sep-24'!G57</f>
        <v>0</v>
      </c>
      <c r="FG23" s="12">
        <f>'Sep-24'!H57</f>
        <v>0</v>
      </c>
      <c r="FH23" s="12">
        <f>'Sep-24'!I57</f>
        <v>0</v>
      </c>
      <c r="FI23" s="12">
        <f>'Sep-24'!J57</f>
        <v>0</v>
      </c>
      <c r="FJ23" s="12">
        <f>'Sep-24'!K57</f>
        <v>0</v>
      </c>
      <c r="FK23" s="12">
        <f>'Sep-24'!L57</f>
        <v>0</v>
      </c>
      <c r="FL23" s="12">
        <f>'Sep-24'!M57</f>
        <v>0</v>
      </c>
      <c r="FM23" s="12">
        <f>'Sep-24'!N57</f>
        <v>0</v>
      </c>
      <c r="FN23" s="12">
        <f>'Sep-24'!O57</f>
        <v>0</v>
      </c>
      <c r="FO23" s="12">
        <f>'Sep-24'!P57</f>
        <v>0</v>
      </c>
      <c r="FP23" s="12">
        <f>'Sep-24'!Q57</f>
        <v>0</v>
      </c>
      <c r="FQ23" s="12">
        <f>'Sep-24'!R57</f>
        <v>0</v>
      </c>
      <c r="FR23" s="12">
        <f>'Sep-24'!S57</f>
        <v>0</v>
      </c>
      <c r="FS23" s="12">
        <f>'Sep-24'!T57</f>
        <v>0</v>
      </c>
      <c r="FT23" s="12">
        <f>'Sep-24'!U57</f>
        <v>0</v>
      </c>
      <c r="FU23" s="12">
        <f>'Sep-24'!V57</f>
        <v>0</v>
      </c>
      <c r="FV23" s="12">
        <f>'Sep-24'!W57</f>
        <v>0</v>
      </c>
      <c r="FW23" s="12">
        <f>'Sep-24'!X57</f>
        <v>0</v>
      </c>
      <c r="FX23" s="12">
        <f>'Sep-24'!Y57</f>
        <v>0</v>
      </c>
      <c r="FY23" s="12">
        <f>'Sep-24'!Z57</f>
        <v>0</v>
      </c>
      <c r="FZ23" s="12">
        <f>'Sep-24'!AA57</f>
        <v>0</v>
      </c>
      <c r="GA23" s="12">
        <f>'Sep-24'!AB57</f>
        <v>0</v>
      </c>
      <c r="GB23" s="12">
        <f>'Sep-24'!AC57</f>
        <v>0</v>
      </c>
      <c r="GC23" s="12">
        <f>'Sep-24'!AD57</f>
        <v>0</v>
      </c>
      <c r="GD23" s="12">
        <f>'Sep-24'!AE57</f>
        <v>0</v>
      </c>
      <c r="GE23" s="12">
        <f>'Sep-24'!AF57</f>
        <v>0</v>
      </c>
      <c r="GF23" s="12">
        <f>'Sep-24'!AG57</f>
        <v>0</v>
      </c>
      <c r="GG23" s="12">
        <f>'Sep-24'!AH57</f>
        <v>0</v>
      </c>
      <c r="GH23" s="12">
        <f>SUM(FD23:GG23)</f>
        <v>0</v>
      </c>
    </row>
    <row r="24" spans="1:190" s="272" customFormat="1" ht="15" thickBot="1" x14ac:dyDescent="0.35">
      <c r="A24" s="272" t="s">
        <v>245</v>
      </c>
      <c r="B24" s="273">
        <f>B22/B23</f>
        <v>0</v>
      </c>
      <c r="C24" s="273">
        <f t="shared" ref="C24:AL24" si="175">C22/C23</f>
        <v>0</v>
      </c>
      <c r="D24" s="273">
        <f t="shared" si="175"/>
        <v>2.9234440326283372E-2</v>
      </c>
      <c r="E24" s="273">
        <f t="shared" si="175"/>
        <v>0</v>
      </c>
      <c r="F24" s="273">
        <f t="shared" si="175"/>
        <v>3.470727569246343E-2</v>
      </c>
      <c r="G24" s="273">
        <f t="shared" si="175"/>
        <v>0</v>
      </c>
      <c r="H24" s="273">
        <f t="shared" si="175"/>
        <v>0</v>
      </c>
      <c r="I24" s="273">
        <f t="shared" si="175"/>
        <v>1.6043192671215237E-2</v>
      </c>
      <c r="J24" s="273">
        <f t="shared" si="175"/>
        <v>1.6486486486486488E-2</v>
      </c>
      <c r="K24" s="273">
        <f t="shared" si="175"/>
        <v>0</v>
      </c>
      <c r="L24" s="273">
        <f t="shared" si="175"/>
        <v>0</v>
      </c>
      <c r="M24" s="273">
        <f t="shared" si="175"/>
        <v>0</v>
      </c>
      <c r="N24" s="273">
        <f t="shared" si="175"/>
        <v>1.3388838002182265E-2</v>
      </c>
      <c r="O24" s="273">
        <f t="shared" si="175"/>
        <v>0</v>
      </c>
      <c r="P24" s="273">
        <f t="shared" si="175"/>
        <v>0</v>
      </c>
      <c r="Q24" s="273">
        <f t="shared" si="175"/>
        <v>0</v>
      </c>
      <c r="R24" s="273">
        <f t="shared" si="175"/>
        <v>1.1623144934114918E-2</v>
      </c>
      <c r="S24" s="273">
        <f t="shared" si="175"/>
        <v>9.0375486555411399E-3</v>
      </c>
      <c r="T24" s="273">
        <f t="shared" si="175"/>
        <v>0</v>
      </c>
      <c r="U24" s="273">
        <f t="shared" si="175"/>
        <v>0</v>
      </c>
      <c r="V24" s="273">
        <f t="shared" si="175"/>
        <v>7.4361006538537751E-3</v>
      </c>
      <c r="W24" s="273">
        <f t="shared" si="175"/>
        <v>2.8900367913383762E-3</v>
      </c>
      <c r="X24" s="273">
        <f t="shared" si="175"/>
        <v>0</v>
      </c>
      <c r="Y24" s="273">
        <f t="shared" si="175"/>
        <v>0</v>
      </c>
      <c r="Z24" s="273">
        <f t="shared" si="175"/>
        <v>1.3423495275423084E-2</v>
      </c>
      <c r="AA24" s="273">
        <f t="shared" si="175"/>
        <v>4.5540532211590318E-3</v>
      </c>
      <c r="AB24" s="273">
        <f t="shared" si="175"/>
        <v>0</v>
      </c>
      <c r="AC24" s="273">
        <f t="shared" si="175"/>
        <v>0</v>
      </c>
      <c r="AD24" s="273">
        <f t="shared" si="175"/>
        <v>0</v>
      </c>
      <c r="AE24" s="273">
        <f t="shared" si="175"/>
        <v>5.7910788192739471E-3</v>
      </c>
      <c r="AF24" s="273">
        <f t="shared" si="175"/>
        <v>5.523574792714348E-3</v>
      </c>
      <c r="AG24" s="273">
        <f t="shared" si="175"/>
        <v>5.4361817471848531E-3</v>
      </c>
      <c r="AH24" s="273">
        <f t="shared" si="175"/>
        <v>4.4328371391495168E-3</v>
      </c>
      <c r="AI24" s="273">
        <f t="shared" si="175"/>
        <v>0</v>
      </c>
      <c r="AJ24" s="273">
        <f t="shared" si="175"/>
        <v>0</v>
      </c>
      <c r="AK24" s="273">
        <f t="shared" si="175"/>
        <v>0</v>
      </c>
      <c r="AL24" s="273">
        <f t="shared" si="175"/>
        <v>4.7109961351452435E-2</v>
      </c>
      <c r="AM24" s="273">
        <f t="shared" ref="AM24:AO24" si="176">AM22/AM23</f>
        <v>2.570806100217865E-3</v>
      </c>
      <c r="AN24" s="273">
        <f t="shared" si="176"/>
        <v>0</v>
      </c>
      <c r="AO24" s="273">
        <f t="shared" si="176"/>
        <v>1.1503939569604979E-2</v>
      </c>
      <c r="AP24" s="273">
        <f t="shared" ref="AP24:AR24" si="177">AP22/AP23</f>
        <v>0</v>
      </c>
      <c r="AQ24" s="273">
        <f t="shared" si="177"/>
        <v>0</v>
      </c>
      <c r="AR24" s="273">
        <f t="shared" si="177"/>
        <v>0</v>
      </c>
      <c r="AS24" s="273">
        <f t="shared" ref="AS24:AY24" si="178">AS22/AS23</f>
        <v>7.4979825752964522E-3</v>
      </c>
      <c r="AT24" s="273">
        <f t="shared" si="178"/>
        <v>0</v>
      </c>
      <c r="AU24" s="273">
        <f t="shared" si="178"/>
        <v>0</v>
      </c>
      <c r="AV24" s="273">
        <f t="shared" si="178"/>
        <v>7.8560229805237618E-3</v>
      </c>
      <c r="AW24" s="273">
        <f t="shared" si="178"/>
        <v>2.1971946821893202E-2</v>
      </c>
      <c r="AX24" s="273">
        <f t="shared" si="178"/>
        <v>0</v>
      </c>
      <c r="AY24" s="273">
        <f t="shared" si="178"/>
        <v>0</v>
      </c>
      <c r="AZ24" s="273">
        <f t="shared" ref="AZ24:BA24" si="179">AZ22/AZ23</f>
        <v>0</v>
      </c>
      <c r="BA24" s="273">
        <f t="shared" si="179"/>
        <v>2.2813664860495908E-2</v>
      </c>
      <c r="BB24" s="273">
        <f t="shared" ref="BB24:BC24" si="180">BB22/BB23</f>
        <v>0</v>
      </c>
      <c r="BC24" s="273">
        <f t="shared" si="180"/>
        <v>1.094049675382691E-2</v>
      </c>
      <c r="BD24" s="273">
        <f t="shared" ref="BD24:BF24" si="181">BD22/BD23</f>
        <v>0</v>
      </c>
      <c r="BE24" s="273">
        <f t="shared" si="181"/>
        <v>0</v>
      </c>
      <c r="BF24" s="273">
        <f t="shared" si="181"/>
        <v>3.632464366644563E-3</v>
      </c>
      <c r="BG24" s="273">
        <f t="shared" ref="BG24:BH24" si="182">BG22/BG23</f>
        <v>4.3894397743055825E-3</v>
      </c>
      <c r="BH24" s="273">
        <f t="shared" si="182"/>
        <v>1.5647649475125511E-2</v>
      </c>
      <c r="BI24" s="273">
        <f t="shared" ref="BI24:BK24" si="183">BI22/BI23</f>
        <v>2.863501254446421E-3</v>
      </c>
      <c r="BJ24" s="273">
        <f t="shared" si="183"/>
        <v>0</v>
      </c>
      <c r="BK24" s="273">
        <f t="shared" si="183"/>
        <v>0</v>
      </c>
      <c r="BL24" s="273">
        <f>BL22/BL23</f>
        <v>5.3173927208113236E-3</v>
      </c>
      <c r="BM24" s="273">
        <f>BM22/BM23</f>
        <v>0</v>
      </c>
      <c r="BN24" s="273">
        <f t="shared" ref="BN24:CI24" si="184">BN22/BN23</f>
        <v>1.0449266198030372E-2</v>
      </c>
      <c r="BO24" s="273">
        <f t="shared" si="184"/>
        <v>0</v>
      </c>
      <c r="BP24" s="273">
        <f t="shared" si="184"/>
        <v>0</v>
      </c>
      <c r="BQ24" s="273">
        <f t="shared" si="184"/>
        <v>4.3496856932429117E-3</v>
      </c>
      <c r="BR24" s="273">
        <f t="shared" si="184"/>
        <v>0</v>
      </c>
      <c r="BS24" s="273">
        <f t="shared" si="184"/>
        <v>0</v>
      </c>
      <c r="BT24" s="273">
        <f t="shared" si="184"/>
        <v>0</v>
      </c>
      <c r="BU24" s="273">
        <f t="shared" si="184"/>
        <v>0</v>
      </c>
      <c r="BV24" s="273">
        <f t="shared" si="184"/>
        <v>0</v>
      </c>
      <c r="BW24" s="273">
        <f t="shared" si="184"/>
        <v>4.2467181430147233E-3</v>
      </c>
      <c r="BX24" s="273">
        <f t="shared" si="184"/>
        <v>0</v>
      </c>
      <c r="BY24" s="273">
        <f t="shared" si="184"/>
        <v>3.6960111966410076E-3</v>
      </c>
      <c r="BZ24" s="273">
        <f t="shared" si="184"/>
        <v>0</v>
      </c>
      <c r="CA24" s="273">
        <f t="shared" si="184"/>
        <v>0</v>
      </c>
      <c r="CB24" s="273">
        <f t="shared" si="184"/>
        <v>5.7373098297176005E-3</v>
      </c>
      <c r="CC24" s="273">
        <f t="shared" si="184"/>
        <v>0</v>
      </c>
      <c r="CD24" s="273">
        <f t="shared" si="184"/>
        <v>0</v>
      </c>
      <c r="CE24" s="273">
        <f t="shared" si="184"/>
        <v>2.5896242659720079E-3</v>
      </c>
      <c r="CF24" s="273">
        <f t="shared" si="184"/>
        <v>9.3709815521133329E-4</v>
      </c>
      <c r="CG24" s="273">
        <f t="shared" si="184"/>
        <v>0</v>
      </c>
      <c r="CH24" s="273">
        <f t="shared" si="184"/>
        <v>0</v>
      </c>
      <c r="CI24" s="273">
        <f t="shared" si="184"/>
        <v>2.4903029464656244E-3</v>
      </c>
      <c r="CJ24" s="273">
        <f t="shared" ref="CJ24:CR24" si="185">CJ22/CJ23</f>
        <v>0</v>
      </c>
      <c r="CK24" s="273">
        <f t="shared" si="185"/>
        <v>0</v>
      </c>
      <c r="CL24" s="273">
        <f t="shared" si="185"/>
        <v>2.7686509092124296E-2</v>
      </c>
      <c r="CM24" s="273">
        <f t="shared" si="185"/>
        <v>0</v>
      </c>
      <c r="CN24" s="273">
        <f t="shared" si="185"/>
        <v>7.0944318548134884E-4</v>
      </c>
      <c r="CO24" s="273">
        <f t="shared" si="185"/>
        <v>0</v>
      </c>
      <c r="CP24" s="273">
        <f t="shared" si="185"/>
        <v>9.4951952676711211E-3</v>
      </c>
      <c r="CQ24" s="273">
        <f>CQ22/CQ23</f>
        <v>2.4225062492542028E-3</v>
      </c>
      <c r="CR24" s="273">
        <f t="shared" si="185"/>
        <v>3.1634799366783675E-3</v>
      </c>
      <c r="CS24" s="273">
        <f t="shared" ref="CS24:CV24" si="186">CS22/CS23</f>
        <v>0</v>
      </c>
      <c r="CT24" s="273">
        <f t="shared" si="186"/>
        <v>3.303992303612069E-3</v>
      </c>
      <c r="CU24" s="273">
        <f t="shared" si="186"/>
        <v>1.5214538584707867E-2</v>
      </c>
      <c r="CV24" s="273">
        <f t="shared" si="186"/>
        <v>0</v>
      </c>
      <c r="CW24" s="273">
        <f t="shared" ref="CW24:CY24" si="187">CW22/CW23</f>
        <v>0</v>
      </c>
      <c r="CX24" s="273">
        <f>CX22/CX23</f>
        <v>8.4445553718320698E-3</v>
      </c>
      <c r="CY24" s="273">
        <f t="shared" si="187"/>
        <v>4.1016974733325377E-3</v>
      </c>
      <c r="CZ24" s="273">
        <f t="shared" ref="CZ24:DC24" si="188">CZ22/CZ23</f>
        <v>0</v>
      </c>
      <c r="DA24" s="273" t="e">
        <f t="shared" si="188"/>
        <v>#DIV/0!</v>
      </c>
      <c r="DB24" s="273" t="e">
        <f t="shared" si="188"/>
        <v>#DIV/0!</v>
      </c>
      <c r="DC24" s="273" t="e">
        <f t="shared" si="188"/>
        <v>#DIV/0!</v>
      </c>
      <c r="DD24" s="273">
        <f t="shared" ref="DD24:DF24" si="189">DD22/DD23</f>
        <v>0</v>
      </c>
      <c r="DE24" s="273">
        <f t="shared" si="189"/>
        <v>2.8446744979656123E-2</v>
      </c>
      <c r="DF24" s="273">
        <f t="shared" si="189"/>
        <v>0</v>
      </c>
      <c r="DG24" s="273">
        <f t="shared" ref="DG24:DK24" si="190">DG22/DG23</f>
        <v>0</v>
      </c>
      <c r="DH24" s="273">
        <f t="shared" si="190"/>
        <v>1.3069899784656225E-2</v>
      </c>
      <c r="DI24" s="273">
        <f t="shared" si="190"/>
        <v>0</v>
      </c>
      <c r="DJ24" s="273">
        <f t="shared" si="190"/>
        <v>0</v>
      </c>
      <c r="DK24" s="273">
        <f t="shared" si="190"/>
        <v>0</v>
      </c>
      <c r="DL24" s="273">
        <f t="shared" ref="DL24:DO24" si="191">DL22/DL23</f>
        <v>9.6415944497305773E-3</v>
      </c>
      <c r="DM24" s="273">
        <f t="shared" si="191"/>
        <v>0</v>
      </c>
      <c r="DN24" s="273">
        <f t="shared" si="191"/>
        <v>2.2117246815457951E-2</v>
      </c>
      <c r="DO24" s="273">
        <f t="shared" si="191"/>
        <v>0</v>
      </c>
      <c r="DP24" s="273">
        <f t="shared" ref="DP24:DV24" si="192">DP22/DP23</f>
        <v>0</v>
      </c>
      <c r="DQ24" s="273">
        <f t="shared" si="192"/>
        <v>1.861162819612195E-2</v>
      </c>
      <c r="DR24" s="273">
        <f t="shared" si="192"/>
        <v>0</v>
      </c>
      <c r="DS24" s="273" t="e">
        <f t="shared" si="192"/>
        <v>#DIV/0!</v>
      </c>
      <c r="DT24" s="273" t="e">
        <f t="shared" si="192"/>
        <v>#DIV/0!</v>
      </c>
      <c r="DU24" s="273" t="e">
        <f t="shared" si="192"/>
        <v>#DIV/0!</v>
      </c>
      <c r="DV24" s="273">
        <f t="shared" si="192"/>
        <v>0</v>
      </c>
      <c r="DW24" s="273">
        <f>DW22/DW23</f>
        <v>5.5190751122355785E-3</v>
      </c>
      <c r="DX24" s="273" t="e">
        <f t="shared" ref="DX24:EE24" si="193">DX22/DX23</f>
        <v>#DIV/0!</v>
      </c>
      <c r="DY24" s="273" t="e">
        <f t="shared" si="193"/>
        <v>#DIV/0!</v>
      </c>
      <c r="DZ24" s="273">
        <f t="shared" si="193"/>
        <v>0</v>
      </c>
      <c r="EA24" s="273">
        <f t="shared" si="193"/>
        <v>0</v>
      </c>
      <c r="EB24" s="273">
        <f t="shared" si="193"/>
        <v>0</v>
      </c>
      <c r="EC24" s="273">
        <f t="shared" si="193"/>
        <v>0</v>
      </c>
      <c r="ED24" s="273">
        <f t="shared" si="193"/>
        <v>0</v>
      </c>
      <c r="EE24" s="273">
        <f t="shared" si="193"/>
        <v>0</v>
      </c>
      <c r="EF24" s="273">
        <f t="shared" ref="EF24:EJ24" si="194">EF22/EF23</f>
        <v>0</v>
      </c>
      <c r="EG24" s="273">
        <f t="shared" si="194"/>
        <v>0</v>
      </c>
      <c r="EH24" s="273">
        <f t="shared" si="194"/>
        <v>1.5476233003109921E-2</v>
      </c>
      <c r="EI24" s="273">
        <f t="shared" si="194"/>
        <v>0</v>
      </c>
      <c r="EJ24" s="273">
        <f t="shared" si="194"/>
        <v>0</v>
      </c>
      <c r="EK24" s="273">
        <f t="shared" ref="EK24:EO24" si="195">EK22/EK23</f>
        <v>0</v>
      </c>
      <c r="EL24" s="273">
        <f t="shared" si="195"/>
        <v>1.6531512634419879E-2</v>
      </c>
      <c r="EM24" s="273">
        <f t="shared" si="195"/>
        <v>0</v>
      </c>
      <c r="EN24" s="273" t="e">
        <f t="shared" si="195"/>
        <v>#DIV/0!</v>
      </c>
      <c r="EO24" s="273" t="e">
        <f t="shared" si="195"/>
        <v>#DIV/0!</v>
      </c>
      <c r="EP24" s="273" t="e">
        <f t="shared" ref="EP24:ET24" si="196">EP22/EP23</f>
        <v>#DIV/0!</v>
      </c>
      <c r="EQ24" s="273" t="e">
        <f t="shared" si="196"/>
        <v>#DIV/0!</v>
      </c>
      <c r="ER24" s="273" t="e">
        <f t="shared" si="196"/>
        <v>#DIV/0!</v>
      </c>
      <c r="ES24" s="273" t="e">
        <f t="shared" si="196"/>
        <v>#DIV/0!</v>
      </c>
      <c r="ET24" s="273" t="e">
        <f t="shared" si="196"/>
        <v>#DIV/0!</v>
      </c>
      <c r="EU24" s="273" t="e">
        <f t="shared" ref="EU24:EX24" si="197">EU22/EU23</f>
        <v>#DIV/0!</v>
      </c>
      <c r="EV24" s="273" t="e">
        <f t="shared" si="197"/>
        <v>#DIV/0!</v>
      </c>
      <c r="EW24" s="273" t="e">
        <f t="shared" si="197"/>
        <v>#DIV/0!</v>
      </c>
      <c r="EX24" s="273" t="e">
        <f t="shared" si="197"/>
        <v>#DIV/0!</v>
      </c>
      <c r="EY24" s="273" t="e">
        <f t="shared" ref="EY24:FB24" si="198">EY22/EY23</f>
        <v>#DIV/0!</v>
      </c>
      <c r="EZ24" s="273" t="e">
        <f t="shared" si="198"/>
        <v>#DIV/0!</v>
      </c>
      <c r="FA24" s="273" t="e">
        <f t="shared" si="198"/>
        <v>#DIV/0!</v>
      </c>
      <c r="FB24" s="273" t="e">
        <f t="shared" si="198"/>
        <v>#DIV/0!</v>
      </c>
      <c r="FC24" s="273">
        <f>FC22/FC23</f>
        <v>2.3415805648497818E-3</v>
      </c>
      <c r="FD24" s="273" t="e">
        <f t="shared" ref="FD24:GG24" si="199">FD22/FD23</f>
        <v>#DIV/0!</v>
      </c>
      <c r="FE24" s="273" t="e">
        <f t="shared" si="199"/>
        <v>#DIV/0!</v>
      </c>
      <c r="FF24" s="273" t="e">
        <f t="shared" si="199"/>
        <v>#DIV/0!</v>
      </c>
      <c r="FG24" s="273" t="e">
        <f t="shared" si="199"/>
        <v>#DIV/0!</v>
      </c>
      <c r="FH24" s="273" t="e">
        <f t="shared" si="199"/>
        <v>#DIV/0!</v>
      </c>
      <c r="FI24" s="273" t="e">
        <f t="shared" si="199"/>
        <v>#DIV/0!</v>
      </c>
      <c r="FJ24" s="273" t="e">
        <f t="shared" si="199"/>
        <v>#DIV/0!</v>
      </c>
      <c r="FK24" s="273" t="e">
        <f t="shared" si="199"/>
        <v>#DIV/0!</v>
      </c>
      <c r="FL24" s="273" t="e">
        <f t="shared" si="199"/>
        <v>#DIV/0!</v>
      </c>
      <c r="FM24" s="273" t="e">
        <f t="shared" si="199"/>
        <v>#DIV/0!</v>
      </c>
      <c r="FN24" s="273" t="e">
        <f t="shared" si="199"/>
        <v>#DIV/0!</v>
      </c>
      <c r="FO24" s="273" t="e">
        <f t="shared" si="199"/>
        <v>#DIV/0!</v>
      </c>
      <c r="FP24" s="273" t="e">
        <f t="shared" si="199"/>
        <v>#DIV/0!</v>
      </c>
      <c r="FQ24" s="273" t="e">
        <f t="shared" si="199"/>
        <v>#DIV/0!</v>
      </c>
      <c r="FR24" s="273" t="e">
        <f t="shared" si="199"/>
        <v>#DIV/0!</v>
      </c>
      <c r="FS24" s="273" t="e">
        <f t="shared" si="199"/>
        <v>#DIV/0!</v>
      </c>
      <c r="FT24" s="273" t="e">
        <f t="shared" si="199"/>
        <v>#DIV/0!</v>
      </c>
      <c r="FU24" s="273" t="e">
        <f t="shared" si="199"/>
        <v>#DIV/0!</v>
      </c>
      <c r="FV24" s="273" t="e">
        <f t="shared" si="199"/>
        <v>#DIV/0!</v>
      </c>
      <c r="FW24" s="273" t="e">
        <f t="shared" si="199"/>
        <v>#DIV/0!</v>
      </c>
      <c r="FX24" s="273" t="e">
        <f t="shared" si="199"/>
        <v>#DIV/0!</v>
      </c>
      <c r="FY24" s="273" t="e">
        <f t="shared" si="199"/>
        <v>#DIV/0!</v>
      </c>
      <c r="FZ24" s="273" t="e">
        <f t="shared" si="199"/>
        <v>#DIV/0!</v>
      </c>
      <c r="GA24" s="273" t="e">
        <f t="shared" si="199"/>
        <v>#DIV/0!</v>
      </c>
      <c r="GB24" s="273" t="e">
        <f t="shared" si="199"/>
        <v>#DIV/0!</v>
      </c>
      <c r="GC24" s="273" t="e">
        <f t="shared" si="199"/>
        <v>#DIV/0!</v>
      </c>
      <c r="GD24" s="273" t="e">
        <f t="shared" si="199"/>
        <v>#DIV/0!</v>
      </c>
      <c r="GE24" s="273" t="e">
        <f t="shared" si="199"/>
        <v>#DIV/0!</v>
      </c>
      <c r="GF24" s="273" t="e">
        <f t="shared" si="199"/>
        <v>#DIV/0!</v>
      </c>
      <c r="GG24" s="273" t="e">
        <f t="shared" si="199"/>
        <v>#DIV/0!</v>
      </c>
      <c r="GH24" s="273" t="e">
        <f>GH22/GH23</f>
        <v>#DIV/0!</v>
      </c>
    </row>
    <row r="25" spans="1:190" x14ac:dyDescent="0.3">
      <c r="A25" t="s">
        <v>249</v>
      </c>
      <c r="B25" s="274">
        <f>B16+B24</f>
        <v>0</v>
      </c>
      <c r="C25" s="274">
        <f t="shared" ref="C25:AL25" si="200">C16+C24</f>
        <v>0</v>
      </c>
      <c r="D25" s="274">
        <f t="shared" si="200"/>
        <v>2.9234440326283372E-2</v>
      </c>
      <c r="E25" s="274">
        <f t="shared" si="200"/>
        <v>0</v>
      </c>
      <c r="F25" s="274">
        <f t="shared" si="200"/>
        <v>3.470727569246343E-2</v>
      </c>
      <c r="G25" s="274">
        <f t="shared" si="200"/>
        <v>0</v>
      </c>
      <c r="H25" s="274">
        <f t="shared" si="200"/>
        <v>0</v>
      </c>
      <c r="I25" s="274">
        <f t="shared" si="200"/>
        <v>1.6043192671215237E-2</v>
      </c>
      <c r="J25" s="274">
        <f t="shared" si="200"/>
        <v>1.6486486486486488E-2</v>
      </c>
      <c r="K25" s="274">
        <f t="shared" si="200"/>
        <v>0</v>
      </c>
      <c r="L25" s="274">
        <f t="shared" si="200"/>
        <v>0</v>
      </c>
      <c r="M25" s="274">
        <f t="shared" si="200"/>
        <v>0</v>
      </c>
      <c r="N25" s="274">
        <f t="shared" si="200"/>
        <v>1.3388838002182265E-2</v>
      </c>
      <c r="O25" s="274">
        <f t="shared" si="200"/>
        <v>0</v>
      </c>
      <c r="P25" s="274">
        <f t="shared" si="200"/>
        <v>0</v>
      </c>
      <c r="Q25" s="274">
        <f t="shared" si="200"/>
        <v>7.6314409264873996E-3</v>
      </c>
      <c r="R25" s="274">
        <f t="shared" si="200"/>
        <v>1.1623144934114918E-2</v>
      </c>
      <c r="S25" s="274">
        <f t="shared" si="200"/>
        <v>1.4470062748618397E-2</v>
      </c>
      <c r="T25" s="274" t="e">
        <f t="shared" si="200"/>
        <v>#DIV/0!</v>
      </c>
      <c r="U25" s="274">
        <f t="shared" si="200"/>
        <v>0</v>
      </c>
      <c r="V25" s="274">
        <f t="shared" si="200"/>
        <v>7.4361006538537751E-3</v>
      </c>
      <c r="W25" s="274">
        <f t="shared" si="200"/>
        <v>4.7864542708787004E-3</v>
      </c>
      <c r="X25" s="274">
        <f t="shared" si="200"/>
        <v>1.3328861122983983E-2</v>
      </c>
      <c r="Y25" s="274">
        <f t="shared" si="200"/>
        <v>0</v>
      </c>
      <c r="Z25" s="274">
        <f t="shared" si="200"/>
        <v>3.1929127544608568E-2</v>
      </c>
      <c r="AA25" s="274">
        <f t="shared" si="200"/>
        <v>4.5540532211590318E-3</v>
      </c>
      <c r="AB25" s="274">
        <f t="shared" si="200"/>
        <v>0</v>
      </c>
      <c r="AC25" s="274">
        <f t="shared" si="200"/>
        <v>0</v>
      </c>
      <c r="AD25" s="274">
        <f t="shared" si="200"/>
        <v>0</v>
      </c>
      <c r="AE25" s="274">
        <f t="shared" si="200"/>
        <v>8.6511611238006964E-3</v>
      </c>
      <c r="AF25" s="274">
        <f>AF16+AF24</f>
        <v>7.2564847488954384E-3</v>
      </c>
      <c r="AG25" s="274">
        <f>AG16+AG24</f>
        <v>1.0804272804095422E-2</v>
      </c>
      <c r="AH25" s="274">
        <f t="shared" si="200"/>
        <v>8.0542245470819653E-3</v>
      </c>
      <c r="AI25" s="274">
        <f t="shared" si="200"/>
        <v>1.5419201124248863E-2</v>
      </c>
      <c r="AJ25" s="274">
        <f t="shared" si="200"/>
        <v>0</v>
      </c>
      <c r="AK25" s="274">
        <f t="shared" si="200"/>
        <v>1.4712254002693858E-2</v>
      </c>
      <c r="AL25" s="274">
        <f t="shared" si="200"/>
        <v>4.7109961351452435E-2</v>
      </c>
      <c r="AM25" s="274">
        <f t="shared" ref="AM25:AO25" si="201">AM16+AM24</f>
        <v>5.1243030725982019E-3</v>
      </c>
      <c r="AN25" s="274">
        <f t="shared" si="201"/>
        <v>0</v>
      </c>
      <c r="AO25" s="274">
        <f t="shared" si="201"/>
        <v>1.1503939569604979E-2</v>
      </c>
      <c r="AP25" s="274">
        <f t="shared" ref="AP25:AR25" si="202">AP16+AP24</f>
        <v>0</v>
      </c>
      <c r="AQ25" s="274">
        <f t="shared" si="202"/>
        <v>0</v>
      </c>
      <c r="AR25" s="274">
        <f t="shared" si="202"/>
        <v>0</v>
      </c>
      <c r="AS25" s="274">
        <f t="shared" ref="AS25:AY25" si="203">AS16+AS24</f>
        <v>2.4081359844927094E-2</v>
      </c>
      <c r="AT25" s="274" t="e">
        <f t="shared" si="203"/>
        <v>#DIV/0!</v>
      </c>
      <c r="AU25" s="274">
        <f t="shared" si="203"/>
        <v>0</v>
      </c>
      <c r="AV25" s="274">
        <f t="shared" si="203"/>
        <v>1.3432430231370592E-2</v>
      </c>
      <c r="AW25" s="274">
        <f t="shared" si="203"/>
        <v>4.0144020094766211E-2</v>
      </c>
      <c r="AX25" s="274">
        <f t="shared" si="203"/>
        <v>0</v>
      </c>
      <c r="AY25" s="274">
        <f t="shared" si="203"/>
        <v>2.0271112902691849E-2</v>
      </c>
      <c r="AZ25" s="274">
        <f t="shared" ref="AZ25:BA25" si="204">AZ16+AZ24</f>
        <v>0</v>
      </c>
      <c r="BA25" s="274">
        <f t="shared" si="204"/>
        <v>2.8623752325060401E-2</v>
      </c>
      <c r="BB25" s="274">
        <f t="shared" ref="BB25:BC25" si="205">BB16+BB24</f>
        <v>0</v>
      </c>
      <c r="BC25" s="274">
        <f t="shared" si="205"/>
        <v>1.8980822628770364E-2</v>
      </c>
      <c r="BD25" s="274">
        <f t="shared" ref="BD25:BF25" si="206">BD16+BD24</f>
        <v>1.3080371473410136E-2</v>
      </c>
      <c r="BE25" s="274">
        <f t="shared" si="206"/>
        <v>0</v>
      </c>
      <c r="BF25" s="274">
        <f t="shared" si="206"/>
        <v>8.9681460696732045E-3</v>
      </c>
      <c r="BG25" s="274">
        <f t="shared" ref="BG25:BH25" si="207">BG16+BG24</f>
        <v>4.3894397743055825E-3</v>
      </c>
      <c r="BH25" s="274">
        <f t="shared" si="207"/>
        <v>1.5647649475125511E-2</v>
      </c>
      <c r="BI25" s="274">
        <f t="shared" ref="BI25:BP25" si="208">BI16+BI24</f>
        <v>5.01737617980119E-3</v>
      </c>
      <c r="BJ25" s="274">
        <f t="shared" si="208"/>
        <v>0</v>
      </c>
      <c r="BK25" s="274">
        <f t="shared" si="208"/>
        <v>8.208213795336065E-3</v>
      </c>
      <c r="BL25" s="274">
        <f>BL16+BL24</f>
        <v>9.9612352351029949E-3</v>
      </c>
      <c r="BM25" s="274">
        <f>BM16+BM24</f>
        <v>0</v>
      </c>
      <c r="BN25" s="274">
        <f>BN16+BN24</f>
        <v>1.7681829007632339E-2</v>
      </c>
      <c r="BO25" s="274">
        <f t="shared" si="208"/>
        <v>1.4082402391098803E-2</v>
      </c>
      <c r="BP25" s="274">
        <f t="shared" si="208"/>
        <v>0</v>
      </c>
      <c r="BQ25" s="274" t="e">
        <f>BQ16+BQ24</f>
        <v>#DIV/0!</v>
      </c>
      <c r="BR25" s="274" t="e">
        <f t="shared" ref="BR25" si="209">BR16+BR24</f>
        <v>#DIV/0!</v>
      </c>
      <c r="BS25" s="274">
        <f t="shared" ref="BS25:BU25" si="210">BS16+BS24</f>
        <v>1.286064916434229E-2</v>
      </c>
      <c r="BT25" s="274">
        <f t="shared" si="210"/>
        <v>0</v>
      </c>
      <c r="BU25" s="274">
        <f t="shared" si="210"/>
        <v>2.7403464366447176E-3</v>
      </c>
      <c r="BV25" s="274">
        <f t="shared" ref="BV25:CC25" si="211">BV16+BV24</f>
        <v>0</v>
      </c>
      <c r="BW25" s="274">
        <f t="shared" si="211"/>
        <v>7.544919628616616E-3</v>
      </c>
      <c r="BX25" s="274">
        <f t="shared" si="211"/>
        <v>0</v>
      </c>
      <c r="BY25" s="274">
        <f t="shared" si="211"/>
        <v>6.3021505596026865E-3</v>
      </c>
      <c r="BZ25" s="274">
        <f t="shared" si="211"/>
        <v>0</v>
      </c>
      <c r="CA25" s="274">
        <f t="shared" si="211"/>
        <v>0</v>
      </c>
      <c r="CB25" s="274">
        <f t="shared" si="211"/>
        <v>6.9534048697762205E-3</v>
      </c>
      <c r="CC25" s="274">
        <f t="shared" si="211"/>
        <v>1.0410707867339048E-2</v>
      </c>
      <c r="CD25" s="274">
        <f t="shared" ref="CD25:CE25" si="212">CD16+CD24</f>
        <v>0</v>
      </c>
      <c r="CE25" s="274">
        <f t="shared" si="212"/>
        <v>5.2480528942419526E-3</v>
      </c>
      <c r="CF25" s="274">
        <f t="shared" ref="CF25:CG25" si="213">CF16+CF24</f>
        <v>1.8144083193149304E-3</v>
      </c>
      <c r="CG25" s="274">
        <f t="shared" si="213"/>
        <v>8.6069622047022371E-3</v>
      </c>
      <c r="CH25" s="274">
        <f t="shared" ref="CH25:CP25" si="214">CH16+CH24</f>
        <v>0</v>
      </c>
      <c r="CI25" s="274">
        <f t="shared" si="214"/>
        <v>3.8972713331981643E-3</v>
      </c>
      <c r="CJ25" s="274">
        <f t="shared" si="214"/>
        <v>0</v>
      </c>
      <c r="CK25" s="274">
        <f t="shared" si="214"/>
        <v>0</v>
      </c>
      <c r="CL25" s="274">
        <f t="shared" si="214"/>
        <v>3.7742385813982524E-2</v>
      </c>
      <c r="CM25" s="274">
        <f t="shared" si="214"/>
        <v>0</v>
      </c>
      <c r="CN25" s="274">
        <f t="shared" si="214"/>
        <v>1.1725422781694826E-3</v>
      </c>
      <c r="CO25" s="274">
        <f t="shared" si="214"/>
        <v>0</v>
      </c>
      <c r="CP25" s="274">
        <f t="shared" si="214"/>
        <v>3.0567385387017108E-2</v>
      </c>
      <c r="CQ25" s="274">
        <f>CQ16+CQ24</f>
        <v>5.945148039057933E-3</v>
      </c>
      <c r="CR25" s="274">
        <f>CR16+CR24</f>
        <v>5.691315363413994E-3</v>
      </c>
      <c r="CS25" s="274">
        <f t="shared" ref="CS25:CU25" si="215">CS16+CS24</f>
        <v>0</v>
      </c>
      <c r="CT25" s="274">
        <f>CT16+CT24</f>
        <v>5.948521880860487E-3</v>
      </c>
      <c r="CU25" s="274">
        <f t="shared" si="215"/>
        <v>1.5214538584707867E-2</v>
      </c>
      <c r="CV25" s="274">
        <f>CV16+CV24</f>
        <v>0</v>
      </c>
      <c r="CW25" s="274">
        <f t="shared" ref="CW25" si="216">CW16+CW24</f>
        <v>0</v>
      </c>
      <c r="CX25" s="274">
        <f t="shared" ref="CX25" si="217">CX16+CX24</f>
        <v>1.5835860136774835E-2</v>
      </c>
      <c r="CY25" s="274">
        <f t="shared" ref="CY25:DC25" si="218">CY16+CY24</f>
        <v>7.6141011513308054E-3</v>
      </c>
      <c r="CZ25" s="274">
        <f t="shared" si="218"/>
        <v>0</v>
      </c>
      <c r="DA25" s="274" t="e">
        <f t="shared" si="218"/>
        <v>#DIV/0!</v>
      </c>
      <c r="DB25" s="274" t="e">
        <f t="shared" si="218"/>
        <v>#DIV/0!</v>
      </c>
      <c r="DC25" s="274" t="e">
        <f t="shared" si="218"/>
        <v>#DIV/0!</v>
      </c>
      <c r="DD25" s="274">
        <f t="shared" ref="DD25:DF25" si="219">DD16+DD24</f>
        <v>0</v>
      </c>
      <c r="DE25" s="274">
        <f t="shared" si="219"/>
        <v>4.0112830403932473E-2</v>
      </c>
      <c r="DF25" s="274">
        <f t="shared" si="219"/>
        <v>0</v>
      </c>
      <c r="DG25" s="274">
        <f t="shared" ref="DG25:DK25" si="220">DG16+DG24</f>
        <v>1.3495136142491078E-2</v>
      </c>
      <c r="DH25" s="274">
        <f t="shared" si="220"/>
        <v>2.070372787767959E-2</v>
      </c>
      <c r="DI25" s="274">
        <f t="shared" si="220"/>
        <v>0</v>
      </c>
      <c r="DJ25" s="274" t="e">
        <f t="shared" si="220"/>
        <v>#DIV/0!</v>
      </c>
      <c r="DK25" s="274" t="e">
        <f t="shared" si="220"/>
        <v>#DIV/0!</v>
      </c>
      <c r="DL25" s="274" t="e">
        <f t="shared" ref="DL25:DO25" si="221">DL16+DL24</f>
        <v>#DIV/0!</v>
      </c>
      <c r="DM25" s="274" t="e">
        <f t="shared" si="221"/>
        <v>#DIV/0!</v>
      </c>
      <c r="DN25" s="274" t="e">
        <f t="shared" si="221"/>
        <v>#DIV/0!</v>
      </c>
      <c r="DO25" s="274" t="e">
        <f t="shared" si="221"/>
        <v>#DIV/0!</v>
      </c>
      <c r="DP25" s="274" t="e">
        <f t="shared" ref="DP25:DV25" si="222">DP16+DP24</f>
        <v>#DIV/0!</v>
      </c>
      <c r="DQ25" s="274" t="e">
        <f t="shared" si="222"/>
        <v>#DIV/0!</v>
      </c>
      <c r="DR25" s="274" t="e">
        <f t="shared" si="222"/>
        <v>#DIV/0!</v>
      </c>
      <c r="DS25" s="274" t="e">
        <f t="shared" si="222"/>
        <v>#DIV/0!</v>
      </c>
      <c r="DT25" s="274" t="e">
        <f t="shared" si="222"/>
        <v>#DIV/0!</v>
      </c>
      <c r="DU25" s="274" t="e">
        <f t="shared" si="222"/>
        <v>#DIV/0!</v>
      </c>
      <c r="DV25" s="274">
        <f t="shared" si="222"/>
        <v>7.522884967415977E-2</v>
      </c>
      <c r="DW25" s="274">
        <f>DW16+DW24</f>
        <v>1.0604241588869617E-2</v>
      </c>
      <c r="DX25" s="274" t="e">
        <f>DX16+DX24</f>
        <v>#DIV/0!</v>
      </c>
      <c r="DY25" s="274" t="e">
        <f t="shared" ref="DY25:EE25" si="223">DY16+DY24</f>
        <v>#DIV/0!</v>
      </c>
      <c r="DZ25" s="274">
        <f t="shared" si="223"/>
        <v>0</v>
      </c>
      <c r="EA25" s="274">
        <f t="shared" si="223"/>
        <v>0</v>
      </c>
      <c r="EB25" s="274">
        <f t="shared" si="223"/>
        <v>0</v>
      </c>
      <c r="EC25" s="274">
        <f t="shared" si="223"/>
        <v>0</v>
      </c>
      <c r="ED25" s="274">
        <f t="shared" si="223"/>
        <v>6.476877944492654E-3</v>
      </c>
      <c r="EE25" s="274">
        <f t="shared" si="223"/>
        <v>2.3513543127629731E-2</v>
      </c>
      <c r="EF25" s="274">
        <f t="shared" ref="EF25:EJ25" si="224">EF16+EF24</f>
        <v>0</v>
      </c>
      <c r="EG25" s="274">
        <f t="shared" si="224"/>
        <v>0</v>
      </c>
      <c r="EH25" s="274">
        <f t="shared" si="224"/>
        <v>2.2331200911774582E-2</v>
      </c>
      <c r="EI25" s="274">
        <f t="shared" si="224"/>
        <v>0</v>
      </c>
      <c r="EJ25" s="274">
        <f t="shared" si="224"/>
        <v>0</v>
      </c>
      <c r="EK25" s="274">
        <f t="shared" ref="EK25:EO25" si="225">EK16+EK24</f>
        <v>0</v>
      </c>
      <c r="EL25" s="274">
        <f t="shared" si="225"/>
        <v>2.0333291116353947E-2</v>
      </c>
      <c r="EM25" s="274">
        <f t="shared" si="225"/>
        <v>0</v>
      </c>
      <c r="EN25" s="274" t="e">
        <f t="shared" si="225"/>
        <v>#DIV/0!</v>
      </c>
      <c r="EO25" s="274" t="e">
        <f t="shared" si="225"/>
        <v>#DIV/0!</v>
      </c>
      <c r="EP25" s="274" t="e">
        <f t="shared" ref="EP25:ET25" si="226">EP16+EP24</f>
        <v>#DIV/0!</v>
      </c>
      <c r="EQ25" s="274" t="e">
        <f t="shared" si="226"/>
        <v>#DIV/0!</v>
      </c>
      <c r="ER25" s="274" t="e">
        <f t="shared" si="226"/>
        <v>#DIV/0!</v>
      </c>
      <c r="ES25" s="274" t="e">
        <f t="shared" si="226"/>
        <v>#DIV/0!</v>
      </c>
      <c r="ET25" s="274" t="e">
        <f t="shared" si="226"/>
        <v>#DIV/0!</v>
      </c>
      <c r="EU25" s="274" t="e">
        <f t="shared" ref="EU25:EX25" si="227">EU16+EU24</f>
        <v>#DIV/0!</v>
      </c>
      <c r="EV25" s="274" t="e">
        <f t="shared" si="227"/>
        <v>#DIV/0!</v>
      </c>
      <c r="EW25" s="274" t="e">
        <f t="shared" si="227"/>
        <v>#DIV/0!</v>
      </c>
      <c r="EX25" s="274" t="e">
        <f t="shared" si="227"/>
        <v>#DIV/0!</v>
      </c>
      <c r="EY25" s="274" t="e">
        <f t="shared" ref="EY25:FB25" si="228">EY16+EY24</f>
        <v>#DIV/0!</v>
      </c>
      <c r="EZ25" s="274" t="e">
        <f t="shared" si="228"/>
        <v>#DIV/0!</v>
      </c>
      <c r="FA25" s="274" t="e">
        <f t="shared" si="228"/>
        <v>#DIV/0!</v>
      </c>
      <c r="FB25" s="274" t="e">
        <f t="shared" si="228"/>
        <v>#DIV/0!</v>
      </c>
      <c r="FC25" s="274">
        <f>FC16+FC24</f>
        <v>4.3631999148205074E-3</v>
      </c>
      <c r="FD25" s="274" t="e">
        <f>FD16+FD24</f>
        <v>#DIV/0!</v>
      </c>
      <c r="FE25" s="274" t="e">
        <f t="shared" ref="FE25:GG25" si="229">FE16+FE24</f>
        <v>#DIV/0!</v>
      </c>
      <c r="FF25" s="274" t="e">
        <f t="shared" si="229"/>
        <v>#DIV/0!</v>
      </c>
      <c r="FG25" s="274" t="e">
        <f t="shared" si="229"/>
        <v>#DIV/0!</v>
      </c>
      <c r="FH25" s="274" t="e">
        <f t="shared" si="229"/>
        <v>#DIV/0!</v>
      </c>
      <c r="FI25" s="274" t="e">
        <f t="shared" si="229"/>
        <v>#DIV/0!</v>
      </c>
      <c r="FJ25" s="274" t="e">
        <f t="shared" si="229"/>
        <v>#DIV/0!</v>
      </c>
      <c r="FK25" s="274" t="e">
        <f t="shared" si="229"/>
        <v>#DIV/0!</v>
      </c>
      <c r="FL25" s="274" t="e">
        <f t="shared" si="229"/>
        <v>#DIV/0!</v>
      </c>
      <c r="FM25" s="274" t="e">
        <f t="shared" si="229"/>
        <v>#DIV/0!</v>
      </c>
      <c r="FN25" s="274" t="e">
        <f t="shared" si="229"/>
        <v>#DIV/0!</v>
      </c>
      <c r="FO25" s="274" t="e">
        <f t="shared" si="229"/>
        <v>#DIV/0!</v>
      </c>
      <c r="FP25" s="274" t="e">
        <f t="shared" si="229"/>
        <v>#DIV/0!</v>
      </c>
      <c r="FQ25" s="274" t="e">
        <f t="shared" si="229"/>
        <v>#DIV/0!</v>
      </c>
      <c r="FR25" s="274" t="e">
        <f t="shared" si="229"/>
        <v>#DIV/0!</v>
      </c>
      <c r="FS25" s="274" t="e">
        <f t="shared" si="229"/>
        <v>#DIV/0!</v>
      </c>
      <c r="FT25" s="274" t="e">
        <f t="shared" si="229"/>
        <v>#DIV/0!</v>
      </c>
      <c r="FU25" s="274" t="e">
        <f t="shared" si="229"/>
        <v>#DIV/0!</v>
      </c>
      <c r="FV25" s="274" t="e">
        <f t="shared" si="229"/>
        <v>#DIV/0!</v>
      </c>
      <c r="FW25" s="274" t="e">
        <f t="shared" si="229"/>
        <v>#DIV/0!</v>
      </c>
      <c r="FX25" s="274" t="e">
        <f t="shared" si="229"/>
        <v>#DIV/0!</v>
      </c>
      <c r="FY25" s="274" t="e">
        <f t="shared" si="229"/>
        <v>#DIV/0!</v>
      </c>
      <c r="FZ25" s="274" t="e">
        <f t="shared" si="229"/>
        <v>#DIV/0!</v>
      </c>
      <c r="GA25" s="274" t="e">
        <f t="shared" si="229"/>
        <v>#DIV/0!</v>
      </c>
      <c r="GB25" s="274" t="e">
        <f t="shared" si="229"/>
        <v>#DIV/0!</v>
      </c>
      <c r="GC25" s="274" t="e">
        <f t="shared" si="229"/>
        <v>#DIV/0!</v>
      </c>
      <c r="GD25" s="274" t="e">
        <f t="shared" si="229"/>
        <v>#DIV/0!</v>
      </c>
      <c r="GE25" s="274" t="e">
        <f t="shared" si="229"/>
        <v>#DIV/0!</v>
      </c>
      <c r="GF25" s="274" t="e">
        <f t="shared" si="229"/>
        <v>#DIV/0!</v>
      </c>
      <c r="GG25" s="274" t="e">
        <f t="shared" si="229"/>
        <v>#DIV/0!</v>
      </c>
      <c r="GH25" s="274" t="e">
        <f>GH16+GH24</f>
        <v>#DIV/0!</v>
      </c>
    </row>
    <row r="27" spans="1:190" x14ac:dyDescent="0.3">
      <c r="AF27">
        <f>AF5</f>
        <v>28696346.907689516</v>
      </c>
      <c r="BL27">
        <f>BL5</f>
        <v>28494123</v>
      </c>
      <c r="CQ27">
        <f>CQ5</f>
        <v>11086473</v>
      </c>
      <c r="CR27">
        <f>CQ27+AF27+BL27</f>
        <v>68276942.907689512</v>
      </c>
      <c r="CS27" s="12">
        <f>CQ6+BL6+AF6</f>
        <v>559577381.29999995</v>
      </c>
    </row>
    <row r="28" spans="1:190" x14ac:dyDescent="0.3">
      <c r="AF28">
        <f>AF23+AF6</f>
        <v>342796207.19999999</v>
      </c>
      <c r="BL28">
        <f>BL23+BL6</f>
        <v>348027699</v>
      </c>
      <c r="CQ28" s="12">
        <f>CQ23+CQ6</f>
        <v>334911022</v>
      </c>
      <c r="CR28">
        <f>CQ28+AF28+BL28</f>
        <v>1025734928.2</v>
      </c>
      <c r="CS28">
        <f>CQ5+BL5+AF5</f>
        <v>68276942.907689512</v>
      </c>
    </row>
    <row r="29" spans="1:190" x14ac:dyDescent="0.3">
      <c r="H29" s="267"/>
      <c r="N29" s="54"/>
      <c r="AF29" s="54">
        <f>AF27/AF28</f>
        <v>8.3712556629738338E-2</v>
      </c>
      <c r="BL29" s="54">
        <f>BL27/BL28</f>
        <v>8.1873147114074965E-2</v>
      </c>
      <c r="CQ29" s="286">
        <f>CQ27/CQ28</f>
        <v>3.3102741539512544E-2</v>
      </c>
      <c r="CR29" s="54">
        <f>CR27/CR28</f>
        <v>6.6563925075169839E-2</v>
      </c>
      <c r="CS29" s="54">
        <f>CS28/CS27</f>
        <v>0.12201519430444055</v>
      </c>
      <c r="CT29" t="s">
        <v>273</v>
      </c>
    </row>
    <row r="30" spans="1:190" x14ac:dyDescent="0.3">
      <c r="H30" s="75"/>
    </row>
    <row r="31" spans="1:190" x14ac:dyDescent="0.3">
      <c r="H31" s="75"/>
      <c r="DX31" s="31"/>
      <c r="DY31" s="31"/>
      <c r="DZ31" s="31"/>
    </row>
    <row r="32" spans="1:190" x14ac:dyDescent="0.3">
      <c r="H32" s="75"/>
    </row>
    <row r="42" spans="128:130" x14ac:dyDescent="0.3">
      <c r="DX42" s="31"/>
      <c r="DY42" s="31"/>
      <c r="DZ42" s="31"/>
    </row>
    <row r="143" spans="28:31" x14ac:dyDescent="0.3">
      <c r="AB143">
        <v>252</v>
      </c>
      <c r="AC143">
        <v>166</v>
      </c>
      <c r="AD143">
        <v>154</v>
      </c>
      <c r="AE143">
        <v>235</v>
      </c>
    </row>
    <row r="145" spans="28:31" x14ac:dyDescent="0.3">
      <c r="AB145">
        <v>321</v>
      </c>
      <c r="AC145">
        <v>307</v>
      </c>
      <c r="AD145">
        <v>375</v>
      </c>
      <c r="AE145">
        <v>239</v>
      </c>
    </row>
  </sheetData>
  <mergeCells count="1">
    <mergeCell ref="B1:Q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Apr-24</vt:lpstr>
      <vt:lpstr>May-24</vt:lpstr>
      <vt:lpstr>Jun-24</vt:lpstr>
      <vt:lpstr>Jul-24</vt:lpstr>
      <vt:lpstr>Aug-24</vt:lpstr>
      <vt:lpstr>Sep-24</vt:lpstr>
      <vt:lpstr>Dashboard</vt:lpstr>
      <vt:lpstr>Day Wise 24-25</vt:lpstr>
      <vt:lpstr>AFR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Singh</dc:creator>
  <cp:lastModifiedBy>Dikshant Nautiyal</cp:lastModifiedBy>
  <dcterms:created xsi:type="dcterms:W3CDTF">2024-04-02T11:13:08Z</dcterms:created>
  <dcterms:modified xsi:type="dcterms:W3CDTF">2024-10-05T05:00:38Z</dcterms:modified>
</cp:coreProperties>
</file>